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showInkAnnotation="0" codeName="ThisWorkbook"/>
  <mc:AlternateContent xmlns:mc="http://schemas.openxmlformats.org/markup-compatibility/2006">
    <mc:Choice Requires="x15">
      <x15ac:absPath xmlns:x15ac="http://schemas.microsoft.com/office/spreadsheetml/2010/11/ac" url="C:\Dropbox\Tabletop Gaming\Dungeons and Dragons\"/>
    </mc:Choice>
  </mc:AlternateContent>
  <bookViews>
    <workbookView xWindow="0" yWindow="0" windowWidth="28800" windowHeight="12585" tabRatio="711" activeTab="6"/>
  </bookViews>
  <sheets>
    <sheet name="Start" sheetId="6" r:id="rId1"/>
    <sheet name="Spellcasting" sheetId="9" r:id="rId2"/>
    <sheet name="Tables" sheetId="4" state="veryHidden" r:id="rId3"/>
    <sheet name="Character Sheet I" sheetId="1" r:id="rId4"/>
    <sheet name="Character Sheet II" sheetId="7" r:id="rId5"/>
    <sheet name="Character Sheet III" sheetId="8" r:id="rId6"/>
    <sheet name="Character Sheet IV" sheetId="11" r:id="rId7"/>
  </sheets>
  <definedNames>
    <definedName name="_xlnm._FilterDatabase" localSheetId="3" hidden="1">'Character Sheet I'!#REF!</definedName>
    <definedName name="_xlnm._FilterDatabase" localSheetId="4" hidden="1">'Character Sheet II'!#REF!</definedName>
    <definedName name="_xlnm._FilterDatabase" localSheetId="5" hidden="1">'Character Sheet III'!#REF!</definedName>
    <definedName name="_xlnm._FilterDatabase" localSheetId="6" hidden="1">'Character Sheet IV'!#REF!</definedName>
    <definedName name="_xlnm._FilterDatabase" localSheetId="0" hidden="1">Start!$X$140:$AE$143</definedName>
    <definedName name="_xlnm._FilterDatabase" localSheetId="2" hidden="1">Tables!$TK$2:$WC$364</definedName>
    <definedName name="AbilityScores">Tables!$BF$3:$BF$8</definedName>
    <definedName name="Alignment">Start!$K$52</definedName>
    <definedName name="AlignmentList">Tables!$IV$3:$IV$12</definedName>
    <definedName name="AmmunitionBonus">Tables!$QS$4:$QS$7</definedName>
    <definedName name="ArmorAC">Start!$Y$144</definedName>
    <definedName name="ArmorClass">'Character Sheet I'!$I$51</definedName>
    <definedName name="ArmorDEXmod">Start!$Y$145</definedName>
    <definedName name="ArmorGroup">Start!$Y$142</definedName>
    <definedName name="ArmorList">Tables!$SR$3:$SR$17</definedName>
    <definedName name="ArmorName">Start!$Y$140</definedName>
    <definedName name="ArmorProf">Start!$Y$143</definedName>
    <definedName name="ArmorProps">Start!$Y$149</definedName>
    <definedName name="ArmorStealth">Start!$Y$147</definedName>
    <definedName name="ArmorStrength">Start!$Y$146</definedName>
    <definedName name="ArmorWeight">Start!$Y$148</definedName>
    <definedName name="Attack1bonus">Start!$AV$146</definedName>
    <definedName name="Attack1damage">Start!$AV$147</definedName>
    <definedName name="Attack1group">Start!$AV$144</definedName>
    <definedName name="Attack1name">Start!$AV$142</definedName>
    <definedName name="Attack1prof">Start!$AV$145</definedName>
    <definedName name="Attack1props">Start!$AV$151</definedName>
    <definedName name="Attack1range">Start!$AV$149</definedName>
    <definedName name="Attack1type">Start!$AV$148</definedName>
    <definedName name="Attack1weight">Start!$AV$150</definedName>
    <definedName name="Attack2bonus">Start!$BD$146</definedName>
    <definedName name="Attack2damage">Start!$BD$147</definedName>
    <definedName name="Attack2group">Start!$BD$144</definedName>
    <definedName name="Attack2name">Start!$BD$142</definedName>
    <definedName name="Attack2prof">Start!$BD$145</definedName>
    <definedName name="Attack2props">Start!$BD$151</definedName>
    <definedName name="Attack2range">Start!$BD$149</definedName>
    <definedName name="Attack2type">Start!$BD$148</definedName>
    <definedName name="Attack2weight">Start!$BD$150</definedName>
    <definedName name="Attack3bonus">Start!$BL$146</definedName>
    <definedName name="Attack3damage">Start!$BL$147</definedName>
    <definedName name="Attack3group">Start!$BL$144</definedName>
    <definedName name="Attack3name">Start!$BL$142</definedName>
    <definedName name="Attack3prof">Start!$BL$145</definedName>
    <definedName name="Attack3props">Start!$BL$151</definedName>
    <definedName name="Attack3range">Start!$BL$149</definedName>
    <definedName name="Attack3type">Start!$BL$148</definedName>
    <definedName name="Attack3weight">Start!$BL$150</definedName>
    <definedName name="Attack4bonus">Start!$BT$146</definedName>
    <definedName name="Attack4damage">Start!$BT$147</definedName>
    <definedName name="Attack4group">Start!$BT$144</definedName>
    <definedName name="Attack4name">Start!$BT$142</definedName>
    <definedName name="Attack4prof">Start!$BT$145</definedName>
    <definedName name="Attack4props">Start!$BT$151</definedName>
    <definedName name="Attack4range">Start!$BT$149</definedName>
    <definedName name="Attack4type">Start!$BT$148</definedName>
    <definedName name="Attack4weight">Start!$BT$150</definedName>
    <definedName name="Attack5bonus">Start!$CB$146</definedName>
    <definedName name="Attack5damage">Start!$CB$147</definedName>
    <definedName name="Attack5group">Start!$CB$144</definedName>
    <definedName name="Attack5name">Start!$CB$142</definedName>
    <definedName name="Attack5prof">Start!$CB$145</definedName>
    <definedName name="Attack5props">Start!$CB$151</definedName>
    <definedName name="Attack5range">Start!$CB$149</definedName>
    <definedName name="Attack5type">Start!$CB$148</definedName>
    <definedName name="Attack5weight">Start!$CB$150</definedName>
    <definedName name="Attack6bonus">Start!$CJ$146</definedName>
    <definedName name="Attack6damage">Start!$CJ$147</definedName>
    <definedName name="Attack6group">Start!$CJ$144</definedName>
    <definedName name="Attack6name">Start!$CJ$142</definedName>
    <definedName name="Attack6prof">Start!$CJ$145</definedName>
    <definedName name="Attack6props">Start!$CJ$151</definedName>
    <definedName name="Attack6range">Start!$CJ$149</definedName>
    <definedName name="Attack6type">Start!$CJ$148</definedName>
    <definedName name="Attack6weight">Start!$CJ$150</definedName>
    <definedName name="BarbarianBerserkerLevel">Tables!$DN$28</definedName>
    <definedName name="BarbarianLevel">Tables!$BL$11</definedName>
    <definedName name="BarbarianTotemSpiritList">Tables!$HC$3:$HC$6</definedName>
    <definedName name="BarbarianTotemWarriorLevel">Tables!$DN$29</definedName>
    <definedName name="BardLevel">Tables!$BL$12</definedName>
    <definedName name="BardLoreLevel">Tables!$DN$30</definedName>
    <definedName name="BardValorLevel">Tables!$DN$31</definedName>
    <definedName name="Campaign">Start!$K$17</definedName>
    <definedName name="CasterLevel">Spellcasting!$J$4</definedName>
    <definedName name="CHA">Start!$AR$10</definedName>
    <definedName name="CHAMod">'Character Sheet I'!$O$39</definedName>
    <definedName name="CHAModTemp">'Character Sheet I'!$AA$39</definedName>
    <definedName name="CharacterAge">Start!$K$44</definedName>
    <definedName name="CharacterBackground">Start!$K$25</definedName>
    <definedName name="CharacterBackgroundBond">Start!$C$38</definedName>
    <definedName name="CharacterBackgroundBondList">Tables!$AP$24:$AP$31</definedName>
    <definedName name="CharacterBackgroundFeature">Start!$K$26</definedName>
    <definedName name="CharacterBackgroundFlaw">Start!$C$41</definedName>
    <definedName name="CharacterBackgroundFlawList">Tables!$AP$33:$AP$40</definedName>
    <definedName name="CharacterBackgroundIdeal">Start!$C$35</definedName>
    <definedName name="CharacterBackgroundIdealList">Tables!$AP$15:$AP$22</definedName>
    <definedName name="CharacterBackgroundList">Tables!$AE$4:$AE$17</definedName>
    <definedName name="CharacterBackgroundPersonalityTrait1">Start!$C$30</definedName>
    <definedName name="CharacterBackgroundPersonalityTrait2">Start!$C$32</definedName>
    <definedName name="CharacterBackgroundPersonalityTraitList">Tables!$AP$4:$AP$13</definedName>
    <definedName name="CharacterBackgroundSpecialty">Start!$C$28</definedName>
    <definedName name="CharacterBackgroundSpecialtyList">Tables!$AP$43:$AP$64</definedName>
    <definedName name="CharacterEyes">Start!$K$50</definedName>
    <definedName name="CharacterHair">Start!$K$51</definedName>
    <definedName name="CharacterHeight">Start!$K$47</definedName>
    <definedName name="CharacterLevel">Start!$AC$17</definedName>
    <definedName name="CharacterName">Start!$K$19</definedName>
    <definedName name="CharacterSkin">Start!$K$49</definedName>
    <definedName name="CharacterWeight">Start!$K$48</definedName>
    <definedName name="Class">Start!$AC$46</definedName>
    <definedName name="Class1">Tables!$BN$3</definedName>
    <definedName name="Class2">Tables!$BN$4</definedName>
    <definedName name="Class3">Tables!$BN$5</definedName>
    <definedName name="ClassList">Tables!$BI$6:$BI$18</definedName>
    <definedName name="ClericKnowledgeLevel">Tables!$DN$7</definedName>
    <definedName name="ClericKnowledgeSkillList">Tables!$GP$3:$GP$7</definedName>
    <definedName name="ClericLevel">Tables!$BL$7</definedName>
    <definedName name="ClericLifeLevel">Tables!$DN$8</definedName>
    <definedName name="ClericLightLevel">Tables!$DN$9</definedName>
    <definedName name="ClericNatureLevel">Tables!$DN$10</definedName>
    <definedName name="ClericTempestLevel">Tables!$DN$11</definedName>
    <definedName name="ClericTrickeryLevel">Tables!$DN$12</definedName>
    <definedName name="ClericWarLevel">Tables!$DN$13</definedName>
    <definedName name="CON">Start!$AR$7</definedName>
    <definedName name="CONMod">'Character Sheet I'!$O$27</definedName>
    <definedName name="CONModTemp">'Character Sheet I'!$AA$27</definedName>
    <definedName name="Deity">Start!$K$55</definedName>
    <definedName name="DeityList">Tables!$IX$3:$IX$200</definedName>
    <definedName name="DEX">Start!$AR$6</definedName>
    <definedName name="DEXMod">'Character Sheet I'!$O$23</definedName>
    <definedName name="DEXModTemp">'Character Sheet I'!$AA$23</definedName>
    <definedName name="DruidLandLevel">Tables!$DN$32</definedName>
    <definedName name="DruidLandOrigin">Start!$AJ$52</definedName>
    <definedName name="DruidLandOriginList">Tables!$DK$2:$DK$10</definedName>
    <definedName name="DruidLevel">Tables!$BL$13</definedName>
    <definedName name="DruidMoonLevel">Tables!$DN$33</definedName>
    <definedName name="ExhaustionLevel">'Character Sheet IV'!$Z$54</definedName>
    <definedName name="ExhaustionList">Tables!$AN$2:$AN$8</definedName>
    <definedName name="Experience">Start!$AF$17</definedName>
    <definedName name="ExperienceNextLvl">Start!$AL$17</definedName>
    <definedName name="FamiliarList">Tables!$XN$4:$XN$24</definedName>
    <definedName name="FamiliarSizeList">Tables!$XL$9:$XL$14</definedName>
    <definedName name="FamiliarTypeList">Tables!$XL$2:$XL$7</definedName>
    <definedName name="Feat1">Start!$I$113</definedName>
    <definedName name="Feat2">Start!$I$114</definedName>
    <definedName name="Feat3">Start!$I$115</definedName>
    <definedName name="Feat4">Start!$I$116</definedName>
    <definedName name="Feat5">Start!$I$117</definedName>
    <definedName name="Feat6">Start!$I$118</definedName>
    <definedName name="Feat7">Start!$I$119</definedName>
    <definedName name="FeatList">Tables!$YG$13:$YG$70</definedName>
    <definedName name="FighterBattleMasterLevel">Tables!$DN$14</definedName>
    <definedName name="FighterBattleMasterManeuversList">Tables!$GB$2:$GB$18</definedName>
    <definedName name="FighterChampionLevel">Tables!$DN$15</definedName>
    <definedName name="FighterEldritchKnightLevel">Tables!$DN$16</definedName>
    <definedName name="FighterLevel">Tables!$BL$8</definedName>
    <definedName name="FightingStyle1">Start!$AJ$57</definedName>
    <definedName name="FightingStyle2">Start!$AJ$58</definedName>
    <definedName name="FightingStyle3">Start!$AJ$59</definedName>
    <definedName name="FightingStyle4">Start!$AJ$60</definedName>
    <definedName name="FightingStyleList">Tables!$FX$7:$FX$13</definedName>
    <definedName name="Gender">Start!$K$43</definedName>
    <definedName name="GenderList">Tables!$AB$3:$AB$6</definedName>
    <definedName name="HitPoints">Start!$AN$43</definedName>
    <definedName name="INT">Start!$AR$8</definedName>
    <definedName name="INTMod">'Character Sheet I'!$O$31</definedName>
    <definedName name="INTModTemp">'Character Sheet I'!$AA$31</definedName>
    <definedName name="LanguageList">Tables!$JG$2:$JG$70</definedName>
    <definedName name="MagicBonus">Tables!$QS$4:$QS$7</definedName>
    <definedName name="MonkElementalDisciplinesList">Tables!$GX$3:$GX$19</definedName>
    <definedName name="MonkFourElementsLevel">Tables!$DN$34</definedName>
    <definedName name="MonkLevel">Tables!$BL$14</definedName>
    <definedName name="MonkOpenHandLevel">Tables!$DN$35</definedName>
    <definedName name="MonkShadowLevel">Tables!$DN$36</definedName>
    <definedName name="PaladinDevotionLevel">Tables!$DN$37</definedName>
    <definedName name="PaladinLevel">Tables!$BL$15</definedName>
    <definedName name="PaladinTheAncientsLevel">Tables!$DN$38</definedName>
    <definedName name="PaladinVengeanceLevel">Tables!$DN$39</definedName>
    <definedName name="PlayerName">Start!$K$16</definedName>
    <definedName name="_xlnm.Print_Area" localSheetId="3">'Character Sheet I'!$A$1:$CV$160</definedName>
    <definedName name="_xlnm.Print_Area" localSheetId="4">'Character Sheet II'!$A$1:$CV$160</definedName>
    <definedName name="_xlnm.Print_Area" localSheetId="5">'Character Sheet III'!$A$1:$ES$205</definedName>
    <definedName name="_xlnm.Print_Area" localSheetId="6">'Character Sheet IV'!$A$1:$CV$158</definedName>
    <definedName name="_xlnm.Print_Area" localSheetId="1">Spellcasting!$B$2:$CQ$100</definedName>
    <definedName name="_xlnm.Print_Area" localSheetId="0">Start!$B$2:$CQ$173</definedName>
    <definedName name="ProfArmor">Tables!$KW$3</definedName>
    <definedName name="ProfBonus">Tables!$JL$1</definedName>
    <definedName name="ProficiencyList">Tables!$QS$11:$QS$12</definedName>
    <definedName name="ProfSaves">Tables!$BF$2</definedName>
    <definedName name="ProfTools">Tables!$KW$4</definedName>
    <definedName name="ProfWeapons">Tables!$KW$2</definedName>
    <definedName name="Race">Start!$K$20</definedName>
    <definedName name="RaceDraconicAncestry">Tables!$AC$2</definedName>
    <definedName name="RaceDraconicAncestryList">Tables!$U$15:$U$25</definedName>
    <definedName name="RaceList">Tables!$A$4:$A$14</definedName>
    <definedName name="RaceVision">Start!$K$24</definedName>
    <definedName name="RangerBeastMasterLevel">Tables!$DN$41</definedName>
    <definedName name="RangerFavoredEnemyHumanoidList">Tables!$HM$3:$HM$48</definedName>
    <definedName name="RangerFavoredEnemyList">Tables!$HK$3:$HK$62</definedName>
    <definedName name="RangerHunterDefensiveTacticsList">Tables!$HX$9:$HX$12</definedName>
    <definedName name="RangerHunterLevel">Tables!$DN$40</definedName>
    <definedName name="RangerHunterMultiattackList">Tables!$HX$15:$HX$17</definedName>
    <definedName name="RangerHunterPreyList">Tables!$HX$3:$HX$6</definedName>
    <definedName name="RangerHunterSuperiorDefenseList">Tables!$HX$20:$HX$23</definedName>
    <definedName name="RangerLevel">Tables!$BL$16</definedName>
    <definedName name="RangerNaturalExplorerList">Tables!$HT$3:$HT$12</definedName>
    <definedName name="Region">Start!$K$18</definedName>
    <definedName name="RogueArcaneTricksterLevel">Tables!$DN$17</definedName>
    <definedName name="RogueAssassinLevel">Tables!$DN$18</definedName>
    <definedName name="RogueExpertiseList">Tables!$FR$3:$FR$22</definedName>
    <definedName name="RogueLevel">Tables!$BL$9</definedName>
    <definedName name="RogueThiefLevel">Tables!$DN$19</definedName>
    <definedName name="SelectText">Tables!$A$4</definedName>
    <definedName name="ShieldAC">Start!$AG$144</definedName>
    <definedName name="ShieldDEXmod">Start!$AG$145</definedName>
    <definedName name="ShieldGroup">Start!$AG$142</definedName>
    <definedName name="ShieldlList">Tables!$TA$3:$TA$5</definedName>
    <definedName name="ShieldName">Start!$AG$140</definedName>
    <definedName name="ShieldProf">Start!$AG$143</definedName>
    <definedName name="ShieldProps">Start!$AG$149</definedName>
    <definedName name="ShieldStealth">Start!$AG$147</definedName>
    <definedName name="ShieldStrength">Start!$AG$146</definedName>
    <definedName name="ShieldWeight">Start!$AG$148</definedName>
    <definedName name="Size">Start!$K$22</definedName>
    <definedName name="SorcererDraconicBloodlineLevel">Tables!$DN$42</definedName>
    <definedName name="SorcererLevel">Tables!$BL$17</definedName>
    <definedName name="SorcererMetamagicList">Tables!$IB$3:$IB$11</definedName>
    <definedName name="SorcererWildMagicLevel">Tables!$DN$43</definedName>
    <definedName name="Speed">Start!$K$23</definedName>
    <definedName name="SpellcasterClass1">Spellcasting!$D$11</definedName>
    <definedName name="SpellcasterClass2">Spellcasting!$D$12</definedName>
    <definedName name="SpellcasterClass3">Spellcasting!$D$13</definedName>
    <definedName name="SpellListCantrips">Tables!$XB$2:$XB$51</definedName>
    <definedName name="SpellListCantripsHighElf">Tables!$XA$2:$XA$51</definedName>
    <definedName name="SpellListComplete">Tables!$TK$2:$TK$521</definedName>
    <definedName name="SpellListLevel1">Tables!$XC$2:$XC$51</definedName>
    <definedName name="SpellListLevel2">Tables!$XD$2:$XD$51</definedName>
    <definedName name="SpellListLevel3">Tables!$XE$2:$XE$51</definedName>
    <definedName name="SpellListLevel4">Tables!$XF$2:$XF$51</definedName>
    <definedName name="SpellListLevel5">Tables!$XG$2:$XG$51</definedName>
    <definedName name="SpellListLevel6">Tables!$XH$2:$XH$51</definedName>
    <definedName name="SpellListLevel7">Tables!$XI$2:$XI$51</definedName>
    <definedName name="SpellListLevel8">Tables!$XJ$2:$XJ$51</definedName>
    <definedName name="SpellListLevel9">Tables!$XK$2:$XK$51</definedName>
    <definedName name="STR">Start!$AR$5</definedName>
    <definedName name="STRMod">'Character Sheet I'!$O$19</definedName>
    <definedName name="STRModTemp">'Character Sheet I'!$AA$19</definedName>
    <definedName name="SubClass">Tables!$BT$2</definedName>
    <definedName name="SubClass1">Start!$AJ$49</definedName>
    <definedName name="SubClass1List">Tables!$FD$6:$FD$15</definedName>
    <definedName name="SubClass2">Start!$AJ$50</definedName>
    <definedName name="SubClass2List">Tables!$FH$6:$FH$15</definedName>
    <definedName name="SubClass3">Start!$AJ$51</definedName>
    <definedName name="SubClass3List">Tables!$FL$6:$FL$15</definedName>
    <definedName name="Subrace">Start!$K$21</definedName>
    <definedName name="SubraceList">Tables!$AA$4:$AA$13</definedName>
    <definedName name="ToolList">Tables!$KT$12:$KT$59</definedName>
    <definedName name="WarlockArchfeyLevel">Tables!$DN$44</definedName>
    <definedName name="WarlockFiendLevel">Tables!$DN$45</definedName>
    <definedName name="WarlockGreatOldOneLevel">Tables!$DN$46</definedName>
    <definedName name="WarlockInvocationsList">Tables!$IM$2:$IM$34</definedName>
    <definedName name="WarlockLevel">Tables!$BL$18</definedName>
    <definedName name="WarlockPactBoonList">Tables!$IS$2:$IS$5</definedName>
    <definedName name="WeaponList">Tables!$PZ$3:$PZ$70</definedName>
    <definedName name="WIS">Start!$AR$9</definedName>
    <definedName name="WISMod">'Character Sheet I'!$O$35</definedName>
    <definedName name="WISModTemp">'Character Sheet I'!$AA$35</definedName>
    <definedName name="WizardAbjurationLevel">Tables!$DN$20</definedName>
    <definedName name="WizardConjurationLevel">Tables!$DN$21</definedName>
    <definedName name="WizardDivinationLevel">Tables!$DN$22</definedName>
    <definedName name="WizardEnchantmentLevel">Tables!$DN$23</definedName>
    <definedName name="WizardEvocationLevel">Tables!$DN$24</definedName>
    <definedName name="WizardIllusionLevel">Tables!$DN$25</definedName>
    <definedName name="WizardLevel">Tables!$BL$10</definedName>
    <definedName name="WizardNecromancyLevel">Tables!$DN$26</definedName>
    <definedName name="WizardSignatureSpellList">Spellcasting!$BS$6:$BS$25</definedName>
    <definedName name="WizardSpellMastery1List">Spellcasting!$AQ$6:$AQ$25</definedName>
    <definedName name="WizardSpellMastery2List">Spellcasting!$BE$6:$BE$25</definedName>
    <definedName name="WizardTransmutationLevel">Tables!$DN$27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4" l="1"/>
  <c r="N8" i="4"/>
  <c r="O8" i="4"/>
  <c r="P8" i="4"/>
  <c r="Q8" i="4"/>
  <c r="L8" i="4"/>
  <c r="CY31" i="7" l="1"/>
  <c r="CY33" i="7"/>
  <c r="CY35" i="7" s="1"/>
  <c r="CY37" i="7" s="1"/>
  <c r="CY39" i="7" s="1"/>
  <c r="CY41" i="7" s="1"/>
  <c r="CY43" i="7" s="1"/>
  <c r="CY45" i="7" s="1"/>
  <c r="CY47" i="7" s="1"/>
  <c r="CY49" i="7" s="1"/>
  <c r="CY51" i="7" s="1"/>
  <c r="CY53" i="7" s="1"/>
  <c r="CY55" i="7" s="1"/>
  <c r="CY57" i="7" s="1"/>
  <c r="CY59" i="7" s="1"/>
  <c r="CY61" i="7" s="1"/>
  <c r="CY63" i="7" s="1"/>
  <c r="CY65" i="7" s="1"/>
  <c r="CY67" i="7" s="1"/>
  <c r="CY69" i="7" s="1"/>
  <c r="FB18" i="8"/>
  <c r="FB19" i="8" s="1"/>
  <c r="FB20" i="8" s="1"/>
  <c r="FC20" i="8" s="1"/>
  <c r="FD20" i="8" s="1"/>
  <c r="FE20" i="8" s="1"/>
  <c r="FC18" i="8"/>
  <c r="FC19" i="8"/>
  <c r="FD18" i="8"/>
  <c r="FD19" i="8"/>
  <c r="FE18" i="8"/>
  <c r="FE19" i="8"/>
  <c r="FF18" i="8"/>
  <c r="FF19" i="8" s="1"/>
  <c r="FG18" i="8"/>
  <c r="FG19" i="8" s="1"/>
  <c r="FH18" i="8"/>
  <c r="FH19" i="8" s="1"/>
  <c r="DN11" i="4"/>
  <c r="DN13" i="4"/>
  <c r="DN31" i="4"/>
  <c r="AC17" i="6"/>
  <c r="V62" i="8" s="1"/>
  <c r="BL8" i="4"/>
  <c r="BL11" i="4"/>
  <c r="CM11" i="4" s="1"/>
  <c r="BL15" i="4"/>
  <c r="ER38" i="4" s="1"/>
  <c r="BL14" i="4"/>
  <c r="DT35" i="4" s="1"/>
  <c r="BL9" i="4"/>
  <c r="FN22" i="4" s="1"/>
  <c r="FP22" i="4" s="1"/>
  <c r="FO22" i="4" s="1"/>
  <c r="FQ4" i="4"/>
  <c r="FQ5" i="4"/>
  <c r="FQ6" i="4"/>
  <c r="FQ7" i="4" s="1"/>
  <c r="FQ8" i="4" s="1"/>
  <c r="FQ9" i="4" s="1"/>
  <c r="FQ10" i="4" s="1"/>
  <c r="FQ11" i="4" s="1"/>
  <c r="FQ12" i="4" s="1"/>
  <c r="FQ13" i="4" s="1"/>
  <c r="FQ14" i="4" s="1"/>
  <c r="FQ15" i="4" s="1"/>
  <c r="FQ16" i="4" s="1"/>
  <c r="FQ17" i="4" s="1"/>
  <c r="FQ18" i="4" s="1"/>
  <c r="FQ19" i="4" s="1"/>
  <c r="FQ20" i="4" s="1"/>
  <c r="FN4" i="4"/>
  <c r="FP4" i="4" s="1"/>
  <c r="FO4" i="4" s="1"/>
  <c r="FN5" i="4"/>
  <c r="FP5" i="4" s="1"/>
  <c r="FO5" i="4" s="1"/>
  <c r="FN6" i="4"/>
  <c r="FP6" i="4" s="1"/>
  <c r="FP3" i="4"/>
  <c r="FN7" i="4"/>
  <c r="FP7" i="4" s="1"/>
  <c r="FO7" i="4" s="1"/>
  <c r="FN8" i="4"/>
  <c r="FP8" i="4"/>
  <c r="FO8" i="4" s="1"/>
  <c r="FN9" i="4"/>
  <c r="FP9" i="4" s="1"/>
  <c r="FN10" i="4"/>
  <c r="FP10" i="4" s="1"/>
  <c r="FN11" i="4"/>
  <c r="FP11" i="4" s="1"/>
  <c r="FO11" i="4" s="1"/>
  <c r="FN12" i="4"/>
  <c r="FP12" i="4" s="1"/>
  <c r="FN13" i="4"/>
  <c r="FP13" i="4" s="1"/>
  <c r="FO13" i="4" s="1"/>
  <c r="FN14" i="4"/>
  <c r="FP14" i="4" s="1"/>
  <c r="FO14" i="4" s="1"/>
  <c r="FN15" i="4"/>
  <c r="FP15" i="4" s="1"/>
  <c r="FN16" i="4"/>
  <c r="FP16" i="4" s="1"/>
  <c r="FO16" i="4" s="1"/>
  <c r="FN17" i="4"/>
  <c r="FP17" i="4" s="1"/>
  <c r="FO17" i="4" s="1"/>
  <c r="FN18" i="4"/>
  <c r="FP18" i="4" s="1"/>
  <c r="FN19" i="4"/>
  <c r="FP19" i="4" s="1"/>
  <c r="FO19" i="4" s="1"/>
  <c r="FN20" i="4"/>
  <c r="FP20" i="4" s="1"/>
  <c r="FO20" i="4" s="1"/>
  <c r="FN21" i="4"/>
  <c r="FP21" i="4" s="1"/>
  <c r="FO21" i="4" s="1"/>
  <c r="AZ5" i="6"/>
  <c r="H8" i="4" s="1"/>
  <c r="AZ4" i="6"/>
  <c r="WF206" i="4"/>
  <c r="WG206" i="4" s="1"/>
  <c r="WH206" i="4"/>
  <c r="WI206" i="4" s="1"/>
  <c r="WJ206" i="4"/>
  <c r="WK206" i="4" s="1"/>
  <c r="WL206" i="4"/>
  <c r="WM206" i="4" s="1"/>
  <c r="WN206" i="4"/>
  <c r="WO206" i="4" s="1"/>
  <c r="WP206" i="4"/>
  <c r="WQ206" i="4" s="1"/>
  <c r="WR206" i="4"/>
  <c r="WS206" i="4" s="1"/>
  <c r="WT206" i="4"/>
  <c r="WU206" i="4"/>
  <c r="WV206" i="4"/>
  <c r="WW206" i="4" s="1"/>
  <c r="WX206" i="4"/>
  <c r="WY206" i="4" s="1"/>
  <c r="WF259" i="4"/>
  <c r="WG259" i="4" s="1"/>
  <c r="WH259" i="4"/>
  <c r="WI259" i="4" s="1"/>
  <c r="WJ259" i="4"/>
  <c r="WK259" i="4" s="1"/>
  <c r="WL259" i="4"/>
  <c r="WM259" i="4" s="1"/>
  <c r="WN259" i="4"/>
  <c r="WO259" i="4" s="1"/>
  <c r="WP259" i="4"/>
  <c r="WQ259" i="4"/>
  <c r="WR259" i="4"/>
  <c r="WS259" i="4" s="1"/>
  <c r="WT259" i="4"/>
  <c r="WU259" i="4" s="1"/>
  <c r="WV259" i="4"/>
  <c r="WW259" i="4" s="1"/>
  <c r="WX259" i="4"/>
  <c r="WY259" i="4" s="1"/>
  <c r="WF338" i="4"/>
  <c r="WG338" i="4" s="1"/>
  <c r="WH338" i="4"/>
  <c r="WI338" i="4" s="1"/>
  <c r="WJ338" i="4"/>
  <c r="WK338" i="4" s="1"/>
  <c r="WL338" i="4"/>
  <c r="WM338" i="4" s="1"/>
  <c r="WN338" i="4"/>
  <c r="WO338" i="4" s="1"/>
  <c r="WP338" i="4"/>
  <c r="WQ338" i="4" s="1"/>
  <c r="WR338" i="4"/>
  <c r="WS338" i="4" s="1"/>
  <c r="WT338" i="4"/>
  <c r="WU338" i="4" s="1"/>
  <c r="WV338" i="4"/>
  <c r="WW338" i="4" s="1"/>
  <c r="WX338" i="4"/>
  <c r="WY338" i="4" s="1"/>
  <c r="WA1" i="4"/>
  <c r="WA205" i="4" s="1"/>
  <c r="LF1" i="4"/>
  <c r="LF77" i="4" s="1"/>
  <c r="LM1" i="4"/>
  <c r="O14" i="4"/>
  <c r="Y6" i="9"/>
  <c r="O6" i="4"/>
  <c r="Y15" i="4"/>
  <c r="X15" i="4"/>
  <c r="N14" i="4"/>
  <c r="M14" i="4"/>
  <c r="L14" i="4"/>
  <c r="QT3" i="4"/>
  <c r="QT4" i="4"/>
  <c r="QT5" i="4"/>
  <c r="QT6" i="4" s="1"/>
  <c r="QT7" i="4" s="1"/>
  <c r="QT8" i="4"/>
  <c r="QT9" i="4" s="1"/>
  <c r="QT10" i="4" s="1"/>
  <c r="QT11" i="4" s="1"/>
  <c r="QT12" i="4" s="1"/>
  <c r="QT13" i="4" s="1"/>
  <c r="QT14" i="4" s="1"/>
  <c r="QT15" i="4" s="1"/>
  <c r="QT16" i="4"/>
  <c r="TK2" i="4"/>
  <c r="SR3" i="4"/>
  <c r="SS3" i="4"/>
  <c r="SU3" i="4"/>
  <c r="SV3" i="4"/>
  <c r="SX3" i="4"/>
  <c r="SY3" i="4"/>
  <c r="SZ3" i="4"/>
  <c r="TA3" i="4"/>
  <c r="TB3" i="4"/>
  <c r="TD3" i="4"/>
  <c r="TE3" i="4"/>
  <c r="TH3" i="4"/>
  <c r="ST4" i="4"/>
  <c r="TI4" i="4"/>
  <c r="TJ4" i="4"/>
  <c r="TJ5" i="4" s="1"/>
  <c r="GH12" i="4"/>
  <c r="GB2" i="4"/>
  <c r="GI6" i="4" s="1"/>
  <c r="GC2" i="4"/>
  <c r="GH13" i="4"/>
  <c r="BE4" i="4"/>
  <c r="BE5" i="4"/>
  <c r="BE6" i="4"/>
  <c r="BE7" i="4"/>
  <c r="BE8" i="4"/>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3" i="4"/>
  <c r="EC16" i="4"/>
  <c r="EC15" i="4"/>
  <c r="EC14" i="4"/>
  <c r="DU16" i="4"/>
  <c r="DU15" i="4"/>
  <c r="DU14" i="4"/>
  <c r="EH39" i="4"/>
  <c r="EH38" i="4"/>
  <c r="EH37" i="4"/>
  <c r="EC39" i="4"/>
  <c r="EC38" i="4"/>
  <c r="EC37" i="4"/>
  <c r="DU39" i="4"/>
  <c r="DU37" i="4"/>
  <c r="DU38" i="4"/>
  <c r="DQ37" i="4"/>
  <c r="DQ38" i="4"/>
  <c r="DQ39" i="4"/>
  <c r="DQ36" i="4"/>
  <c r="DQ35" i="4"/>
  <c r="EE36" i="4"/>
  <c r="DY36" i="4"/>
  <c r="DY35" i="4"/>
  <c r="DT36" i="4"/>
  <c r="DT34" i="4"/>
  <c r="DY34" i="4"/>
  <c r="EE34" i="4"/>
  <c r="HA3" i="4"/>
  <c r="HB3" i="4"/>
  <c r="GR3" i="4"/>
  <c r="GQ3" i="4"/>
  <c r="HA5" i="4"/>
  <c r="HB5" i="4"/>
  <c r="HA6" i="4"/>
  <c r="HA7" i="4"/>
  <c r="HB7" i="4" s="1"/>
  <c r="HA4" i="4"/>
  <c r="HB4" i="4" s="1"/>
  <c r="GK11" i="4"/>
  <c r="GK10" i="4"/>
  <c r="GK9" i="4"/>
  <c r="GK8" i="4"/>
  <c r="GK3" i="4"/>
  <c r="GK2" i="4"/>
  <c r="HB6" i="4"/>
  <c r="GH4" i="4"/>
  <c r="GI4" i="4" s="1"/>
  <c r="GH5" i="4"/>
  <c r="GI5" i="4" s="1"/>
  <c r="GH6" i="4"/>
  <c r="GH7" i="4"/>
  <c r="GH8" i="4"/>
  <c r="GH9" i="4"/>
  <c r="GH10" i="4"/>
  <c r="GH11" i="4"/>
  <c r="GH3" i="4"/>
  <c r="GI3" i="4" s="1"/>
  <c r="DX16" i="4"/>
  <c r="DQ15" i="4"/>
  <c r="EF16" i="4"/>
  <c r="EF15" i="4"/>
  <c r="EF14" i="4"/>
  <c r="DX14" i="4"/>
  <c r="BD31" i="6"/>
  <c r="BD30" i="6"/>
  <c r="BD29" i="6"/>
  <c r="BD28" i="6"/>
  <c r="BD27" i="6"/>
  <c r="BD26" i="6"/>
  <c r="BD25" i="6"/>
  <c r="BD24" i="6"/>
  <c r="BD23" i="6"/>
  <c r="BD16" i="6"/>
  <c r="XL9" i="4"/>
  <c r="YC27" i="4"/>
  <c r="YB27" i="4"/>
  <c r="YA27" i="4"/>
  <c r="XZ27" i="4"/>
  <c r="XY27" i="4"/>
  <c r="XX27" i="4"/>
  <c r="XW27" i="4"/>
  <c r="XV27" i="4"/>
  <c r="XU27" i="4"/>
  <c r="XT27" i="4"/>
  <c r="XS27" i="4"/>
  <c r="XR27" i="4"/>
  <c r="XQ27" i="4"/>
  <c r="XO27" i="4"/>
  <c r="XP27" i="4"/>
  <c r="XN27" i="4"/>
  <c r="YC49" i="4"/>
  <c r="YB49" i="4"/>
  <c r="YA49" i="4"/>
  <c r="XZ49" i="4"/>
  <c r="XY49" i="4"/>
  <c r="XX49" i="4"/>
  <c r="XW49" i="4"/>
  <c r="XV49" i="4"/>
  <c r="XU49" i="4"/>
  <c r="XT49" i="4"/>
  <c r="XS49" i="4"/>
  <c r="XR49" i="4"/>
  <c r="XQ49" i="4"/>
  <c r="XP49" i="4"/>
  <c r="XO49" i="4"/>
  <c r="XN49" i="4"/>
  <c r="XM28" i="4"/>
  <c r="XM30" i="4" s="1"/>
  <c r="XM5" i="4"/>
  <c r="XM6" i="4" s="1"/>
  <c r="XP6" i="4" s="1"/>
  <c r="XL34" i="4"/>
  <c r="XM34" i="4" s="1"/>
  <c r="XL47" i="4"/>
  <c r="XM47" i="4" s="1"/>
  <c r="XL40" i="4"/>
  <c r="XM40" i="4" s="1"/>
  <c r="XL39" i="4"/>
  <c r="XM39" i="4" s="1"/>
  <c r="XO3" i="4"/>
  <c r="XP3" i="4" s="1"/>
  <c r="XO5" i="4"/>
  <c r="XO2" i="4"/>
  <c r="F26" i="9"/>
  <c r="XM29" i="4"/>
  <c r="XO6" i="4"/>
  <c r="IQ5" i="4"/>
  <c r="IQ4" i="4"/>
  <c r="IJ32" i="4"/>
  <c r="IH32" i="4" s="1"/>
  <c r="IJ14" i="4"/>
  <c r="IH14" i="4" s="1"/>
  <c r="IJ9" i="4"/>
  <c r="IH9" i="4" s="1"/>
  <c r="IJ3" i="4"/>
  <c r="IH3" i="4" s="1"/>
  <c r="IJ29" i="4"/>
  <c r="IJ26" i="4"/>
  <c r="IJ23" i="4"/>
  <c r="IJ19" i="4"/>
  <c r="IJ17" i="4"/>
  <c r="IJ16" i="4"/>
  <c r="IJ15" i="4"/>
  <c r="IJ13" i="4"/>
  <c r="IJ11" i="4"/>
  <c r="IJ7" i="4"/>
  <c r="IJ6" i="4"/>
  <c r="IJ4" i="4"/>
  <c r="IT2" i="4"/>
  <c r="IQ11" i="4"/>
  <c r="IR11" i="4" s="1"/>
  <c r="IQ10" i="4"/>
  <c r="IR10" i="4" s="1"/>
  <c r="IQ9" i="4"/>
  <c r="IR9" i="4" s="1"/>
  <c r="IQ8" i="4"/>
  <c r="IR8" i="4" s="1"/>
  <c r="IQ7" i="4"/>
  <c r="IR7" i="4" s="1"/>
  <c r="IQ6" i="4"/>
  <c r="IR5" i="4"/>
  <c r="IS2" i="4"/>
  <c r="CO18" i="4" s="1"/>
  <c r="IM2" i="4"/>
  <c r="IL4" i="4"/>
  <c r="IL5" i="4" s="1"/>
  <c r="IL6" i="4" s="1"/>
  <c r="IL7" i="4" s="1"/>
  <c r="IL8" i="4" s="1"/>
  <c r="IL9" i="4" s="1"/>
  <c r="IL10" i="4"/>
  <c r="IL11" i="4" s="1"/>
  <c r="IL12" i="4" s="1"/>
  <c r="IL13" i="4" s="1"/>
  <c r="IL14" i="4" s="1"/>
  <c r="IL15" i="4" s="1"/>
  <c r="IL16" i="4" s="1"/>
  <c r="IL17" i="4" s="1"/>
  <c r="IL18" i="4" s="1"/>
  <c r="IL19" i="4" s="1"/>
  <c r="IL20" i="4"/>
  <c r="IL21" i="4" s="1"/>
  <c r="IL22" i="4" s="1"/>
  <c r="IL23" i="4" s="1"/>
  <c r="IL24" i="4" s="1"/>
  <c r="IL25" i="4" s="1"/>
  <c r="IL26" i="4" s="1"/>
  <c r="IL27" i="4"/>
  <c r="IL28" i="4" s="1"/>
  <c r="IL29" i="4" s="1"/>
  <c r="IL30" i="4" s="1"/>
  <c r="IL31" i="4" s="1"/>
  <c r="IL32" i="4" s="1"/>
  <c r="IL33" i="4" s="1"/>
  <c r="IL34" i="4" s="1"/>
  <c r="IH35" i="4"/>
  <c r="IH36" i="4"/>
  <c r="IH37" i="4"/>
  <c r="IH38" i="4"/>
  <c r="IH39" i="4"/>
  <c r="IH40" i="4"/>
  <c r="IH41" i="4"/>
  <c r="IH42" i="4"/>
  <c r="IH43" i="4"/>
  <c r="IH44" i="4"/>
  <c r="IH45" i="4"/>
  <c r="IH46" i="4"/>
  <c r="IH47" i="4"/>
  <c r="IH48" i="4"/>
  <c r="IH49" i="4"/>
  <c r="IH50" i="4"/>
  <c r="IH51" i="4"/>
  <c r="IH52" i="4"/>
  <c r="IH53" i="4"/>
  <c r="IH54" i="4"/>
  <c r="IH55" i="4"/>
  <c r="IH56" i="4"/>
  <c r="IH57" i="4"/>
  <c r="IH58" i="4"/>
  <c r="IH59" i="4"/>
  <c r="IH60" i="4"/>
  <c r="IH61" i="4"/>
  <c r="KF1" i="4"/>
  <c r="KG1" i="4"/>
  <c r="KH1" i="4"/>
  <c r="KI1" i="4" s="1"/>
  <c r="KJ1" i="4" s="1"/>
  <c r="BM2" i="4"/>
  <c r="BN14" i="4"/>
  <c r="BN11" i="4"/>
  <c r="DC18" i="4"/>
  <c r="DA18" i="4"/>
  <c r="CY18" i="4"/>
  <c r="ER44" i="4"/>
  <c r="ER45" i="4"/>
  <c r="ER46" i="4"/>
  <c r="EP44" i="4"/>
  <c r="EP45" i="4"/>
  <c r="EP46" i="4"/>
  <c r="EN43" i="4"/>
  <c r="EN44" i="4"/>
  <c r="EN45" i="4"/>
  <c r="EN46" i="4"/>
  <c r="EL43" i="4"/>
  <c r="EL44" i="4"/>
  <c r="EL45" i="4"/>
  <c r="EL46" i="4"/>
  <c r="EJ44" i="4"/>
  <c r="EJ45" i="4"/>
  <c r="EJ46" i="4"/>
  <c r="DP46" i="4"/>
  <c r="DP45" i="4"/>
  <c r="ZR12" i="4"/>
  <c r="ZR11" i="4"/>
  <c r="ZO3" i="4"/>
  <c r="ZN3" i="4"/>
  <c r="ZM3" i="4"/>
  <c r="ZL3" i="4"/>
  <c r="VO1" i="4"/>
  <c r="EH46" i="4"/>
  <c r="EG46" i="4"/>
  <c r="EF46" i="4"/>
  <c r="EE46" i="4"/>
  <c r="ED46" i="4"/>
  <c r="EC46" i="4"/>
  <c r="EA46" i="4"/>
  <c r="DZ46" i="4"/>
  <c r="DY46" i="4"/>
  <c r="DW46" i="4"/>
  <c r="DV46" i="4"/>
  <c r="DU46" i="4"/>
  <c r="DS46" i="4"/>
  <c r="DR46" i="4"/>
  <c r="DQ46" i="4"/>
  <c r="S6" i="4"/>
  <c r="DD18" i="4"/>
  <c r="DF18" i="4"/>
  <c r="DN46" i="4"/>
  <c r="BJ58" i="9"/>
  <c r="AX71" i="9"/>
  <c r="BC70" i="9"/>
  <c r="BB68" i="9"/>
  <c r="BA66" i="9"/>
  <c r="BC64" i="9"/>
  <c r="BA60" i="9"/>
  <c r="O58" i="9"/>
  <c r="C71" i="9"/>
  <c r="H70" i="9"/>
  <c r="G68" i="9"/>
  <c r="F66" i="9"/>
  <c r="H64" i="9"/>
  <c r="F60" i="9"/>
  <c r="W15" i="4"/>
  <c r="V15" i="4"/>
  <c r="U15" i="4"/>
  <c r="AO53" i="6" s="1"/>
  <c r="ID11" i="4"/>
  <c r="ID10" i="4"/>
  <c r="ID9" i="4"/>
  <c r="ID8" i="4"/>
  <c r="IF5" i="4"/>
  <c r="IG5" i="4" s="1"/>
  <c r="IF6" i="4"/>
  <c r="IG6" i="4"/>
  <c r="IF7" i="4"/>
  <c r="IG7" i="4" s="1"/>
  <c r="IF4" i="4"/>
  <c r="IG4" i="4" s="1"/>
  <c r="IB3" i="4"/>
  <c r="EY46" i="4"/>
  <c r="EX46" i="4"/>
  <c r="EW46" i="4"/>
  <c r="EV46" i="4"/>
  <c r="EU46" i="4"/>
  <c r="ET46" i="4"/>
  <c r="EY45" i="4"/>
  <c r="EX45" i="4"/>
  <c r="EW45" i="4"/>
  <c r="EV45" i="4"/>
  <c r="EU45" i="4"/>
  <c r="ET45" i="4"/>
  <c r="EY44" i="4"/>
  <c r="EX44" i="4"/>
  <c r="EW44" i="4"/>
  <c r="EV44" i="4"/>
  <c r="EU44" i="4"/>
  <c r="ET44" i="4"/>
  <c r="EY43" i="4"/>
  <c r="EX43" i="4"/>
  <c r="EW43" i="4"/>
  <c r="EV43" i="4"/>
  <c r="EU43" i="4"/>
  <c r="ET43" i="4"/>
  <c r="ER43" i="4"/>
  <c r="EP43" i="4"/>
  <c r="EJ43" i="4"/>
  <c r="EI43" i="4"/>
  <c r="EY42" i="4"/>
  <c r="EX42" i="4"/>
  <c r="EW42" i="4"/>
  <c r="EV42" i="4"/>
  <c r="EU42" i="4"/>
  <c r="ET42" i="4"/>
  <c r="ER42" i="4"/>
  <c r="EP42" i="4"/>
  <c r="EN42" i="4"/>
  <c r="EL42" i="4"/>
  <c r="EJ42" i="4"/>
  <c r="EI42" i="4"/>
  <c r="EY41" i="4"/>
  <c r="EX41" i="4"/>
  <c r="EW41" i="4"/>
  <c r="EV41" i="4"/>
  <c r="EU41" i="4"/>
  <c r="ET41" i="4"/>
  <c r="ER41" i="4"/>
  <c r="EP41" i="4"/>
  <c r="EN41" i="4"/>
  <c r="EL41" i="4"/>
  <c r="EJ41" i="4"/>
  <c r="EI41" i="4"/>
  <c r="EH45" i="4"/>
  <c r="EG45" i="4"/>
  <c r="EF45" i="4"/>
  <c r="EE45" i="4"/>
  <c r="ED45" i="4"/>
  <c r="EC45" i="4"/>
  <c r="EA45" i="4"/>
  <c r="DZ45" i="4"/>
  <c r="DY45" i="4"/>
  <c r="DW45" i="4"/>
  <c r="DV45" i="4"/>
  <c r="DU45" i="4"/>
  <c r="DS45" i="4"/>
  <c r="DR45" i="4"/>
  <c r="DQ45" i="4"/>
  <c r="EH44" i="4"/>
  <c r="EG44" i="4"/>
  <c r="EF44" i="4"/>
  <c r="EE44" i="4"/>
  <c r="ED44" i="4"/>
  <c r="EC44" i="4"/>
  <c r="EA44" i="4"/>
  <c r="DZ44" i="4"/>
  <c r="DY44" i="4"/>
  <c r="DW44" i="4"/>
  <c r="DV44" i="4"/>
  <c r="DU44" i="4"/>
  <c r="DS44" i="4"/>
  <c r="DR44" i="4"/>
  <c r="DQ44" i="4"/>
  <c r="DP44" i="4"/>
  <c r="EH43" i="4"/>
  <c r="EG43" i="4"/>
  <c r="EE43" i="4"/>
  <c r="ED43" i="4"/>
  <c r="EC43" i="4"/>
  <c r="EA43" i="4"/>
  <c r="DZ43" i="4"/>
  <c r="DY43" i="4"/>
  <c r="DX43" i="4"/>
  <c r="DW43" i="4"/>
  <c r="DV43" i="4"/>
  <c r="DU43" i="4"/>
  <c r="DS43" i="4"/>
  <c r="DR43" i="4"/>
  <c r="DQ43" i="4"/>
  <c r="DP43" i="4"/>
  <c r="EH42" i="4"/>
  <c r="EG42" i="4"/>
  <c r="EE42" i="4"/>
  <c r="ED42" i="4"/>
  <c r="EC42" i="4"/>
  <c r="EA42" i="4"/>
  <c r="DZ42" i="4"/>
  <c r="DY42" i="4"/>
  <c r="DX42" i="4"/>
  <c r="DW42" i="4"/>
  <c r="DV42" i="4"/>
  <c r="DU42" i="4"/>
  <c r="DS42" i="4"/>
  <c r="DR42" i="4"/>
  <c r="DQ42" i="4"/>
  <c r="DP42" i="4"/>
  <c r="DE18" i="4"/>
  <c r="DB18" i="4"/>
  <c r="CX18" i="4"/>
  <c r="CU18" i="4"/>
  <c r="CT18" i="4"/>
  <c r="CS18" i="4"/>
  <c r="CQ18" i="4"/>
  <c r="KM1" i="4"/>
  <c r="KN1" i="4" s="1"/>
  <c r="KO1" i="4" s="1"/>
  <c r="KP1" i="4" s="1"/>
  <c r="KQ1" i="4" s="1"/>
  <c r="KR1" i="4"/>
  <c r="DF17" i="4"/>
  <c r="CV17" i="4"/>
  <c r="CQ17" i="4"/>
  <c r="CS17" i="4"/>
  <c r="CT17" i="4"/>
  <c r="CU17" i="4"/>
  <c r="CW17" i="4"/>
  <c r="CX17" i="4"/>
  <c r="CY17" i="4"/>
  <c r="DA17" i="4"/>
  <c r="DB17" i="4"/>
  <c r="DC17" i="4"/>
  <c r="DE17" i="4"/>
  <c r="ZU9" i="4"/>
  <c r="ZU8" i="4"/>
  <c r="ZU7" i="4"/>
  <c r="ZU6" i="4"/>
  <c r="ZU5" i="4"/>
  <c r="ZU4" i="4"/>
  <c r="ZW3" i="4"/>
  <c r="ZX3" i="4" s="1"/>
  <c r="ZY3" i="4" s="1"/>
  <c r="ZZ3" i="4" s="1"/>
  <c r="AAA3" i="4"/>
  <c r="AAB3" i="4" s="1"/>
  <c r="AAC3" i="4"/>
  <c r="AAD3" i="4" s="1"/>
  <c r="AAE3" i="4" s="1"/>
  <c r="AAF3" i="4" s="1"/>
  <c r="AAG3" i="4" s="1"/>
  <c r="AAH3" i="4" s="1"/>
  <c r="AAI3" i="4" s="1"/>
  <c r="AAJ3" i="4" s="1"/>
  <c r="AAK3" i="4" s="1"/>
  <c r="AAL3" i="4" s="1"/>
  <c r="AAM3" i="4" s="1"/>
  <c r="AAN3" i="4" s="1"/>
  <c r="AAO3" i="4" s="1"/>
  <c r="ZU3" i="4"/>
  <c r="YM55" i="4"/>
  <c r="YM54" i="4"/>
  <c r="YM52" i="4"/>
  <c r="YM51" i="4"/>
  <c r="YM50" i="4"/>
  <c r="YM49" i="4"/>
  <c r="YM48" i="4"/>
  <c r="YM47" i="4"/>
  <c r="YM46" i="4"/>
  <c r="YM45" i="4"/>
  <c r="YM43" i="4"/>
  <c r="YM41" i="4"/>
  <c r="YM39" i="4"/>
  <c r="YM38" i="4"/>
  <c r="YM37" i="4"/>
  <c r="YM36" i="4"/>
  <c r="YM35" i="4"/>
  <c r="YM34" i="4"/>
  <c r="YM30" i="4"/>
  <c r="YM27" i="4"/>
  <c r="YM26" i="4"/>
  <c r="YM25" i="4"/>
  <c r="YM24" i="4"/>
  <c r="YM22" i="4"/>
  <c r="YM21" i="4"/>
  <c r="YM20" i="4"/>
  <c r="YM19" i="4"/>
  <c r="YM18" i="4"/>
  <c r="YM15" i="4"/>
  <c r="YK3" i="4"/>
  <c r="YH3" i="4"/>
  <c r="YN3" i="4" s="1"/>
  <c r="YG13" i="4"/>
  <c r="YG2" i="4"/>
  <c r="YH2" i="4"/>
  <c r="YI2" i="4" s="1"/>
  <c r="YJ2" i="4" s="1"/>
  <c r="YK2" i="4" s="1"/>
  <c r="YL2" i="4" s="1"/>
  <c r="YM2" i="4" s="1"/>
  <c r="YN2" i="4" s="1"/>
  <c r="YO2" i="4" s="1"/>
  <c r="YP2" i="4" s="1"/>
  <c r="YQ2" i="4" s="1"/>
  <c r="YH4" i="4"/>
  <c r="YH5" i="4"/>
  <c r="YH6" i="4"/>
  <c r="YH7" i="4"/>
  <c r="YH8" i="4"/>
  <c r="YJ8" i="4" s="1"/>
  <c r="YH9" i="4"/>
  <c r="YH10" i="4"/>
  <c r="YJ10" i="4"/>
  <c r="YE2" i="4"/>
  <c r="YP13" i="4"/>
  <c r="ZC3" i="4"/>
  <c r="ZB3" i="4"/>
  <c r="ZA3" i="4" s="1"/>
  <c r="YZ3" i="4"/>
  <c r="ZG3" i="4"/>
  <c r="ZF3" i="4"/>
  <c r="ZE3" i="4"/>
  <c r="ZD3" i="4"/>
  <c r="ZK3" i="4"/>
  <c r="ZJ3" i="4"/>
  <c r="ZI3" i="4"/>
  <c r="ZH3" i="4"/>
  <c r="ZP3" i="4"/>
  <c r="ZP5" i="4"/>
  <c r="ZP6" i="4"/>
  <c r="ZP7" i="4" s="1"/>
  <c r="ZP8" i="4" s="1"/>
  <c r="ZP9" i="4" s="1"/>
  <c r="ZP10" i="4" s="1"/>
  <c r="ZP11" i="4" s="1"/>
  <c r="ZP12" i="4" s="1"/>
  <c r="ZP13" i="4" s="1"/>
  <c r="ZP14" i="4" s="1"/>
  <c r="ZP15" i="4" s="1"/>
  <c r="ZP16" i="4" s="1"/>
  <c r="ZP17" i="4" s="1"/>
  <c r="ZP18" i="4" s="1"/>
  <c r="ZP19" i="4" s="1"/>
  <c r="ZP20" i="4" s="1"/>
  <c r="ZP21" i="4" s="1"/>
  <c r="ZP22" i="4" s="1"/>
  <c r="ZP23" i="4" s="1"/>
  <c r="ZO1" i="4"/>
  <c r="ZN1" i="4" s="1"/>
  <c r="ZM1" i="4" s="1"/>
  <c r="YZ5" i="4"/>
  <c r="YZ6" i="4" s="1"/>
  <c r="YZ7" i="4" s="1"/>
  <c r="YZ8" i="4" s="1"/>
  <c r="YZ9" i="4" s="1"/>
  <c r="YZ10" i="4" s="1"/>
  <c r="YZ11" i="4" s="1"/>
  <c r="YZ12" i="4" s="1"/>
  <c r="YZ13" i="4" s="1"/>
  <c r="YZ14" i="4" s="1"/>
  <c r="YZ15" i="4" s="1"/>
  <c r="YZ16" i="4" s="1"/>
  <c r="YZ17" i="4" s="1"/>
  <c r="YZ18" i="4" s="1"/>
  <c r="YZ19" i="4" s="1"/>
  <c r="YZ20" i="4" s="1"/>
  <c r="YZ21" i="4" s="1"/>
  <c r="YZ22" i="4" s="1"/>
  <c r="YZ23" i="4" s="1"/>
  <c r="ZC5" i="4"/>
  <c r="ZC6" i="4"/>
  <c r="ZC7" i="4"/>
  <c r="ZC8" i="4"/>
  <c r="ZC9" i="4"/>
  <c r="ZC10" i="4"/>
  <c r="ZC11" i="4"/>
  <c r="ZC12" i="4"/>
  <c r="ZC13" i="4"/>
  <c r="ZC14" i="4"/>
  <c r="ZC15" i="4"/>
  <c r="ZC16" i="4"/>
  <c r="ZC17" i="4"/>
  <c r="ZC18" i="4"/>
  <c r="ZC19" i="4"/>
  <c r="ZC20" i="4"/>
  <c r="ZC21" i="4"/>
  <c r="ZC22" i="4"/>
  <c r="ZC23" i="4"/>
  <c r="ZC4" i="4"/>
  <c r="ZF4" i="4" s="1"/>
  <c r="YK50" i="4"/>
  <c r="YL50" i="4"/>
  <c r="YK51" i="4"/>
  <c r="YL51" i="4"/>
  <c r="YK52" i="4"/>
  <c r="YL52" i="4"/>
  <c r="YK53" i="4"/>
  <c r="YK54" i="4"/>
  <c r="YL56" i="4"/>
  <c r="YL55" i="4"/>
  <c r="YL54" i="4"/>
  <c r="YL53" i="4"/>
  <c r="YL49" i="4"/>
  <c r="YL48" i="4"/>
  <c r="YL47" i="4"/>
  <c r="YL46" i="4"/>
  <c r="YL45" i="4"/>
  <c r="YL44" i="4"/>
  <c r="YL43" i="4"/>
  <c r="YL42" i="4"/>
  <c r="YL41" i="4"/>
  <c r="YL40" i="4"/>
  <c r="YL39" i="4"/>
  <c r="YL38" i="4"/>
  <c r="YL37" i="4"/>
  <c r="YL36" i="4"/>
  <c r="YL35" i="4"/>
  <c r="YL34" i="4"/>
  <c r="YL32" i="4"/>
  <c r="YL31" i="4"/>
  <c r="YL30" i="4"/>
  <c r="YL29" i="4"/>
  <c r="YL28" i="4"/>
  <c r="YL27" i="4"/>
  <c r="YL26" i="4"/>
  <c r="YL25" i="4"/>
  <c r="YL24" i="4"/>
  <c r="YL23" i="4"/>
  <c r="YL22" i="4"/>
  <c r="YL21" i="4"/>
  <c r="YL20" i="4"/>
  <c r="YL19" i="4"/>
  <c r="YL18" i="4"/>
  <c r="YL17" i="4"/>
  <c r="YL16" i="4"/>
  <c r="YL15" i="4"/>
  <c r="YL14" i="4"/>
  <c r="YR13" i="4"/>
  <c r="YQ13" i="4"/>
  <c r="YO13" i="4"/>
  <c r="YL13" i="4"/>
  <c r="ZL1" i="4"/>
  <c r="ZK1" i="4" s="1"/>
  <c r="ZJ1" i="4"/>
  <c r="ZI1" i="4" s="1"/>
  <c r="ZH1" i="4" s="1"/>
  <c r="ZG1" i="4" s="1"/>
  <c r="ZF1" i="4" s="1"/>
  <c r="ZE1" i="4" s="1"/>
  <c r="ZD1" i="4" s="1"/>
  <c r="YN55" i="4"/>
  <c r="YN54" i="4"/>
  <c r="YN52" i="4"/>
  <c r="YN51" i="4"/>
  <c r="YN50" i="4"/>
  <c r="YN49" i="4"/>
  <c r="YN48" i="4"/>
  <c r="YN47" i="4"/>
  <c r="YN46" i="4"/>
  <c r="YN45" i="4"/>
  <c r="YN43" i="4"/>
  <c r="YN41" i="4"/>
  <c r="YN39" i="4"/>
  <c r="YN38" i="4"/>
  <c r="YN37" i="4"/>
  <c r="YN36" i="4"/>
  <c r="YN35" i="4"/>
  <c r="YN34" i="4"/>
  <c r="YN30" i="4"/>
  <c r="YN27" i="4"/>
  <c r="YN26" i="4"/>
  <c r="YN25" i="4"/>
  <c r="YN24" i="4"/>
  <c r="YN22" i="4"/>
  <c r="YN21" i="4"/>
  <c r="YN20" i="4"/>
  <c r="YN19" i="4"/>
  <c r="YN18" i="4"/>
  <c r="YN15" i="4"/>
  <c r="YN13" i="4"/>
  <c r="XP4" i="4"/>
  <c r="TR4" i="4"/>
  <c r="TR5" i="4"/>
  <c r="TR6" i="4"/>
  <c r="TR7" i="4"/>
  <c r="TR8" i="4"/>
  <c r="TR9" i="4"/>
  <c r="TR10" i="4"/>
  <c r="TR11" i="4"/>
  <c r="TR12" i="4"/>
  <c r="TR13" i="4"/>
  <c r="TR14" i="4"/>
  <c r="TR15" i="4"/>
  <c r="TR16" i="4"/>
  <c r="TR17" i="4"/>
  <c r="TR18" i="4"/>
  <c r="TR19" i="4"/>
  <c r="TR20" i="4"/>
  <c r="TR21" i="4"/>
  <c r="TR22" i="4"/>
  <c r="TR23" i="4"/>
  <c r="TR24" i="4"/>
  <c r="TR25" i="4"/>
  <c r="TR26" i="4"/>
  <c r="TR27" i="4"/>
  <c r="TR28" i="4"/>
  <c r="TR29" i="4"/>
  <c r="TR30" i="4"/>
  <c r="TR31" i="4"/>
  <c r="TR32" i="4"/>
  <c r="TR33" i="4"/>
  <c r="TR34" i="4"/>
  <c r="TR35" i="4"/>
  <c r="TR36" i="4"/>
  <c r="TR37" i="4"/>
  <c r="TR38" i="4"/>
  <c r="TR39" i="4"/>
  <c r="TR40" i="4"/>
  <c r="TR41" i="4"/>
  <c r="TR42" i="4"/>
  <c r="TR43" i="4"/>
  <c r="TR44" i="4"/>
  <c r="TR45" i="4"/>
  <c r="TR46" i="4"/>
  <c r="TR47" i="4"/>
  <c r="TR48" i="4"/>
  <c r="TR49" i="4"/>
  <c r="TR50" i="4"/>
  <c r="TR51" i="4"/>
  <c r="TR52" i="4"/>
  <c r="TR53" i="4"/>
  <c r="TR54" i="4"/>
  <c r="TR55" i="4"/>
  <c r="TR56" i="4"/>
  <c r="TR57" i="4"/>
  <c r="TR58" i="4"/>
  <c r="TR59" i="4"/>
  <c r="TR60" i="4"/>
  <c r="TR61" i="4"/>
  <c r="TR62" i="4"/>
  <c r="TR63" i="4"/>
  <c r="TR64" i="4"/>
  <c r="TR65" i="4"/>
  <c r="TR66" i="4"/>
  <c r="TR67" i="4"/>
  <c r="TR68" i="4"/>
  <c r="TR69" i="4"/>
  <c r="TR70" i="4"/>
  <c r="TR71" i="4"/>
  <c r="TR72" i="4"/>
  <c r="TR73" i="4"/>
  <c r="TR74" i="4"/>
  <c r="TR75" i="4"/>
  <c r="TR76" i="4"/>
  <c r="TR77" i="4"/>
  <c r="TR78" i="4"/>
  <c r="TR79" i="4"/>
  <c r="TR80" i="4"/>
  <c r="TR81" i="4"/>
  <c r="TR82" i="4"/>
  <c r="TR83" i="4"/>
  <c r="TR84" i="4"/>
  <c r="TR85" i="4"/>
  <c r="TR86" i="4"/>
  <c r="TR87" i="4"/>
  <c r="TR88" i="4"/>
  <c r="TR89" i="4"/>
  <c r="TR90" i="4"/>
  <c r="TR91" i="4"/>
  <c r="TR92" i="4"/>
  <c r="TR93" i="4"/>
  <c r="TR94" i="4"/>
  <c r="TR95" i="4"/>
  <c r="TR96" i="4"/>
  <c r="TR97" i="4"/>
  <c r="TR98" i="4"/>
  <c r="TR99" i="4"/>
  <c r="TR100" i="4"/>
  <c r="TR101" i="4"/>
  <c r="TR102" i="4"/>
  <c r="TR103" i="4"/>
  <c r="TR104" i="4"/>
  <c r="TR105" i="4"/>
  <c r="TR106" i="4"/>
  <c r="TR107" i="4"/>
  <c r="TR108" i="4"/>
  <c r="TR109" i="4"/>
  <c r="TR110" i="4"/>
  <c r="TR111" i="4"/>
  <c r="TR112" i="4"/>
  <c r="TR113" i="4"/>
  <c r="TR114" i="4"/>
  <c r="TR115" i="4"/>
  <c r="TR116" i="4"/>
  <c r="TR117" i="4"/>
  <c r="TR118" i="4"/>
  <c r="TR119" i="4"/>
  <c r="TR120" i="4"/>
  <c r="TR121" i="4"/>
  <c r="TR122" i="4"/>
  <c r="TR123" i="4"/>
  <c r="TR124" i="4"/>
  <c r="TR125" i="4"/>
  <c r="TR126" i="4"/>
  <c r="TR127" i="4"/>
  <c r="TR128" i="4"/>
  <c r="TR129" i="4"/>
  <c r="TR130" i="4"/>
  <c r="TR131" i="4"/>
  <c r="TR132" i="4"/>
  <c r="TR133" i="4"/>
  <c r="TR134" i="4"/>
  <c r="TR135" i="4"/>
  <c r="TR136" i="4"/>
  <c r="TR137" i="4"/>
  <c r="TR138" i="4"/>
  <c r="TR139" i="4"/>
  <c r="TR140" i="4"/>
  <c r="TR141" i="4"/>
  <c r="TR142" i="4"/>
  <c r="TR143" i="4"/>
  <c r="TR144" i="4"/>
  <c r="TR145" i="4"/>
  <c r="TR146" i="4"/>
  <c r="TR147" i="4"/>
  <c r="TR148" i="4"/>
  <c r="TR149" i="4"/>
  <c r="TN149" i="4" s="1"/>
  <c r="TR150" i="4"/>
  <c r="TR151" i="4"/>
  <c r="TR152" i="4"/>
  <c r="TR153" i="4"/>
  <c r="TR154" i="4"/>
  <c r="TR155" i="4"/>
  <c r="TR156" i="4"/>
  <c r="TR157" i="4"/>
  <c r="TR158" i="4"/>
  <c r="TR159" i="4"/>
  <c r="TR160" i="4"/>
  <c r="TR161" i="4"/>
  <c r="TR162" i="4"/>
  <c r="TR163" i="4"/>
  <c r="TR164" i="4"/>
  <c r="TN164" i="4" s="1"/>
  <c r="TR165" i="4"/>
  <c r="TR166" i="4"/>
  <c r="TR167" i="4"/>
  <c r="TR168" i="4"/>
  <c r="TR169" i="4"/>
  <c r="TR170" i="4"/>
  <c r="TR171" i="4"/>
  <c r="TR172" i="4"/>
  <c r="TR173" i="4"/>
  <c r="TR174" i="4"/>
  <c r="TR175" i="4"/>
  <c r="TR176" i="4"/>
  <c r="TR177" i="4"/>
  <c r="TR178" i="4"/>
  <c r="TR179" i="4"/>
  <c r="TR180" i="4"/>
  <c r="TN180" i="4" s="1"/>
  <c r="TR181" i="4"/>
  <c r="TR182" i="4"/>
  <c r="TR183" i="4"/>
  <c r="TR184" i="4"/>
  <c r="TR185" i="4"/>
  <c r="TR186" i="4"/>
  <c r="TR187" i="4"/>
  <c r="TR188" i="4"/>
  <c r="TR189" i="4"/>
  <c r="TR190" i="4"/>
  <c r="TR191" i="4"/>
  <c r="TR192" i="4"/>
  <c r="TR193" i="4"/>
  <c r="TR194" i="4"/>
  <c r="TR195" i="4"/>
  <c r="TR196" i="4"/>
  <c r="TR197" i="4"/>
  <c r="TR198" i="4"/>
  <c r="TR199" i="4"/>
  <c r="TR200" i="4"/>
  <c r="TR201" i="4"/>
  <c r="TR202" i="4"/>
  <c r="TR203" i="4"/>
  <c r="TR204" i="4"/>
  <c r="TR205" i="4"/>
  <c r="TR206" i="4"/>
  <c r="TR207" i="4"/>
  <c r="TR208" i="4"/>
  <c r="TR209" i="4"/>
  <c r="TR210" i="4"/>
  <c r="TR211" i="4"/>
  <c r="TR212" i="4"/>
  <c r="TN212" i="4" s="1"/>
  <c r="TR213" i="4"/>
  <c r="TR214" i="4"/>
  <c r="TR215" i="4"/>
  <c r="TR216" i="4"/>
  <c r="TR217" i="4"/>
  <c r="TR218" i="4"/>
  <c r="TR219" i="4"/>
  <c r="TR220" i="4"/>
  <c r="TR221" i="4"/>
  <c r="TR222" i="4"/>
  <c r="TR223" i="4"/>
  <c r="TR224" i="4"/>
  <c r="TR225" i="4"/>
  <c r="TR226" i="4"/>
  <c r="TR227" i="4"/>
  <c r="TR228" i="4"/>
  <c r="TR229" i="4"/>
  <c r="TN229" i="4" s="1"/>
  <c r="TR230" i="4"/>
  <c r="TR231" i="4"/>
  <c r="TR232" i="4"/>
  <c r="TR233" i="4"/>
  <c r="TR234" i="4"/>
  <c r="TR235" i="4"/>
  <c r="TR236" i="4"/>
  <c r="TR237" i="4"/>
  <c r="TR238" i="4"/>
  <c r="TR239" i="4"/>
  <c r="TR240" i="4"/>
  <c r="TR241" i="4"/>
  <c r="TR242" i="4"/>
  <c r="TR243" i="4"/>
  <c r="TR244" i="4"/>
  <c r="TR245" i="4"/>
  <c r="TN245" i="4" s="1"/>
  <c r="TR246" i="4"/>
  <c r="TR247" i="4"/>
  <c r="TR248" i="4"/>
  <c r="TR249" i="4"/>
  <c r="TR250" i="4"/>
  <c r="TR251" i="4"/>
  <c r="TR252" i="4"/>
  <c r="TR253" i="4"/>
  <c r="TR254" i="4"/>
  <c r="TR255" i="4"/>
  <c r="TR256" i="4"/>
  <c r="TR257" i="4"/>
  <c r="TR258" i="4"/>
  <c r="TR259" i="4"/>
  <c r="TR260" i="4"/>
  <c r="TR261" i="4"/>
  <c r="TN261" i="4" s="1"/>
  <c r="TR262" i="4"/>
  <c r="TR263" i="4"/>
  <c r="TR264" i="4"/>
  <c r="TR265" i="4"/>
  <c r="TR266" i="4"/>
  <c r="TR267" i="4"/>
  <c r="TR268" i="4"/>
  <c r="TR269" i="4"/>
  <c r="TR270" i="4"/>
  <c r="TR271" i="4"/>
  <c r="TR272" i="4"/>
  <c r="TR273" i="4"/>
  <c r="TR274" i="4"/>
  <c r="TR275" i="4"/>
  <c r="TR276" i="4"/>
  <c r="TR277" i="4"/>
  <c r="TR278" i="4"/>
  <c r="TR279" i="4"/>
  <c r="TR280" i="4"/>
  <c r="TR281" i="4"/>
  <c r="TR282" i="4"/>
  <c r="TR283" i="4"/>
  <c r="TR284" i="4"/>
  <c r="TR285" i="4"/>
  <c r="TR286" i="4"/>
  <c r="TR287" i="4"/>
  <c r="TR288" i="4"/>
  <c r="TR289" i="4"/>
  <c r="TR290" i="4"/>
  <c r="TR291" i="4"/>
  <c r="TR292" i="4"/>
  <c r="TR293" i="4"/>
  <c r="TR294" i="4"/>
  <c r="TR295" i="4"/>
  <c r="TR296" i="4"/>
  <c r="TR297" i="4"/>
  <c r="TR298" i="4"/>
  <c r="TR299" i="4"/>
  <c r="TR300" i="4"/>
  <c r="TR301" i="4"/>
  <c r="TR302" i="4"/>
  <c r="TR303" i="4"/>
  <c r="TR304" i="4"/>
  <c r="TR305" i="4"/>
  <c r="TR306" i="4"/>
  <c r="TR307" i="4"/>
  <c r="TR308" i="4"/>
  <c r="TR309" i="4"/>
  <c r="TR310" i="4"/>
  <c r="TR311" i="4"/>
  <c r="TR312" i="4"/>
  <c r="TR313" i="4"/>
  <c r="TR314" i="4"/>
  <c r="TR315" i="4"/>
  <c r="TR316" i="4"/>
  <c r="TR317" i="4"/>
  <c r="TR318" i="4"/>
  <c r="TR319" i="4"/>
  <c r="TR320" i="4"/>
  <c r="TR321" i="4"/>
  <c r="TR322" i="4"/>
  <c r="TR323" i="4"/>
  <c r="TR324" i="4"/>
  <c r="TR325" i="4"/>
  <c r="TR326" i="4"/>
  <c r="TR327" i="4"/>
  <c r="TR328" i="4"/>
  <c r="TR329" i="4"/>
  <c r="TR330" i="4"/>
  <c r="TR331" i="4"/>
  <c r="TR332" i="4"/>
  <c r="TR333" i="4"/>
  <c r="TR334" i="4"/>
  <c r="TR335" i="4"/>
  <c r="TR336" i="4"/>
  <c r="TR337" i="4"/>
  <c r="TR338" i="4"/>
  <c r="TR339" i="4"/>
  <c r="TR340" i="4"/>
  <c r="TR341" i="4"/>
  <c r="TN341" i="4" s="1"/>
  <c r="TR342" i="4"/>
  <c r="TR343" i="4"/>
  <c r="TR344" i="4"/>
  <c r="TR345" i="4"/>
  <c r="TR346" i="4"/>
  <c r="TR347" i="4"/>
  <c r="TR348" i="4"/>
  <c r="TR349" i="4"/>
  <c r="TR350" i="4"/>
  <c r="TR351" i="4"/>
  <c r="TR352" i="4"/>
  <c r="TR353" i="4"/>
  <c r="TR354" i="4"/>
  <c r="TR355" i="4"/>
  <c r="TR356" i="4"/>
  <c r="TR357" i="4"/>
  <c r="TR358" i="4"/>
  <c r="TR359" i="4"/>
  <c r="TR360" i="4"/>
  <c r="TR361" i="4"/>
  <c r="TR362" i="4"/>
  <c r="TR363" i="4"/>
  <c r="TR364" i="4"/>
  <c r="TR3" i="4"/>
  <c r="TQ4" i="4"/>
  <c r="TQ5" i="4"/>
  <c r="TQ6" i="4"/>
  <c r="TQ7" i="4"/>
  <c r="TQ8" i="4"/>
  <c r="TQ9" i="4"/>
  <c r="TQ10" i="4"/>
  <c r="TQ11" i="4"/>
  <c r="TQ12" i="4"/>
  <c r="TQ13" i="4"/>
  <c r="TQ14" i="4"/>
  <c r="TQ15" i="4"/>
  <c r="TQ16" i="4"/>
  <c r="TQ17" i="4"/>
  <c r="TQ18" i="4"/>
  <c r="TQ19" i="4"/>
  <c r="TQ20" i="4"/>
  <c r="TQ21" i="4"/>
  <c r="TQ22" i="4"/>
  <c r="TQ23" i="4"/>
  <c r="TQ24" i="4"/>
  <c r="TQ25" i="4"/>
  <c r="TQ26" i="4"/>
  <c r="TQ27" i="4"/>
  <c r="TQ28" i="4"/>
  <c r="TQ29" i="4"/>
  <c r="TQ30" i="4"/>
  <c r="TQ31" i="4"/>
  <c r="TQ32" i="4"/>
  <c r="TQ33" i="4"/>
  <c r="TQ34" i="4"/>
  <c r="TQ35" i="4"/>
  <c r="TQ36" i="4"/>
  <c r="TQ37" i="4"/>
  <c r="TQ38" i="4"/>
  <c r="TQ39" i="4"/>
  <c r="TQ40" i="4"/>
  <c r="TQ41" i="4"/>
  <c r="TQ42" i="4"/>
  <c r="TQ43" i="4"/>
  <c r="TQ44" i="4"/>
  <c r="TQ45" i="4"/>
  <c r="TQ46" i="4"/>
  <c r="TQ47" i="4"/>
  <c r="TQ48" i="4"/>
  <c r="TQ49" i="4"/>
  <c r="TQ50" i="4"/>
  <c r="TQ51" i="4"/>
  <c r="TQ52" i="4"/>
  <c r="TQ53" i="4"/>
  <c r="TQ54" i="4"/>
  <c r="TQ55" i="4"/>
  <c r="TQ56" i="4"/>
  <c r="TQ57" i="4"/>
  <c r="TQ58" i="4"/>
  <c r="TQ59" i="4"/>
  <c r="TQ60" i="4"/>
  <c r="TQ61" i="4"/>
  <c r="TQ62" i="4"/>
  <c r="TQ63" i="4"/>
  <c r="TQ64" i="4"/>
  <c r="TQ65" i="4"/>
  <c r="TQ66" i="4"/>
  <c r="TQ67" i="4"/>
  <c r="TQ68" i="4"/>
  <c r="TQ69" i="4"/>
  <c r="TQ70" i="4"/>
  <c r="TQ71" i="4"/>
  <c r="TQ72" i="4"/>
  <c r="TQ73" i="4"/>
  <c r="TQ74" i="4"/>
  <c r="TQ75" i="4"/>
  <c r="TQ76" i="4"/>
  <c r="TQ77" i="4"/>
  <c r="TQ78" i="4"/>
  <c r="TQ79" i="4"/>
  <c r="TQ80" i="4"/>
  <c r="TQ81" i="4"/>
  <c r="TQ82" i="4"/>
  <c r="TQ83" i="4"/>
  <c r="TQ84" i="4"/>
  <c r="TQ85" i="4"/>
  <c r="TQ86" i="4"/>
  <c r="TQ87" i="4"/>
  <c r="TQ88" i="4"/>
  <c r="TQ89" i="4"/>
  <c r="TQ90" i="4"/>
  <c r="TQ91" i="4"/>
  <c r="TQ92" i="4"/>
  <c r="TQ93" i="4"/>
  <c r="TQ94" i="4"/>
  <c r="TQ95" i="4"/>
  <c r="TQ96" i="4"/>
  <c r="TQ97" i="4"/>
  <c r="TQ98" i="4"/>
  <c r="TQ99" i="4"/>
  <c r="TQ100" i="4"/>
  <c r="TQ101" i="4"/>
  <c r="TQ102" i="4"/>
  <c r="TQ103" i="4"/>
  <c r="TQ104" i="4"/>
  <c r="TQ105" i="4"/>
  <c r="TN105" i="4" s="1"/>
  <c r="TQ106" i="4"/>
  <c r="TQ107" i="4"/>
  <c r="TQ108" i="4"/>
  <c r="TQ109" i="4"/>
  <c r="TQ110" i="4"/>
  <c r="TQ111" i="4"/>
  <c r="TQ112" i="4"/>
  <c r="TQ113" i="4"/>
  <c r="TQ114" i="4"/>
  <c r="TQ115" i="4"/>
  <c r="TQ116" i="4"/>
  <c r="TQ117" i="4"/>
  <c r="TQ118" i="4"/>
  <c r="TQ119" i="4"/>
  <c r="TQ120" i="4"/>
  <c r="TQ121" i="4"/>
  <c r="TQ122" i="4"/>
  <c r="TQ123" i="4"/>
  <c r="TQ124" i="4"/>
  <c r="TQ125" i="4"/>
  <c r="TQ126" i="4"/>
  <c r="TQ127" i="4"/>
  <c r="TQ128" i="4"/>
  <c r="TQ129" i="4"/>
  <c r="TN129" i="4" s="1"/>
  <c r="TQ130" i="4"/>
  <c r="TQ131" i="4"/>
  <c r="TQ132" i="4"/>
  <c r="TQ133" i="4"/>
  <c r="TQ134" i="4"/>
  <c r="TQ135" i="4"/>
  <c r="TQ136" i="4"/>
  <c r="TQ137" i="4"/>
  <c r="TQ138" i="4"/>
  <c r="TQ139" i="4"/>
  <c r="TQ140" i="4"/>
  <c r="TQ141" i="4"/>
  <c r="TQ142" i="4"/>
  <c r="TQ143" i="4"/>
  <c r="TN143" i="4" s="1"/>
  <c r="TQ144" i="4"/>
  <c r="TQ145" i="4"/>
  <c r="TQ146" i="4"/>
  <c r="TQ147" i="4"/>
  <c r="TQ148" i="4"/>
  <c r="TQ149" i="4"/>
  <c r="TQ150" i="4"/>
  <c r="TQ151" i="4"/>
  <c r="TQ152" i="4"/>
  <c r="TQ153" i="4"/>
  <c r="TQ154" i="4"/>
  <c r="TQ155" i="4"/>
  <c r="TQ156" i="4"/>
  <c r="TQ157" i="4"/>
  <c r="TQ158" i="4"/>
  <c r="TQ159" i="4"/>
  <c r="TQ160" i="4"/>
  <c r="TQ161" i="4"/>
  <c r="TN161" i="4" s="1"/>
  <c r="TQ162" i="4"/>
  <c r="TQ163" i="4"/>
  <c r="TQ164" i="4"/>
  <c r="TQ165" i="4"/>
  <c r="TQ166" i="4"/>
  <c r="TQ167" i="4"/>
  <c r="TQ168" i="4"/>
  <c r="TQ169" i="4"/>
  <c r="TQ170" i="4"/>
  <c r="TQ171" i="4"/>
  <c r="TQ172" i="4"/>
  <c r="TQ173" i="4"/>
  <c r="TQ174" i="4"/>
  <c r="TQ175" i="4"/>
  <c r="TQ176" i="4"/>
  <c r="TQ177" i="4"/>
  <c r="TQ178" i="4"/>
  <c r="TQ179" i="4"/>
  <c r="TQ180" i="4"/>
  <c r="TQ181" i="4"/>
  <c r="TQ182" i="4"/>
  <c r="TQ183" i="4"/>
  <c r="TQ184" i="4"/>
  <c r="TQ185" i="4"/>
  <c r="TQ186" i="4"/>
  <c r="TQ187" i="4"/>
  <c r="TQ188" i="4"/>
  <c r="TQ189" i="4"/>
  <c r="TQ190" i="4"/>
  <c r="TQ191" i="4"/>
  <c r="TQ192" i="4"/>
  <c r="TQ193" i="4"/>
  <c r="TQ194" i="4"/>
  <c r="TQ195" i="4"/>
  <c r="TQ196" i="4"/>
  <c r="TQ197" i="4"/>
  <c r="TQ198" i="4"/>
  <c r="TQ199" i="4"/>
  <c r="TQ200" i="4"/>
  <c r="TQ201" i="4"/>
  <c r="TQ202" i="4"/>
  <c r="TQ203" i="4"/>
  <c r="TQ204" i="4"/>
  <c r="TQ205" i="4"/>
  <c r="TQ206" i="4"/>
  <c r="TQ207" i="4"/>
  <c r="TQ208" i="4"/>
  <c r="TQ209" i="4"/>
  <c r="TQ210" i="4"/>
  <c r="TQ211" i="4"/>
  <c r="TQ212" i="4"/>
  <c r="TQ213" i="4"/>
  <c r="TQ214" i="4"/>
  <c r="TQ215" i="4"/>
  <c r="TQ216" i="4"/>
  <c r="TQ217" i="4"/>
  <c r="TQ218" i="4"/>
  <c r="TQ219" i="4"/>
  <c r="TQ220" i="4"/>
  <c r="TQ221" i="4"/>
  <c r="TQ222" i="4"/>
  <c r="TQ223" i="4"/>
  <c r="TQ224" i="4"/>
  <c r="TQ225" i="4"/>
  <c r="TQ226" i="4"/>
  <c r="TQ227" i="4"/>
  <c r="TQ228" i="4"/>
  <c r="TQ229" i="4"/>
  <c r="TQ230" i="4"/>
  <c r="TQ231" i="4"/>
  <c r="TQ232" i="4"/>
  <c r="TQ233" i="4"/>
  <c r="TQ234" i="4"/>
  <c r="TQ235" i="4"/>
  <c r="TQ236" i="4"/>
  <c r="TQ237" i="4"/>
  <c r="TQ238" i="4"/>
  <c r="TQ239" i="4"/>
  <c r="TQ240" i="4"/>
  <c r="TQ241" i="4"/>
  <c r="TQ242" i="4"/>
  <c r="TQ243" i="4"/>
  <c r="TQ244" i="4"/>
  <c r="TQ245" i="4"/>
  <c r="TQ246" i="4"/>
  <c r="TQ247" i="4"/>
  <c r="TQ248" i="4"/>
  <c r="TQ249" i="4"/>
  <c r="TQ250" i="4"/>
  <c r="TQ251" i="4"/>
  <c r="TN251" i="4" s="1"/>
  <c r="TQ252" i="4"/>
  <c r="TQ253" i="4"/>
  <c r="TQ254" i="4"/>
  <c r="TQ255" i="4"/>
  <c r="TQ256" i="4"/>
  <c r="TQ257" i="4"/>
  <c r="TQ258" i="4"/>
  <c r="TQ259" i="4"/>
  <c r="TQ260" i="4"/>
  <c r="TQ261" i="4"/>
  <c r="TQ262" i="4"/>
  <c r="TQ263" i="4"/>
  <c r="TQ264" i="4"/>
  <c r="TQ265" i="4"/>
  <c r="TN265" i="4" s="1"/>
  <c r="TQ266" i="4"/>
  <c r="TQ267" i="4"/>
  <c r="TQ268" i="4"/>
  <c r="TQ269" i="4"/>
  <c r="TQ270" i="4"/>
  <c r="TQ271" i="4"/>
  <c r="TQ272" i="4"/>
  <c r="TQ273" i="4"/>
  <c r="TQ274" i="4"/>
  <c r="TQ275" i="4"/>
  <c r="TQ276" i="4"/>
  <c r="TQ277" i="4"/>
  <c r="TQ278" i="4"/>
  <c r="TQ279" i="4"/>
  <c r="TQ280" i="4"/>
  <c r="TQ281" i="4"/>
  <c r="TQ282" i="4"/>
  <c r="TQ283" i="4"/>
  <c r="TQ284" i="4"/>
  <c r="TQ285" i="4"/>
  <c r="TQ286" i="4"/>
  <c r="TQ287" i="4"/>
  <c r="TQ288" i="4"/>
  <c r="TQ289" i="4"/>
  <c r="TQ290" i="4"/>
  <c r="TN290" i="4" s="1"/>
  <c r="TQ291" i="4"/>
  <c r="TQ292" i="4"/>
  <c r="TQ293" i="4"/>
  <c r="TQ294" i="4"/>
  <c r="TQ295" i="4"/>
  <c r="TQ296" i="4"/>
  <c r="TQ297" i="4"/>
  <c r="TQ298" i="4"/>
  <c r="TQ299" i="4"/>
  <c r="TQ300" i="4"/>
  <c r="TQ301" i="4"/>
  <c r="TQ302" i="4"/>
  <c r="TQ303" i="4"/>
  <c r="TQ304" i="4"/>
  <c r="TQ305" i="4"/>
  <c r="TQ306" i="4"/>
  <c r="TQ307" i="4"/>
  <c r="TQ308" i="4"/>
  <c r="TQ309" i="4"/>
  <c r="TQ310" i="4"/>
  <c r="TQ311" i="4"/>
  <c r="TQ312" i="4"/>
  <c r="TQ313" i="4"/>
  <c r="TQ314" i="4"/>
  <c r="TQ315" i="4"/>
  <c r="TQ316" i="4"/>
  <c r="TQ317" i="4"/>
  <c r="TQ318" i="4"/>
  <c r="TQ319" i="4"/>
  <c r="TQ320" i="4"/>
  <c r="TQ321" i="4"/>
  <c r="TN321" i="4" s="1"/>
  <c r="TQ322" i="4"/>
  <c r="TN322" i="4" s="1"/>
  <c r="TQ323" i="4"/>
  <c r="TQ324" i="4"/>
  <c r="TQ325" i="4"/>
  <c r="TQ326" i="4"/>
  <c r="TQ327" i="4"/>
  <c r="TQ328" i="4"/>
  <c r="TQ329" i="4"/>
  <c r="TQ330" i="4"/>
  <c r="TQ331" i="4"/>
  <c r="TQ332" i="4"/>
  <c r="TQ333" i="4"/>
  <c r="TQ334" i="4"/>
  <c r="TQ335" i="4"/>
  <c r="TQ336" i="4"/>
  <c r="TQ337" i="4"/>
  <c r="TQ338" i="4"/>
  <c r="TQ339" i="4"/>
  <c r="TQ340" i="4"/>
  <c r="TQ341" i="4"/>
  <c r="TQ342" i="4"/>
  <c r="TQ343" i="4"/>
  <c r="TQ344" i="4"/>
  <c r="TQ345" i="4"/>
  <c r="TQ346" i="4"/>
  <c r="TQ347" i="4"/>
  <c r="TQ348" i="4"/>
  <c r="TQ349" i="4"/>
  <c r="TQ350" i="4"/>
  <c r="TQ351" i="4"/>
  <c r="TQ352" i="4"/>
  <c r="TQ353" i="4"/>
  <c r="TQ354" i="4"/>
  <c r="TQ355" i="4"/>
  <c r="TQ356" i="4"/>
  <c r="TQ357" i="4"/>
  <c r="TQ358" i="4"/>
  <c r="TQ359" i="4"/>
  <c r="TQ360" i="4"/>
  <c r="TQ361" i="4"/>
  <c r="TQ362" i="4"/>
  <c r="TQ363" i="4"/>
  <c r="TQ364" i="4"/>
  <c r="TQ3" i="4"/>
  <c r="DF10" i="4"/>
  <c r="DD10" i="4"/>
  <c r="F11" i="4"/>
  <c r="CM10" i="4"/>
  <c r="DF9" i="4"/>
  <c r="DD9" i="4"/>
  <c r="DA9" i="4"/>
  <c r="CZ9" i="4"/>
  <c r="CW9" i="4"/>
  <c r="CS9" i="4"/>
  <c r="CQ9" i="4"/>
  <c r="CN9" i="4"/>
  <c r="DD15" i="4"/>
  <c r="CZ15" i="4"/>
  <c r="CQ15" i="4"/>
  <c r="DF14" i="4"/>
  <c r="DD14" i="4"/>
  <c r="DA14" i="4"/>
  <c r="CZ14" i="4"/>
  <c r="CY14" i="4"/>
  <c r="CV14" i="4"/>
  <c r="CU14" i="4"/>
  <c r="CS14" i="4"/>
  <c r="CQ14" i="4"/>
  <c r="CM14" i="4"/>
  <c r="CM13" i="4"/>
  <c r="DF12" i="4"/>
  <c r="DD12" i="4"/>
  <c r="CV12" i="4"/>
  <c r="CQ12" i="4"/>
  <c r="DF11" i="4"/>
  <c r="DD11" i="4"/>
  <c r="DA11" i="4"/>
  <c r="CQ11" i="4"/>
  <c r="CS11" i="4"/>
  <c r="CQ16" i="4"/>
  <c r="CT16" i="4"/>
  <c r="DF16" i="4"/>
  <c r="DD16" i="4"/>
  <c r="CZ16" i="4"/>
  <c r="CV16" i="4"/>
  <c r="CR16" i="4"/>
  <c r="FY24" i="4"/>
  <c r="FX24" i="4"/>
  <c r="CW15" i="4"/>
  <c r="DF13" i="4"/>
  <c r="CS13" i="4"/>
  <c r="DQ32" i="4"/>
  <c r="DN30" i="4"/>
  <c r="CR9" i="4"/>
  <c r="DN28" i="4"/>
  <c r="DQ29" i="4"/>
  <c r="BE15" i="6"/>
  <c r="ZR3" i="4"/>
  <c r="ZR4" i="4"/>
  <c r="ZR5" i="4"/>
  <c r="ZR6" i="4"/>
  <c r="ZR7" i="4"/>
  <c r="ZR8" i="4"/>
  <c r="ZR9" i="4"/>
  <c r="ZR10" i="4"/>
  <c r="ZR13" i="4"/>
  <c r="ZR2" i="4"/>
  <c r="CF50" i="9"/>
  <c r="TP35" i="4"/>
  <c r="TP48" i="4"/>
  <c r="TP88" i="4"/>
  <c r="TP116" i="4"/>
  <c r="TP139" i="4"/>
  <c r="TP153" i="4"/>
  <c r="TP205" i="4"/>
  <c r="TP213" i="4"/>
  <c r="TP228" i="4"/>
  <c r="TP231" i="4"/>
  <c r="TN231" i="4" s="1"/>
  <c r="TP263" i="4"/>
  <c r="TP276" i="4"/>
  <c r="TP286" i="4"/>
  <c r="TP300" i="4"/>
  <c r="TP307" i="4"/>
  <c r="TP331" i="4"/>
  <c r="TP343" i="4"/>
  <c r="TP347" i="4"/>
  <c r="TP5" i="4"/>
  <c r="TP18" i="4"/>
  <c r="TN18" i="4"/>
  <c r="TP19" i="4"/>
  <c r="TN19" i="4" s="1"/>
  <c r="TP49" i="4"/>
  <c r="TN49" i="4"/>
  <c r="TP56" i="4"/>
  <c r="TN56" i="4" s="1"/>
  <c r="TP60" i="4"/>
  <c r="TP61" i="4"/>
  <c r="TP82" i="4"/>
  <c r="TP96" i="4"/>
  <c r="TP97" i="4"/>
  <c r="TP98" i="4"/>
  <c r="TP105" i="4"/>
  <c r="TP121" i="4"/>
  <c r="TP125" i="4"/>
  <c r="TP129" i="4"/>
  <c r="TP131" i="4"/>
  <c r="TP134" i="4"/>
  <c r="TP162" i="4"/>
  <c r="TP164" i="4"/>
  <c r="TP170" i="4"/>
  <c r="TN170" i="4" s="1"/>
  <c r="TP172" i="4"/>
  <c r="TN172" i="4"/>
  <c r="TP178" i="4"/>
  <c r="TN178" i="4"/>
  <c r="TP180" i="4"/>
  <c r="TP182" i="4"/>
  <c r="TN182" i="4" s="1"/>
  <c r="TP183" i="4"/>
  <c r="TN183" i="4"/>
  <c r="TP192" i="4"/>
  <c r="TP195" i="4"/>
  <c r="TP198" i="4"/>
  <c r="TP211" i="4"/>
  <c r="TP212" i="4"/>
  <c r="TP216" i="4"/>
  <c r="TN216" i="4"/>
  <c r="TP272" i="4"/>
  <c r="TP277" i="4"/>
  <c r="TN277" i="4" s="1"/>
  <c r="TP290" i="4"/>
  <c r="TP297" i="4"/>
  <c r="TP302" i="4"/>
  <c r="TP304" i="4"/>
  <c r="TN304" i="4"/>
  <c r="TP325" i="4"/>
  <c r="TP330" i="4"/>
  <c r="TP333" i="4"/>
  <c r="TP345" i="4"/>
  <c r="TP361" i="4"/>
  <c r="TN361" i="4" s="1"/>
  <c r="TP363" i="4"/>
  <c r="TN363" i="4" s="1"/>
  <c r="TP4" i="4"/>
  <c r="TN4" i="4"/>
  <c r="TP6" i="4"/>
  <c r="TP8" i="4"/>
  <c r="TN8" i="4"/>
  <c r="TP17" i="4"/>
  <c r="TP31" i="4"/>
  <c r="TP39" i="4"/>
  <c r="TN39" i="4" s="1"/>
  <c r="TP42" i="4"/>
  <c r="TN42" i="4" s="1"/>
  <c r="TP45" i="4"/>
  <c r="TP54" i="4"/>
  <c r="TN54" i="4" s="1"/>
  <c r="TP76" i="4"/>
  <c r="TP79" i="4"/>
  <c r="TN79" i="4"/>
  <c r="TP85" i="4"/>
  <c r="TP90" i="4"/>
  <c r="TP99" i="4"/>
  <c r="TP118" i="4"/>
  <c r="TN118" i="4" s="1"/>
  <c r="TP119" i="4"/>
  <c r="TP122" i="4"/>
  <c r="TN122" i="4" s="1"/>
  <c r="TP135" i="4"/>
  <c r="TP137" i="4"/>
  <c r="TP143" i="4"/>
  <c r="TP157" i="4"/>
  <c r="TP179" i="4"/>
  <c r="TP199" i="4"/>
  <c r="TP204" i="4"/>
  <c r="TP208" i="4"/>
  <c r="TN208" i="4" s="1"/>
  <c r="TP210" i="4"/>
  <c r="TP217" i="4"/>
  <c r="TP244" i="4"/>
  <c r="TP250" i="4"/>
  <c r="TP262" i="4"/>
  <c r="TP271" i="4"/>
  <c r="TP275" i="4"/>
  <c r="TP285" i="4"/>
  <c r="TP291" i="4"/>
  <c r="TP353" i="4"/>
  <c r="TP10" i="4"/>
  <c r="TN10" i="4" s="1"/>
  <c r="TP24" i="4"/>
  <c r="TP32" i="4"/>
  <c r="TN32" i="4" s="1"/>
  <c r="TP38" i="4"/>
  <c r="TP52" i="4"/>
  <c r="TP65" i="4"/>
  <c r="TN65" i="4"/>
  <c r="TP66" i="4"/>
  <c r="TP80" i="4"/>
  <c r="TN80" i="4"/>
  <c r="TP117" i="4"/>
  <c r="TN117" i="4"/>
  <c r="TP130" i="4"/>
  <c r="TP133" i="4"/>
  <c r="TP147" i="4"/>
  <c r="TN147" i="4" s="1"/>
  <c r="TP161" i="4"/>
  <c r="TP187" i="4"/>
  <c r="TP189" i="4"/>
  <c r="TP202" i="4"/>
  <c r="TP206" i="4"/>
  <c r="TN206" i="4"/>
  <c r="TP214" i="4"/>
  <c r="TN214" i="4" s="1"/>
  <c r="TP219" i="4"/>
  <c r="TN219" i="4" s="1"/>
  <c r="TP222" i="4"/>
  <c r="TN222" i="4" s="1"/>
  <c r="TP252" i="4"/>
  <c r="TP280" i="4"/>
  <c r="TP293" i="4"/>
  <c r="TP310" i="4"/>
  <c r="TP336" i="4"/>
  <c r="TN336" i="4" s="1"/>
  <c r="TP346" i="4"/>
  <c r="TN346" i="4" s="1"/>
  <c r="TP22" i="4"/>
  <c r="TP23" i="4"/>
  <c r="TP62" i="4"/>
  <c r="TP70" i="4"/>
  <c r="TN70" i="4" s="1"/>
  <c r="TP72" i="4"/>
  <c r="TN72" i="4"/>
  <c r="TP124" i="4"/>
  <c r="TN124" i="4" s="1"/>
  <c r="TP127" i="4"/>
  <c r="TP140" i="4"/>
  <c r="TP158" i="4"/>
  <c r="TP201" i="4"/>
  <c r="TP238" i="4"/>
  <c r="TP240" i="4"/>
  <c r="TN240" i="4"/>
  <c r="TP246" i="4"/>
  <c r="TN246" i="4" s="1"/>
  <c r="TP251" i="4"/>
  <c r="TP315" i="4"/>
  <c r="TP11" i="4"/>
  <c r="TP12" i="4"/>
  <c r="TP25" i="4"/>
  <c r="TP27" i="4"/>
  <c r="TP33" i="4"/>
  <c r="TN33" i="4" s="1"/>
  <c r="TP51" i="4"/>
  <c r="TP71" i="4"/>
  <c r="TP73" i="4"/>
  <c r="TP74" i="4"/>
  <c r="TP84" i="4"/>
  <c r="TN84" i="4"/>
  <c r="TP103" i="4"/>
  <c r="TP156" i="4"/>
  <c r="TN156" i="4"/>
  <c r="TP166" i="4"/>
  <c r="TP173" i="4"/>
  <c r="TP234" i="4"/>
  <c r="TP254" i="4"/>
  <c r="TN254" i="4"/>
  <c r="TP274" i="4"/>
  <c r="TP279" i="4"/>
  <c r="TP292" i="4"/>
  <c r="TP323" i="4"/>
  <c r="TP326" i="4"/>
  <c r="TP329" i="4"/>
  <c r="TP349" i="4"/>
  <c r="TP16" i="4"/>
  <c r="TN16" i="4" s="1"/>
  <c r="TP34" i="4"/>
  <c r="TP46" i="4"/>
  <c r="TN46" i="4"/>
  <c r="TP50" i="4"/>
  <c r="TP69" i="4"/>
  <c r="TN69" i="4" s="1"/>
  <c r="TP75" i="4"/>
  <c r="TP83" i="4"/>
  <c r="TP102" i="4"/>
  <c r="TN102" i="4" s="1"/>
  <c r="TP112" i="4"/>
  <c r="TP126" i="4"/>
  <c r="TP136" i="4"/>
  <c r="TP146" i="4"/>
  <c r="TP149" i="4"/>
  <c r="TP160" i="4"/>
  <c r="TN160" i="4"/>
  <c r="TP168" i="4"/>
  <c r="TP175" i="4"/>
  <c r="TP177" i="4"/>
  <c r="TN177" i="4" s="1"/>
  <c r="TP181" i="4"/>
  <c r="TP215" i="4"/>
  <c r="TP223" i="4"/>
  <c r="TN223" i="4"/>
  <c r="TP242" i="4"/>
  <c r="TP245" i="4"/>
  <c r="TP247" i="4"/>
  <c r="TP253" i="4"/>
  <c r="TP267" i="4"/>
  <c r="TP321" i="4"/>
  <c r="TP337" i="4"/>
  <c r="TN337" i="4" s="1"/>
  <c r="TP342" i="4"/>
  <c r="TP350" i="4"/>
  <c r="TN350" i="4"/>
  <c r="TP352" i="4"/>
  <c r="TN352" i="4"/>
  <c r="TP358" i="4"/>
  <c r="TP362" i="4"/>
  <c r="TP67" i="4"/>
  <c r="TP93" i="4"/>
  <c r="TN93" i="4"/>
  <c r="TP108" i="4"/>
  <c r="TP123" i="4"/>
  <c r="TP138" i="4"/>
  <c r="TP141" i="4"/>
  <c r="TP150" i="4"/>
  <c r="TP232" i="4"/>
  <c r="TP239" i="4"/>
  <c r="TP241" i="4"/>
  <c r="TN241" i="4" s="1"/>
  <c r="TP255" i="4"/>
  <c r="TP264" i="4"/>
  <c r="TP268" i="4"/>
  <c r="TP278" i="4"/>
  <c r="TN278" i="4" s="1"/>
  <c r="TP282" i="4"/>
  <c r="TP283" i="4"/>
  <c r="TP294" i="4"/>
  <c r="TP303" i="4"/>
  <c r="TN303" i="4" s="1"/>
  <c r="TP324" i="4"/>
  <c r="TP328" i="4"/>
  <c r="TP9" i="4"/>
  <c r="TP13" i="4"/>
  <c r="TN13" i="4" s="1"/>
  <c r="TP14" i="4"/>
  <c r="TP53" i="4"/>
  <c r="TP78" i="4"/>
  <c r="TP94" i="4"/>
  <c r="TP110" i="4"/>
  <c r="TN110" i="4" s="1"/>
  <c r="TP115" i="4"/>
  <c r="TP132" i="4"/>
  <c r="TP159" i="4"/>
  <c r="TP186" i="4"/>
  <c r="TP194" i="4"/>
  <c r="TP224" i="4"/>
  <c r="TP230" i="4"/>
  <c r="TN230" i="4" s="1"/>
  <c r="TP261" i="4"/>
  <c r="TP322" i="4"/>
  <c r="TP327" i="4"/>
  <c r="TN327" i="4" s="1"/>
  <c r="TP338" i="4"/>
  <c r="TP20" i="4"/>
  <c r="TP151" i="4"/>
  <c r="TP155" i="4"/>
  <c r="TP193" i="4"/>
  <c r="TP221" i="4"/>
  <c r="TP229" i="4"/>
  <c r="TP259" i="4"/>
  <c r="TP260" i="4"/>
  <c r="TP265" i="4"/>
  <c r="TP295" i="4"/>
  <c r="TP319" i="4"/>
  <c r="TP335" i="4"/>
  <c r="TN335" i="4" s="1"/>
  <c r="TP340" i="4"/>
  <c r="TP341" i="4"/>
  <c r="TP344" i="4"/>
  <c r="TP357" i="4"/>
  <c r="TP360" i="4"/>
  <c r="TP3" i="4"/>
  <c r="EJ32" i="4"/>
  <c r="VJ1" i="4"/>
  <c r="VK1" i="4"/>
  <c r="VK176" i="4" s="1"/>
  <c r="VL1" i="4"/>
  <c r="VN1" i="4"/>
  <c r="VN165" i="4" s="1"/>
  <c r="TP165" i="4" s="1"/>
  <c r="TN165" i="4" s="1"/>
  <c r="VG1" i="4"/>
  <c r="TO306" i="4"/>
  <c r="EI33" i="4"/>
  <c r="DP33" i="4"/>
  <c r="CN11" i="4"/>
  <c r="B56" i="11"/>
  <c r="B58" i="11" s="1"/>
  <c r="B60" i="11" s="1"/>
  <c r="B62" i="11" s="1"/>
  <c r="B64" i="11" s="1"/>
  <c r="BY17" i="4"/>
  <c r="BY18" i="4"/>
  <c r="BY15" i="4"/>
  <c r="BY14" i="4"/>
  <c r="BY13" i="4"/>
  <c r="BY12" i="4"/>
  <c r="BY11" i="4"/>
  <c r="BY10" i="4"/>
  <c r="BY9" i="4"/>
  <c r="BY8" i="4"/>
  <c r="BY7" i="4"/>
  <c r="IA7" i="4"/>
  <c r="EC40" i="4" s="1"/>
  <c r="IA6" i="4"/>
  <c r="DY40" i="4" s="1"/>
  <c r="IA5" i="4"/>
  <c r="DU40" i="4" s="1"/>
  <c r="IA4" i="4"/>
  <c r="DQ40" i="4" s="1"/>
  <c r="HX20" i="4"/>
  <c r="HX15" i="4"/>
  <c r="HX9" i="4"/>
  <c r="HX3" i="4"/>
  <c r="HT3" i="4"/>
  <c r="DP41" i="4"/>
  <c r="DP40" i="4"/>
  <c r="HW6" i="4"/>
  <c r="HW5" i="4"/>
  <c r="HW4" i="4"/>
  <c r="HR5" i="4"/>
  <c r="HR6" i="4"/>
  <c r="HP5" i="4"/>
  <c r="HK3" i="4"/>
  <c r="HL3" i="4"/>
  <c r="HP6" i="4"/>
  <c r="HQ6" i="4" s="1"/>
  <c r="HS6" i="4" s="1"/>
  <c r="HR4" i="4"/>
  <c r="HP4" i="4"/>
  <c r="HQ4" i="4" s="1"/>
  <c r="HS4" i="4" s="1"/>
  <c r="HL4" i="4"/>
  <c r="HL5" i="4"/>
  <c r="HL6" i="4"/>
  <c r="HL7" i="4"/>
  <c r="HL8" i="4"/>
  <c r="HL9" i="4"/>
  <c r="HL10" i="4"/>
  <c r="HL11" i="4"/>
  <c r="HL12" i="4"/>
  <c r="HL13" i="4"/>
  <c r="HL14" i="4"/>
  <c r="HL15" i="4"/>
  <c r="HL16" i="4"/>
  <c r="HL17" i="4"/>
  <c r="HM3" i="4"/>
  <c r="DE16" i="4"/>
  <c r="DC16" i="4"/>
  <c r="YB4" i="4"/>
  <c r="PS52" i="4"/>
  <c r="PS39" i="4"/>
  <c r="PS31" i="4"/>
  <c r="PS16" i="4"/>
  <c r="KU16" i="4" s="1"/>
  <c r="PS17" i="4"/>
  <c r="PS18" i="4"/>
  <c r="PS19" i="4"/>
  <c r="PU19" i="4" s="1"/>
  <c r="PV19" i="4" s="1"/>
  <c r="PS20" i="4"/>
  <c r="PS21" i="4"/>
  <c r="PU21" i="4" s="1"/>
  <c r="PV21" i="4" s="1"/>
  <c r="PS22" i="4"/>
  <c r="KU22" i="4" s="1"/>
  <c r="PS23" i="4"/>
  <c r="PS24" i="4"/>
  <c r="KU24" i="4" s="1"/>
  <c r="PS25" i="4"/>
  <c r="PS26" i="4"/>
  <c r="PS27" i="4"/>
  <c r="PS28" i="4"/>
  <c r="PS29" i="4"/>
  <c r="PS30" i="4"/>
  <c r="KU30" i="4" s="1"/>
  <c r="PS32" i="4"/>
  <c r="PS33" i="4"/>
  <c r="KU33" i="4" s="1"/>
  <c r="PS34" i="4"/>
  <c r="PS35" i="4"/>
  <c r="PU35" i="4" s="1"/>
  <c r="PV35" i="4" s="1"/>
  <c r="PS36" i="4"/>
  <c r="KU36" i="4" s="1"/>
  <c r="PS37" i="4"/>
  <c r="PS38" i="4"/>
  <c r="PS40" i="4"/>
  <c r="KU40" i="4" s="1"/>
  <c r="PS41" i="4"/>
  <c r="KU41" i="4" s="1"/>
  <c r="PS42" i="4"/>
  <c r="PS43" i="4"/>
  <c r="PS44" i="4"/>
  <c r="KU44" i="4" s="1"/>
  <c r="PS45" i="4"/>
  <c r="KU45" i="4" s="1"/>
  <c r="PS46" i="4"/>
  <c r="KU46" i="4" s="1"/>
  <c r="PS47" i="4"/>
  <c r="KU47" i="4" s="1"/>
  <c r="PS48" i="4"/>
  <c r="KU48" i="4" s="1"/>
  <c r="PS49" i="4"/>
  <c r="PS50" i="4"/>
  <c r="PS51" i="4"/>
  <c r="PS53" i="4"/>
  <c r="PU53" i="4" s="1"/>
  <c r="PV53" i="4" s="1"/>
  <c r="PS54" i="4"/>
  <c r="PS55" i="4"/>
  <c r="PS56" i="4"/>
  <c r="KU56" i="4" s="1"/>
  <c r="PS57" i="4"/>
  <c r="PU57" i="4" s="1"/>
  <c r="PV57" i="4" s="1"/>
  <c r="AR41" i="4"/>
  <c r="AQ41" i="4"/>
  <c r="BD41" i="4"/>
  <c r="BB41" i="4"/>
  <c r="AY41" i="4"/>
  <c r="BD43" i="4"/>
  <c r="BC43" i="4"/>
  <c r="BB43" i="4"/>
  <c r="BA43" i="4"/>
  <c r="AZ43" i="4"/>
  <c r="AY43" i="4"/>
  <c r="AX43" i="4"/>
  <c r="AW43" i="4"/>
  <c r="AV43" i="4"/>
  <c r="AU43" i="4"/>
  <c r="AT43" i="4"/>
  <c r="AS43" i="4"/>
  <c r="AR43" i="4"/>
  <c r="AP64" i="4"/>
  <c r="WE2" i="4"/>
  <c r="HF3" i="4"/>
  <c r="HE3" i="4"/>
  <c r="HD3" i="4"/>
  <c r="HI6" i="4"/>
  <c r="EB29" i="4" s="1"/>
  <c r="HI5" i="4"/>
  <c r="DT29" i="4" s="1"/>
  <c r="HI4" i="4"/>
  <c r="HJ4" i="4" s="1"/>
  <c r="HC3" i="4"/>
  <c r="GW4" i="4"/>
  <c r="GW5" i="4"/>
  <c r="GW6" i="4" s="1"/>
  <c r="GW7" i="4" s="1"/>
  <c r="GW8" i="4" s="1"/>
  <c r="GW9" i="4" s="1"/>
  <c r="GW10" i="4" s="1"/>
  <c r="GW11" i="4" s="1"/>
  <c r="GW12" i="4" s="1"/>
  <c r="GW13" i="4" s="1"/>
  <c r="GW14" i="4" s="1"/>
  <c r="GW15" i="4" s="1"/>
  <c r="GW16" i="4" s="1"/>
  <c r="GW17" i="4" s="1"/>
  <c r="GW18" i="4" s="1"/>
  <c r="GW19" i="4" s="1"/>
  <c r="GV3" i="4"/>
  <c r="GX3" i="4"/>
  <c r="DR34" i="4"/>
  <c r="DR35" i="4"/>
  <c r="DR36" i="4"/>
  <c r="EY36" i="4"/>
  <c r="EX36" i="4"/>
  <c r="EW36" i="4"/>
  <c r="EV36" i="4"/>
  <c r="EU36" i="4"/>
  <c r="ET36" i="4"/>
  <c r="ER36" i="4"/>
  <c r="EP36" i="4"/>
  <c r="EN36" i="4"/>
  <c r="EL36" i="4"/>
  <c r="EJ36" i="4"/>
  <c r="EI36" i="4"/>
  <c r="EH36" i="4"/>
  <c r="EG36" i="4"/>
  <c r="EF36" i="4"/>
  <c r="ED36" i="4"/>
  <c r="EC36" i="4"/>
  <c r="EB36" i="4"/>
  <c r="EA36" i="4"/>
  <c r="DZ36" i="4"/>
  <c r="DX36" i="4"/>
  <c r="DW36" i="4"/>
  <c r="DV36" i="4"/>
  <c r="DU36" i="4"/>
  <c r="DS36" i="4"/>
  <c r="DP36" i="4"/>
  <c r="DO36" i="4"/>
  <c r="BV12" i="4"/>
  <c r="DE14" i="4"/>
  <c r="DB14" i="4"/>
  <c r="CT14" i="4"/>
  <c r="DP24" i="4"/>
  <c r="ER40" i="4"/>
  <c r="EP40" i="4"/>
  <c r="EN40" i="4"/>
  <c r="EL40" i="4"/>
  <c r="EJ40" i="4"/>
  <c r="ER35" i="4"/>
  <c r="EP35" i="4"/>
  <c r="EN35" i="4"/>
  <c r="EL35" i="4"/>
  <c r="EJ35" i="4"/>
  <c r="ER34" i="4"/>
  <c r="EP34" i="4"/>
  <c r="EN34" i="4"/>
  <c r="EL34" i="4"/>
  <c r="EJ34" i="4"/>
  <c r="ER33" i="4"/>
  <c r="EP33" i="4"/>
  <c r="EN33" i="4"/>
  <c r="EL33" i="4"/>
  <c r="EJ33" i="4"/>
  <c r="ER31" i="4"/>
  <c r="EP31" i="4"/>
  <c r="EN31" i="4"/>
  <c r="EL31" i="4"/>
  <c r="EJ31" i="4"/>
  <c r="ER30" i="4"/>
  <c r="EP30" i="4"/>
  <c r="EN30" i="4"/>
  <c r="EL30" i="4"/>
  <c r="EJ30" i="4"/>
  <c r="ER29" i="4"/>
  <c r="EP29" i="4"/>
  <c r="EN29" i="4"/>
  <c r="EL29" i="4"/>
  <c r="EJ29" i="4"/>
  <c r="ER28" i="4"/>
  <c r="EP28" i="4"/>
  <c r="EN28" i="4"/>
  <c r="EL28" i="4"/>
  <c r="EJ28" i="4"/>
  <c r="ER27" i="4"/>
  <c r="EP27" i="4"/>
  <c r="EN27" i="4"/>
  <c r="EL27" i="4"/>
  <c r="EJ27" i="4"/>
  <c r="ER26" i="4"/>
  <c r="EP26" i="4"/>
  <c r="EN26" i="4"/>
  <c r="EL26" i="4"/>
  <c r="EJ26" i="4"/>
  <c r="ER25" i="4"/>
  <c r="EP25" i="4"/>
  <c r="EN25" i="4"/>
  <c r="EL25" i="4"/>
  <c r="EJ25" i="4"/>
  <c r="ER24" i="4"/>
  <c r="EP24" i="4"/>
  <c r="EN24" i="4"/>
  <c r="EL24" i="4"/>
  <c r="EJ24" i="4"/>
  <c r="ER23" i="4"/>
  <c r="EP23" i="4"/>
  <c r="EN23" i="4"/>
  <c r="EL23" i="4"/>
  <c r="EJ23" i="4"/>
  <c r="ER22" i="4"/>
  <c r="EP22" i="4"/>
  <c r="EN22" i="4"/>
  <c r="EL22" i="4"/>
  <c r="EJ22" i="4"/>
  <c r="ER21" i="4"/>
  <c r="EP21" i="4"/>
  <c r="EN21" i="4"/>
  <c r="EL21" i="4"/>
  <c r="EJ21" i="4"/>
  <c r="ER20" i="4"/>
  <c r="EP20" i="4"/>
  <c r="EN20" i="4"/>
  <c r="EL20" i="4"/>
  <c r="EJ20" i="4"/>
  <c r="ER19" i="4"/>
  <c r="EP19" i="4"/>
  <c r="EN19" i="4"/>
  <c r="EL19" i="4"/>
  <c r="EJ19" i="4"/>
  <c r="ER18" i="4"/>
  <c r="EP18" i="4"/>
  <c r="EN18" i="4"/>
  <c r="EL18" i="4"/>
  <c r="EJ18" i="4"/>
  <c r="ER17" i="4"/>
  <c r="EP17" i="4"/>
  <c r="EN17" i="4"/>
  <c r="EL17" i="4"/>
  <c r="EJ17" i="4"/>
  <c r="ER16" i="4"/>
  <c r="EP16" i="4"/>
  <c r="EN16" i="4"/>
  <c r="EL16" i="4"/>
  <c r="EJ16" i="4"/>
  <c r="ER15" i="4"/>
  <c r="EP15" i="4"/>
  <c r="EN15" i="4"/>
  <c r="EL15" i="4"/>
  <c r="EJ15" i="4"/>
  <c r="ER14" i="4"/>
  <c r="EP14" i="4"/>
  <c r="EN14" i="4"/>
  <c r="EL14" i="4"/>
  <c r="EJ14" i="4"/>
  <c r="TS338" i="4"/>
  <c r="TO338" i="4"/>
  <c r="TN338" i="4" s="1"/>
  <c r="TS206" i="4"/>
  <c r="TS187" i="4"/>
  <c r="TO187" i="4"/>
  <c r="TN187" i="4"/>
  <c r="TS183" i="4"/>
  <c r="TS180" i="4"/>
  <c r="TS159" i="4"/>
  <c r="TO159" i="4"/>
  <c r="TN159" i="4"/>
  <c r="TS120" i="4"/>
  <c r="TS116" i="4"/>
  <c r="TO116" i="4"/>
  <c r="TN116" i="4" s="1"/>
  <c r="TX364" i="4"/>
  <c r="TS364" i="4"/>
  <c r="TO364" i="4"/>
  <c r="TX363" i="4"/>
  <c r="TS363" i="4"/>
  <c r="TO363" i="4"/>
  <c r="TX362" i="4"/>
  <c r="TS362" i="4"/>
  <c r="TO362" i="4"/>
  <c r="TN362" i="4" s="1"/>
  <c r="TS361" i="4"/>
  <c r="TX360" i="4"/>
  <c r="TS360" i="4"/>
  <c r="TO360" i="4"/>
  <c r="TN360" i="4" s="1"/>
  <c r="TS359" i="4"/>
  <c r="TO359" i="4"/>
  <c r="TX358" i="4"/>
  <c r="TS358" i="4"/>
  <c r="TO358" i="4"/>
  <c r="TN358" i="4"/>
  <c r="TX357" i="4"/>
  <c r="TS357" i="4"/>
  <c r="TO357" i="4"/>
  <c r="TN357" i="4"/>
  <c r="TS356" i="4"/>
  <c r="TO356" i="4"/>
  <c r="TO355" i="4"/>
  <c r="TO354" i="4"/>
  <c r="TS353" i="4"/>
  <c r="TO353" i="4"/>
  <c r="TN353" i="4" s="1"/>
  <c r="TX352" i="4"/>
  <c r="TS352" i="4"/>
  <c r="TS351" i="4"/>
  <c r="TO351" i="4"/>
  <c r="TS350" i="4"/>
  <c r="TS349" i="4"/>
  <c r="TO349" i="4"/>
  <c r="TN349" i="4" s="1"/>
  <c r="TS348" i="4"/>
  <c r="TS347" i="4"/>
  <c r="TO347" i="4"/>
  <c r="TN347" i="4" s="1"/>
  <c r="TX346" i="4"/>
  <c r="TS346" i="4"/>
  <c r="TO345" i="4"/>
  <c r="TN345" i="4" s="1"/>
  <c r="TS344" i="4"/>
  <c r="TO344" i="4"/>
  <c r="TX343" i="4"/>
  <c r="TS343" i="4"/>
  <c r="TO343" i="4"/>
  <c r="TN343" i="4"/>
  <c r="TS342" i="4"/>
  <c r="TO342" i="4"/>
  <c r="TN342" i="4"/>
  <c r="TS341" i="4"/>
  <c r="TO341" i="4"/>
  <c r="TS340" i="4"/>
  <c r="TO340" i="4"/>
  <c r="TN340" i="4" s="1"/>
  <c r="TX339" i="4"/>
  <c r="TS339" i="4"/>
  <c r="TO339" i="4"/>
  <c r="TS337" i="4"/>
  <c r="TO337" i="4"/>
  <c r="TS336" i="4"/>
  <c r="TO336" i="4"/>
  <c r="TX335" i="4"/>
  <c r="TS335" i="4"/>
  <c r="TO335" i="4"/>
  <c r="TX334" i="4"/>
  <c r="TS334" i="4"/>
  <c r="TX333" i="4"/>
  <c r="TS333" i="4"/>
  <c r="TO333" i="4"/>
  <c r="TN333" i="4"/>
  <c r="TS332" i="4"/>
  <c r="TO332" i="4"/>
  <c r="TX331" i="4"/>
  <c r="TS331" i="4"/>
  <c r="TO331" i="4"/>
  <c r="TN331" i="4"/>
  <c r="TO330" i="4"/>
  <c r="TN330" i="4"/>
  <c r="TS329" i="4"/>
  <c r="TO329" i="4"/>
  <c r="TN329" i="4"/>
  <c r="TX328" i="4"/>
  <c r="TS328" i="4"/>
  <c r="TO328" i="4"/>
  <c r="TN328" i="4" s="1"/>
  <c r="TS327" i="4"/>
  <c r="TO327" i="4"/>
  <c r="TX326" i="4"/>
  <c r="TS326" i="4"/>
  <c r="TO326" i="4"/>
  <c r="TN326" i="4"/>
  <c r="TS325" i="4"/>
  <c r="TO325" i="4"/>
  <c r="TS324" i="4"/>
  <c r="TO324" i="4"/>
  <c r="TN324" i="4"/>
  <c r="TX323" i="4"/>
  <c r="TS323" i="4"/>
  <c r="TO323" i="4"/>
  <c r="TN323" i="4"/>
  <c r="TS322" i="4"/>
  <c r="TO322" i="4"/>
  <c r="TS321" i="4"/>
  <c r="TO321" i="4"/>
  <c r="TS320" i="4"/>
  <c r="TO320" i="4"/>
  <c r="TX319" i="4"/>
  <c r="TS319" i="4"/>
  <c r="TO319" i="4"/>
  <c r="TN319" i="4"/>
  <c r="TS318" i="4"/>
  <c r="TO318" i="4"/>
  <c r="TS317" i="4"/>
  <c r="TO317" i="4"/>
  <c r="TS316" i="4"/>
  <c r="TO316" i="4"/>
  <c r="TS315" i="4"/>
  <c r="TO315" i="4"/>
  <c r="TN315" i="4" s="1"/>
  <c r="TX314" i="4"/>
  <c r="TS314" i="4"/>
  <c r="TS313" i="4"/>
  <c r="TS312" i="4"/>
  <c r="TO312" i="4"/>
  <c r="TS311" i="4"/>
  <c r="TO311" i="4"/>
  <c r="TS310" i="4"/>
  <c r="TO310" i="4"/>
  <c r="TN310" i="4" s="1"/>
  <c r="TS309" i="4"/>
  <c r="TO309" i="4"/>
  <c r="TX308" i="4"/>
  <c r="TO308" i="4"/>
  <c r="TX307" i="4"/>
  <c r="TS307" i="4"/>
  <c r="TO307" i="4"/>
  <c r="TN307" i="4" s="1"/>
  <c r="TS306" i="4"/>
  <c r="TS305" i="4"/>
  <c r="TO305" i="4"/>
  <c r="TS304" i="4"/>
  <c r="TS303" i="4"/>
  <c r="TO303" i="4"/>
  <c r="TS302" i="4"/>
  <c r="TO302" i="4"/>
  <c r="TN302" i="4" s="1"/>
  <c r="TX301" i="4"/>
  <c r="TO301" i="4"/>
  <c r="TX300" i="4"/>
  <c r="TS300" i="4"/>
  <c r="TO300" i="4"/>
  <c r="TN300" i="4" s="1"/>
  <c r="TS299" i="4"/>
  <c r="TO299" i="4"/>
  <c r="TS298" i="4"/>
  <c r="TO298" i="4"/>
  <c r="TX297" i="4"/>
  <c r="TS297" i="4"/>
  <c r="TO297" i="4"/>
  <c r="TN297" i="4" s="1"/>
  <c r="TS296" i="4"/>
  <c r="TS295" i="4"/>
  <c r="TO295" i="4"/>
  <c r="TN295" i="4"/>
  <c r="TS294" i="4"/>
  <c r="TO294" i="4"/>
  <c r="TN294" i="4"/>
  <c r="TS293" i="4"/>
  <c r="TO293" i="4"/>
  <c r="TX292" i="4"/>
  <c r="TS292" i="4"/>
  <c r="TO292" i="4"/>
  <c r="TS291" i="4"/>
  <c r="TO291" i="4"/>
  <c r="TN291" i="4"/>
  <c r="TX290" i="4"/>
  <c r="TS290" i="4"/>
  <c r="TS289" i="4"/>
  <c r="TO289" i="4"/>
  <c r="TX288" i="4"/>
  <c r="TS288" i="4"/>
  <c r="TS287" i="4"/>
  <c r="TO287" i="4"/>
  <c r="TX286" i="4"/>
  <c r="TS286" i="4"/>
  <c r="TO286" i="4"/>
  <c r="TN286" i="4" s="1"/>
  <c r="TS285" i="4"/>
  <c r="TO285" i="4"/>
  <c r="TS284" i="4"/>
  <c r="TO284" i="4"/>
  <c r="TS283" i="4"/>
  <c r="TO283" i="4"/>
  <c r="TN283" i="4"/>
  <c r="TS282" i="4"/>
  <c r="TO282" i="4"/>
  <c r="TN282" i="4" s="1"/>
  <c r="TS281" i="4"/>
  <c r="TO281" i="4"/>
  <c r="TX280" i="4"/>
  <c r="TS280" i="4"/>
  <c r="TO280" i="4"/>
  <c r="TN280" i="4" s="1"/>
  <c r="TS279" i="4"/>
  <c r="TO279" i="4"/>
  <c r="TN279" i="4" s="1"/>
  <c r="TS278" i="4"/>
  <c r="TO278" i="4"/>
  <c r="TX277" i="4"/>
  <c r="TS277" i="4"/>
  <c r="TX276" i="4"/>
  <c r="TS276" i="4"/>
  <c r="TO276" i="4"/>
  <c r="TX275" i="4"/>
  <c r="TS275" i="4"/>
  <c r="TO275" i="4"/>
  <c r="TO274" i="4"/>
  <c r="TN274" i="4"/>
  <c r="TS273" i="4"/>
  <c r="TO273" i="4"/>
  <c r="TX272" i="4"/>
  <c r="TO272" i="4"/>
  <c r="TN272" i="4" s="1"/>
  <c r="TX271" i="4"/>
  <c r="TS271" i="4"/>
  <c r="TO271" i="4"/>
  <c r="TN271" i="4" s="1"/>
  <c r="TS270" i="4"/>
  <c r="TO270" i="4"/>
  <c r="TX269" i="4"/>
  <c r="TS269" i="4"/>
  <c r="TO269" i="4"/>
  <c r="TS268" i="4"/>
  <c r="TO268" i="4"/>
  <c r="TN268" i="4" s="1"/>
  <c r="TS267" i="4"/>
  <c r="TO267" i="4"/>
  <c r="TN267" i="4"/>
  <c r="TX266" i="4"/>
  <c r="TS266" i="4"/>
  <c r="TO266" i="4"/>
  <c r="TX265" i="4"/>
  <c r="TS265" i="4"/>
  <c r="TO265" i="4"/>
  <c r="TX264" i="4"/>
  <c r="TS264" i="4"/>
  <c r="TO264" i="4"/>
  <c r="TN264" i="4"/>
  <c r="TX263" i="4"/>
  <c r="TS263" i="4"/>
  <c r="TO263" i="4"/>
  <c r="TN263" i="4"/>
  <c r="TX262" i="4"/>
  <c r="TS262" i="4"/>
  <c r="TO262" i="4"/>
  <c r="TN262" i="4"/>
  <c r="TX261" i="4"/>
  <c r="TS261" i="4"/>
  <c r="TO261" i="4"/>
  <c r="TX260" i="4"/>
  <c r="TS260" i="4"/>
  <c r="TO260" i="4"/>
  <c r="TN260" i="4"/>
  <c r="TS259" i="4"/>
  <c r="TO259" i="4"/>
  <c r="TS258" i="4"/>
  <c r="TO258" i="4"/>
  <c r="TX257" i="4"/>
  <c r="TS257" i="4"/>
  <c r="TO257" i="4"/>
  <c r="TX256" i="4"/>
  <c r="TO256" i="4"/>
  <c r="TS255" i="4"/>
  <c r="TO255" i="4"/>
  <c r="TN255" i="4"/>
  <c r="TS254" i="4"/>
  <c r="TX253" i="4"/>
  <c r="TS253" i="4"/>
  <c r="TO253" i="4"/>
  <c r="TX252" i="4"/>
  <c r="TO252" i="4"/>
  <c r="TN252" i="4"/>
  <c r="TX251" i="4"/>
  <c r="TS251" i="4"/>
  <c r="TS250" i="4"/>
  <c r="TO250" i="4"/>
  <c r="TN250" i="4" s="1"/>
  <c r="TS249" i="4"/>
  <c r="TO249" i="4"/>
  <c r="TS248" i="4"/>
  <c r="TO248" i="4"/>
  <c r="TX247" i="4"/>
  <c r="TS247" i="4"/>
  <c r="TO247" i="4"/>
  <c r="TN247" i="4" s="1"/>
  <c r="TS246" i="4"/>
  <c r="TO246" i="4"/>
  <c r="TS245" i="4"/>
  <c r="TS244" i="4"/>
  <c r="TO244" i="4"/>
  <c r="TN244" i="4"/>
  <c r="TS243" i="4"/>
  <c r="TO243" i="4"/>
  <c r="TS242" i="4"/>
  <c r="TO242" i="4"/>
  <c r="TN242" i="4" s="1"/>
  <c r="TS241" i="4"/>
  <c r="TO241" i="4"/>
  <c r="TS240" i="4"/>
  <c r="TS239" i="4"/>
  <c r="TO239" i="4"/>
  <c r="TN239" i="4"/>
  <c r="TS238" i="4"/>
  <c r="TO238" i="4"/>
  <c r="TN238" i="4"/>
  <c r="TS237" i="4"/>
  <c r="TX236" i="4"/>
  <c r="TS236" i="4"/>
  <c r="TX235" i="4"/>
  <c r="TS235" i="4"/>
  <c r="TO235" i="4"/>
  <c r="TX234" i="4"/>
  <c r="TS234" i="4"/>
  <c r="TO234" i="4"/>
  <c r="TN234" i="4" s="1"/>
  <c r="TX233" i="4"/>
  <c r="TS233" i="4"/>
  <c r="TO233" i="4"/>
  <c r="TX232" i="4"/>
  <c r="TS232" i="4"/>
  <c r="TO232" i="4"/>
  <c r="TN232" i="4" s="1"/>
  <c r="TS231" i="4"/>
  <c r="TO231" i="4"/>
  <c r="TX230" i="4"/>
  <c r="TS230" i="4"/>
  <c r="TO230" i="4"/>
  <c r="TX229" i="4"/>
  <c r="TS229" i="4"/>
  <c r="TO229" i="4"/>
  <c r="TS228" i="4"/>
  <c r="TO228" i="4"/>
  <c r="TN228" i="4" s="1"/>
  <c r="TX227" i="4"/>
  <c r="TS227" i="4"/>
  <c r="TO227" i="4"/>
  <c r="TS226" i="4"/>
  <c r="TX225" i="4"/>
  <c r="TO225" i="4"/>
  <c r="TX224" i="4"/>
  <c r="TS224" i="4"/>
  <c r="TO224" i="4"/>
  <c r="TN224" i="4" s="1"/>
  <c r="TS223" i="4"/>
  <c r="TX222" i="4"/>
  <c r="TS222" i="4"/>
  <c r="TX221" i="4"/>
  <c r="TS221" i="4"/>
  <c r="TO221" i="4"/>
  <c r="TN221" i="4"/>
  <c r="TX220" i="4"/>
  <c r="TS220" i="4"/>
  <c r="TS219" i="4"/>
  <c r="TX218" i="4"/>
  <c r="TS218" i="4"/>
  <c r="TO217" i="4"/>
  <c r="TN217" i="4" s="1"/>
  <c r="TX216" i="4"/>
  <c r="TS216" i="4"/>
  <c r="TS215" i="4"/>
  <c r="TO215" i="4"/>
  <c r="TN215" i="4"/>
  <c r="TS214" i="4"/>
  <c r="TX213" i="4"/>
  <c r="TS213" i="4"/>
  <c r="TO213" i="4"/>
  <c r="TN213" i="4" s="1"/>
  <c r="TS212" i="4"/>
  <c r="TO212" i="4"/>
  <c r="TS211" i="4"/>
  <c r="TO211" i="4"/>
  <c r="TN211" i="4" s="1"/>
  <c r="TS210" i="4"/>
  <c r="TO210" i="4"/>
  <c r="TN210" i="4" s="1"/>
  <c r="TS209" i="4"/>
  <c r="TO209" i="4"/>
  <c r="TO208" i="4"/>
  <c r="TS207" i="4"/>
  <c r="TO207" i="4"/>
  <c r="TS205" i="4"/>
  <c r="TO205" i="4"/>
  <c r="TN205" i="4" s="1"/>
  <c r="TS204" i="4"/>
  <c r="TO204" i="4"/>
  <c r="TX203" i="4"/>
  <c r="TS203" i="4"/>
  <c r="TO203" i="4"/>
  <c r="TO202" i="4"/>
  <c r="TN202" i="4" s="1"/>
  <c r="TS201" i="4"/>
  <c r="TO201" i="4"/>
  <c r="TN201" i="4" s="1"/>
  <c r="TS200" i="4"/>
  <c r="TO200" i="4"/>
  <c r="TX199" i="4"/>
  <c r="TS199" i="4"/>
  <c r="TO199" i="4"/>
  <c r="TN199" i="4" s="1"/>
  <c r="TS198" i="4"/>
  <c r="TO198" i="4"/>
  <c r="TN198" i="4" s="1"/>
  <c r="TS197" i="4"/>
  <c r="TS196" i="4"/>
  <c r="TX195" i="4"/>
  <c r="TS195" i="4"/>
  <c r="TX194" i="4"/>
  <c r="TS194" i="4"/>
  <c r="TO194" i="4"/>
  <c r="TN194" i="4" s="1"/>
  <c r="TS193" i="4"/>
  <c r="TO193" i="4"/>
  <c r="TO192" i="4"/>
  <c r="TN192" i="4" s="1"/>
  <c r="TO191" i="4"/>
  <c r="TS190" i="4"/>
  <c r="TS189" i="4"/>
  <c r="TO189" i="4"/>
  <c r="TN189" i="4"/>
  <c r="TX188" i="4"/>
  <c r="TS188" i="4"/>
  <c r="TS186" i="4"/>
  <c r="TO186" i="4"/>
  <c r="TN186" i="4" s="1"/>
  <c r="TS185" i="4"/>
  <c r="TS184" i="4"/>
  <c r="TS182" i="4"/>
  <c r="TS181" i="4"/>
  <c r="TO181" i="4"/>
  <c r="TS179" i="4"/>
  <c r="TX178" i="4"/>
  <c r="TS178" i="4"/>
  <c r="TX177" i="4"/>
  <c r="TS177" i="4"/>
  <c r="TS176" i="4"/>
  <c r="TO176" i="4"/>
  <c r="TX175" i="4"/>
  <c r="TS175" i="4"/>
  <c r="TO175" i="4"/>
  <c r="TN175" i="4" s="1"/>
  <c r="TS174" i="4"/>
  <c r="TO174" i="4"/>
  <c r="TS173" i="4"/>
  <c r="TO173" i="4"/>
  <c r="TX172" i="4"/>
  <c r="TS172" i="4"/>
  <c r="TS171" i="4"/>
  <c r="TO171" i="4"/>
  <c r="TX170" i="4"/>
  <c r="TS170" i="4"/>
  <c r="TX169" i="4"/>
  <c r="TS169" i="4"/>
  <c r="TO169" i="4"/>
  <c r="TS168" i="4"/>
  <c r="TO168" i="4"/>
  <c r="TN168" i="4"/>
  <c r="TX167" i="4"/>
  <c r="TS167" i="4"/>
  <c r="TO167" i="4"/>
  <c r="TS166" i="4"/>
  <c r="TO166" i="4"/>
  <c r="TN166" i="4" s="1"/>
  <c r="TX165" i="4"/>
  <c r="TS165" i="4"/>
  <c r="TO165" i="4"/>
  <c r="TS164" i="4"/>
  <c r="TO164" i="4"/>
  <c r="TX163" i="4"/>
  <c r="TS163" i="4"/>
  <c r="TO163" i="4"/>
  <c r="TS162" i="4"/>
  <c r="TO162" i="4"/>
  <c r="TN162" i="4" s="1"/>
  <c r="TS161" i="4"/>
  <c r="TS160" i="4"/>
  <c r="TS158" i="4"/>
  <c r="TO158" i="4"/>
  <c r="TN158" i="4" s="1"/>
  <c r="TO157" i="4"/>
  <c r="TN157" i="4"/>
  <c r="TX156" i="4"/>
  <c r="TS156" i="4"/>
  <c r="TS155" i="4"/>
  <c r="TO155" i="4"/>
  <c r="TN155" i="4" s="1"/>
  <c r="TS154" i="4"/>
  <c r="TO154" i="4"/>
  <c r="TS153" i="4"/>
  <c r="TO153" i="4"/>
  <c r="TN153" i="4" s="1"/>
  <c r="TS152" i="4"/>
  <c r="TO152" i="4"/>
  <c r="TS151" i="4"/>
  <c r="TO151" i="4"/>
  <c r="TN151" i="4"/>
  <c r="TS150" i="4"/>
  <c r="TO150" i="4"/>
  <c r="TN150" i="4" s="1"/>
  <c r="TO149" i="4"/>
  <c r="TX148" i="4"/>
  <c r="TS148" i="4"/>
  <c r="TS147" i="4"/>
  <c r="TS146" i="4"/>
  <c r="TO146" i="4"/>
  <c r="TS145" i="4"/>
  <c r="TS144" i="4"/>
  <c r="TS143" i="4"/>
  <c r="TS142" i="4"/>
  <c r="TX141" i="4"/>
  <c r="TS141" i="4"/>
  <c r="TO141" i="4"/>
  <c r="TN141" i="4" s="1"/>
  <c r="TS140" i="4"/>
  <c r="TO140" i="4"/>
  <c r="TN140" i="4"/>
  <c r="TX139" i="4"/>
  <c r="TS139" i="4"/>
  <c r="TO139" i="4"/>
  <c r="TN139" i="4" s="1"/>
  <c r="TX138" i="4"/>
  <c r="TS138" i="4"/>
  <c r="TO138" i="4"/>
  <c r="TN138" i="4"/>
  <c r="TX137" i="4"/>
  <c r="TS137" i="4"/>
  <c r="TO137" i="4"/>
  <c r="TN137" i="4" s="1"/>
  <c r="TS136" i="4"/>
  <c r="TO136" i="4"/>
  <c r="TN136" i="4"/>
  <c r="TS135" i="4"/>
  <c r="TO135" i="4"/>
  <c r="TN135" i="4"/>
  <c r="TO134" i="4"/>
  <c r="TN134" i="4" s="1"/>
  <c r="TO133" i="4"/>
  <c r="TN133" i="4" s="1"/>
  <c r="TS132" i="4"/>
  <c r="TO132" i="4"/>
  <c r="TS131" i="4"/>
  <c r="TO131" i="4"/>
  <c r="TN131" i="4"/>
  <c r="TS130" i="4"/>
  <c r="TO130" i="4"/>
  <c r="TN130" i="4"/>
  <c r="TS129" i="4"/>
  <c r="TX128" i="4"/>
  <c r="TS128" i="4"/>
  <c r="TO128" i="4"/>
  <c r="TX127" i="4"/>
  <c r="TS127" i="4"/>
  <c r="TO127" i="4"/>
  <c r="TN127" i="4"/>
  <c r="TX126" i="4"/>
  <c r="TS126" i="4"/>
  <c r="TO126" i="4"/>
  <c r="TX125" i="4"/>
  <c r="TS125" i="4"/>
  <c r="TO125" i="4"/>
  <c r="TN125" i="4"/>
  <c r="TS124" i="4"/>
  <c r="TO124" i="4"/>
  <c r="TX123" i="4"/>
  <c r="TS123" i="4"/>
  <c r="TS122" i="4"/>
  <c r="TO122" i="4"/>
  <c r="TX121" i="4"/>
  <c r="TS121" i="4"/>
  <c r="TO121" i="4"/>
  <c r="TN121" i="4" s="1"/>
  <c r="TS119" i="4"/>
  <c r="TO119" i="4"/>
  <c r="TN119" i="4" s="1"/>
  <c r="TS118" i="4"/>
  <c r="TX117" i="4"/>
  <c r="TS117" i="4"/>
  <c r="TS115" i="4"/>
  <c r="TO115" i="4"/>
  <c r="TN115" i="4" s="1"/>
  <c r="TX114" i="4"/>
  <c r="TS114" i="4"/>
  <c r="TO114" i="4"/>
  <c r="TS113" i="4"/>
  <c r="TO113" i="4"/>
  <c r="TO112" i="4"/>
  <c r="TN112" i="4" s="1"/>
  <c r="TX111" i="4"/>
  <c r="TS111" i="4"/>
  <c r="TX110" i="4"/>
  <c r="TS110" i="4"/>
  <c r="TX109" i="4"/>
  <c r="TS109" i="4"/>
  <c r="TX108" i="4"/>
  <c r="TS108" i="4"/>
  <c r="TO108" i="4"/>
  <c r="TX107" i="4"/>
  <c r="TS107" i="4"/>
  <c r="TO107" i="4"/>
  <c r="TO106" i="4"/>
  <c r="TS105" i="4"/>
  <c r="TX104" i="4"/>
  <c r="TS104" i="4"/>
  <c r="TS103" i="4"/>
  <c r="TO103" i="4"/>
  <c r="TN103" i="4"/>
  <c r="TS102" i="4"/>
  <c r="TX101" i="4"/>
  <c r="TS101" i="4"/>
  <c r="TO101" i="4"/>
  <c r="TX100" i="4"/>
  <c r="TS100" i="4"/>
  <c r="TO100" i="4"/>
  <c r="TS99" i="4"/>
  <c r="TO99" i="4"/>
  <c r="TN99" i="4" s="1"/>
  <c r="TO98" i="4"/>
  <c r="TN98" i="4" s="1"/>
  <c r="TX97" i="4"/>
  <c r="TO97" i="4"/>
  <c r="TX96" i="4"/>
  <c r="TS96" i="4"/>
  <c r="TO96" i="4"/>
  <c r="TN96" i="4"/>
  <c r="TX95" i="4"/>
  <c r="TS95" i="4"/>
  <c r="TO95" i="4"/>
  <c r="TX94" i="4"/>
  <c r="TS94" i="4"/>
  <c r="TO94" i="4"/>
  <c r="TS93" i="4"/>
  <c r="TX92" i="4"/>
  <c r="TS92" i="4"/>
  <c r="TO92" i="4"/>
  <c r="TX91" i="4"/>
  <c r="TS91" i="4"/>
  <c r="TO91" i="4"/>
  <c r="TS90" i="4"/>
  <c r="TO90" i="4"/>
  <c r="TN90" i="4"/>
  <c r="TS89" i="4"/>
  <c r="TO89" i="4"/>
  <c r="TS88" i="4"/>
  <c r="TO88" i="4"/>
  <c r="TN88" i="4" s="1"/>
  <c r="TX87" i="4"/>
  <c r="TS87" i="4"/>
  <c r="TX86" i="4"/>
  <c r="TS86" i="4"/>
  <c r="TO86" i="4"/>
  <c r="TX85" i="4"/>
  <c r="TS85" i="4"/>
  <c r="TO85" i="4"/>
  <c r="TS84" i="4"/>
  <c r="TS83" i="4"/>
  <c r="TS82" i="4"/>
  <c r="TX81" i="4"/>
  <c r="TS81" i="4"/>
  <c r="TO81" i="4"/>
  <c r="TX80" i="4"/>
  <c r="TS80" i="4"/>
  <c r="TS79" i="4"/>
  <c r="TS78" i="4"/>
  <c r="TO78" i="4"/>
  <c r="TN78" i="4" s="1"/>
  <c r="TS77" i="4"/>
  <c r="TO77" i="4"/>
  <c r="TS76" i="4"/>
  <c r="TO76" i="4"/>
  <c r="TN76" i="4"/>
  <c r="TS75" i="4"/>
  <c r="TO75" i="4"/>
  <c r="TN75" i="4" s="1"/>
  <c r="TX74" i="4"/>
  <c r="TS74" i="4"/>
  <c r="TO74" i="4"/>
  <c r="TX73" i="4"/>
  <c r="TO73" i="4"/>
  <c r="TN73" i="4" s="1"/>
  <c r="TS72" i="4"/>
  <c r="TS71" i="4"/>
  <c r="TO71" i="4"/>
  <c r="TN71" i="4" s="1"/>
  <c r="TX70" i="4"/>
  <c r="TS70" i="4"/>
  <c r="TS69" i="4"/>
  <c r="TS68" i="4"/>
  <c r="TX67" i="4"/>
  <c r="TS67" i="4"/>
  <c r="TS66" i="4"/>
  <c r="TO66" i="4"/>
  <c r="TN66" i="4" s="1"/>
  <c r="TS65" i="4"/>
  <c r="TS64" i="4"/>
  <c r="TS63" i="4"/>
  <c r="TS62" i="4"/>
  <c r="TO62" i="4"/>
  <c r="TN62" i="4"/>
  <c r="TO61" i="4"/>
  <c r="TN61" i="4" s="1"/>
  <c r="TS60" i="4"/>
  <c r="TO60" i="4"/>
  <c r="TN60" i="4"/>
  <c r="TO59" i="4"/>
  <c r="TO58" i="4"/>
  <c r="TX57" i="4"/>
  <c r="TS57" i="4"/>
  <c r="TS56" i="4"/>
  <c r="TX55" i="4"/>
  <c r="TS55" i="4"/>
  <c r="TS54" i="4"/>
  <c r="TS53" i="4"/>
  <c r="TO53" i="4"/>
  <c r="TN53" i="4"/>
  <c r="TS52" i="4"/>
  <c r="TO52" i="4"/>
  <c r="TN52" i="4"/>
  <c r="TX51" i="4"/>
  <c r="TS51" i="4"/>
  <c r="TO51" i="4"/>
  <c r="TN51" i="4" s="1"/>
  <c r="TS50" i="4"/>
  <c r="TS49" i="4"/>
  <c r="TX48" i="4"/>
  <c r="TS48" i="4"/>
  <c r="TO48" i="4"/>
  <c r="TN48" i="4" s="1"/>
  <c r="TX47" i="4"/>
  <c r="TS47" i="4"/>
  <c r="TS46" i="4"/>
  <c r="TX45" i="4"/>
  <c r="TS45" i="4"/>
  <c r="TO45" i="4"/>
  <c r="TN45" i="4"/>
  <c r="TX44" i="4"/>
  <c r="TS44" i="4"/>
  <c r="TX43" i="4"/>
  <c r="TS43" i="4"/>
  <c r="TX42" i="4"/>
  <c r="TS42" i="4"/>
  <c r="TX41" i="4"/>
  <c r="TS41" i="4"/>
  <c r="TO41" i="4"/>
  <c r="TX40" i="4"/>
  <c r="TS40" i="4"/>
  <c r="TO40" i="4"/>
  <c r="TX39" i="4"/>
  <c r="TS39" i="4"/>
  <c r="TX38" i="4"/>
  <c r="TS38" i="4"/>
  <c r="TO38" i="4"/>
  <c r="TX37" i="4"/>
  <c r="TS37" i="4"/>
  <c r="TS36" i="4"/>
  <c r="TX35" i="4"/>
  <c r="TS35" i="4"/>
  <c r="TO35" i="4"/>
  <c r="TN35" i="4"/>
  <c r="TX34" i="4"/>
  <c r="TS34" i="4"/>
  <c r="TO34" i="4"/>
  <c r="TN34" i="4" s="1"/>
  <c r="TS33" i="4"/>
  <c r="TX32" i="4"/>
  <c r="TS32" i="4"/>
  <c r="TX31" i="4"/>
  <c r="TO31" i="4"/>
  <c r="TN31" i="4" s="1"/>
  <c r="TX30" i="4"/>
  <c r="TS30" i="4"/>
  <c r="TO30" i="4"/>
  <c r="TS29" i="4"/>
  <c r="TO29" i="4"/>
  <c r="TS28" i="4"/>
  <c r="TX27" i="4"/>
  <c r="TS27" i="4"/>
  <c r="TO27" i="4"/>
  <c r="TN27" i="4"/>
  <c r="TS26" i="4"/>
  <c r="TS25" i="4"/>
  <c r="TO25" i="4"/>
  <c r="TN25" i="4" s="1"/>
  <c r="TX24" i="4"/>
  <c r="TS24" i="4"/>
  <c r="TO24" i="4"/>
  <c r="TN24" i="4"/>
  <c r="TX23" i="4"/>
  <c r="TS23" i="4"/>
  <c r="TO23" i="4"/>
  <c r="TN23" i="4" s="1"/>
  <c r="TX22" i="4"/>
  <c r="TS22" i="4"/>
  <c r="TO22" i="4"/>
  <c r="TN22" i="4"/>
  <c r="TO21" i="4"/>
  <c r="TS20" i="4"/>
  <c r="TO20" i="4"/>
  <c r="TN20" i="4" s="1"/>
  <c r="TX19" i="4"/>
  <c r="TS19" i="4"/>
  <c r="TS18" i="4"/>
  <c r="TS17" i="4"/>
  <c r="TO17" i="4"/>
  <c r="TN17" i="4"/>
  <c r="TX16" i="4"/>
  <c r="TS16" i="4"/>
  <c r="TO16" i="4"/>
  <c r="TS15" i="4"/>
  <c r="TO15" i="4"/>
  <c r="TS14" i="4"/>
  <c r="TO14" i="4"/>
  <c r="TN14" i="4"/>
  <c r="TS13" i="4"/>
  <c r="TO13" i="4"/>
  <c r="TX12" i="4"/>
  <c r="TS12" i="4"/>
  <c r="TO12" i="4"/>
  <c r="TN12" i="4"/>
  <c r="TX11" i="4"/>
  <c r="TS11" i="4"/>
  <c r="TS10" i="4"/>
  <c r="TX9" i="4"/>
  <c r="TS9" i="4"/>
  <c r="TO9" i="4"/>
  <c r="TS7" i="4"/>
  <c r="TX6" i="4"/>
  <c r="TS6" i="4"/>
  <c r="TO6" i="4"/>
  <c r="TN6" i="4"/>
  <c r="TO5" i="4"/>
  <c r="TN5" i="4" s="1"/>
  <c r="TS4" i="4"/>
  <c r="TX3" i="4"/>
  <c r="TS3" i="4"/>
  <c r="TO3" i="4"/>
  <c r="WY2" i="4"/>
  <c r="WW2" i="4"/>
  <c r="WU2" i="4"/>
  <c r="WS2" i="4"/>
  <c r="WQ2" i="4"/>
  <c r="WO2" i="4"/>
  <c r="WM2" i="4"/>
  <c r="WK2" i="4"/>
  <c r="WI2" i="4"/>
  <c r="WG2" i="4"/>
  <c r="VT1" i="4"/>
  <c r="US1" i="4"/>
  <c r="WC1" i="4"/>
  <c r="WB1" i="4"/>
  <c r="WB257" i="4" s="1"/>
  <c r="VZ1" i="4"/>
  <c r="VZ331" i="4" s="1"/>
  <c r="TL1" i="4"/>
  <c r="TM1" i="4"/>
  <c r="TN1" i="4" s="1"/>
  <c r="TO1" i="4" s="1"/>
  <c r="TP1" i="4" s="1"/>
  <c r="TQ1" i="4" s="1"/>
  <c r="TR1" i="4" s="1"/>
  <c r="TS1" i="4" s="1"/>
  <c r="TT1" i="4" s="1"/>
  <c r="DO37" i="4"/>
  <c r="DO38" i="4"/>
  <c r="DO39" i="4"/>
  <c r="EF39" i="4"/>
  <c r="DV39" i="4"/>
  <c r="EG38" i="4"/>
  <c r="EF38" i="4"/>
  <c r="EE38" i="4"/>
  <c r="ED38" i="4"/>
  <c r="EB38" i="4"/>
  <c r="EA38" i="4"/>
  <c r="DZ38" i="4"/>
  <c r="DY38" i="4"/>
  <c r="DX38" i="4"/>
  <c r="DW38" i="4"/>
  <c r="DV38" i="4"/>
  <c r="DT38" i="4"/>
  <c r="DS38" i="4"/>
  <c r="DR38" i="4"/>
  <c r="EF37" i="4"/>
  <c r="DV37" i="4"/>
  <c r="CT15" i="4"/>
  <c r="CY31" i="11"/>
  <c r="CY33" i="11" s="1"/>
  <c r="CY35" i="11" s="1"/>
  <c r="CY37" i="11" s="1"/>
  <c r="CY39" i="11" s="1"/>
  <c r="CY41" i="11" s="1"/>
  <c r="CY43" i="11" s="1"/>
  <c r="CY45" i="11"/>
  <c r="CY47" i="11" s="1"/>
  <c r="CY49" i="11" s="1"/>
  <c r="CY51" i="11" s="1"/>
  <c r="CY53" i="11" s="1"/>
  <c r="CY55" i="11" s="1"/>
  <c r="CY57" i="11" s="1"/>
  <c r="CY59" i="11" s="1"/>
  <c r="CY61" i="11" s="1"/>
  <c r="CY63" i="11" s="1"/>
  <c r="CY65" i="11" s="1"/>
  <c r="CY67" i="11" s="1"/>
  <c r="CY69" i="11" s="1"/>
  <c r="CY71" i="11" s="1"/>
  <c r="CY73" i="11" s="1"/>
  <c r="CY75" i="11" s="1"/>
  <c r="CY77" i="11" s="1"/>
  <c r="CY79" i="11" s="1"/>
  <c r="CY81" i="11" s="1"/>
  <c r="CY83" i="11" s="1"/>
  <c r="CY85" i="11" s="1"/>
  <c r="CY87" i="11" s="1"/>
  <c r="CY89" i="11" s="1"/>
  <c r="CY91" i="11"/>
  <c r="CY93" i="11" s="1"/>
  <c r="CY95" i="11" s="1"/>
  <c r="CY97" i="11" s="1"/>
  <c r="CY99" i="11" s="1"/>
  <c r="CY101" i="11" s="1"/>
  <c r="CY103" i="11" s="1"/>
  <c r="CY105" i="11" s="1"/>
  <c r="CY107" i="11" s="1"/>
  <c r="CY109" i="11" s="1"/>
  <c r="CY111" i="11" s="1"/>
  <c r="CY113" i="11" s="1"/>
  <c r="CY115" i="11" s="1"/>
  <c r="CY117" i="11" s="1"/>
  <c r="CY119" i="11" s="1"/>
  <c r="CY121" i="11" s="1"/>
  <c r="CY123" i="11" s="1"/>
  <c r="CY125" i="11" s="1"/>
  <c r="CY127" i="11" s="1"/>
  <c r="CY129" i="11" s="1"/>
  <c r="CY131" i="11" s="1"/>
  <c r="CY133" i="11" s="1"/>
  <c r="CY135" i="11" s="1"/>
  <c r="CY137" i="11" s="1"/>
  <c r="CY139" i="11" s="1"/>
  <c r="CY141" i="11" s="1"/>
  <c r="CY143" i="11" s="1"/>
  <c r="DK18" i="11"/>
  <c r="DK19" i="11" s="1"/>
  <c r="DJ18" i="11"/>
  <c r="DJ19" i="11" s="1"/>
  <c r="DI18" i="11"/>
  <c r="DI19" i="11" s="1"/>
  <c r="DE18" i="11"/>
  <c r="DE19" i="11" s="1"/>
  <c r="DE20" i="11" s="1"/>
  <c r="DF20" i="11" s="1"/>
  <c r="DG20" i="11" s="1"/>
  <c r="DH20" i="11" s="1"/>
  <c r="DF18" i="11"/>
  <c r="DF19" i="11" s="1"/>
  <c r="DG18" i="11"/>
  <c r="DG19" i="11" s="1"/>
  <c r="DH18" i="11"/>
  <c r="DH19" i="11" s="1"/>
  <c r="AS40" i="4"/>
  <c r="AT40" i="4"/>
  <c r="AU40" i="4"/>
  <c r="AV40" i="4"/>
  <c r="AW40" i="4"/>
  <c r="AX40" i="4"/>
  <c r="AY40" i="4"/>
  <c r="AZ40" i="4"/>
  <c r="BA40" i="4"/>
  <c r="BB40" i="4"/>
  <c r="BC40" i="4"/>
  <c r="BD40" i="4"/>
  <c r="AS31" i="4"/>
  <c r="AT31" i="4"/>
  <c r="AU31" i="4"/>
  <c r="AV31" i="4"/>
  <c r="AW31" i="4"/>
  <c r="AX31" i="4"/>
  <c r="AY31" i="4"/>
  <c r="AZ31" i="4"/>
  <c r="BA31" i="4"/>
  <c r="BB31" i="4"/>
  <c r="BC31" i="4"/>
  <c r="BD31" i="4"/>
  <c r="AS22" i="4"/>
  <c r="AT22" i="4"/>
  <c r="AU22" i="4"/>
  <c r="AV22" i="4"/>
  <c r="AW22" i="4"/>
  <c r="AX22" i="4"/>
  <c r="AY22" i="4"/>
  <c r="AZ22" i="4"/>
  <c r="BA22" i="4"/>
  <c r="BB22" i="4"/>
  <c r="BC22" i="4"/>
  <c r="BD22" i="4"/>
  <c r="AS13" i="4"/>
  <c r="AT13" i="4"/>
  <c r="AU13" i="4"/>
  <c r="AV13" i="4"/>
  <c r="AW13" i="4"/>
  <c r="AX13" i="4"/>
  <c r="AY13" i="4"/>
  <c r="AZ13" i="4"/>
  <c r="BA13" i="4"/>
  <c r="BB13" i="4"/>
  <c r="BC13" i="4"/>
  <c r="BD13" i="4"/>
  <c r="LL1" i="4"/>
  <c r="LL122" i="4" s="1"/>
  <c r="E6" i="4"/>
  <c r="E9" i="4"/>
  <c r="M11" i="4"/>
  <c r="N11" i="4"/>
  <c r="O11" i="4"/>
  <c r="P11" i="4"/>
  <c r="L11" i="4"/>
  <c r="I12" i="6"/>
  <c r="I11" i="6"/>
  <c r="N10" i="4"/>
  <c r="M10" i="4"/>
  <c r="C21" i="6"/>
  <c r="Z4" i="4"/>
  <c r="Z5" i="4" s="1"/>
  <c r="Z6" i="4" s="1"/>
  <c r="Z7" i="4" s="1"/>
  <c r="Z8" i="4" s="1"/>
  <c r="Z9" i="4" s="1"/>
  <c r="Z10" i="4" s="1"/>
  <c r="Z11" i="4" s="1"/>
  <c r="Z12" i="4" s="1"/>
  <c r="Z13" i="4" s="1"/>
  <c r="Z14" i="4" s="1"/>
  <c r="Z15" i="4" s="1"/>
  <c r="BL17" i="4"/>
  <c r="ID4" i="4" s="1"/>
  <c r="Q6" i="4"/>
  <c r="S5" i="4"/>
  <c r="T5" i="4"/>
  <c r="T6" i="4"/>
  <c r="JC21" i="4"/>
  <c r="JC22" i="4"/>
  <c r="F6" i="4"/>
  <c r="D6" i="4"/>
  <c r="DN43" i="4"/>
  <c r="DN42" i="4"/>
  <c r="AR20" i="6"/>
  <c r="AR21" i="6"/>
  <c r="AS21" i="6" s="1"/>
  <c r="AR22" i="6"/>
  <c r="AR23" i="6" s="1"/>
  <c r="AS23" i="6" s="1"/>
  <c r="AR28" i="6"/>
  <c r="AS28" i="6" s="1"/>
  <c r="AR29" i="6"/>
  <c r="AS29" i="6" s="1"/>
  <c r="AR30" i="6"/>
  <c r="AS30" i="6" s="1"/>
  <c r="AR31" i="6"/>
  <c r="AS31" i="6" s="1"/>
  <c r="AR32" i="6"/>
  <c r="AS32" i="6" s="1"/>
  <c r="AR33" i="6"/>
  <c r="AS33" i="6" s="1"/>
  <c r="AR34" i="6"/>
  <c r="AS34" i="6" s="1"/>
  <c r="AR35" i="6"/>
  <c r="AS35" i="6" s="1"/>
  <c r="AR36" i="6"/>
  <c r="AS36" i="6" s="1"/>
  <c r="AR37" i="6"/>
  <c r="AS37" i="6" s="1"/>
  <c r="AR38" i="6"/>
  <c r="AS38" i="6" s="1"/>
  <c r="AR39" i="6"/>
  <c r="AS39" i="6" s="1"/>
  <c r="A3" i="4"/>
  <c r="Y14" i="4" s="1"/>
  <c r="X14" i="4" s="1"/>
  <c r="C2" i="4"/>
  <c r="D2" i="4" s="1"/>
  <c r="E2" i="4" s="1"/>
  <c r="F2" i="4"/>
  <c r="G2" i="4" s="1"/>
  <c r="H2" i="4" s="1"/>
  <c r="I2" i="4" s="1"/>
  <c r="J2" i="4" s="1"/>
  <c r="K2" i="4" s="1"/>
  <c r="L2" i="4" s="1"/>
  <c r="M2" i="4"/>
  <c r="N2" i="4" s="1"/>
  <c r="N6" i="4"/>
  <c r="AN20" i="6"/>
  <c r="Y140" i="6"/>
  <c r="UU1" i="4"/>
  <c r="UT1" i="4"/>
  <c r="AB27" i="9"/>
  <c r="AB26" i="9"/>
  <c r="AB24" i="9"/>
  <c r="AB25" i="9"/>
  <c r="DD13" i="4"/>
  <c r="EC31" i="4"/>
  <c r="EA31" i="4"/>
  <c r="DZ31" i="4"/>
  <c r="DY31" i="4"/>
  <c r="DX31" i="4"/>
  <c r="DW31" i="4"/>
  <c r="EC30" i="4"/>
  <c r="EA30" i="4"/>
  <c r="DZ30" i="4"/>
  <c r="DY30" i="4"/>
  <c r="DX30" i="4"/>
  <c r="DW30" i="4"/>
  <c r="DV30" i="4"/>
  <c r="DB12" i="4"/>
  <c r="DA12" i="4"/>
  <c r="CX12" i="4"/>
  <c r="CW12" i="4"/>
  <c r="CT12" i="4"/>
  <c r="CS12" i="4"/>
  <c r="DE11" i="4"/>
  <c r="DC11" i="4"/>
  <c r="CX11" i="4"/>
  <c r="CT11" i="4"/>
  <c r="BL18" i="4"/>
  <c r="IJ28" i="4" s="1"/>
  <c r="IH28" i="4" s="1"/>
  <c r="DN45" i="4"/>
  <c r="DN44" i="4"/>
  <c r="UX1" i="4"/>
  <c r="UW1" i="4"/>
  <c r="UW144" i="4"/>
  <c r="UV1" i="4"/>
  <c r="UV40" i="4" s="1"/>
  <c r="AR31" i="4"/>
  <c r="AR22" i="4"/>
  <c r="BB42" i="4"/>
  <c r="BD45" i="4"/>
  <c r="BD46" i="4"/>
  <c r="BD47" i="4"/>
  <c r="BD48" i="4"/>
  <c r="BD49" i="4"/>
  <c r="BD50" i="4"/>
  <c r="BD51" i="4"/>
  <c r="BD52" i="4"/>
  <c r="BD53" i="4"/>
  <c r="BD54" i="4"/>
  <c r="BD55" i="4"/>
  <c r="BD56" i="4"/>
  <c r="BD57" i="4"/>
  <c r="BD58" i="4"/>
  <c r="BD59" i="4"/>
  <c r="BD60" i="4"/>
  <c r="BD61" i="4"/>
  <c r="BD62" i="4"/>
  <c r="BD63" i="4"/>
  <c r="BA53" i="4"/>
  <c r="BB53" i="4"/>
  <c r="BC53" i="4"/>
  <c r="BA54" i="4"/>
  <c r="BB54" i="4"/>
  <c r="BC54" i="4"/>
  <c r="BA55" i="4"/>
  <c r="BB55" i="4"/>
  <c r="BC55" i="4"/>
  <c r="BA56" i="4"/>
  <c r="BB56" i="4"/>
  <c r="BC56" i="4"/>
  <c r="BA57" i="4"/>
  <c r="BB57" i="4"/>
  <c r="BC57" i="4"/>
  <c r="BA58" i="4"/>
  <c r="BB58" i="4"/>
  <c r="BC58" i="4"/>
  <c r="BA59" i="4"/>
  <c r="BB59" i="4"/>
  <c r="BC59" i="4"/>
  <c r="BA60" i="4"/>
  <c r="BB60" i="4"/>
  <c r="BC60" i="4"/>
  <c r="BA61" i="4"/>
  <c r="BB61" i="4"/>
  <c r="BC61" i="4"/>
  <c r="BA62" i="4"/>
  <c r="BB62" i="4"/>
  <c r="BC62" i="4"/>
  <c r="BA63" i="4"/>
  <c r="BB63" i="4"/>
  <c r="BC63" i="4"/>
  <c r="AY45" i="4"/>
  <c r="AY46" i="4"/>
  <c r="AY47" i="4"/>
  <c r="AY48" i="4"/>
  <c r="AY49" i="4"/>
  <c r="AY50" i="4"/>
  <c r="AY51" i="4"/>
  <c r="AX52" i="4"/>
  <c r="AY52" i="4"/>
  <c r="AX53" i="4"/>
  <c r="AY53" i="4"/>
  <c r="AX54" i="4"/>
  <c r="AY54" i="4"/>
  <c r="AZ54" i="4"/>
  <c r="AX55" i="4"/>
  <c r="AY55" i="4"/>
  <c r="AZ55" i="4"/>
  <c r="AX56" i="4"/>
  <c r="AY56" i="4"/>
  <c r="AZ56" i="4"/>
  <c r="AX57" i="4"/>
  <c r="AY57" i="4"/>
  <c r="AZ57" i="4"/>
  <c r="AX58" i="4"/>
  <c r="AY58" i="4"/>
  <c r="AZ58" i="4"/>
  <c r="AX59" i="4"/>
  <c r="AY59" i="4"/>
  <c r="AZ59" i="4"/>
  <c r="AX60" i="4"/>
  <c r="AY60" i="4"/>
  <c r="AZ60" i="4"/>
  <c r="AX61" i="4"/>
  <c r="AY61" i="4"/>
  <c r="AZ61" i="4"/>
  <c r="AX62" i="4"/>
  <c r="AY62" i="4"/>
  <c r="AZ62" i="4"/>
  <c r="AX63" i="4"/>
  <c r="AY63" i="4"/>
  <c r="AZ63" i="4"/>
  <c r="AY44" i="4"/>
  <c r="AU55" i="4"/>
  <c r="AV55" i="4"/>
  <c r="AU56" i="4"/>
  <c r="AV56" i="4"/>
  <c r="AU57" i="4"/>
  <c r="AV57" i="4"/>
  <c r="AU58" i="4"/>
  <c r="AV58" i="4"/>
  <c r="AU59" i="4"/>
  <c r="AV59" i="4"/>
  <c r="AU60" i="4"/>
  <c r="AV60" i="4"/>
  <c r="AU61" i="4"/>
  <c r="AV61" i="4"/>
  <c r="AU62" i="4"/>
  <c r="AV62" i="4"/>
  <c r="AU63" i="4"/>
  <c r="AV63" i="4"/>
  <c r="AV54" i="4"/>
  <c r="AT53" i="4"/>
  <c r="AT54" i="4"/>
  <c r="AT55" i="4"/>
  <c r="AT56" i="4"/>
  <c r="AT57" i="4"/>
  <c r="AT58" i="4"/>
  <c r="AT59" i="4"/>
  <c r="AT60" i="4"/>
  <c r="AT61" i="4"/>
  <c r="AT62" i="4"/>
  <c r="AT63" i="4"/>
  <c r="AS51" i="4"/>
  <c r="AS52" i="4"/>
  <c r="AS53" i="4"/>
  <c r="AS54" i="4"/>
  <c r="AS55" i="4"/>
  <c r="AS56" i="4"/>
  <c r="AS57" i="4"/>
  <c r="AS58" i="4"/>
  <c r="AS59" i="4"/>
  <c r="AS60" i="4"/>
  <c r="AS61" i="4"/>
  <c r="AS62" i="4"/>
  <c r="AS63" i="4"/>
  <c r="AR51" i="4"/>
  <c r="AR52" i="4"/>
  <c r="AR53" i="4"/>
  <c r="AR54" i="4"/>
  <c r="AR55" i="4"/>
  <c r="AR56" i="4"/>
  <c r="AR57" i="4"/>
  <c r="AR58" i="4"/>
  <c r="AR59" i="4"/>
  <c r="AR60" i="4"/>
  <c r="AR61" i="4"/>
  <c r="AR62" i="4"/>
  <c r="AR63" i="4"/>
  <c r="BD44" i="4"/>
  <c r="BD42" i="4"/>
  <c r="BC52" i="4"/>
  <c r="BB52" i="4"/>
  <c r="BB51" i="4"/>
  <c r="BB50" i="4"/>
  <c r="BB49" i="4"/>
  <c r="BB48" i="4"/>
  <c r="BB47" i="4"/>
  <c r="BB46" i="4"/>
  <c r="BB45" i="4"/>
  <c r="BB44" i="4"/>
  <c r="BA52" i="4"/>
  <c r="AZ64" i="4"/>
  <c r="AY64" i="4"/>
  <c r="AX64" i="4"/>
  <c r="AY42" i="4"/>
  <c r="AU54" i="4"/>
  <c r="AR50" i="4"/>
  <c r="AS50" i="4"/>
  <c r="BE53" i="4"/>
  <c r="BE52" i="4"/>
  <c r="YK55" i="4"/>
  <c r="YK56" i="4"/>
  <c r="YK35" i="4"/>
  <c r="YK36" i="4"/>
  <c r="YK37" i="4"/>
  <c r="YK38" i="4"/>
  <c r="YK39" i="4"/>
  <c r="YK40" i="4"/>
  <c r="YK41" i="4"/>
  <c r="YK42" i="4"/>
  <c r="YK43" i="4"/>
  <c r="YK44" i="4"/>
  <c r="YK45" i="4"/>
  <c r="YK46" i="4"/>
  <c r="YK47" i="4"/>
  <c r="YK48" i="4"/>
  <c r="YK49" i="4"/>
  <c r="YK19" i="4"/>
  <c r="YK20" i="4"/>
  <c r="YK21" i="4"/>
  <c r="YK22" i="4"/>
  <c r="YK23" i="4"/>
  <c r="YK24" i="4"/>
  <c r="YK25" i="4"/>
  <c r="YK26" i="4"/>
  <c r="YK27" i="4"/>
  <c r="YK28" i="4"/>
  <c r="YK29" i="4"/>
  <c r="YK30" i="4"/>
  <c r="YK31" i="4"/>
  <c r="YK16" i="4"/>
  <c r="YK15" i="4"/>
  <c r="PV129" i="4"/>
  <c r="YK10" i="4"/>
  <c r="YK9" i="4"/>
  <c r="YK8" i="4"/>
  <c r="YK7" i="4"/>
  <c r="YK6" i="4"/>
  <c r="YK5" i="4"/>
  <c r="YK4" i="4"/>
  <c r="YF4" i="4"/>
  <c r="YF5" i="4"/>
  <c r="YF6" i="4"/>
  <c r="YF7" i="4" s="1"/>
  <c r="YF8" i="4"/>
  <c r="YF9" i="4" s="1"/>
  <c r="YF10" i="4" s="1"/>
  <c r="K5" i="6"/>
  <c r="K6" i="6"/>
  <c r="K7" i="6"/>
  <c r="K8" i="6"/>
  <c r="K9" i="6"/>
  <c r="K10" i="6"/>
  <c r="EI24" i="4"/>
  <c r="U4" i="4"/>
  <c r="F12" i="1" s="1"/>
  <c r="V3" i="4"/>
  <c r="VC1" i="4"/>
  <c r="BA14" i="9"/>
  <c r="AX62" i="9"/>
  <c r="C62" i="9"/>
  <c r="GN3" i="4"/>
  <c r="GP3" i="4" s="1"/>
  <c r="GO4" i="4"/>
  <c r="GO5" i="4" s="1"/>
  <c r="GO6" i="4"/>
  <c r="GO7" i="4" s="1"/>
  <c r="EU40" i="4"/>
  <c r="EU39" i="4"/>
  <c r="EU38" i="4"/>
  <c r="EU37" i="4"/>
  <c r="EU35" i="4"/>
  <c r="EU34" i="4"/>
  <c r="EU33" i="4"/>
  <c r="EU32" i="4"/>
  <c r="EU31" i="4"/>
  <c r="EU30" i="4"/>
  <c r="EU29" i="4"/>
  <c r="EU28" i="4"/>
  <c r="EU27" i="4"/>
  <c r="EU26" i="4"/>
  <c r="EU25" i="4"/>
  <c r="EU24" i="4"/>
  <c r="EU23" i="4"/>
  <c r="EU22" i="4"/>
  <c r="EU21" i="4"/>
  <c r="EU20" i="4"/>
  <c r="EU19" i="4"/>
  <c r="EU17" i="4"/>
  <c r="EU16" i="4"/>
  <c r="EU15" i="4"/>
  <c r="EU13" i="4"/>
  <c r="EU12" i="4"/>
  <c r="EU11" i="4"/>
  <c r="EU10" i="4"/>
  <c r="EU9" i="4"/>
  <c r="EU8" i="4"/>
  <c r="EU7" i="4"/>
  <c r="EY40" i="4"/>
  <c r="EY39" i="4"/>
  <c r="EY38" i="4"/>
  <c r="EY37" i="4"/>
  <c r="EY35" i="4"/>
  <c r="EY34" i="4"/>
  <c r="EY33" i="4"/>
  <c r="EY32" i="4"/>
  <c r="EY31" i="4"/>
  <c r="EY30" i="4"/>
  <c r="EY29" i="4"/>
  <c r="EY28" i="4"/>
  <c r="EY27" i="4"/>
  <c r="EY26" i="4"/>
  <c r="EY25" i="4"/>
  <c r="EY24" i="4"/>
  <c r="EY23" i="4"/>
  <c r="EY22" i="4"/>
  <c r="EY21" i="4"/>
  <c r="EY20" i="4"/>
  <c r="EY19" i="4"/>
  <c r="EY18" i="4"/>
  <c r="EY17" i="4"/>
  <c r="EY16" i="4"/>
  <c r="EY15" i="4"/>
  <c r="EY14" i="4"/>
  <c r="EY13" i="4"/>
  <c r="EY12" i="4"/>
  <c r="EY11" i="4"/>
  <c r="EY10" i="4"/>
  <c r="EY9" i="4"/>
  <c r="EY8" i="4"/>
  <c r="EX40" i="4"/>
  <c r="EX39" i="4"/>
  <c r="EX38" i="4"/>
  <c r="EX37" i="4"/>
  <c r="EX35" i="4"/>
  <c r="EX34" i="4"/>
  <c r="EX33" i="4"/>
  <c r="EX32" i="4"/>
  <c r="EX31" i="4"/>
  <c r="EX30" i="4"/>
  <c r="EX29" i="4"/>
  <c r="EX28" i="4"/>
  <c r="EX27" i="4"/>
  <c r="EX26" i="4"/>
  <c r="EX25" i="4"/>
  <c r="EX24" i="4"/>
  <c r="EX23" i="4"/>
  <c r="EX22" i="4"/>
  <c r="EX21" i="4"/>
  <c r="EX20" i="4"/>
  <c r="EX19" i="4"/>
  <c r="EX18" i="4"/>
  <c r="EX17" i="4"/>
  <c r="EX16" i="4"/>
  <c r="EX15" i="4"/>
  <c r="EX14" i="4"/>
  <c r="EX13" i="4"/>
  <c r="EX12" i="4"/>
  <c r="EX11" i="4"/>
  <c r="EX10" i="4"/>
  <c r="EX9" i="4"/>
  <c r="EX8" i="4"/>
  <c r="EW40" i="4"/>
  <c r="EW39" i="4"/>
  <c r="EW38" i="4"/>
  <c r="EW37" i="4"/>
  <c r="EW35" i="4"/>
  <c r="EW34" i="4"/>
  <c r="EW33" i="4"/>
  <c r="EW32" i="4"/>
  <c r="EW31" i="4"/>
  <c r="EW29" i="4"/>
  <c r="EW28" i="4"/>
  <c r="EW27" i="4"/>
  <c r="EW26" i="4"/>
  <c r="EW25" i="4"/>
  <c r="EW24" i="4"/>
  <c r="EW23" i="4"/>
  <c r="EW22" i="4"/>
  <c r="EW21" i="4"/>
  <c r="EW20" i="4"/>
  <c r="EW19" i="4"/>
  <c r="EW18" i="4"/>
  <c r="EW17" i="4"/>
  <c r="EW16" i="4"/>
  <c r="EW15" i="4"/>
  <c r="EW14" i="4"/>
  <c r="EW13" i="4"/>
  <c r="EW12" i="4"/>
  <c r="EW11" i="4"/>
  <c r="EW9" i="4"/>
  <c r="EW8" i="4"/>
  <c r="EV40" i="4"/>
  <c r="EV39" i="4"/>
  <c r="EV38" i="4"/>
  <c r="EV37" i="4"/>
  <c r="EV35" i="4"/>
  <c r="EV34" i="4"/>
  <c r="EV33" i="4"/>
  <c r="EV32" i="4"/>
  <c r="EV31" i="4"/>
  <c r="EV29" i="4"/>
  <c r="EV28" i="4"/>
  <c r="EV27" i="4"/>
  <c r="EV26" i="4"/>
  <c r="EV25" i="4"/>
  <c r="EV24" i="4"/>
  <c r="EV23" i="4"/>
  <c r="EV22" i="4"/>
  <c r="EV21" i="4"/>
  <c r="EV20" i="4"/>
  <c r="EV19" i="4"/>
  <c r="EV18" i="4"/>
  <c r="EV17" i="4"/>
  <c r="EV16" i="4"/>
  <c r="EV15" i="4"/>
  <c r="EV14" i="4"/>
  <c r="EV13" i="4"/>
  <c r="EV12" i="4"/>
  <c r="EV11" i="4"/>
  <c r="EV9" i="4"/>
  <c r="EV8" i="4"/>
  <c r="ET40" i="4"/>
  <c r="ET39" i="4"/>
  <c r="ET38" i="4"/>
  <c r="ET37" i="4"/>
  <c r="ET35" i="4"/>
  <c r="ET34" i="4"/>
  <c r="ET33" i="4"/>
  <c r="ET32" i="4"/>
  <c r="ET31" i="4"/>
  <c r="ET30" i="4"/>
  <c r="ET29" i="4"/>
  <c r="ET28" i="4"/>
  <c r="ET27" i="4"/>
  <c r="ET26" i="4"/>
  <c r="ET25" i="4"/>
  <c r="ET24" i="4"/>
  <c r="ET23" i="4"/>
  <c r="ET22" i="4"/>
  <c r="ET21" i="4"/>
  <c r="ET20" i="4"/>
  <c r="ET19" i="4"/>
  <c r="ET17" i="4"/>
  <c r="ET16" i="4"/>
  <c r="ET15" i="4"/>
  <c r="ET13" i="4"/>
  <c r="ET12" i="4"/>
  <c r="ET11" i="4"/>
  <c r="ET10" i="4"/>
  <c r="ET9" i="4"/>
  <c r="ET8" i="4"/>
  <c r="ET7" i="4"/>
  <c r="EI15" i="4"/>
  <c r="EI16" i="4"/>
  <c r="EI17" i="4"/>
  <c r="EI18" i="4"/>
  <c r="EI19" i="4"/>
  <c r="EI20" i="4"/>
  <c r="EI21" i="4"/>
  <c r="EI22" i="4"/>
  <c r="EI23" i="4"/>
  <c r="EI25" i="4"/>
  <c r="EI26" i="4"/>
  <c r="EI27" i="4"/>
  <c r="EI28" i="4"/>
  <c r="EI29" i="4"/>
  <c r="EI30" i="4"/>
  <c r="EI31" i="4"/>
  <c r="EI35" i="4"/>
  <c r="EI40" i="4"/>
  <c r="EI14" i="4"/>
  <c r="CA2" i="4"/>
  <c r="CB2" i="4"/>
  <c r="CC2" i="4" s="1"/>
  <c r="CD2" i="4"/>
  <c r="CE2" i="4" s="1"/>
  <c r="CF2" i="4" s="1"/>
  <c r="CG2" i="4" s="1"/>
  <c r="CH2" i="4" s="1"/>
  <c r="CI2" i="4" s="1"/>
  <c r="CJ2" i="4" s="1"/>
  <c r="CK2" i="4"/>
  <c r="CL2" i="4" s="1"/>
  <c r="CM2" i="4" s="1"/>
  <c r="CN2" i="4" s="1"/>
  <c r="EH25" i="4"/>
  <c r="ED25" i="4"/>
  <c r="DZ25" i="4"/>
  <c r="EH23" i="4"/>
  <c r="ED23" i="4"/>
  <c r="DZ23" i="4"/>
  <c r="QS3" i="4"/>
  <c r="PZ3" i="4"/>
  <c r="CJ144" i="6" s="1"/>
  <c r="QB53" i="4"/>
  <c r="BL142" i="6"/>
  <c r="AG144" i="6"/>
  <c r="Y144" i="6"/>
  <c r="AG140" i="6"/>
  <c r="AV144" i="6"/>
  <c r="BT144" i="6"/>
  <c r="AG148" i="6"/>
  <c r="AG146" i="6"/>
  <c r="Y148" i="6"/>
  <c r="Y146" i="6"/>
  <c r="AG147" i="6"/>
  <c r="AG142" i="6"/>
  <c r="Y147" i="6"/>
  <c r="AQ59" i="1" s="1"/>
  <c r="Y142" i="6"/>
  <c r="FQ21" i="4"/>
  <c r="FQ22" i="4"/>
  <c r="FJ6" i="4"/>
  <c r="FL6" i="4" s="1"/>
  <c r="FF6" i="4"/>
  <c r="FH6" i="4"/>
  <c r="FB6" i="4"/>
  <c r="FD6" i="4" s="1"/>
  <c r="FR3" i="4"/>
  <c r="Z16" i="4"/>
  <c r="DN41" i="4"/>
  <c r="XL36" i="4" s="1"/>
  <c r="XM36" i="4" s="1"/>
  <c r="EH9" i="4"/>
  <c r="EH13" i="4"/>
  <c r="DN12" i="4"/>
  <c r="DN25" i="4"/>
  <c r="DN23" i="4"/>
  <c r="DN35" i="4"/>
  <c r="Z17" i="4"/>
  <c r="Z18" i="4" s="1"/>
  <c r="Z19" i="4" s="1"/>
  <c r="Z20" i="4" s="1"/>
  <c r="Z21" i="4" s="1"/>
  <c r="Z22" i="4" s="1"/>
  <c r="Z23" i="4" s="1"/>
  <c r="DS7" i="4"/>
  <c r="DW7" i="4"/>
  <c r="EA7" i="4"/>
  <c r="F8" i="4"/>
  <c r="L4" i="4"/>
  <c r="M4" i="4"/>
  <c r="N4" i="4"/>
  <c r="O4" i="4"/>
  <c r="P4" i="4"/>
  <c r="Q4" i="4"/>
  <c r="R4" i="4"/>
  <c r="S4" i="4"/>
  <c r="T4" i="4"/>
  <c r="H15" i="4"/>
  <c r="C4" i="4"/>
  <c r="D4" i="4"/>
  <c r="E4" i="4"/>
  <c r="B4" i="4"/>
  <c r="AG2" i="4"/>
  <c r="AH2" i="4"/>
  <c r="AB2" i="4"/>
  <c r="O2" i="4"/>
  <c r="P2" i="4" s="1"/>
  <c r="Q2" i="4" s="1"/>
  <c r="R2" i="4" s="1"/>
  <c r="S2" i="4" s="1"/>
  <c r="T2" i="4" s="1"/>
  <c r="AI2" i="4"/>
  <c r="AJ2" i="4" s="1"/>
  <c r="AK2" i="4" s="1"/>
  <c r="AI3" i="4"/>
  <c r="ED18" i="4"/>
  <c r="DT18" i="4"/>
  <c r="DP17" i="4"/>
  <c r="DO17" i="4"/>
  <c r="EH17" i="4"/>
  <c r="EG17" i="4"/>
  <c r="EF17" i="4"/>
  <c r="ED17" i="4"/>
  <c r="EC17" i="4"/>
  <c r="EB17" i="4"/>
  <c r="DZ17" i="4"/>
  <c r="DY17" i="4"/>
  <c r="DX17" i="4"/>
  <c r="DV17" i="4"/>
  <c r="DU17" i="4"/>
  <c r="DT17" i="4"/>
  <c r="DS17" i="4"/>
  <c r="DR17" i="4"/>
  <c r="EH16" i="4"/>
  <c r="EG16" i="4"/>
  <c r="EE16" i="4"/>
  <c r="ED16" i="4"/>
  <c r="EB16" i="4"/>
  <c r="EA16" i="4"/>
  <c r="DZ16" i="4"/>
  <c r="DY16" i="4"/>
  <c r="DW16" i="4"/>
  <c r="DV16" i="4"/>
  <c r="DT16" i="4"/>
  <c r="DS16" i="4"/>
  <c r="DR16" i="4"/>
  <c r="DP16" i="4"/>
  <c r="DO16" i="4"/>
  <c r="EH12" i="4"/>
  <c r="EG12" i="4"/>
  <c r="EF12" i="4"/>
  <c r="ED12" i="4"/>
  <c r="EC12" i="4"/>
  <c r="EB12" i="4"/>
  <c r="EA12" i="4"/>
  <c r="DZ12" i="4"/>
  <c r="DY12" i="4"/>
  <c r="DX12" i="4"/>
  <c r="DW12" i="4"/>
  <c r="DU12" i="4"/>
  <c r="DS12" i="4"/>
  <c r="DR12" i="4"/>
  <c r="DQ12" i="4"/>
  <c r="EH11" i="4"/>
  <c r="EG11" i="4"/>
  <c r="EF11" i="4"/>
  <c r="ED11" i="4"/>
  <c r="EC11" i="4"/>
  <c r="EB11" i="4"/>
  <c r="EA11" i="4"/>
  <c r="DZ11" i="4"/>
  <c r="DY11" i="4"/>
  <c r="DX11" i="4"/>
  <c r="DW11" i="4"/>
  <c r="DU11" i="4"/>
  <c r="DS11" i="4"/>
  <c r="DR11" i="4"/>
  <c r="DQ11" i="4"/>
  <c r="YK13" i="4"/>
  <c r="XN2" i="4"/>
  <c r="XR4" i="4"/>
  <c r="XS4" i="4"/>
  <c r="XT4" i="4"/>
  <c r="XU4" i="4"/>
  <c r="XV4" i="4"/>
  <c r="XW4" i="4"/>
  <c r="XX4" i="4"/>
  <c r="XY4" i="4"/>
  <c r="XZ4" i="4"/>
  <c r="YA4" i="4"/>
  <c r="YC4" i="4"/>
  <c r="XQ4" i="4"/>
  <c r="ZS6" i="4"/>
  <c r="XL2" i="4"/>
  <c r="XN4" i="4"/>
  <c r="AG4" i="4"/>
  <c r="AG3" i="4"/>
  <c r="AR40" i="4"/>
  <c r="AR13" i="4"/>
  <c r="AQ5" i="4"/>
  <c r="AQ6" i="4"/>
  <c r="AQ7" i="4"/>
  <c r="AQ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2" i="4"/>
  <c r="AQ43" i="4"/>
  <c r="AQ44" i="4"/>
  <c r="AQ45" i="4"/>
  <c r="AQ46" i="4"/>
  <c r="AQ47" i="4"/>
  <c r="AQ48" i="4"/>
  <c r="AQ49" i="4"/>
  <c r="AQ50" i="4"/>
  <c r="AQ51" i="4"/>
  <c r="AQ52" i="4"/>
  <c r="AQ53" i="4"/>
  <c r="AQ4" i="4"/>
  <c r="AP33" i="4"/>
  <c r="AP24" i="4"/>
  <c r="AP15" i="4"/>
  <c r="AO5" i="4"/>
  <c r="AO6" i="4" s="1"/>
  <c r="AO7" i="4" s="1"/>
  <c r="AQ2" i="4"/>
  <c r="AP4" i="4"/>
  <c r="AV17" i="6"/>
  <c r="AV18" i="6"/>
  <c r="AV19" i="6"/>
  <c r="AV20" i="6" s="1"/>
  <c r="AV21" i="6" s="1"/>
  <c r="AV22" i="6"/>
  <c r="AV23" i="6" s="1"/>
  <c r="AV24" i="6" s="1"/>
  <c r="AV25" i="6" s="1"/>
  <c r="AV26" i="6" s="1"/>
  <c r="AV27" i="6" s="1"/>
  <c r="AV28" i="6" s="1"/>
  <c r="AV29" i="6" s="1"/>
  <c r="AV30" i="6" s="1"/>
  <c r="AV31" i="6" s="1"/>
  <c r="AV60" i="6"/>
  <c r="PS13" i="4"/>
  <c r="PS14" i="4"/>
  <c r="PU14" i="4" s="1"/>
  <c r="PV14" i="4" s="1"/>
  <c r="PS15" i="4"/>
  <c r="PU30" i="4"/>
  <c r="PV30" i="4" s="1"/>
  <c r="PU44" i="4"/>
  <c r="PV44" i="4" s="1"/>
  <c r="AV61" i="6"/>
  <c r="AV62" i="6" s="1"/>
  <c r="AV63" i="6" s="1"/>
  <c r="AV64" i="6" s="1"/>
  <c r="AV65" i="6" s="1"/>
  <c r="AV66" i="6" s="1"/>
  <c r="AV67" i="6" s="1"/>
  <c r="AV68" i="6" s="1"/>
  <c r="AV69" i="6" s="1"/>
  <c r="AV70" i="6" s="1"/>
  <c r="AV71" i="6" s="1"/>
  <c r="AV72" i="6" s="1"/>
  <c r="AV73" i="6" s="1"/>
  <c r="LS1" i="4"/>
  <c r="LT1" i="4"/>
  <c r="LU1" i="4"/>
  <c r="KT12" i="4"/>
  <c r="IX2" i="4"/>
  <c r="AT52" i="4"/>
  <c r="AR49" i="4"/>
  <c r="AR48" i="4"/>
  <c r="AR47" i="4"/>
  <c r="AR46" i="4"/>
  <c r="AR45" i="4"/>
  <c r="AR44" i="4"/>
  <c r="AR42" i="4"/>
  <c r="AP6" i="4"/>
  <c r="ES31" i="8"/>
  <c r="ES33" i="8" s="1"/>
  <c r="ES35" i="8" s="1"/>
  <c r="ES37" i="8" s="1"/>
  <c r="ES39" i="8" s="1"/>
  <c r="ES41" i="8"/>
  <c r="ES43" i="8" s="1"/>
  <c r="ES45" i="8" s="1"/>
  <c r="ES47" i="8" s="1"/>
  <c r="ES49" i="8" s="1"/>
  <c r="ES51" i="8" s="1"/>
  <c r="ES53" i="8"/>
  <c r="ES55" i="8" s="1"/>
  <c r="ES57" i="8"/>
  <c r="ES59" i="8" s="1"/>
  <c r="ES61" i="8" s="1"/>
  <c r="ES63" i="8" s="1"/>
  <c r="ES65" i="8" s="1"/>
  <c r="ES67" i="8" s="1"/>
  <c r="ES69" i="8" s="1"/>
  <c r="ES71" i="8" s="1"/>
  <c r="ES73" i="8" s="1"/>
  <c r="ES75" i="8" s="1"/>
  <c r="ES77" i="8" s="1"/>
  <c r="ES79" i="8" s="1"/>
  <c r="ES81" i="8" s="1"/>
  <c r="ES83" i="8" s="1"/>
  <c r="ES85" i="8" s="1"/>
  <c r="ES87" i="8" s="1"/>
  <c r="ES89" i="8" s="1"/>
  <c r="ES91" i="8" s="1"/>
  <c r="ES93" i="8" s="1"/>
  <c r="ES95" i="8" s="1"/>
  <c r="ES97" i="8" s="1"/>
  <c r="ES99" i="8" s="1"/>
  <c r="ES101" i="8" s="1"/>
  <c r="ES103" i="8" s="1"/>
  <c r="ES105" i="8" s="1"/>
  <c r="ES107" i="8" s="1"/>
  <c r="ES109" i="8" s="1"/>
  <c r="ES111" i="8" s="1"/>
  <c r="ES113" i="8" s="1"/>
  <c r="ES115" i="8" s="1"/>
  <c r="ES117" i="8" s="1"/>
  <c r="ES119" i="8" s="1"/>
  <c r="ES121" i="8" s="1"/>
  <c r="ES123" i="8" s="1"/>
  <c r="ES125" i="8" s="1"/>
  <c r="ES127" i="8" s="1"/>
  <c r="ES129" i="8" s="1"/>
  <c r="ES131" i="8" s="1"/>
  <c r="ES133" i="8" s="1"/>
  <c r="ES135" i="8" s="1"/>
  <c r="ES137" i="8" s="1"/>
  <c r="ES139" i="8" s="1"/>
  <c r="ES141" i="8" s="1"/>
  <c r="ES143" i="8" s="1"/>
  <c r="AU110" i="7"/>
  <c r="CY71" i="7"/>
  <c r="CY73" i="7"/>
  <c r="CY75" i="7" s="1"/>
  <c r="CY77" i="7" s="1"/>
  <c r="CY79" i="7" s="1"/>
  <c r="CY81" i="7" s="1"/>
  <c r="CY83" i="7" s="1"/>
  <c r="CY85" i="7" s="1"/>
  <c r="CY87" i="7" s="1"/>
  <c r="CY89" i="7" s="1"/>
  <c r="CY91" i="7" s="1"/>
  <c r="CY93" i="7" s="1"/>
  <c r="CY95" i="7" s="1"/>
  <c r="CY97" i="7" s="1"/>
  <c r="CY99" i="7" s="1"/>
  <c r="CY101" i="7" s="1"/>
  <c r="CY103" i="7"/>
  <c r="CY105" i="7" s="1"/>
  <c r="CY107" i="7" s="1"/>
  <c r="CY109" i="7" s="1"/>
  <c r="CY111" i="7" s="1"/>
  <c r="CY113" i="7" s="1"/>
  <c r="CY115" i="7" s="1"/>
  <c r="CY117" i="7" s="1"/>
  <c r="CY119" i="7" s="1"/>
  <c r="CY121" i="7" s="1"/>
  <c r="CY123" i="7" s="1"/>
  <c r="CY125" i="7" s="1"/>
  <c r="CY127" i="7" s="1"/>
  <c r="CY129" i="7" s="1"/>
  <c r="CY131" i="7" s="1"/>
  <c r="CY133" i="7" s="1"/>
  <c r="CY135" i="7" s="1"/>
  <c r="CY137" i="7" s="1"/>
  <c r="CY139" i="7" s="1"/>
  <c r="CY141" i="7" s="1"/>
  <c r="CY143" i="7" s="1"/>
  <c r="CY145" i="7" s="1"/>
  <c r="DK18" i="7"/>
  <c r="DK19" i="7" s="1"/>
  <c r="DJ18" i="7"/>
  <c r="DJ19" i="7"/>
  <c r="DI18" i="7"/>
  <c r="DI19" i="7" s="1"/>
  <c r="DE18" i="7"/>
  <c r="DE19" i="7"/>
  <c r="DE20" i="7" s="1"/>
  <c r="DF20" i="7" s="1"/>
  <c r="DF18" i="7"/>
  <c r="DF19" i="7" s="1"/>
  <c r="DG18" i="7"/>
  <c r="DG19" i="7"/>
  <c r="DH18" i="7"/>
  <c r="DH19" i="7" s="1"/>
  <c r="AA39" i="1"/>
  <c r="AA35" i="1"/>
  <c r="CY33" i="1"/>
  <c r="CY35" i="1" s="1"/>
  <c r="CY37" i="1" s="1"/>
  <c r="CY39" i="1" s="1"/>
  <c r="CY41" i="1" s="1"/>
  <c r="CY43" i="1" s="1"/>
  <c r="CY45" i="1" s="1"/>
  <c r="CY47" i="1" s="1"/>
  <c r="CY49" i="1" s="1"/>
  <c r="CY51" i="1" s="1"/>
  <c r="CY53" i="1" s="1"/>
  <c r="CY55" i="1"/>
  <c r="CY57" i="1" s="1"/>
  <c r="CY59" i="1" s="1"/>
  <c r="CY61" i="1" s="1"/>
  <c r="CY63" i="1" s="1"/>
  <c r="CY65" i="1" s="1"/>
  <c r="CY67" i="1" s="1"/>
  <c r="CY69" i="1" s="1"/>
  <c r="CY71" i="1" s="1"/>
  <c r="CY73" i="1" s="1"/>
  <c r="CY75" i="1" s="1"/>
  <c r="CY77" i="1" s="1"/>
  <c r="CY79" i="1" s="1"/>
  <c r="CY81" i="1" s="1"/>
  <c r="CY83" i="1" s="1"/>
  <c r="CY85" i="1" s="1"/>
  <c r="CY87" i="1" s="1"/>
  <c r="CY89" i="1" s="1"/>
  <c r="CY91" i="1" s="1"/>
  <c r="CY93" i="1" s="1"/>
  <c r="CY95" i="1" s="1"/>
  <c r="CY97" i="1" s="1"/>
  <c r="CY99" i="1" s="1"/>
  <c r="CY101" i="1" s="1"/>
  <c r="CY103" i="1" s="1"/>
  <c r="CY105" i="1" s="1"/>
  <c r="CY107" i="1" s="1"/>
  <c r="CY109" i="1" s="1"/>
  <c r="CY111" i="1" s="1"/>
  <c r="CY113" i="1" s="1"/>
  <c r="CY115" i="1" s="1"/>
  <c r="CY117" i="1" s="1"/>
  <c r="CY119" i="1" s="1"/>
  <c r="CY121" i="1" s="1"/>
  <c r="CY123" i="1" s="1"/>
  <c r="CY125" i="1" s="1"/>
  <c r="CY127" i="1" s="1"/>
  <c r="CY129" i="1" s="1"/>
  <c r="CY131" i="1" s="1"/>
  <c r="CY133" i="1" s="1"/>
  <c r="CY135" i="1" s="1"/>
  <c r="CY137" i="1" s="1"/>
  <c r="CY139" i="1" s="1"/>
  <c r="CY141" i="1" s="1"/>
  <c r="CY143" i="1" s="1"/>
  <c r="CY145" i="1" s="1"/>
  <c r="AA31" i="1"/>
  <c r="AA27" i="1"/>
  <c r="AA23" i="1"/>
  <c r="DK20" i="1"/>
  <c r="DK21" i="1" s="1"/>
  <c r="DJ20" i="1"/>
  <c r="DJ21" i="1"/>
  <c r="DI20" i="1"/>
  <c r="DI21" i="1" s="1"/>
  <c r="DE20" i="1"/>
  <c r="DE21" i="1" s="1"/>
  <c r="DE22" i="1" s="1"/>
  <c r="DF22" i="1" s="1"/>
  <c r="DG22" i="1" s="1"/>
  <c r="DH22" i="1" s="1"/>
  <c r="DI22" i="1" s="1"/>
  <c r="DJ22" i="1" s="1"/>
  <c r="DK22" i="1" s="1"/>
  <c r="DL22" i="1" s="1"/>
  <c r="DF20" i="1"/>
  <c r="DF21" i="1" s="1"/>
  <c r="DG20" i="1"/>
  <c r="DG21" i="1" s="1"/>
  <c r="DH20" i="1"/>
  <c r="DH21" i="1" s="1"/>
  <c r="AA19" i="1"/>
  <c r="TH70" i="4"/>
  <c r="TG70" i="4"/>
  <c r="TF70" i="4"/>
  <c r="TE70" i="4"/>
  <c r="TD70" i="4"/>
  <c r="TB70" i="4"/>
  <c r="TA70" i="4"/>
  <c r="SY70" i="4"/>
  <c r="SX70" i="4"/>
  <c r="SW70" i="4"/>
  <c r="SV70" i="4"/>
  <c r="SU70" i="4"/>
  <c r="SS70" i="4"/>
  <c r="SR70" i="4"/>
  <c r="QR70" i="4"/>
  <c r="QQ70" i="4"/>
  <c r="QP70" i="4"/>
  <c r="QO70" i="4"/>
  <c r="QN70" i="4"/>
  <c r="QM70" i="4"/>
  <c r="QL70" i="4"/>
  <c r="QK70" i="4"/>
  <c r="QJ70" i="4"/>
  <c r="QI70" i="4"/>
  <c r="QH70" i="4"/>
  <c r="QG70" i="4"/>
  <c r="QE70" i="4"/>
  <c r="QB70" i="4"/>
  <c r="QR69" i="4"/>
  <c r="QQ69" i="4"/>
  <c r="QP69" i="4"/>
  <c r="QO69" i="4"/>
  <c r="QN69" i="4"/>
  <c r="QM69" i="4"/>
  <c r="QL69" i="4"/>
  <c r="QK69" i="4"/>
  <c r="QJ69" i="4"/>
  <c r="QI69" i="4"/>
  <c r="QH69" i="4"/>
  <c r="QG69" i="4"/>
  <c r="QE69" i="4"/>
  <c r="QB69" i="4"/>
  <c r="QR68" i="4"/>
  <c r="QQ68" i="4"/>
  <c r="QP68" i="4"/>
  <c r="QO68" i="4"/>
  <c r="QN68" i="4"/>
  <c r="QM68" i="4"/>
  <c r="QL68" i="4"/>
  <c r="QK68" i="4"/>
  <c r="QJ68" i="4"/>
  <c r="QI68" i="4"/>
  <c r="QH68" i="4"/>
  <c r="QG68" i="4"/>
  <c r="QE68" i="4"/>
  <c r="QB68" i="4"/>
  <c r="QR67" i="4"/>
  <c r="QQ67" i="4"/>
  <c r="QP67" i="4"/>
  <c r="QO67" i="4"/>
  <c r="QN67" i="4"/>
  <c r="QM67" i="4"/>
  <c r="QL67" i="4"/>
  <c r="QK67" i="4"/>
  <c r="QJ67" i="4"/>
  <c r="QI67" i="4"/>
  <c r="QH67" i="4"/>
  <c r="QG67" i="4"/>
  <c r="QE67" i="4"/>
  <c r="QB67" i="4"/>
  <c r="QR66" i="4"/>
  <c r="QQ66" i="4"/>
  <c r="QP66" i="4"/>
  <c r="QO66" i="4"/>
  <c r="QN66" i="4"/>
  <c r="QM66" i="4"/>
  <c r="QL66" i="4"/>
  <c r="QK66" i="4"/>
  <c r="QJ66" i="4"/>
  <c r="QI66" i="4"/>
  <c r="QH66" i="4"/>
  <c r="QG66" i="4"/>
  <c r="QE66" i="4"/>
  <c r="QB66" i="4"/>
  <c r="QR65" i="4"/>
  <c r="QQ65" i="4"/>
  <c r="QP65" i="4"/>
  <c r="QO65" i="4"/>
  <c r="QN65" i="4"/>
  <c r="QM65" i="4"/>
  <c r="QL65" i="4"/>
  <c r="QK65" i="4"/>
  <c r="QJ65" i="4"/>
  <c r="QI65" i="4"/>
  <c r="QH65" i="4"/>
  <c r="QG65" i="4"/>
  <c r="QE65" i="4"/>
  <c r="QB65" i="4"/>
  <c r="QR64" i="4"/>
  <c r="QQ64" i="4"/>
  <c r="QP64" i="4"/>
  <c r="QO64" i="4"/>
  <c r="QN64" i="4"/>
  <c r="QM64" i="4"/>
  <c r="QL64" i="4"/>
  <c r="QK64" i="4"/>
  <c r="QJ64" i="4"/>
  <c r="QI64" i="4"/>
  <c r="QH64" i="4"/>
  <c r="QG64" i="4"/>
  <c r="QE64" i="4"/>
  <c r="QB64" i="4"/>
  <c r="QR63" i="4"/>
  <c r="QQ63" i="4"/>
  <c r="QP63" i="4"/>
  <c r="QO63" i="4"/>
  <c r="QN63" i="4"/>
  <c r="QM63" i="4"/>
  <c r="QL63" i="4"/>
  <c r="QK63" i="4"/>
  <c r="QJ63" i="4"/>
  <c r="QI63" i="4"/>
  <c r="QH63" i="4"/>
  <c r="QG63" i="4"/>
  <c r="QE63" i="4"/>
  <c r="QB63" i="4"/>
  <c r="QR62" i="4"/>
  <c r="QQ62" i="4"/>
  <c r="QP62" i="4"/>
  <c r="QO62" i="4"/>
  <c r="QN62" i="4"/>
  <c r="QM62" i="4"/>
  <c r="QL62" i="4"/>
  <c r="QK62" i="4"/>
  <c r="QJ62" i="4"/>
  <c r="QI62" i="4"/>
  <c r="QH62" i="4"/>
  <c r="QG62" i="4"/>
  <c r="QE62" i="4"/>
  <c r="QB62" i="4"/>
  <c r="QR61" i="4"/>
  <c r="QQ61" i="4"/>
  <c r="QP61" i="4"/>
  <c r="QO61" i="4"/>
  <c r="QN61" i="4"/>
  <c r="QM61" i="4"/>
  <c r="QL61" i="4"/>
  <c r="QK61" i="4"/>
  <c r="QJ61" i="4"/>
  <c r="QI61" i="4"/>
  <c r="QH61" i="4"/>
  <c r="QG61" i="4"/>
  <c r="QE61" i="4"/>
  <c r="QB61" i="4"/>
  <c r="QR60" i="4"/>
  <c r="QQ60" i="4"/>
  <c r="QP60" i="4"/>
  <c r="QO60" i="4"/>
  <c r="QN60" i="4"/>
  <c r="QM60" i="4"/>
  <c r="QL60" i="4"/>
  <c r="QK60" i="4"/>
  <c r="QJ60" i="4"/>
  <c r="QI60" i="4"/>
  <c r="QH60" i="4"/>
  <c r="QG60" i="4"/>
  <c r="QE60" i="4"/>
  <c r="QB60" i="4"/>
  <c r="QR59" i="4"/>
  <c r="QQ59" i="4"/>
  <c r="QP59" i="4"/>
  <c r="QO59" i="4"/>
  <c r="QN59" i="4"/>
  <c r="QM59" i="4"/>
  <c r="QL59" i="4"/>
  <c r="QK59" i="4"/>
  <c r="QJ59" i="4"/>
  <c r="QI59" i="4"/>
  <c r="QH59" i="4"/>
  <c r="QG59" i="4"/>
  <c r="QE59" i="4"/>
  <c r="QB59" i="4"/>
  <c r="QR58" i="4"/>
  <c r="QQ58" i="4"/>
  <c r="QP58" i="4"/>
  <c r="QO58" i="4"/>
  <c r="QN58" i="4"/>
  <c r="QM58" i="4"/>
  <c r="QL58" i="4"/>
  <c r="QK58" i="4"/>
  <c r="QJ58" i="4"/>
  <c r="QI58" i="4"/>
  <c r="QH58" i="4"/>
  <c r="QG58" i="4"/>
  <c r="QE58" i="4"/>
  <c r="QB58" i="4"/>
  <c r="QR57" i="4"/>
  <c r="QQ57" i="4"/>
  <c r="QP57" i="4"/>
  <c r="QO57" i="4"/>
  <c r="QN57" i="4"/>
  <c r="QM57" i="4"/>
  <c r="QL57" i="4"/>
  <c r="QK57" i="4"/>
  <c r="QJ57" i="4"/>
  <c r="QI57" i="4"/>
  <c r="QH57" i="4"/>
  <c r="QG57" i="4"/>
  <c r="QE57" i="4"/>
  <c r="QB57" i="4"/>
  <c r="QR56" i="4"/>
  <c r="QQ56" i="4"/>
  <c r="QP56" i="4"/>
  <c r="QO56" i="4"/>
  <c r="QN56" i="4"/>
  <c r="QM56" i="4"/>
  <c r="QL56" i="4"/>
  <c r="QK56" i="4"/>
  <c r="QJ56" i="4"/>
  <c r="QI56" i="4"/>
  <c r="QH56" i="4"/>
  <c r="QG56" i="4"/>
  <c r="QE56" i="4"/>
  <c r="QB56" i="4"/>
  <c r="QR55" i="4"/>
  <c r="QQ55" i="4"/>
  <c r="QP55" i="4"/>
  <c r="QO55" i="4"/>
  <c r="QN55" i="4"/>
  <c r="QM55" i="4"/>
  <c r="QL55" i="4"/>
  <c r="QK55" i="4"/>
  <c r="QJ55" i="4"/>
  <c r="QI55" i="4"/>
  <c r="QH55" i="4"/>
  <c r="QG55" i="4"/>
  <c r="QE55" i="4"/>
  <c r="QB55" i="4"/>
  <c r="QR54" i="4"/>
  <c r="QQ54" i="4"/>
  <c r="QP54" i="4"/>
  <c r="QO54" i="4"/>
  <c r="QN54" i="4"/>
  <c r="QM54" i="4"/>
  <c r="QL54" i="4"/>
  <c r="QK54" i="4"/>
  <c r="QJ54" i="4"/>
  <c r="QI54" i="4"/>
  <c r="QH54" i="4"/>
  <c r="QG54" i="4"/>
  <c r="QE54" i="4"/>
  <c r="QB54" i="4"/>
  <c r="QR53" i="4"/>
  <c r="QQ53" i="4"/>
  <c r="QP53" i="4"/>
  <c r="QO53" i="4"/>
  <c r="QN53" i="4"/>
  <c r="QM53" i="4"/>
  <c r="QL53" i="4"/>
  <c r="QK53" i="4"/>
  <c r="QJ53" i="4"/>
  <c r="QI53" i="4"/>
  <c r="QH53" i="4"/>
  <c r="QG53" i="4"/>
  <c r="QE53" i="4"/>
  <c r="QR52" i="4"/>
  <c r="QQ52" i="4"/>
  <c r="QP52" i="4"/>
  <c r="QO52" i="4"/>
  <c r="QN52" i="4"/>
  <c r="QM52" i="4"/>
  <c r="QL52" i="4"/>
  <c r="QK52" i="4"/>
  <c r="QJ52" i="4"/>
  <c r="QI52" i="4"/>
  <c r="QH52" i="4"/>
  <c r="QG52" i="4"/>
  <c r="QE52" i="4"/>
  <c r="QB52" i="4"/>
  <c r="QR51" i="4"/>
  <c r="QQ51" i="4"/>
  <c r="QP51" i="4"/>
  <c r="QO51" i="4"/>
  <c r="QN51" i="4"/>
  <c r="QM51" i="4"/>
  <c r="QL51" i="4"/>
  <c r="QK51" i="4"/>
  <c r="QJ51" i="4"/>
  <c r="QI51" i="4"/>
  <c r="QH51" i="4"/>
  <c r="QG51" i="4"/>
  <c r="QE51" i="4"/>
  <c r="QB51" i="4"/>
  <c r="QR50" i="4"/>
  <c r="QQ50" i="4"/>
  <c r="QP50" i="4"/>
  <c r="QO50" i="4"/>
  <c r="QN50" i="4"/>
  <c r="QM50" i="4"/>
  <c r="QL50" i="4"/>
  <c r="QK50" i="4"/>
  <c r="QJ50" i="4"/>
  <c r="QI50" i="4"/>
  <c r="QH50" i="4"/>
  <c r="QG50" i="4"/>
  <c r="QE50" i="4"/>
  <c r="QB50" i="4"/>
  <c r="QR49" i="4"/>
  <c r="QQ49" i="4"/>
  <c r="QP49" i="4"/>
  <c r="QO49" i="4"/>
  <c r="QN49" i="4"/>
  <c r="QM49" i="4"/>
  <c r="QL49" i="4"/>
  <c r="QK49" i="4"/>
  <c r="QJ49" i="4"/>
  <c r="QI49" i="4"/>
  <c r="QH49" i="4"/>
  <c r="QG49" i="4"/>
  <c r="QE49" i="4"/>
  <c r="QB49" i="4"/>
  <c r="QR48" i="4"/>
  <c r="QQ48" i="4"/>
  <c r="QP48" i="4"/>
  <c r="QO48" i="4"/>
  <c r="QN48" i="4"/>
  <c r="QM48" i="4"/>
  <c r="QL48" i="4"/>
  <c r="QK48" i="4"/>
  <c r="QJ48" i="4"/>
  <c r="QI48" i="4"/>
  <c r="QH48" i="4"/>
  <c r="QG48" i="4"/>
  <c r="QE48" i="4"/>
  <c r="QB48" i="4"/>
  <c r="QR47" i="4"/>
  <c r="QQ47" i="4"/>
  <c r="QP47" i="4"/>
  <c r="QO47" i="4"/>
  <c r="QN47" i="4"/>
  <c r="QM47" i="4"/>
  <c r="QL47" i="4"/>
  <c r="QK47" i="4"/>
  <c r="QJ47" i="4"/>
  <c r="QI47" i="4"/>
  <c r="QH47" i="4"/>
  <c r="QG47" i="4"/>
  <c r="QE47" i="4"/>
  <c r="QB47" i="4"/>
  <c r="QR46" i="4"/>
  <c r="QQ46" i="4"/>
  <c r="QP46" i="4"/>
  <c r="QO46" i="4"/>
  <c r="QN46" i="4"/>
  <c r="QM46" i="4"/>
  <c r="QL46" i="4"/>
  <c r="QK46" i="4"/>
  <c r="QJ46" i="4"/>
  <c r="QI46" i="4"/>
  <c r="QH46" i="4"/>
  <c r="QG46" i="4"/>
  <c r="QE46" i="4"/>
  <c r="QB46" i="4"/>
  <c r="QR45" i="4"/>
  <c r="QQ45" i="4"/>
  <c r="QP45" i="4"/>
  <c r="QO45" i="4"/>
  <c r="QN45" i="4"/>
  <c r="QM45" i="4"/>
  <c r="QL45" i="4"/>
  <c r="QK45" i="4"/>
  <c r="QJ45" i="4"/>
  <c r="QI45" i="4"/>
  <c r="QH45" i="4"/>
  <c r="QG45" i="4"/>
  <c r="QR44" i="4"/>
  <c r="QQ44" i="4"/>
  <c r="QP44" i="4"/>
  <c r="QO44" i="4"/>
  <c r="QN44" i="4"/>
  <c r="QM44" i="4"/>
  <c r="QL44" i="4"/>
  <c r="QK44" i="4"/>
  <c r="QJ44" i="4"/>
  <c r="QI44" i="4"/>
  <c r="QH44" i="4"/>
  <c r="QG44" i="4"/>
  <c r="QR43" i="4"/>
  <c r="AV139" i="6" s="1"/>
  <c r="QQ43" i="4"/>
  <c r="QP43" i="4"/>
  <c r="QP3" i="4"/>
  <c r="QO43" i="4"/>
  <c r="QN43" i="4"/>
  <c r="QZ15" i="4" s="1"/>
  <c r="QZ28" i="4" s="1"/>
  <c r="QM43" i="4"/>
  <c r="QZ14" i="4" s="1"/>
  <c r="QZ27" i="4" s="1"/>
  <c r="QL43" i="4"/>
  <c r="QL3" i="4"/>
  <c r="QK43" i="4"/>
  <c r="QJ43" i="4"/>
  <c r="QI43" i="4"/>
  <c r="QH43" i="4"/>
  <c r="QH3" i="4"/>
  <c r="QG43" i="4"/>
  <c r="QR42" i="4"/>
  <c r="QQ42" i="4"/>
  <c r="QP42" i="4"/>
  <c r="QO42" i="4"/>
  <c r="QN42" i="4"/>
  <c r="QL42" i="4"/>
  <c r="QK42" i="4"/>
  <c r="QJ42" i="4"/>
  <c r="QI42" i="4"/>
  <c r="QG42" i="4"/>
  <c r="QR41" i="4"/>
  <c r="QQ41" i="4"/>
  <c r="QO41" i="4"/>
  <c r="QN41" i="4"/>
  <c r="QM41" i="4"/>
  <c r="QL41" i="4"/>
  <c r="QK41" i="4"/>
  <c r="QJ41" i="4"/>
  <c r="QI41" i="4"/>
  <c r="QH41" i="4"/>
  <c r="QG41" i="4"/>
  <c r="QR40" i="4"/>
  <c r="QQ40" i="4"/>
  <c r="QP40" i="4"/>
  <c r="QO40" i="4"/>
  <c r="QN40" i="4"/>
  <c r="QM40" i="4"/>
  <c r="QL40" i="4"/>
  <c r="QK40" i="4"/>
  <c r="QJ40" i="4"/>
  <c r="QI40" i="4"/>
  <c r="QH40" i="4"/>
  <c r="QG40" i="4"/>
  <c r="QR39" i="4"/>
  <c r="QQ39" i="4"/>
  <c r="QP39" i="4"/>
  <c r="QO39" i="4"/>
  <c r="QN39" i="4"/>
  <c r="QM39" i="4"/>
  <c r="QL39" i="4"/>
  <c r="QK39" i="4"/>
  <c r="QJ39" i="4"/>
  <c r="QI39" i="4"/>
  <c r="QH39" i="4"/>
  <c r="QG39" i="4"/>
  <c r="QR38" i="4"/>
  <c r="QQ38" i="4"/>
  <c r="QO38" i="4"/>
  <c r="QM38" i="4"/>
  <c r="QL38" i="4"/>
  <c r="QK38" i="4"/>
  <c r="QJ38" i="4"/>
  <c r="QI38" i="4"/>
  <c r="QH38" i="4"/>
  <c r="QG38" i="4"/>
  <c r="QR37" i="4"/>
  <c r="QQ37" i="4"/>
  <c r="QO37" i="4"/>
  <c r="QM37" i="4"/>
  <c r="QL37" i="4"/>
  <c r="QK37" i="4"/>
  <c r="QJ37" i="4"/>
  <c r="QI37" i="4"/>
  <c r="QH37" i="4"/>
  <c r="QG37" i="4"/>
  <c r="QQ36" i="4"/>
  <c r="QP36" i="4"/>
  <c r="QO36" i="4"/>
  <c r="QN36" i="4"/>
  <c r="QM36" i="4"/>
  <c r="QL36" i="4"/>
  <c r="QK36" i="4"/>
  <c r="QJ36" i="4"/>
  <c r="QI36" i="4"/>
  <c r="QH36" i="4"/>
  <c r="QR35" i="4"/>
  <c r="QQ35" i="4"/>
  <c r="QP35" i="4"/>
  <c r="QO35" i="4"/>
  <c r="QN35" i="4"/>
  <c r="QM35" i="4"/>
  <c r="QL35" i="4"/>
  <c r="QK35" i="4"/>
  <c r="QI35" i="4"/>
  <c r="QH35" i="4"/>
  <c r="QG35" i="4"/>
  <c r="EH27" i="4"/>
  <c r="EG27" i="4"/>
  <c r="EF27" i="4"/>
  <c r="EE27" i="4"/>
  <c r="ED27" i="4"/>
  <c r="EC27" i="4"/>
  <c r="EA27" i="4"/>
  <c r="DZ27" i="4"/>
  <c r="DY27" i="4"/>
  <c r="DW27" i="4"/>
  <c r="DV27" i="4"/>
  <c r="DU27" i="4"/>
  <c r="DS27" i="4"/>
  <c r="DR27" i="4"/>
  <c r="DQ27" i="4"/>
  <c r="DO27" i="4"/>
  <c r="QQ34" i="4"/>
  <c r="QP34" i="4"/>
  <c r="QN34" i="4"/>
  <c r="QM34" i="4"/>
  <c r="QL34" i="4"/>
  <c r="QK34" i="4"/>
  <c r="QJ34" i="4"/>
  <c r="QI34" i="4"/>
  <c r="QH34" i="4"/>
  <c r="EH26" i="4"/>
  <c r="EG26" i="4"/>
  <c r="EF26" i="4"/>
  <c r="EE26" i="4"/>
  <c r="ED26" i="4"/>
  <c r="EC26" i="4"/>
  <c r="EA26" i="4"/>
  <c r="DZ26" i="4"/>
  <c r="DY26" i="4"/>
  <c r="DW26" i="4"/>
  <c r="DV26" i="4"/>
  <c r="DU26" i="4"/>
  <c r="DS26" i="4"/>
  <c r="DR26" i="4"/>
  <c r="DQ26" i="4"/>
  <c r="DO26" i="4"/>
  <c r="QR33" i="4"/>
  <c r="QQ33" i="4"/>
  <c r="QP33" i="4"/>
  <c r="QO33" i="4"/>
  <c r="QN33" i="4"/>
  <c r="QM33" i="4"/>
  <c r="QL33" i="4"/>
  <c r="QK33" i="4"/>
  <c r="QI33" i="4"/>
  <c r="QG33" i="4"/>
  <c r="EG25" i="4"/>
  <c r="EF25" i="4"/>
  <c r="EE25" i="4"/>
  <c r="EC25" i="4"/>
  <c r="EA25" i="4"/>
  <c r="DY25" i="4"/>
  <c r="DW25" i="4"/>
  <c r="DV25" i="4"/>
  <c r="DU25" i="4"/>
  <c r="DS25" i="4"/>
  <c r="DR25" i="4"/>
  <c r="DQ25" i="4"/>
  <c r="DO25" i="4"/>
  <c r="QR32" i="4"/>
  <c r="QQ32" i="4"/>
  <c r="QP32" i="4"/>
  <c r="QO32" i="4"/>
  <c r="QN32" i="4"/>
  <c r="QM32" i="4"/>
  <c r="QL32" i="4"/>
  <c r="QK32" i="4"/>
  <c r="QI32" i="4"/>
  <c r="QG32" i="4"/>
  <c r="EH24" i="4"/>
  <c r="EG24" i="4"/>
  <c r="EF24" i="4"/>
  <c r="EE24" i="4"/>
  <c r="ED24" i="4"/>
  <c r="EC24" i="4"/>
  <c r="EA24" i="4"/>
  <c r="DZ24" i="4"/>
  <c r="DY24" i="4"/>
  <c r="DW24" i="4"/>
  <c r="DV24" i="4"/>
  <c r="DU24" i="4"/>
  <c r="DS24" i="4"/>
  <c r="DR24" i="4"/>
  <c r="DQ24" i="4"/>
  <c r="DO24" i="4"/>
  <c r="QR31" i="4"/>
  <c r="QQ31" i="4"/>
  <c r="QP31" i="4"/>
  <c r="QO31" i="4"/>
  <c r="QN31" i="4"/>
  <c r="QM31" i="4"/>
  <c r="QL31" i="4"/>
  <c r="QK31" i="4"/>
  <c r="QJ31" i="4"/>
  <c r="QI31" i="4"/>
  <c r="QG31" i="4"/>
  <c r="EG23" i="4"/>
  <c r="EF23" i="4"/>
  <c r="EE23" i="4"/>
  <c r="EC23" i="4"/>
  <c r="EA23" i="4"/>
  <c r="DY23" i="4"/>
  <c r="DW23" i="4"/>
  <c r="DV23" i="4"/>
  <c r="DU23" i="4"/>
  <c r="DS23" i="4"/>
  <c r="DR23" i="4"/>
  <c r="DQ23" i="4"/>
  <c r="DO23" i="4"/>
  <c r="QR30" i="4"/>
  <c r="QQ30" i="4"/>
  <c r="QO30" i="4"/>
  <c r="QN30" i="4"/>
  <c r="QM30" i="4"/>
  <c r="QL30" i="4"/>
  <c r="QK30" i="4"/>
  <c r="QJ30" i="4"/>
  <c r="QI30" i="4"/>
  <c r="QH30" i="4"/>
  <c r="QG30" i="4"/>
  <c r="EH22" i="4"/>
  <c r="EG22" i="4"/>
  <c r="EF22" i="4"/>
  <c r="EE22" i="4"/>
  <c r="ED22" i="4"/>
  <c r="EC22" i="4"/>
  <c r="EA22" i="4"/>
  <c r="DZ22" i="4"/>
  <c r="DY22" i="4"/>
  <c r="DW22" i="4"/>
  <c r="DV22" i="4"/>
  <c r="DU22" i="4"/>
  <c r="DS22" i="4"/>
  <c r="DR22" i="4"/>
  <c r="DQ22" i="4"/>
  <c r="DO22" i="4"/>
  <c r="QR29" i="4"/>
  <c r="QQ29" i="4"/>
  <c r="QP29" i="4"/>
  <c r="QN29" i="4"/>
  <c r="QL29" i="4"/>
  <c r="QK29" i="4"/>
  <c r="QJ29" i="4"/>
  <c r="QH29" i="4"/>
  <c r="QG29" i="4"/>
  <c r="EH21" i="4"/>
  <c r="EG21" i="4"/>
  <c r="EF21" i="4"/>
  <c r="EE21" i="4"/>
  <c r="ED21" i="4"/>
  <c r="EC21" i="4"/>
  <c r="EA21" i="4"/>
  <c r="DZ21" i="4"/>
  <c r="DY21" i="4"/>
  <c r="DW21" i="4"/>
  <c r="DV21" i="4"/>
  <c r="DU21" i="4"/>
  <c r="DS21" i="4"/>
  <c r="DR21" i="4"/>
  <c r="DQ21" i="4"/>
  <c r="DO21" i="4"/>
  <c r="QR28" i="4"/>
  <c r="QQ28" i="4"/>
  <c r="QP28" i="4"/>
  <c r="QO28" i="4"/>
  <c r="QM28" i="4"/>
  <c r="QK28" i="4"/>
  <c r="QJ28" i="4"/>
  <c r="QI28" i="4"/>
  <c r="QH28" i="4"/>
  <c r="QG28" i="4"/>
  <c r="EH20" i="4"/>
  <c r="EG20" i="4"/>
  <c r="EF20" i="4"/>
  <c r="EE20" i="4"/>
  <c r="ED20" i="4"/>
  <c r="EC20" i="4"/>
  <c r="EA20" i="4"/>
  <c r="DZ20" i="4"/>
  <c r="DY20" i="4"/>
  <c r="DW20" i="4"/>
  <c r="DV20" i="4"/>
  <c r="DU20" i="4"/>
  <c r="DS20" i="4"/>
  <c r="DR20" i="4"/>
  <c r="DQ20" i="4"/>
  <c r="DO20" i="4"/>
  <c r="YK34" i="4"/>
  <c r="QR27" i="4"/>
  <c r="QQ27" i="4"/>
  <c r="QP27" i="4"/>
  <c r="QO27" i="4"/>
  <c r="QN27" i="4"/>
  <c r="QM27" i="4"/>
  <c r="QL27" i="4"/>
  <c r="QK27" i="4"/>
  <c r="QJ27" i="4"/>
  <c r="QI27" i="4"/>
  <c r="QH27" i="4"/>
  <c r="QG27" i="4"/>
  <c r="EH19" i="4"/>
  <c r="EG19" i="4"/>
  <c r="EF19" i="4"/>
  <c r="ED19" i="4"/>
  <c r="EC19" i="4"/>
  <c r="EB19" i="4"/>
  <c r="DZ19" i="4"/>
  <c r="DY19" i="4"/>
  <c r="DX19" i="4"/>
  <c r="DV19" i="4"/>
  <c r="DU19" i="4"/>
  <c r="DT19" i="4"/>
  <c r="DS19" i="4"/>
  <c r="DR19" i="4"/>
  <c r="DP19" i="4"/>
  <c r="DO19" i="4"/>
  <c r="YK32" i="4"/>
  <c r="QR26" i="4"/>
  <c r="QQ26" i="4"/>
  <c r="QP26" i="4"/>
  <c r="QN26" i="4"/>
  <c r="QM26" i="4"/>
  <c r="QL26" i="4"/>
  <c r="QK26" i="4"/>
  <c r="QJ26" i="4"/>
  <c r="QH26" i="4"/>
  <c r="QG26" i="4"/>
  <c r="EH18" i="4"/>
  <c r="EG18" i="4"/>
  <c r="EF18" i="4"/>
  <c r="EC18" i="4"/>
  <c r="EB18" i="4"/>
  <c r="DZ18" i="4"/>
  <c r="DY18" i="4"/>
  <c r="DX18" i="4"/>
  <c r="DV18" i="4"/>
  <c r="DU18" i="4"/>
  <c r="DS18" i="4"/>
  <c r="DR18" i="4"/>
  <c r="DP18" i="4"/>
  <c r="DO18" i="4"/>
  <c r="QR25" i="4"/>
  <c r="QQ25" i="4"/>
  <c r="QP25" i="4"/>
  <c r="QO25" i="4"/>
  <c r="QN25" i="4"/>
  <c r="QM25" i="4"/>
  <c r="QL25" i="4"/>
  <c r="QK25" i="4"/>
  <c r="QJ25" i="4"/>
  <c r="QI25" i="4"/>
  <c r="QH25" i="4"/>
  <c r="QG25" i="4"/>
  <c r="EH41" i="4"/>
  <c r="EG41" i="4"/>
  <c r="EF41" i="4"/>
  <c r="EE41" i="4"/>
  <c r="ED41" i="4"/>
  <c r="EB41" i="4"/>
  <c r="EA41" i="4"/>
  <c r="DZ41" i="4"/>
  <c r="DX41" i="4"/>
  <c r="DW41" i="4"/>
  <c r="DV41" i="4"/>
  <c r="DT41" i="4"/>
  <c r="DS41" i="4"/>
  <c r="DR41" i="4"/>
  <c r="DO41" i="4"/>
  <c r="QQ24" i="4"/>
  <c r="QP24" i="4"/>
  <c r="QN24" i="4"/>
  <c r="QM24" i="4"/>
  <c r="QL24" i="4"/>
  <c r="QK24" i="4"/>
  <c r="QJ24" i="4"/>
  <c r="QH24" i="4"/>
  <c r="EH40" i="4"/>
  <c r="EG40" i="4"/>
  <c r="EF40" i="4"/>
  <c r="EE40" i="4"/>
  <c r="ED40" i="4"/>
  <c r="EB40" i="4"/>
  <c r="EA40" i="4"/>
  <c r="DZ40" i="4"/>
  <c r="DX40" i="4"/>
  <c r="DW40" i="4"/>
  <c r="DV40" i="4"/>
  <c r="DT40" i="4"/>
  <c r="DS40" i="4"/>
  <c r="DR40" i="4"/>
  <c r="DO40" i="4"/>
  <c r="QR23" i="4"/>
  <c r="QQ23" i="4"/>
  <c r="QO23" i="4"/>
  <c r="QN23" i="4"/>
  <c r="QM23" i="4"/>
  <c r="QL23" i="4"/>
  <c r="QK23" i="4"/>
  <c r="QJ23" i="4"/>
  <c r="QI23" i="4"/>
  <c r="QH23" i="4"/>
  <c r="QG23" i="4"/>
  <c r="EG39" i="4"/>
  <c r="EE39" i="4"/>
  <c r="ED39" i="4"/>
  <c r="EB39" i="4"/>
  <c r="EA39" i="4"/>
  <c r="DZ39" i="4"/>
  <c r="DY39" i="4"/>
  <c r="DX39" i="4"/>
  <c r="DW39" i="4"/>
  <c r="DT39" i="4"/>
  <c r="DS39" i="4"/>
  <c r="DR39" i="4"/>
  <c r="QR22" i="4"/>
  <c r="QQ22" i="4"/>
  <c r="QP22" i="4"/>
  <c r="QO22" i="4"/>
  <c r="QM22" i="4"/>
  <c r="QL22" i="4"/>
  <c r="QK22" i="4"/>
  <c r="QI22" i="4"/>
  <c r="QH22" i="4"/>
  <c r="QG22" i="4"/>
  <c r="EG37" i="4"/>
  <c r="EE37" i="4"/>
  <c r="ED37" i="4"/>
  <c r="EB37" i="4"/>
  <c r="EA37" i="4"/>
  <c r="DZ37" i="4"/>
  <c r="DY37" i="4"/>
  <c r="DX37" i="4"/>
  <c r="DW37" i="4"/>
  <c r="DT37" i="4"/>
  <c r="DS37" i="4"/>
  <c r="DR37" i="4"/>
  <c r="QR21" i="4"/>
  <c r="QQ21" i="4"/>
  <c r="QP21" i="4"/>
  <c r="QO21" i="4"/>
  <c r="QN21" i="4"/>
  <c r="QK21" i="4"/>
  <c r="QJ21" i="4"/>
  <c r="QI21" i="4"/>
  <c r="QH21" i="4"/>
  <c r="QG21" i="4"/>
  <c r="EH35" i="4"/>
  <c r="EG35" i="4"/>
  <c r="EF35" i="4"/>
  <c r="ED35" i="4"/>
  <c r="EC35" i="4"/>
  <c r="EB35" i="4"/>
  <c r="EA35" i="4"/>
  <c r="DZ35" i="4"/>
  <c r="DX35" i="4"/>
  <c r="DW35" i="4"/>
  <c r="DV35" i="4"/>
  <c r="DU35" i="4"/>
  <c r="DS35" i="4"/>
  <c r="DP35" i="4"/>
  <c r="DO35" i="4"/>
  <c r="QR20" i="4"/>
  <c r="QQ20" i="4"/>
  <c r="QP20" i="4"/>
  <c r="QO20" i="4"/>
  <c r="QM20" i="4"/>
  <c r="QL20" i="4"/>
  <c r="QK20" i="4"/>
  <c r="QJ20" i="4"/>
  <c r="QI20" i="4"/>
  <c r="QH20" i="4"/>
  <c r="QG20" i="4"/>
  <c r="EH34" i="4"/>
  <c r="EG34" i="4"/>
  <c r="EF34" i="4"/>
  <c r="ED34" i="4"/>
  <c r="EC34" i="4"/>
  <c r="EB34" i="4"/>
  <c r="EA34" i="4"/>
  <c r="DZ34" i="4"/>
  <c r="DX34" i="4"/>
  <c r="DW34" i="4"/>
  <c r="DV34" i="4"/>
  <c r="DU34" i="4"/>
  <c r="DS34" i="4"/>
  <c r="DP34" i="4"/>
  <c r="DO34" i="4"/>
  <c r="QR19" i="4"/>
  <c r="QQ19" i="4"/>
  <c r="QP19" i="4"/>
  <c r="QO19" i="4"/>
  <c r="QM19" i="4"/>
  <c r="QL19" i="4"/>
  <c r="QK19" i="4"/>
  <c r="QI19" i="4"/>
  <c r="QH19" i="4"/>
  <c r="QG19" i="4"/>
  <c r="EH15" i="4"/>
  <c r="EG15" i="4"/>
  <c r="EE15" i="4"/>
  <c r="ED15" i="4"/>
  <c r="EB15" i="4"/>
  <c r="EA15" i="4"/>
  <c r="DZ15" i="4"/>
  <c r="DY15" i="4"/>
  <c r="DW15" i="4"/>
  <c r="DV15" i="4"/>
  <c r="DT15" i="4"/>
  <c r="DS15" i="4"/>
  <c r="DR15" i="4"/>
  <c r="DP15" i="4"/>
  <c r="DO15" i="4"/>
  <c r="QR18" i="4"/>
  <c r="QQ18" i="4"/>
  <c r="QP18" i="4"/>
  <c r="QN18" i="4"/>
  <c r="QL18" i="4"/>
  <c r="QK18" i="4"/>
  <c r="QJ18" i="4"/>
  <c r="QH18" i="4"/>
  <c r="QG18" i="4"/>
  <c r="EH14" i="4"/>
  <c r="EG14" i="4"/>
  <c r="EE14" i="4"/>
  <c r="ED14" i="4"/>
  <c r="EB14" i="4"/>
  <c r="EA14" i="4"/>
  <c r="DZ14" i="4"/>
  <c r="DY14" i="4"/>
  <c r="DW14" i="4"/>
  <c r="DV14" i="4"/>
  <c r="DT14" i="4"/>
  <c r="DS14" i="4"/>
  <c r="DR14" i="4"/>
  <c r="DP14" i="4"/>
  <c r="DO14" i="4"/>
  <c r="QR17" i="4"/>
  <c r="QQ17" i="4"/>
  <c r="QP17" i="4"/>
  <c r="QN17" i="4"/>
  <c r="QM17" i="4"/>
  <c r="QL17" i="4"/>
  <c r="QK17" i="4"/>
  <c r="QJ17" i="4"/>
  <c r="QH17" i="4"/>
  <c r="QG17" i="4"/>
  <c r="EH33" i="4"/>
  <c r="EG33" i="4"/>
  <c r="EF33" i="4"/>
  <c r="EE33" i="4"/>
  <c r="ED33" i="4"/>
  <c r="EC33" i="4"/>
  <c r="EA33" i="4"/>
  <c r="DZ33" i="4"/>
  <c r="DY33" i="4"/>
  <c r="DW33" i="4"/>
  <c r="DV33" i="4"/>
  <c r="DU33" i="4"/>
  <c r="DS33" i="4"/>
  <c r="DR33" i="4"/>
  <c r="DQ33" i="4"/>
  <c r="DO33" i="4"/>
  <c r="QR16" i="4"/>
  <c r="QQ16" i="4"/>
  <c r="QP16" i="4"/>
  <c r="QN16" i="4"/>
  <c r="QM16" i="4"/>
  <c r="QL16" i="4"/>
  <c r="QK16" i="4"/>
  <c r="QJ16" i="4"/>
  <c r="QI16" i="4"/>
  <c r="QH16" i="4"/>
  <c r="QG16" i="4"/>
  <c r="EH32" i="4"/>
  <c r="EG32" i="4"/>
  <c r="EF32" i="4"/>
  <c r="EE32" i="4"/>
  <c r="ED32" i="4"/>
  <c r="EC32" i="4"/>
  <c r="EA32" i="4"/>
  <c r="DZ32" i="4"/>
  <c r="DY32" i="4"/>
  <c r="DW32" i="4"/>
  <c r="DV32" i="4"/>
  <c r="DU32" i="4"/>
  <c r="DS32" i="4"/>
  <c r="DR32" i="4"/>
  <c r="DB16" i="4"/>
  <c r="CY16" i="4"/>
  <c r="CX16" i="4"/>
  <c r="CU16" i="4"/>
  <c r="BL16" i="4"/>
  <c r="HO5" i="4" s="1"/>
  <c r="AC98" i="6" s="1"/>
  <c r="QR15" i="4"/>
  <c r="QQ15" i="4"/>
  <c r="QP15" i="4"/>
  <c r="QN15" i="4"/>
  <c r="QM15" i="4"/>
  <c r="QL15" i="4"/>
  <c r="QK15" i="4"/>
  <c r="QJ15" i="4"/>
  <c r="QH15" i="4"/>
  <c r="QG15" i="4"/>
  <c r="EG13" i="4"/>
  <c r="EF13" i="4"/>
  <c r="ED13" i="4"/>
  <c r="EC13" i="4"/>
  <c r="EB13" i="4"/>
  <c r="EA13" i="4"/>
  <c r="DZ13" i="4"/>
  <c r="DY13" i="4"/>
  <c r="DX13" i="4"/>
  <c r="DW13" i="4"/>
  <c r="DU13" i="4"/>
  <c r="DS13" i="4"/>
  <c r="DR13" i="4"/>
  <c r="DQ13" i="4"/>
  <c r="DE15" i="4"/>
  <c r="DC15" i="4"/>
  <c r="DB15" i="4"/>
  <c r="CY15" i="4"/>
  <c r="CX15" i="4"/>
  <c r="CU15" i="4"/>
  <c r="Q16" i="4"/>
  <c r="P16" i="4"/>
  <c r="O16" i="4"/>
  <c r="N16" i="4"/>
  <c r="M16" i="4"/>
  <c r="L16" i="4"/>
  <c r="YK18" i="4"/>
  <c r="QR14" i="4"/>
  <c r="QQ14" i="4"/>
  <c r="QP14" i="4"/>
  <c r="QN14" i="4"/>
  <c r="QL14" i="4"/>
  <c r="QK14" i="4"/>
  <c r="QJ14" i="4"/>
  <c r="QH14" i="4"/>
  <c r="QG14" i="4"/>
  <c r="EH10" i="4"/>
  <c r="EG10" i="4"/>
  <c r="EF10" i="4"/>
  <c r="ED10" i="4"/>
  <c r="EC10" i="4"/>
  <c r="EB10" i="4"/>
  <c r="EA10" i="4"/>
  <c r="DZ10" i="4"/>
  <c r="DY10" i="4"/>
  <c r="DX10" i="4"/>
  <c r="DW10" i="4"/>
  <c r="DU10" i="4"/>
  <c r="DS10" i="4"/>
  <c r="DR10" i="4"/>
  <c r="DQ10" i="4"/>
  <c r="CX14" i="4"/>
  <c r="BO14" i="4"/>
  <c r="Q15" i="4"/>
  <c r="P15" i="4"/>
  <c r="O15" i="4"/>
  <c r="N15" i="4"/>
  <c r="M15" i="4"/>
  <c r="L15" i="4"/>
  <c r="YK17" i="4"/>
  <c r="QR13" i="4"/>
  <c r="QQ13" i="4"/>
  <c r="QP13" i="4"/>
  <c r="QO13" i="4"/>
  <c r="QN13" i="4"/>
  <c r="QM13" i="4"/>
  <c r="QL13" i="4"/>
  <c r="QK13" i="4"/>
  <c r="QJ13" i="4"/>
  <c r="QI13" i="4"/>
  <c r="QH13" i="4"/>
  <c r="QG13" i="4"/>
  <c r="EG9" i="4"/>
  <c r="EF9" i="4"/>
  <c r="ED9" i="4"/>
  <c r="EC9" i="4"/>
  <c r="EB9" i="4"/>
  <c r="EA9" i="4"/>
  <c r="DZ9" i="4"/>
  <c r="DY9" i="4"/>
  <c r="DX9" i="4"/>
  <c r="DW9" i="4"/>
  <c r="DU9" i="4"/>
  <c r="DS9" i="4"/>
  <c r="DR9" i="4"/>
  <c r="DQ9" i="4"/>
  <c r="DE13" i="4"/>
  <c r="DC13" i="4"/>
  <c r="DB13" i="4"/>
  <c r="DA13" i="4"/>
  <c r="CY13" i="4"/>
  <c r="CX13" i="4"/>
  <c r="CW13" i="4"/>
  <c r="CU13" i="4"/>
  <c r="CT13" i="4"/>
  <c r="CQ13" i="4"/>
  <c r="CO13" i="4"/>
  <c r="BL13" i="4"/>
  <c r="BK13" i="4" s="1"/>
  <c r="JC2" i="4"/>
  <c r="JC3" i="4"/>
  <c r="QR12" i="4"/>
  <c r="QQ12" i="4"/>
  <c r="QP12" i="4"/>
  <c r="QO12" i="4"/>
  <c r="QM12" i="4"/>
  <c r="QL12" i="4"/>
  <c r="QK12" i="4"/>
  <c r="QJ12" i="4"/>
  <c r="QI12" i="4"/>
  <c r="QG12" i="4"/>
  <c r="EH8" i="4"/>
  <c r="EG8" i="4"/>
  <c r="EF8" i="4"/>
  <c r="ED8" i="4"/>
  <c r="EC8" i="4"/>
  <c r="EB8" i="4"/>
  <c r="EA8" i="4"/>
  <c r="DZ8" i="4"/>
  <c r="DY8" i="4"/>
  <c r="DX8" i="4"/>
  <c r="DW8" i="4"/>
  <c r="DU8" i="4"/>
  <c r="DS8" i="4"/>
  <c r="DR8" i="4"/>
  <c r="DQ8" i="4"/>
  <c r="DE12" i="4"/>
  <c r="DC12" i="4"/>
  <c r="CY12" i="4"/>
  <c r="CU12" i="4"/>
  <c r="BL12" i="4"/>
  <c r="CM12" i="4" s="1"/>
  <c r="P13" i="4"/>
  <c r="N13" i="4"/>
  <c r="M13" i="4"/>
  <c r="L13" i="4"/>
  <c r="YF12" i="4"/>
  <c r="QR11" i="4"/>
  <c r="QQ11" i="4"/>
  <c r="QP11" i="4"/>
  <c r="QO11" i="4"/>
  <c r="QM11" i="4"/>
  <c r="RP14" i="4" s="1"/>
  <c r="RP27" i="4" s="1"/>
  <c r="QL11" i="4"/>
  <c r="QK11" i="4"/>
  <c r="QI11" i="4"/>
  <c r="QG11" i="4"/>
  <c r="EH7" i="4"/>
  <c r="EG7" i="4"/>
  <c r="EF7" i="4"/>
  <c r="ED7" i="4"/>
  <c r="EC7" i="4"/>
  <c r="EB7" i="4"/>
  <c r="DZ7" i="4"/>
  <c r="DY7" i="4"/>
  <c r="DX7" i="4"/>
  <c r="DU7" i="4"/>
  <c r="DR7" i="4"/>
  <c r="DQ7" i="4"/>
  <c r="DB11" i="4"/>
  <c r="CY11" i="4"/>
  <c r="CW11" i="4"/>
  <c r="BO11" i="4"/>
  <c r="Q12" i="4"/>
  <c r="P12" i="4"/>
  <c r="O12" i="4"/>
  <c r="M12" i="4"/>
  <c r="YK14" i="4"/>
  <c r="YF11" i="4"/>
  <c r="QQ10" i="4"/>
  <c r="QP10" i="4"/>
  <c r="QN10" i="4"/>
  <c r="QM10" i="4"/>
  <c r="QL10" i="4"/>
  <c r="QJ10" i="4"/>
  <c r="QI10" i="4"/>
  <c r="QH10" i="4"/>
  <c r="EH31" i="4"/>
  <c r="EG31" i="4"/>
  <c r="EF31" i="4"/>
  <c r="EE31" i="4"/>
  <c r="ED31" i="4"/>
  <c r="DV31" i="4"/>
  <c r="DU31" i="4"/>
  <c r="DS31" i="4"/>
  <c r="DR31" i="4"/>
  <c r="DP31" i="4"/>
  <c r="DO31" i="4"/>
  <c r="DE10" i="4"/>
  <c r="DC10" i="4"/>
  <c r="DB10" i="4"/>
  <c r="DA10" i="4"/>
  <c r="CY10" i="4"/>
  <c r="CX10" i="4"/>
  <c r="CW10" i="4"/>
  <c r="CU10" i="4"/>
  <c r="CT10" i="4"/>
  <c r="CS10" i="4"/>
  <c r="CQ10" i="4"/>
  <c r="CO10" i="4"/>
  <c r="BL10" i="4"/>
  <c r="CP10" i="4" s="1"/>
  <c r="BL7" i="4"/>
  <c r="EI13" i="4" s="1"/>
  <c r="BK6" i="4"/>
  <c r="YJ13" i="4"/>
  <c r="YI13" i="4"/>
  <c r="YH13" i="4"/>
  <c r="QQ9" i="4"/>
  <c r="QP9" i="4"/>
  <c r="QN9" i="4"/>
  <c r="QM9" i="4"/>
  <c r="QL9" i="4"/>
  <c r="QJ9" i="4"/>
  <c r="QH9" i="4"/>
  <c r="EH30" i="4"/>
  <c r="EG30" i="4"/>
  <c r="EF30" i="4"/>
  <c r="EE30" i="4"/>
  <c r="ED30" i="4"/>
  <c r="DU30" i="4"/>
  <c r="DS30" i="4"/>
  <c r="DR30" i="4"/>
  <c r="DP30" i="4"/>
  <c r="DO30" i="4"/>
  <c r="DE9" i="4"/>
  <c r="DB9" i="4"/>
  <c r="CX9" i="4"/>
  <c r="CV9" i="4"/>
  <c r="CT9" i="4"/>
  <c r="Q10" i="4"/>
  <c r="P10" i="4"/>
  <c r="L10" i="4"/>
  <c r="QQ8" i="4"/>
  <c r="QP8" i="4"/>
  <c r="QO8" i="4"/>
  <c r="QN8" i="4"/>
  <c r="QM8" i="4"/>
  <c r="QL8" i="4"/>
  <c r="QI8" i="4"/>
  <c r="QH8" i="4"/>
  <c r="EH29" i="4"/>
  <c r="EG29" i="4"/>
  <c r="EF29" i="4"/>
  <c r="EE29" i="4"/>
  <c r="ED29" i="4"/>
  <c r="EC29" i="4"/>
  <c r="EA29" i="4"/>
  <c r="DZ29" i="4"/>
  <c r="DY29" i="4"/>
  <c r="DW29" i="4"/>
  <c r="DV29" i="4"/>
  <c r="DU29" i="4"/>
  <c r="DS29" i="4"/>
  <c r="DR29" i="4"/>
  <c r="DP29" i="4"/>
  <c r="DO29" i="4"/>
  <c r="DF8" i="4"/>
  <c r="DE8" i="4"/>
  <c r="DC8" i="4"/>
  <c r="DB8" i="4"/>
  <c r="CZ8" i="4"/>
  <c r="CY8" i="4"/>
  <c r="CX8" i="4"/>
  <c r="CW8" i="4"/>
  <c r="CT8" i="4"/>
  <c r="CR8" i="4"/>
  <c r="P9" i="4"/>
  <c r="O9" i="4"/>
  <c r="N9" i="4"/>
  <c r="M9" i="4"/>
  <c r="QR7" i="4"/>
  <c r="QQ7" i="4"/>
  <c r="QP7" i="4"/>
  <c r="QO7" i="4"/>
  <c r="QN7" i="4"/>
  <c r="QM7" i="4"/>
  <c r="QL7" i="4"/>
  <c r="QK7" i="4"/>
  <c r="QI7" i="4"/>
  <c r="QH7" i="4"/>
  <c r="QG7" i="4"/>
  <c r="EH28" i="4"/>
  <c r="EG28" i="4"/>
  <c r="EF28" i="4"/>
  <c r="EE28" i="4"/>
  <c r="ED28" i="4"/>
  <c r="EC28" i="4"/>
  <c r="EA28" i="4"/>
  <c r="DZ28" i="4"/>
  <c r="DY28" i="4"/>
  <c r="DW28" i="4"/>
  <c r="DV28" i="4"/>
  <c r="DU28" i="4"/>
  <c r="DS28" i="4"/>
  <c r="DR28" i="4"/>
  <c r="DP28" i="4"/>
  <c r="DO28" i="4"/>
  <c r="DF7" i="4"/>
  <c r="DE7" i="4"/>
  <c r="DD7" i="4"/>
  <c r="DB7" i="4"/>
  <c r="DA7" i="4"/>
  <c r="CZ7" i="4"/>
  <c r="CY7" i="4"/>
  <c r="CX7" i="4"/>
  <c r="CW7" i="4"/>
  <c r="CU7" i="4"/>
  <c r="CS7" i="4"/>
  <c r="CO7" i="4"/>
  <c r="QR6" i="4"/>
  <c r="QQ6" i="4"/>
  <c r="QP6" i="4"/>
  <c r="QO6" i="4"/>
  <c r="QM6" i="4"/>
  <c r="QL6" i="4"/>
  <c r="QK6" i="4"/>
  <c r="QJ6" i="4"/>
  <c r="QI6" i="4"/>
  <c r="QH6" i="4"/>
  <c r="QG6" i="4"/>
  <c r="DP6" i="4"/>
  <c r="DQ6" i="4"/>
  <c r="DR6" i="4"/>
  <c r="DS6" i="4" s="1"/>
  <c r="DT6" i="4"/>
  <c r="DU6" i="4"/>
  <c r="DV6" i="4" s="1"/>
  <c r="DW6" i="4"/>
  <c r="DX6" i="4" s="1"/>
  <c r="DY6" i="4" s="1"/>
  <c r="DZ6" i="4" s="1"/>
  <c r="EA6" i="4" s="1"/>
  <c r="EB6" i="4" s="1"/>
  <c r="EC6" i="4" s="1"/>
  <c r="ED6" i="4" s="1"/>
  <c r="EE6" i="4" s="1"/>
  <c r="EF6" i="4" s="1"/>
  <c r="EG6" i="4" s="1"/>
  <c r="EH6" i="4" s="1"/>
  <c r="DM6" i="4"/>
  <c r="CH6" i="4"/>
  <c r="BU6" i="4"/>
  <c r="BR6" i="4"/>
  <c r="BQ6" i="4"/>
  <c r="BP6" i="4"/>
  <c r="BO6" i="4"/>
  <c r="BN6" i="4"/>
  <c r="BM6" i="4"/>
  <c r="BL6" i="4"/>
  <c r="BJ6" i="4"/>
  <c r="AK34" i="6" s="1"/>
  <c r="T7" i="4"/>
  <c r="Q7" i="4"/>
  <c r="P7" i="4"/>
  <c r="O7" i="4"/>
  <c r="N7" i="4"/>
  <c r="L7" i="4"/>
  <c r="QQ5" i="4"/>
  <c r="QP5" i="4"/>
  <c r="QO5" i="4"/>
  <c r="QN5" i="4"/>
  <c r="QM5" i="4"/>
  <c r="QL5" i="4"/>
  <c r="QJ5" i="4"/>
  <c r="QI5" i="4"/>
  <c r="QH5" i="4"/>
  <c r="GA5" i="4"/>
  <c r="P6" i="4"/>
  <c r="L6" i="4"/>
  <c r="G6" i="4"/>
  <c r="C6" i="4"/>
  <c r="QR4" i="4"/>
  <c r="QQ4" i="4"/>
  <c r="QO4" i="4"/>
  <c r="QN4" i="4"/>
  <c r="QM4" i="4"/>
  <c r="QL4" i="4"/>
  <c r="QK4" i="4"/>
  <c r="QJ4" i="4"/>
  <c r="QI4" i="4"/>
  <c r="QH4" i="4"/>
  <c r="QG4" i="4"/>
  <c r="FL4" i="4"/>
  <c r="FH4" i="4"/>
  <c r="FD4" i="4"/>
  <c r="GA4" i="4"/>
  <c r="Q5" i="4"/>
  <c r="P5" i="4"/>
  <c r="O5" i="4"/>
  <c r="M5" i="4"/>
  <c r="L5" i="4"/>
  <c r="ZS4" i="4"/>
  <c r="QR3" i="4"/>
  <c r="CB139" i="6" s="1"/>
  <c r="QQ3" i="4"/>
  <c r="QO3" i="4"/>
  <c r="QN3" i="4"/>
  <c r="SN15" i="4" s="1"/>
  <c r="SN28" i="4" s="1"/>
  <c r="RP16" i="4"/>
  <c r="RP29" i="4" s="1"/>
  <c r="QM3" i="4"/>
  <c r="QK3" i="4"/>
  <c r="QJ3" i="4"/>
  <c r="QI3" i="4"/>
  <c r="QG3" i="4"/>
  <c r="QF3" i="4"/>
  <c r="QE3" i="4"/>
  <c r="QD3" i="4"/>
  <c r="QC3" i="4"/>
  <c r="QB3" i="4"/>
  <c r="QA3" i="4"/>
  <c r="JB4" i="4"/>
  <c r="IY3" i="4"/>
  <c r="IW3" i="4"/>
  <c r="C53" i="6"/>
  <c r="GA3" i="4"/>
  <c r="AF4" i="4"/>
  <c r="AF3" i="4"/>
  <c r="V4" i="4"/>
  <c r="XC2" i="4"/>
  <c r="XB2" i="4"/>
  <c r="QQ2" i="4"/>
  <c r="IW2" i="4"/>
  <c r="IV2" i="4"/>
  <c r="DO2" i="4"/>
  <c r="DP2" i="4"/>
  <c r="DQ2" i="4" s="1"/>
  <c r="DR2" i="4"/>
  <c r="DS2" i="4" s="1"/>
  <c r="DT2" i="4" s="1"/>
  <c r="GA2" i="4"/>
  <c r="AE3" i="4"/>
  <c r="U2" i="4"/>
  <c r="V2" i="4" s="1"/>
  <c r="BI3" i="6" s="1"/>
  <c r="ZS2" i="4"/>
  <c r="LX1" i="4"/>
  <c r="LW1" i="4"/>
  <c r="LV1" i="4"/>
  <c r="LQ1" i="4"/>
  <c r="LP1" i="4"/>
  <c r="LO1" i="4"/>
  <c r="LN1" i="4"/>
  <c r="LK1" i="4"/>
  <c r="LK108" i="4" s="1"/>
  <c r="LJ1" i="4"/>
  <c r="LI1" i="4"/>
  <c r="LI72" i="4" s="1"/>
  <c r="LH1" i="4"/>
  <c r="LE1" i="4"/>
  <c r="LE77" i="4" s="1"/>
  <c r="KZ1" i="4"/>
  <c r="KZ77" i="4" s="1"/>
  <c r="LD1" i="4"/>
  <c r="LD77" i="4" s="1"/>
  <c r="KY1" i="4"/>
  <c r="KY77" i="4" s="1"/>
  <c r="LC1" i="4"/>
  <c r="LC77" i="4" s="1"/>
  <c r="LB1" i="4"/>
  <c r="LB77" i="4" s="1"/>
  <c r="KX1" i="4"/>
  <c r="KX77" i="4" s="1"/>
  <c r="LA1" i="4"/>
  <c r="LA77" i="4" s="1"/>
  <c r="KW1" i="4"/>
  <c r="KW77" i="4" s="1"/>
  <c r="Q125" i="6"/>
  <c r="DN22" i="4"/>
  <c r="DP22" i="4" s="1"/>
  <c r="DN33" i="4"/>
  <c r="DN32" i="4"/>
  <c r="DU2" i="4"/>
  <c r="DN40" i="4"/>
  <c r="HY7" i="4" s="1"/>
  <c r="DN19" i="4"/>
  <c r="DN18" i="4"/>
  <c r="DN10" i="4"/>
  <c r="DN9" i="4"/>
  <c r="DN8" i="4"/>
  <c r="DN7" i="4"/>
  <c r="DN20" i="4"/>
  <c r="DN21" i="4"/>
  <c r="DN27" i="4"/>
  <c r="DN26" i="4"/>
  <c r="DN16" i="4"/>
  <c r="DQ16" i="4" s="1"/>
  <c r="DN15" i="4"/>
  <c r="DN39" i="4"/>
  <c r="DN38" i="4"/>
  <c r="DN37" i="4"/>
  <c r="DN36" i="4"/>
  <c r="DN34" i="4"/>
  <c r="GZ5" i="4" s="1"/>
  <c r="AC92" i="6" s="1"/>
  <c r="DN29" i="4"/>
  <c r="HG4" i="4" s="1"/>
  <c r="DN14" i="4"/>
  <c r="GF5" i="4"/>
  <c r="GJ5" i="4" s="1"/>
  <c r="GF6" i="4"/>
  <c r="GJ6" i="4" s="1"/>
  <c r="GF7" i="4"/>
  <c r="GJ7" i="4" s="1"/>
  <c r="GF8" i="4"/>
  <c r="GJ8" i="4" s="1"/>
  <c r="GF9" i="4"/>
  <c r="GJ9" i="4" s="1"/>
  <c r="GF10" i="4"/>
  <c r="GJ10" i="4" s="1"/>
  <c r="GF11" i="4"/>
  <c r="GJ11" i="4" s="1"/>
  <c r="GF12" i="4"/>
  <c r="GJ12" i="4" s="1"/>
  <c r="GF13" i="4"/>
  <c r="GJ13" i="4" s="1"/>
  <c r="RH9" i="4"/>
  <c r="RH10" i="4"/>
  <c r="RH23" i="4" s="1"/>
  <c r="RH12" i="4"/>
  <c r="RH25" i="4" s="1"/>
  <c r="RH13" i="4"/>
  <c r="RH26" i="4" s="1"/>
  <c r="RP9" i="4"/>
  <c r="QZ10" i="4"/>
  <c r="QZ23" i="4" s="1"/>
  <c r="RP8" i="4"/>
  <c r="RP21" i="4" s="1"/>
  <c r="RH8" i="4"/>
  <c r="RH21" i="4" s="1"/>
  <c r="RP11" i="4"/>
  <c r="RP10" i="4"/>
  <c r="RP23" i="4" s="1"/>
  <c r="BD139" i="6"/>
  <c r="QZ8" i="4"/>
  <c r="QZ21" i="4" s="1"/>
  <c r="SN10" i="4"/>
  <c r="SN23" i="4" s="1"/>
  <c r="SF10" i="4"/>
  <c r="SF23" i="4" s="1"/>
  <c r="RX11" i="4"/>
  <c r="RX24" i="4" s="1"/>
  <c r="SF11" i="4"/>
  <c r="SF24" i="4" s="1"/>
  <c r="SF14" i="4"/>
  <c r="SF27" i="4" s="1"/>
  <c r="SN14" i="4"/>
  <c r="SN27" i="4" s="1"/>
  <c r="RX8" i="4"/>
  <c r="RX21" i="4" s="1"/>
  <c r="SN8" i="4"/>
  <c r="SN21" i="4" s="1"/>
  <c r="SF12" i="4"/>
  <c r="RX12" i="4"/>
  <c r="RI25" i="4" s="1"/>
  <c r="SF9" i="4"/>
  <c r="SF22" i="4" s="1"/>
  <c r="SN9" i="4"/>
  <c r="SN22" i="4" s="1"/>
  <c r="SF13" i="4"/>
  <c r="SF26" i="4" s="1"/>
  <c r="RX13" i="4"/>
  <c r="RX26" i="4" s="1"/>
  <c r="BT139" i="6"/>
  <c r="VS1" i="4"/>
  <c r="VY1" i="4"/>
  <c r="VX1" i="4"/>
  <c r="VW1" i="4"/>
  <c r="VU1" i="4"/>
  <c r="BT148" i="6"/>
  <c r="BD148" i="6"/>
  <c r="AV148" i="6"/>
  <c r="JG2" i="4"/>
  <c r="VR1" i="4"/>
  <c r="VB1" i="4"/>
  <c r="UN1" i="4"/>
  <c r="UM1" i="4"/>
  <c r="VE1" i="4"/>
  <c r="VF1" i="4"/>
  <c r="VH1" i="4"/>
  <c r="UR1" i="4"/>
  <c r="VD1" i="4"/>
  <c r="VD104" i="4" s="1"/>
  <c r="VA1" i="4"/>
  <c r="UZ1" i="4"/>
  <c r="AK38" i="6"/>
  <c r="AK21" i="6"/>
  <c r="AJ3" i="4"/>
  <c r="AH3" i="4"/>
  <c r="VP1" i="4"/>
  <c r="VM1" i="4"/>
  <c r="VM289" i="4"/>
  <c r="VI1" i="4"/>
  <c r="VI269" i="4" s="1"/>
  <c r="C56" i="6"/>
  <c r="AK20" i="6"/>
  <c r="K26" i="6"/>
  <c r="UQ1" i="4"/>
  <c r="UQ176" i="4" s="1"/>
  <c r="UP1" i="4"/>
  <c r="UP318" i="4"/>
  <c r="UO1" i="4"/>
  <c r="AK30" i="6"/>
  <c r="AK28" i="6"/>
  <c r="AK36" i="6"/>
  <c r="AK24" i="6"/>
  <c r="AK26" i="6"/>
  <c r="AK22" i="6"/>
  <c r="AK32" i="6"/>
  <c r="AK27" i="6"/>
  <c r="AK29" i="6"/>
  <c r="AK31" i="6"/>
  <c r="AK33" i="6"/>
  <c r="AK35" i="6"/>
  <c r="AK39" i="6"/>
  <c r="C126" i="6"/>
  <c r="AK23" i="6"/>
  <c r="AK25" i="6"/>
  <c r="AV149" i="6"/>
  <c r="BL149" i="6"/>
  <c r="BT149" i="6"/>
  <c r="JG3" i="4"/>
  <c r="PU58" i="4"/>
  <c r="PV58" i="4" s="1"/>
  <c r="KU58" i="4"/>
  <c r="BA17" i="9"/>
  <c r="BT150" i="6"/>
  <c r="BL150" i="6"/>
  <c r="BD150" i="6"/>
  <c r="AG145" i="6"/>
  <c r="BT145" i="6"/>
  <c r="RX7" i="4" s="1"/>
  <c r="RX20" i="4" s="1"/>
  <c r="CO2" i="4"/>
  <c r="CP2" i="4" s="1"/>
  <c r="CQ2" i="4" s="1"/>
  <c r="CR2" i="4" s="1"/>
  <c r="CS2" i="4" s="1"/>
  <c r="CT2" i="4" s="1"/>
  <c r="CU2" i="4" s="1"/>
  <c r="CV2" i="4" s="1"/>
  <c r="CW2" i="4" s="1"/>
  <c r="CX2" i="4" s="1"/>
  <c r="CY2" i="4" s="1"/>
  <c r="CZ2" i="4" s="1"/>
  <c r="DA2" i="4" s="1"/>
  <c r="DB2" i="4" s="1"/>
  <c r="DC2" i="4" s="1"/>
  <c r="DD2" i="4" s="1"/>
  <c r="DE2" i="4" s="1"/>
  <c r="DF2" i="4" s="1"/>
  <c r="AG143" i="6"/>
  <c r="TU116" i="4"/>
  <c r="AG149" i="6"/>
  <c r="BA7" i="9"/>
  <c r="YJ7" i="4"/>
  <c r="UY1" i="4"/>
  <c r="AM44" i="9"/>
  <c r="AM46" i="9"/>
  <c r="AM43" i="9"/>
  <c r="BA22" i="9"/>
  <c r="AM38" i="9"/>
  <c r="AM36" i="9"/>
  <c r="AM39" i="9"/>
  <c r="AM37" i="9"/>
  <c r="AM34" i="9"/>
  <c r="AM40" i="9"/>
  <c r="AM47" i="9"/>
  <c r="AM41" i="9"/>
  <c r="AM35" i="9"/>
  <c r="AM42" i="9"/>
  <c r="AM45" i="9"/>
  <c r="BA24" i="9"/>
  <c r="BO23" i="9"/>
  <c r="BA23" i="9"/>
  <c r="BO25" i="9"/>
  <c r="BO24" i="9"/>
  <c r="BA25" i="9"/>
  <c r="BA20" i="9"/>
  <c r="BA19" i="9"/>
  <c r="BA18" i="9"/>
  <c r="BA21" i="9"/>
  <c r="CC22" i="9"/>
  <c r="CC24" i="9"/>
  <c r="CC25" i="9"/>
  <c r="CC20" i="9"/>
  <c r="CC21" i="9"/>
  <c r="CC23" i="9"/>
  <c r="BO16" i="9"/>
  <c r="BO14" i="9"/>
  <c r="CQ15" i="9"/>
  <c r="BO17" i="9"/>
  <c r="VI41" i="4"/>
  <c r="TP41" i="4" s="1"/>
  <c r="CQ16" i="9"/>
  <c r="BO15" i="9"/>
  <c r="UP235" i="4"/>
  <c r="CQ17" i="9"/>
  <c r="BO10" i="9"/>
  <c r="CQ18" i="9"/>
  <c r="BO11" i="9"/>
  <c r="CQ19" i="9"/>
  <c r="BO6" i="9"/>
  <c r="CQ14" i="9"/>
  <c r="CQ25" i="9"/>
  <c r="CQ21" i="9"/>
  <c r="CQ24" i="9"/>
  <c r="CQ23" i="9"/>
  <c r="CQ20" i="9"/>
  <c r="CQ22" i="9"/>
  <c r="XC71" i="4"/>
  <c r="CQ8" i="9"/>
  <c r="CQ11" i="9"/>
  <c r="CQ12" i="9"/>
  <c r="CQ13" i="9"/>
  <c r="AM33" i="9"/>
  <c r="UP269" i="4"/>
  <c r="CC18" i="9"/>
  <c r="CC11" i="9"/>
  <c r="CC16" i="9"/>
  <c r="CC8" i="9"/>
  <c r="CC17" i="9"/>
  <c r="CC13" i="9"/>
  <c r="CC15" i="9"/>
  <c r="CC19" i="9"/>
  <c r="CC10" i="9"/>
  <c r="CC14" i="9"/>
  <c r="UO104" i="4"/>
  <c r="BO22" i="9"/>
  <c r="BO20" i="9"/>
  <c r="BO18" i="9"/>
  <c r="BO19" i="9"/>
  <c r="BO21" i="9"/>
  <c r="GL7" i="4"/>
  <c r="GN7" i="4" s="1"/>
  <c r="GM7" i="4" s="1"/>
  <c r="DT123" i="8"/>
  <c r="AS140" i="8"/>
  <c r="UP237" i="4"/>
  <c r="TP237" i="4" s="1"/>
  <c r="TN237" i="4" s="1"/>
  <c r="VI351" i="4"/>
  <c r="UP190" i="4"/>
  <c r="GG12" i="4"/>
  <c r="AC87" i="6" s="1"/>
  <c r="PU36" i="4"/>
  <c r="PV36" i="4" s="1"/>
  <c r="CQ8" i="4"/>
  <c r="GG13" i="4"/>
  <c r="AC88" i="6" s="1"/>
  <c r="GG6" i="4"/>
  <c r="AC81" i="6" s="1"/>
  <c r="VI37" i="4"/>
  <c r="TP37" i="4" s="1"/>
  <c r="TN37" i="4" s="1"/>
  <c r="VH354" i="4"/>
  <c r="TP354" i="4" s="1"/>
  <c r="TN354" i="4" s="1"/>
  <c r="YN8" i="4"/>
  <c r="PU40" i="4"/>
  <c r="PV40" i="4" s="1"/>
  <c r="YM4" i="4"/>
  <c r="PU56" i="4"/>
  <c r="PV56" i="4" s="1"/>
  <c r="PU22" i="4"/>
  <c r="PV22" i="4" s="1"/>
  <c r="KU18" i="4"/>
  <c r="PU18" i="4"/>
  <c r="PV18" i="4" s="1"/>
  <c r="KU39" i="4"/>
  <c r="PU39" i="4"/>
  <c r="PV39" i="4" s="1"/>
  <c r="VN316" i="4"/>
  <c r="VN154" i="4"/>
  <c r="TP154" i="4" s="1"/>
  <c r="TN154" i="4" s="1"/>
  <c r="YM7" i="4"/>
  <c r="YN7" i="4"/>
  <c r="YI7" i="4"/>
  <c r="UQ289" i="4"/>
  <c r="VN55" i="4"/>
  <c r="TP55" i="4" s="1"/>
  <c r="TN55" i="4" s="1"/>
  <c r="UP308" i="4"/>
  <c r="UP339" i="4"/>
  <c r="VB29" i="4"/>
  <c r="TP29" i="4" s="1"/>
  <c r="PU48" i="4"/>
  <c r="PV48" i="4" s="1"/>
  <c r="UP120" i="4"/>
  <c r="WP120" i="4"/>
  <c r="WQ120" i="4" s="1"/>
  <c r="UP256" i="4"/>
  <c r="UP59" i="4"/>
  <c r="VP48" i="4"/>
  <c r="VA128" i="4"/>
  <c r="TP128" i="4" s="1"/>
  <c r="TN128" i="4" s="1"/>
  <c r="KU21" i="4"/>
  <c r="KU14" i="4"/>
  <c r="PU41" i="4"/>
  <c r="PV41" i="4" s="1"/>
  <c r="KU43" i="4"/>
  <c r="PU43" i="4"/>
  <c r="PV43" i="4" s="1"/>
  <c r="ZM4" i="4"/>
  <c r="ZM5" i="4" s="1"/>
  <c r="YM10" i="4"/>
  <c r="YN10" i="4"/>
  <c r="VN311" i="4"/>
  <c r="VN356" i="4"/>
  <c r="TP356" i="4" s="1"/>
  <c r="TN356" i="4" s="1"/>
  <c r="VN196" i="4"/>
  <c r="VN317" i="4"/>
  <c r="YI6" i="4"/>
  <c r="PU29" i="4"/>
  <c r="PV29" i="4" s="1"/>
  <c r="KU29" i="4"/>
  <c r="PU17" i="4"/>
  <c r="PV17" i="4" s="1"/>
  <c r="KU17" i="4"/>
  <c r="VH152" i="4"/>
  <c r="VH77" i="4"/>
  <c r="VH289" i="4"/>
  <c r="YI10" i="4"/>
  <c r="UO144" i="4"/>
  <c r="UO152" i="4"/>
  <c r="VD111" i="4"/>
  <c r="TP111" i="4" s="1"/>
  <c r="TN111" i="4" s="1"/>
  <c r="VD233" i="4"/>
  <c r="VD47" i="4"/>
  <c r="TP47" i="4" s="1"/>
  <c r="TN47" i="4" s="1"/>
  <c r="VD258" i="4"/>
  <c r="TP258" i="4" s="1"/>
  <c r="TN258" i="4" s="1"/>
  <c r="VD248" i="4"/>
  <c r="VD236" i="4"/>
  <c r="TP236" i="4" s="1"/>
  <c r="TN236" i="4" s="1"/>
  <c r="VD101" i="4"/>
  <c r="TP101" i="4" s="1"/>
  <c r="TN101" i="4" s="1"/>
  <c r="VD40" i="4"/>
  <c r="TP40" i="4" s="1"/>
  <c r="TN40" i="4" s="1"/>
  <c r="KU35" i="4"/>
  <c r="KU32" i="4"/>
  <c r="PU32" i="4"/>
  <c r="PV32" i="4" s="1"/>
  <c r="KU27" i="4"/>
  <c r="PU27" i="4"/>
  <c r="PV27" i="4" s="1"/>
  <c r="PU23" i="4"/>
  <c r="PV23" i="4" s="1"/>
  <c r="KU23" i="4"/>
  <c r="KU19" i="4"/>
  <c r="VI196" i="4"/>
  <c r="VI174" i="4"/>
  <c r="TP174" i="4" s="1"/>
  <c r="TN174" i="4" s="1"/>
  <c r="UV292" i="4"/>
  <c r="UV304" i="4"/>
  <c r="UV109" i="4"/>
  <c r="UV250" i="4"/>
  <c r="LM99" i="4"/>
  <c r="VP80" i="4"/>
  <c r="VP300" i="4"/>
  <c r="VP243" i="4"/>
  <c r="VP228" i="4"/>
  <c r="UX250" i="4"/>
  <c r="UX111" i="4"/>
  <c r="UX326" i="4"/>
  <c r="UX293" i="4"/>
  <c r="UX109" i="4"/>
  <c r="UX99" i="4"/>
  <c r="UX52" i="4"/>
  <c r="UX105" i="4"/>
  <c r="UX124" i="4"/>
  <c r="UX325" i="4"/>
  <c r="UO203" i="4"/>
  <c r="UO58" i="4"/>
  <c r="TP58" i="4" s="1"/>
  <c r="TN58" i="4" s="1"/>
  <c r="KU31" i="4"/>
  <c r="PU31" i="4"/>
  <c r="PV31" i="4" s="1"/>
  <c r="VL311" i="4"/>
  <c r="VL317" i="4"/>
  <c r="UO287" i="4"/>
  <c r="TP287" i="4" s="1"/>
  <c r="TN287" i="4" s="1"/>
  <c r="KU52" i="4"/>
  <c r="PU52" i="4"/>
  <c r="PV52" i="4" s="1"/>
  <c r="BX161" i="8"/>
  <c r="GG7" i="4"/>
  <c r="AC82" i="6" s="1"/>
  <c r="GG10" i="4"/>
  <c r="AC85" i="6" s="1"/>
  <c r="GG5" i="4"/>
  <c r="AC80" i="6" s="1"/>
  <c r="CN8" i="4"/>
  <c r="GG8" i="4"/>
  <c r="AC83" i="6" s="1"/>
  <c r="GG11" i="4"/>
  <c r="AC86" i="6" s="1"/>
  <c r="EU14" i="4"/>
  <c r="GG9" i="4"/>
  <c r="AC84" i="6" s="1"/>
  <c r="CU8" i="4"/>
  <c r="ET14" i="4"/>
  <c r="CP8" i="4"/>
  <c r="DN17" i="4"/>
  <c r="BO9" i="4" s="1"/>
  <c r="VP104" i="4"/>
  <c r="VP361" i="4"/>
  <c r="VB227" i="4"/>
  <c r="TP227" i="4" s="1"/>
  <c r="TN227" i="4" s="1"/>
  <c r="UW142" i="4"/>
  <c r="VP227" i="4"/>
  <c r="VP190" i="4"/>
  <c r="VP270" i="4"/>
  <c r="VP318" i="4"/>
  <c r="VP140" i="4"/>
  <c r="UY309" i="4"/>
  <c r="TP309" i="4"/>
  <c r="TN309" i="4" s="1"/>
  <c r="VP293" i="4"/>
  <c r="VP202" i="4"/>
  <c r="VB109" i="4"/>
  <c r="TP109" i="4" s="1"/>
  <c r="TN109" i="4" s="1"/>
  <c r="VP43" i="4"/>
  <c r="VP216" i="4"/>
  <c r="VP212" i="4"/>
  <c r="VP276" i="4"/>
  <c r="VP153" i="4"/>
  <c r="VP49" i="4"/>
  <c r="VP280" i="4"/>
  <c r="VP297" i="4"/>
  <c r="VP171" i="4"/>
  <c r="VB256" i="4"/>
  <c r="LI65" i="4"/>
  <c r="KU37" i="4"/>
  <c r="PU37" i="4"/>
  <c r="PV37" i="4" s="1"/>
  <c r="VJ311" i="4"/>
  <c r="VJ339" i="4"/>
  <c r="VJ256" i="4"/>
  <c r="VJ59" i="4"/>
  <c r="VJ152" i="4"/>
  <c r="HJ6" i="4"/>
  <c r="UO270" i="4"/>
  <c r="TP270" i="4" s="1"/>
  <c r="TN270" i="4" s="1"/>
  <c r="UO167" i="4"/>
  <c r="UO364" i="4"/>
  <c r="TP364" i="4" s="1"/>
  <c r="TN364" i="4" s="1"/>
  <c r="UO30" i="4"/>
  <c r="VG185" i="4"/>
  <c r="VG152" i="4"/>
  <c r="VG63" i="4"/>
  <c r="TP63" i="4" s="1"/>
  <c r="TN63" i="4" s="1"/>
  <c r="VG59" i="4"/>
  <c r="VG305" i="4"/>
  <c r="PU24" i="4"/>
  <c r="PV24" i="4"/>
  <c r="KU53" i="4"/>
  <c r="VJ44" i="4"/>
  <c r="VJ29" i="4"/>
  <c r="PU33" i="4"/>
  <c r="PV33" i="4" s="1"/>
  <c r="KU57" i="4"/>
  <c r="PU46" i="4"/>
  <c r="PV46" i="4" s="1"/>
  <c r="VJ106" i="4"/>
  <c r="Y20" i="4"/>
  <c r="X20" i="4" s="1"/>
  <c r="VA348" i="4"/>
  <c r="TP348" i="4" s="1"/>
  <c r="VA142" i="4"/>
  <c r="TP142" i="4"/>
  <c r="VA91" i="4"/>
  <c r="VA288" i="4"/>
  <c r="TP288" i="4" s="1"/>
  <c r="BO8" i="9" s="1"/>
  <c r="VA145" i="4"/>
  <c r="TP145" i="4" s="1"/>
  <c r="VA289" i="4"/>
  <c r="VA144" i="4"/>
  <c r="WR120" i="4"/>
  <c r="WS120" i="4" s="1"/>
  <c r="UW39" i="4"/>
  <c r="UW173" i="4"/>
  <c r="UQ188" i="4"/>
  <c r="TP188" i="4" s="1"/>
  <c r="TN188" i="4" s="1"/>
  <c r="UQ185" i="4"/>
  <c r="UW57" i="4"/>
  <c r="UW316" i="4"/>
  <c r="UW348" i="4"/>
  <c r="UW43" i="4"/>
  <c r="PU16" i="4"/>
  <c r="PV16" i="4" s="1"/>
  <c r="WF120" i="4"/>
  <c r="WG120" i="4" s="1"/>
  <c r="UW140" i="4"/>
  <c r="UW288" i="4"/>
  <c r="VA167" i="4"/>
  <c r="UY191" i="4"/>
  <c r="TP191" i="4" s="1"/>
  <c r="BA13" i="9" s="1"/>
  <c r="UY200" i="4"/>
  <c r="TP200" i="4" s="1"/>
  <c r="TN200" i="4" s="1"/>
  <c r="UY57" i="4"/>
  <c r="TP57" i="4" s="1"/>
  <c r="TN57" i="4" s="1"/>
  <c r="UY289" i="4"/>
  <c r="UY64" i="4"/>
  <c r="TP64" i="4" s="1"/>
  <c r="TN64" i="4" s="1"/>
  <c r="VA43" i="4"/>
  <c r="TP43" i="4" s="1"/>
  <c r="PU47" i="4"/>
  <c r="PV47" i="4" s="1"/>
  <c r="KU34" i="4"/>
  <c r="PU34" i="4"/>
  <c r="PV34" i="4" s="1"/>
  <c r="PU25" i="4"/>
  <c r="PV25" i="4"/>
  <c r="KU25" i="4"/>
  <c r="YJ6" i="4"/>
  <c r="YM6" i="4"/>
  <c r="YN6" i="4"/>
  <c r="IR6" i="4"/>
  <c r="TN29" i="4"/>
  <c r="WX120" i="4"/>
  <c r="WY120" i="4" s="1"/>
  <c r="UV165" i="4"/>
  <c r="UV256" i="4"/>
  <c r="UZ284" i="4"/>
  <c r="TP284" i="4" s="1"/>
  <c r="TN284" i="4" s="1"/>
  <c r="GL6" i="4"/>
  <c r="GN6" i="4" s="1"/>
  <c r="GM6" i="4" s="1"/>
  <c r="VK113" i="4"/>
  <c r="TP113" i="4" s="1"/>
  <c r="TN113" i="4" s="1"/>
  <c r="TP120" i="4"/>
  <c r="TN120" i="4" s="1"/>
  <c r="WJ120" i="4"/>
  <c r="WK120" i="4" s="1"/>
  <c r="UV128" i="4"/>
  <c r="UZ203" i="4"/>
  <c r="VK196" i="4"/>
  <c r="VK197" i="4"/>
  <c r="TP197" i="4" s="1"/>
  <c r="TN197" i="4" s="1"/>
  <c r="WH120" i="4"/>
  <c r="WI120" i="4" s="1"/>
  <c r="WT120" i="4"/>
  <c r="WU120" i="4" s="1"/>
  <c r="UZ87" i="4"/>
  <c r="TP87" i="4"/>
  <c r="TN87" i="4" s="1"/>
  <c r="YI8" i="4"/>
  <c r="YM8" i="4"/>
  <c r="YN4" i="4"/>
  <c r="VK91" i="4"/>
  <c r="VK248" i="4"/>
  <c r="TP248" i="4" s="1"/>
  <c r="TN248" i="4" s="1"/>
  <c r="KU28" i="4"/>
  <c r="PU28" i="4"/>
  <c r="PV28" i="4" s="1"/>
  <c r="YM3" i="4"/>
  <c r="YI3" i="4"/>
  <c r="PU45" i="4"/>
  <c r="PV45" i="4"/>
  <c r="VE144" i="4"/>
  <c r="TP144" i="4" s="1"/>
  <c r="TN144" i="4" s="1"/>
  <c r="VE314" i="4"/>
  <c r="VE318" i="4"/>
  <c r="VE184" i="4"/>
  <c r="VE218" i="4"/>
  <c r="TP218" i="4"/>
  <c r="TN218" i="4" s="1"/>
  <c r="WN120" i="4"/>
  <c r="WO120" i="4" s="1"/>
  <c r="WL120" i="4"/>
  <c r="WM120" i="4" s="1"/>
  <c r="WV120" i="4"/>
  <c r="WW120" i="4" s="1"/>
  <c r="KU54" i="4"/>
  <c r="PU54" i="4"/>
  <c r="PV54" i="4" s="1"/>
  <c r="KU50" i="4"/>
  <c r="PU50" i="4"/>
  <c r="PV50" i="4" s="1"/>
  <c r="VM226" i="4"/>
  <c r="TP226" i="4"/>
  <c r="TN226" i="4" s="1"/>
  <c r="VM316" i="4"/>
  <c r="VM152" i="4"/>
  <c r="PU15" i="4"/>
  <c r="PV15" i="4" s="1"/>
  <c r="KU15" i="4"/>
  <c r="IR4" i="4"/>
  <c r="VG306" i="4"/>
  <c r="TP306" i="4" s="1"/>
  <c r="TN306" i="4" s="1"/>
  <c r="VQ1" i="4"/>
  <c r="VQ227" i="4" s="1"/>
  <c r="VI81" i="4"/>
  <c r="TP81" i="4"/>
  <c r="TN81" i="4" s="1"/>
  <c r="VI301" i="4"/>
  <c r="TP301" i="4" s="1"/>
  <c r="TN301" i="4" s="1"/>
  <c r="VP343" i="4"/>
  <c r="VP28" i="4"/>
  <c r="VP3" i="4"/>
  <c r="VP231" i="4"/>
  <c r="VL312" i="4"/>
  <c r="VH355" i="4"/>
  <c r="UV111" i="4"/>
  <c r="UV45" i="4"/>
  <c r="VM209" i="4"/>
  <c r="TP209" i="4" s="1"/>
  <c r="CQ10" i="9" s="1"/>
  <c r="VM89" i="4"/>
  <c r="TP89" i="4" s="1"/>
  <c r="TN89" i="4" s="1"/>
  <c r="VM196" i="4"/>
  <c r="VM355" i="4"/>
  <c r="TP355" i="4" s="1"/>
  <c r="TN355" i="4" s="1"/>
  <c r="VH68" i="4"/>
  <c r="TP68" i="4" s="1"/>
  <c r="TN68" i="4" s="1"/>
  <c r="VB7" i="4"/>
  <c r="TP7" i="4" s="1"/>
  <c r="TN7" i="4" s="1"/>
  <c r="VB163" i="4"/>
  <c r="TP163" i="4" s="1"/>
  <c r="TN163" i="4" s="1"/>
  <c r="VB257" i="4"/>
  <c r="TP257" i="4" s="1"/>
  <c r="TN257" i="4" s="1"/>
  <c r="VB169" i="4"/>
  <c r="TP169" i="4" s="1"/>
  <c r="TN169" i="4" s="1"/>
  <c r="VB196" i="4"/>
  <c r="VG312" i="4"/>
  <c r="VG190" i="4"/>
  <c r="VK106" i="4"/>
  <c r="TP106" i="4" s="1"/>
  <c r="TN106" i="4" s="1"/>
  <c r="VK152" i="4"/>
  <c r="TN288" i="4"/>
  <c r="TN348" i="4"/>
  <c r="CQ7" i="9"/>
  <c r="VQ217" i="4"/>
  <c r="VQ325" i="4"/>
  <c r="VQ56" i="4"/>
  <c r="VQ213" i="4"/>
  <c r="VQ251" i="4"/>
  <c r="VQ185" i="4"/>
  <c r="VQ3" i="4"/>
  <c r="VQ153" i="4"/>
  <c r="VQ304" i="4"/>
  <c r="VQ252" i="4"/>
  <c r="VQ219" i="4"/>
  <c r="VQ192" i="4"/>
  <c r="VQ320" i="4"/>
  <c r="VQ257" i="4"/>
  <c r="VQ302" i="4"/>
  <c r="VQ165" i="4"/>
  <c r="VQ48" i="4"/>
  <c r="VQ233" i="4"/>
  <c r="VQ35" i="4"/>
  <c r="VQ343" i="4"/>
  <c r="VQ130" i="4"/>
  <c r="VQ64" i="4"/>
  <c r="VQ244" i="4"/>
  <c r="VQ197" i="4"/>
  <c r="VQ189" i="4"/>
  <c r="VQ101" i="4"/>
  <c r="VQ85" i="4"/>
  <c r="VQ300" i="4"/>
  <c r="VQ231" i="4"/>
  <c r="VQ205" i="4"/>
  <c r="VQ139" i="4"/>
  <c r="VQ276" i="4"/>
  <c r="VQ228" i="4"/>
  <c r="VQ47" i="4"/>
  <c r="VQ263" i="4"/>
  <c r="NH1" i="4"/>
  <c r="UF1" i="4"/>
  <c r="YY49" i="4"/>
  <c r="YX33" i="4"/>
  <c r="NZ1" i="4"/>
  <c r="YX60" i="4"/>
  <c r="YY13" i="4"/>
  <c r="YX46" i="4"/>
  <c r="YX56" i="4"/>
  <c r="YX59" i="4"/>
  <c r="YY64" i="4"/>
  <c r="YY10" i="4"/>
  <c r="UC1" i="4"/>
  <c r="YY42" i="4"/>
  <c r="UH1" i="4"/>
  <c r="MA1" i="4"/>
  <c r="YX42" i="4"/>
  <c r="YY48" i="4"/>
  <c r="YX10" i="4"/>
  <c r="UL1" i="4"/>
  <c r="UK1" i="4"/>
  <c r="YY38" i="4"/>
  <c r="YX15" i="4"/>
  <c r="NG1" i="4"/>
  <c r="YY62" i="4"/>
  <c r="YX41" i="4"/>
  <c r="YX50" i="4"/>
  <c r="YY18" i="4"/>
  <c r="YX31" i="4"/>
  <c r="YX12" i="4"/>
  <c r="YY47" i="4"/>
  <c r="YX62" i="4"/>
  <c r="YY6" i="4"/>
  <c r="YY58" i="4"/>
  <c r="MR1" i="4"/>
  <c r="MS1" i="4"/>
  <c r="KL23" i="4"/>
  <c r="YX64" i="4"/>
  <c r="YY12" i="4"/>
  <c r="YY37" i="4"/>
  <c r="YX8" i="4"/>
  <c r="MO1" i="4"/>
  <c r="NY1" i="4"/>
  <c r="YY40" i="4"/>
  <c r="YX53" i="4"/>
  <c r="YX44" i="4"/>
  <c r="YX7" i="4"/>
  <c r="YY19" i="4"/>
  <c r="YX61" i="4"/>
  <c r="KN23" i="4"/>
  <c r="YY59" i="4"/>
  <c r="YY55" i="4"/>
  <c r="YY26" i="4"/>
  <c r="YX24" i="4"/>
  <c r="KM23" i="4"/>
  <c r="YX45" i="4"/>
  <c r="YX55" i="4"/>
  <c r="YY65" i="4"/>
  <c r="YY17" i="4"/>
  <c r="YX20" i="4"/>
  <c r="YY14" i="4"/>
  <c r="LZ1" i="4"/>
  <c r="YY53" i="4"/>
  <c r="YX25" i="4"/>
  <c r="YY7" i="4"/>
  <c r="YY30" i="4"/>
  <c r="YX63" i="4"/>
  <c r="YX57" i="4"/>
  <c r="YX13" i="4"/>
  <c r="YY23" i="4"/>
  <c r="NO1" i="4"/>
  <c r="NF1" i="4"/>
  <c r="NU1" i="4"/>
  <c r="YX28" i="4"/>
  <c r="UD1" i="4"/>
  <c r="NW1" i="4"/>
  <c r="YY25" i="4"/>
  <c r="UJ1" i="4"/>
  <c r="UG1" i="4"/>
  <c r="YY44" i="4"/>
  <c r="YX54" i="4"/>
  <c r="YY46" i="4"/>
  <c r="YX30" i="4"/>
  <c r="KR23" i="4"/>
  <c r="YY27" i="4"/>
  <c r="MK1" i="4"/>
  <c r="YX27" i="4"/>
  <c r="MZ1" i="4"/>
  <c r="MH1" i="4"/>
  <c r="YY36" i="4"/>
  <c r="UE1" i="4"/>
  <c r="YX17" i="4"/>
  <c r="YY61" i="4"/>
  <c r="MW1" i="4"/>
  <c r="YY11" i="4"/>
  <c r="YY16" i="4"/>
  <c r="YX48" i="4"/>
  <c r="MU1" i="4"/>
  <c r="NT1" i="4"/>
  <c r="YY22" i="4"/>
  <c r="NX1" i="4"/>
  <c r="YY41" i="4"/>
  <c r="NK1" i="4"/>
  <c r="YX49" i="4"/>
  <c r="YX52" i="4"/>
  <c r="YX36" i="4"/>
  <c r="YY43" i="4"/>
  <c r="YX29" i="4"/>
  <c r="YY34" i="4"/>
  <c r="MX1" i="4"/>
  <c r="YX4" i="4"/>
  <c r="NJ1" i="4"/>
  <c r="YX43" i="4"/>
  <c r="YX47" i="4"/>
  <c r="YY39" i="4"/>
  <c r="YY60" i="4"/>
  <c r="KO23" i="4"/>
  <c r="YY54" i="4"/>
  <c r="YX16" i="4"/>
  <c r="MD1" i="4"/>
  <c r="YX6" i="4"/>
  <c r="YX11" i="4"/>
  <c r="NS1" i="4"/>
  <c r="YX38" i="4"/>
  <c r="YX40" i="4"/>
  <c r="YX26" i="4"/>
  <c r="YX58" i="4"/>
  <c r="NR1" i="4"/>
  <c r="YY4" i="4"/>
  <c r="YY15" i="4"/>
  <c r="NB1" i="4"/>
  <c r="MJ1" i="4"/>
  <c r="YX21" i="4"/>
  <c r="YY5" i="4"/>
  <c r="NL1" i="4"/>
  <c r="NI1" i="4"/>
  <c r="YY8" i="4"/>
  <c r="YY56" i="4"/>
  <c r="MB1" i="4"/>
  <c r="YY21" i="4"/>
  <c r="YX39" i="4"/>
  <c r="YX35" i="4"/>
  <c r="NV1" i="4"/>
  <c r="NA1" i="4"/>
  <c r="MN1" i="4"/>
  <c r="MV1" i="4"/>
  <c r="NE1" i="4"/>
  <c r="YX14" i="4"/>
  <c r="YY51" i="4"/>
  <c r="YX32" i="4"/>
  <c r="YY24" i="4"/>
  <c r="MY1" i="4"/>
  <c r="YY9" i="4"/>
  <c r="ME1" i="4"/>
  <c r="MF1" i="4"/>
  <c r="YX37" i="4"/>
  <c r="YX22" i="4"/>
  <c r="YX18" i="4"/>
  <c r="YY57" i="4"/>
  <c r="NP1" i="4"/>
  <c r="NC1" i="4"/>
  <c r="MQ1" i="4"/>
  <c r="YX34" i="4"/>
  <c r="YY63" i="4"/>
  <c r="YX5" i="4"/>
  <c r="YY52" i="4"/>
  <c r="NN1" i="4"/>
  <c r="YX23" i="4"/>
  <c r="YX19" i="4"/>
  <c r="YX65" i="4"/>
  <c r="YY32" i="4"/>
  <c r="YY31" i="4"/>
  <c r="YY50" i="4"/>
  <c r="YY35" i="4"/>
  <c r="NQ1" i="4"/>
  <c r="YY28" i="4"/>
  <c r="KQ23" i="4"/>
  <c r="MT1" i="4"/>
  <c r="YX51" i="4"/>
  <c r="YY45" i="4"/>
  <c r="MM1" i="4"/>
  <c r="KP23" i="4"/>
  <c r="YY3" i="4"/>
  <c r="MC1" i="4"/>
  <c r="YY33" i="4"/>
  <c r="YX3" i="4"/>
  <c r="YX9" i="4"/>
  <c r="YY29" i="4"/>
  <c r="MG1" i="4"/>
  <c r="YY20" i="4"/>
  <c r="DN24" i="4"/>
  <c r="ND1" i="4" s="1"/>
  <c r="UI1" i="4"/>
  <c r="NM1" i="4"/>
  <c r="MP1" i="4"/>
  <c r="MI1" i="4"/>
  <c r="CW18" i="4" l="1"/>
  <c r="EJ37" i="4"/>
  <c r="CH14" i="4"/>
  <c r="AS22" i="6"/>
  <c r="ZD4" i="4"/>
  <c r="ZD5" i="4" s="1"/>
  <c r="GL5" i="4"/>
  <c r="GN5" i="4" s="1"/>
  <c r="GM5" i="4" s="1"/>
  <c r="GL4" i="4"/>
  <c r="GN4" i="4" s="1"/>
  <c r="GM4" i="4" s="1"/>
  <c r="LI66" i="4"/>
  <c r="LI68" i="4"/>
  <c r="LI69" i="4"/>
  <c r="WB88" i="4"/>
  <c r="LI71" i="4"/>
  <c r="LI60" i="4"/>
  <c r="ER12" i="4"/>
  <c r="EP8" i="4"/>
  <c r="EI9" i="4"/>
  <c r="CP7" i="4"/>
  <c r="DV10" i="4"/>
  <c r="EJ9" i="4"/>
  <c r="AA20" i="9"/>
  <c r="BK15" i="4"/>
  <c r="BP15" i="4" s="1"/>
  <c r="EL38" i="4"/>
  <c r="CQ7" i="4"/>
  <c r="CM15" i="4"/>
  <c r="CP9" i="4"/>
  <c r="EP11" i="4"/>
  <c r="EL10" i="4"/>
  <c r="EI8" i="4"/>
  <c r="DO8" i="4" s="1"/>
  <c r="ER9" i="4"/>
  <c r="CP14" i="4"/>
  <c r="JD52" i="4"/>
  <c r="EN12" i="4"/>
  <c r="HU4" i="4"/>
  <c r="EL39" i="4"/>
  <c r="EJ39" i="4"/>
  <c r="EE35" i="4"/>
  <c r="BW14" i="4"/>
  <c r="BK7" i="4"/>
  <c r="BM7" i="4" s="1"/>
  <c r="AA18" i="9"/>
  <c r="EN10" i="4"/>
  <c r="EP37" i="4"/>
  <c r="EN11" i="4"/>
  <c r="EL8" i="4"/>
  <c r="EP7" i="4"/>
  <c r="EP13" i="4"/>
  <c r="EY7" i="4"/>
  <c r="EI7" i="4"/>
  <c r="DO7" i="4" s="1"/>
  <c r="AA21" i="9"/>
  <c r="EJ12" i="4"/>
  <c r="EJ10" i="4"/>
  <c r="EL12" i="4"/>
  <c r="EV7" i="4"/>
  <c r="EJ13" i="4"/>
  <c r="ER10" i="4"/>
  <c r="EJ8" i="4"/>
  <c r="EI38" i="4"/>
  <c r="DP38" i="4" s="1"/>
  <c r="DV8" i="4"/>
  <c r="EV10" i="4"/>
  <c r="EI37" i="4"/>
  <c r="DP37" i="4" s="1"/>
  <c r="AR24" i="6"/>
  <c r="EP9" i="4"/>
  <c r="DV13" i="4"/>
  <c r="EX7" i="4"/>
  <c r="EL11" i="4"/>
  <c r="EL13" i="4"/>
  <c r="EN13" i="4"/>
  <c r="EW7" i="4"/>
  <c r="EL7" i="4"/>
  <c r="EJ7" i="4"/>
  <c r="EJ11" i="4"/>
  <c r="DV11" i="4"/>
  <c r="EP12" i="4"/>
  <c r="ER39" i="4"/>
  <c r="ET18" i="4"/>
  <c r="EN38" i="4"/>
  <c r="CV7" i="4"/>
  <c r="EN9" i="4"/>
  <c r="EN8" i="4"/>
  <c r="ER7" i="4"/>
  <c r="EI10" i="4"/>
  <c r="DO10" i="4" s="1"/>
  <c r="EP10" i="4"/>
  <c r="ER8" i="4"/>
  <c r="EI11" i="4"/>
  <c r="EI12" i="4"/>
  <c r="DO12" i="4" s="1"/>
  <c r="ER11" i="4"/>
  <c r="ER13" i="4"/>
  <c r="DV12" i="4"/>
  <c r="EL9" i="4"/>
  <c r="EN7" i="4"/>
  <c r="EW10" i="4"/>
  <c r="AA19" i="9"/>
  <c r="EI39" i="4"/>
  <c r="DP39" i="4" s="1"/>
  <c r="IJ31" i="4"/>
  <c r="IH31" i="4" s="1"/>
  <c r="FS3" i="4"/>
  <c r="EP38" i="4"/>
  <c r="EL37" i="4"/>
  <c r="IJ22" i="4"/>
  <c r="IH22" i="4" s="1"/>
  <c r="CV15" i="4"/>
  <c r="FX18" i="4"/>
  <c r="FX19" i="4"/>
  <c r="EN39" i="4"/>
  <c r="EP39" i="4"/>
  <c r="BK16" i="4"/>
  <c r="BM16" i="4" s="1"/>
  <c r="IK9" i="4"/>
  <c r="FX21" i="4"/>
  <c r="HV6" i="4"/>
  <c r="AC104" i="6" s="1"/>
  <c r="IJ20" i="4"/>
  <c r="IH20" i="4" s="1"/>
  <c r="JS26" i="4"/>
  <c r="EI45" i="4"/>
  <c r="DO45" i="4" s="1"/>
  <c r="BK18" i="4"/>
  <c r="CP16" i="4"/>
  <c r="BX16" i="4"/>
  <c r="IJ21" i="4"/>
  <c r="IH21" i="4" s="1"/>
  <c r="KB12" i="4"/>
  <c r="IJ33" i="4"/>
  <c r="IH33" i="4" s="1"/>
  <c r="JU26" i="4"/>
  <c r="HO4" i="4"/>
  <c r="AC97" i="6" s="1"/>
  <c r="KB10" i="4"/>
  <c r="KB11" i="4"/>
  <c r="FS6" i="4"/>
  <c r="JX5" i="4"/>
  <c r="EI44" i="4"/>
  <c r="DO44" i="4" s="1"/>
  <c r="IJ10" i="4"/>
  <c r="IH10" i="4" s="1"/>
  <c r="HN4" i="4"/>
  <c r="HO6" i="4"/>
  <c r="AC99" i="6" s="1"/>
  <c r="CP18" i="4"/>
  <c r="HU5" i="4"/>
  <c r="AB54" i="6"/>
  <c r="R4" i="9"/>
  <c r="HN6" i="4"/>
  <c r="HN5" i="4"/>
  <c r="IJ25" i="4"/>
  <c r="IH25" i="4" s="1"/>
  <c r="IO3" i="4"/>
  <c r="IO11" i="4" s="1"/>
  <c r="IJ12" i="4"/>
  <c r="IH12" i="4" s="1"/>
  <c r="JT26" i="4"/>
  <c r="IJ8" i="4"/>
  <c r="IH8" i="4" s="1"/>
  <c r="CM16" i="4"/>
  <c r="IJ34" i="4"/>
  <c r="IH34" i="4" s="1"/>
  <c r="FX16" i="4"/>
  <c r="FW16" i="4" s="1"/>
  <c r="BY16" i="4"/>
  <c r="FX20" i="4"/>
  <c r="IJ5" i="4"/>
  <c r="IH5" i="4" s="1"/>
  <c r="CP15" i="4"/>
  <c r="ER37" i="4"/>
  <c r="EN37" i="4"/>
  <c r="IJ27" i="4"/>
  <c r="IH27" i="4" s="1"/>
  <c r="JN26" i="4"/>
  <c r="JP26" i="4"/>
  <c r="JV26" i="4"/>
  <c r="HU6" i="4"/>
  <c r="FX17" i="4"/>
  <c r="EI46" i="4"/>
  <c r="DO46" i="4" s="1"/>
  <c r="IJ30" i="4"/>
  <c r="IH30" i="4" s="1"/>
  <c r="JO26" i="4"/>
  <c r="IJ24" i="4"/>
  <c r="IH24" i="4" s="1"/>
  <c r="JQ26" i="4"/>
  <c r="IJ18" i="4"/>
  <c r="IH18" i="4" s="1"/>
  <c r="JR26" i="4"/>
  <c r="HV5" i="4"/>
  <c r="AC103" i="6" s="1"/>
  <c r="HV4" i="4"/>
  <c r="AC102" i="6" s="1"/>
  <c r="EJ38" i="4"/>
  <c r="EI34" i="4"/>
  <c r="DQ34" i="4" s="1"/>
  <c r="BX35" i="8"/>
  <c r="E84" i="8"/>
  <c r="BS6" i="1"/>
  <c r="B150" i="8"/>
  <c r="AC144" i="7"/>
  <c r="AX144" i="8"/>
  <c r="DT157" i="8"/>
  <c r="E191" i="8"/>
  <c r="CR105" i="8"/>
  <c r="CR133" i="8"/>
  <c r="CX173" i="8"/>
  <c r="BE81" i="1"/>
  <c r="BU31" i="1"/>
  <c r="AX104" i="8"/>
  <c r="DC119" i="8"/>
  <c r="AN188" i="8"/>
  <c r="BX131" i="8"/>
  <c r="B98" i="6"/>
  <c r="DJ51" i="8"/>
  <c r="E188" i="8"/>
  <c r="DO157" i="8"/>
  <c r="AP10" i="1"/>
  <c r="DO67" i="8"/>
  <c r="E120" i="8"/>
  <c r="B108" i="8"/>
  <c r="BX53" i="8"/>
  <c r="V64" i="8"/>
  <c r="AU82" i="1"/>
  <c r="BU19" i="1"/>
  <c r="V202" i="8"/>
  <c r="DC59" i="8"/>
  <c r="DC41" i="8"/>
  <c r="CX81" i="8"/>
  <c r="DO47" i="8"/>
  <c r="DT191" i="8"/>
  <c r="E130" i="8"/>
  <c r="E112" i="8"/>
  <c r="CA161" i="8"/>
  <c r="DJ183" i="8"/>
  <c r="CX129" i="8"/>
  <c r="DC135" i="8"/>
  <c r="DJ121" i="8"/>
  <c r="CR113" i="8"/>
  <c r="CA35" i="8"/>
  <c r="CJ146" i="6"/>
  <c r="V150" i="1" s="1"/>
  <c r="AV10" i="1"/>
  <c r="CR159" i="8"/>
  <c r="DO141" i="8"/>
  <c r="CX131" i="8"/>
  <c r="CA107" i="8"/>
  <c r="CR111" i="8"/>
  <c r="DJ105" i="8"/>
  <c r="V90" i="8"/>
  <c r="AJ43" i="6"/>
  <c r="DC187" i="8"/>
  <c r="CR139" i="8"/>
  <c r="CR143" i="8"/>
  <c r="CR115" i="8"/>
  <c r="DJ119" i="8"/>
  <c r="DT101" i="8"/>
  <c r="AX114" i="8"/>
  <c r="DT143" i="8"/>
  <c r="CA33" i="8"/>
  <c r="CA83" i="8"/>
  <c r="DJ73" i="8"/>
  <c r="AG66" i="8"/>
  <c r="CR187" i="8"/>
  <c r="CA113" i="8"/>
  <c r="CX85" i="8"/>
  <c r="CR77" i="8"/>
  <c r="CX67" i="8"/>
  <c r="AB70" i="8"/>
  <c r="E180" i="8"/>
  <c r="AG190" i="8"/>
  <c r="DT183" i="8"/>
  <c r="DT89" i="8"/>
  <c r="CX71" i="8"/>
  <c r="DO173" i="8"/>
  <c r="AN196" i="8"/>
  <c r="V192" i="8"/>
  <c r="E198" i="8"/>
  <c r="AS146" i="8"/>
  <c r="DT151" i="8"/>
  <c r="CR121" i="8"/>
  <c r="CA81" i="8"/>
  <c r="AN66" i="8"/>
  <c r="V180" i="8"/>
  <c r="AG182" i="8"/>
  <c r="AG186" i="8"/>
  <c r="CA171" i="8"/>
  <c r="AX148" i="8"/>
  <c r="DJ163" i="8"/>
  <c r="DJ89" i="8"/>
  <c r="CA71" i="8"/>
  <c r="DC167" i="8"/>
  <c r="AN190" i="8"/>
  <c r="AB184" i="8"/>
  <c r="DJ165" i="8"/>
  <c r="AS148" i="8"/>
  <c r="DO39" i="8"/>
  <c r="CR43" i="8"/>
  <c r="CR51" i="8"/>
  <c r="E128" i="8"/>
  <c r="CR199" i="8"/>
  <c r="AG198" i="8"/>
  <c r="DJ75" i="8"/>
  <c r="CA193" i="8"/>
  <c r="DC61" i="8"/>
  <c r="DO55" i="8"/>
  <c r="CX47" i="8"/>
  <c r="AS198" i="8"/>
  <c r="E152" i="8"/>
  <c r="DT199" i="8"/>
  <c r="DJ47" i="8"/>
  <c r="B68" i="8"/>
  <c r="AX138" i="8"/>
  <c r="DT59" i="8"/>
  <c r="DT173" i="8"/>
  <c r="BC10" i="1"/>
  <c r="DC157" i="8"/>
  <c r="DT181" i="8"/>
  <c r="CA129" i="8"/>
  <c r="DT103" i="8"/>
  <c r="E109" i="8"/>
  <c r="DT113" i="8"/>
  <c r="DT35" i="8"/>
  <c r="BE75" i="6"/>
  <c r="BL41" i="1"/>
  <c r="DC163" i="8"/>
  <c r="DC141" i="8"/>
  <c r="DT137" i="8"/>
  <c r="DT109" i="8"/>
  <c r="DC117" i="8"/>
  <c r="DT105" i="8"/>
  <c r="AN106" i="8"/>
  <c r="E100" i="8"/>
  <c r="DO187" i="8"/>
  <c r="CA133" i="8"/>
  <c r="DT135" i="8"/>
  <c r="DC115" i="8"/>
  <c r="DJ113" i="8"/>
  <c r="DC35" i="8"/>
  <c r="BE118" i="1"/>
  <c r="CR107" i="8"/>
  <c r="DT91" i="8"/>
  <c r="DO81" i="8"/>
  <c r="DC73" i="8"/>
  <c r="AS66" i="8"/>
  <c r="DC181" i="8"/>
  <c r="DO105" i="8"/>
  <c r="CA85" i="8"/>
  <c r="CR75" i="8"/>
  <c r="DJ67" i="8"/>
  <c r="DJ171" i="8"/>
  <c r="AG188" i="8"/>
  <c r="AS190" i="8"/>
  <c r="DC133" i="8"/>
  <c r="CX87" i="8"/>
  <c r="DO69" i="8"/>
  <c r="CA169" i="8"/>
  <c r="AN200" i="8"/>
  <c r="AS192" i="8"/>
  <c r="V198" i="8"/>
  <c r="AS144" i="8"/>
  <c r="AX140" i="8"/>
  <c r="CR123" i="8"/>
  <c r="DJ79" i="8"/>
  <c r="AX64" i="8"/>
  <c r="AB188" i="8"/>
  <c r="V182" i="8"/>
  <c r="AX194" i="8"/>
  <c r="CX171" i="8"/>
  <c r="AX150" i="8"/>
  <c r="DJ141" i="8"/>
  <c r="CA87" i="8"/>
  <c r="DC69" i="8"/>
  <c r="AN180" i="8"/>
  <c r="AX182" i="8"/>
  <c r="AN186" i="8"/>
  <c r="DC165" i="8"/>
  <c r="AB148" i="8"/>
  <c r="CX39" i="8"/>
  <c r="DO45" i="8"/>
  <c r="DO57" i="8"/>
  <c r="AN138" i="8"/>
  <c r="DC189" i="8"/>
  <c r="E186" i="8"/>
  <c r="DT83" i="8"/>
  <c r="DJ193" i="8"/>
  <c r="DT61" i="8"/>
  <c r="DT55" i="8"/>
  <c r="CX165" i="8"/>
  <c r="V120" i="8"/>
  <c r="DC191" i="8"/>
  <c r="AG136" i="8"/>
  <c r="DJ39" i="8"/>
  <c r="DJ195" i="8"/>
  <c r="DT45" i="8"/>
  <c r="AX180" i="8"/>
  <c r="BE97" i="1"/>
  <c r="CA163" i="8"/>
  <c r="CA141" i="8"/>
  <c r="DC137" i="8"/>
  <c r="DJ107" i="8"/>
  <c r="DO111" i="8"/>
  <c r="CX123" i="8"/>
  <c r="CX37" i="8"/>
  <c r="AB112" i="8"/>
  <c r="CL153" i="1"/>
  <c r="CA187" i="8"/>
  <c r="DO139" i="8"/>
  <c r="DO143" i="8"/>
  <c r="DO115" i="8"/>
  <c r="CX119" i="8"/>
  <c r="E99" i="8"/>
  <c r="CA93" i="8"/>
  <c r="DJ157" i="8"/>
  <c r="DO181" i="8"/>
  <c r="CR129" i="8"/>
  <c r="DJ103" i="8"/>
  <c r="CX121" i="8"/>
  <c r="DO123" i="8"/>
  <c r="DT37" i="8"/>
  <c r="CA157" i="8"/>
  <c r="CA111" i="8"/>
  <c r="DC89" i="8"/>
  <c r="DC79" i="8"/>
  <c r="DT69" i="8"/>
  <c r="AG62" i="8"/>
  <c r="DC131" i="8"/>
  <c r="CX33" i="8"/>
  <c r="DC83" i="8"/>
  <c r="DO73" i="8"/>
  <c r="AX66" i="8"/>
  <c r="DJ169" i="8"/>
  <c r="V196" i="8"/>
  <c r="AS182" i="8"/>
  <c r="DC103" i="8"/>
  <c r="CR83" i="8"/>
  <c r="AG68" i="8"/>
  <c r="CA175" i="8"/>
  <c r="E178" i="8"/>
  <c r="AS186" i="8"/>
  <c r="CA165" i="8"/>
  <c r="AS152" i="8"/>
  <c r="CR161" i="8"/>
  <c r="DC91" i="8"/>
  <c r="CX73" i="8"/>
  <c r="V70" i="8"/>
  <c r="E196" i="8"/>
  <c r="E172" i="8"/>
  <c r="V174" i="8"/>
  <c r="V146" i="8"/>
  <c r="CX193" i="8"/>
  <c r="E103" i="8"/>
  <c r="DT81" i="8"/>
  <c r="AS64" i="8"/>
  <c r="AB196" i="8"/>
  <c r="AG202" i="8"/>
  <c r="AN194" i="8"/>
  <c r="AX146" i="8"/>
  <c r="DT195" i="8"/>
  <c r="CA53" i="8"/>
  <c r="CX49" i="8"/>
  <c r="DT47" i="8"/>
  <c r="AN142" i="8"/>
  <c r="DO151" i="8"/>
  <c r="CA195" i="8"/>
  <c r="CA43" i="8"/>
  <c r="DT197" i="8"/>
  <c r="DO51" i="8"/>
  <c r="CA51" i="8"/>
  <c r="CA111" i="1"/>
  <c r="DT187" i="8"/>
  <c r="CR137" i="8"/>
  <c r="CA115" i="8"/>
  <c r="E101" i="8"/>
  <c r="B69" i="1"/>
  <c r="CR157" i="8"/>
  <c r="DJ133" i="8"/>
  <c r="CA103" i="8"/>
  <c r="DC113" i="8"/>
  <c r="CA46" i="8"/>
  <c r="DT163" i="8"/>
  <c r="CA131" i="8"/>
  <c r="CR109" i="8"/>
  <c r="CA105" i="8"/>
  <c r="AZ89" i="6"/>
  <c r="CR101" i="8"/>
  <c r="DT77" i="8"/>
  <c r="AN68" i="8"/>
  <c r="DC107" i="8"/>
  <c r="DO83" i="8"/>
  <c r="CX69" i="8"/>
  <c r="CR175" i="8"/>
  <c r="AG178" i="8"/>
  <c r="DO113" i="8"/>
  <c r="CA67" i="8"/>
  <c r="AX188" i="8"/>
  <c r="AB186" i="8"/>
  <c r="AN146" i="8"/>
  <c r="DT129" i="8"/>
  <c r="DT75" i="8"/>
  <c r="DC175" i="8"/>
  <c r="AG192" i="8"/>
  <c r="DO165" i="8"/>
  <c r="DC151" i="8"/>
  <c r="DC85" i="8"/>
  <c r="DO175" i="8"/>
  <c r="V172" i="8"/>
  <c r="DC173" i="8"/>
  <c r="DC195" i="8"/>
  <c r="DO49" i="8"/>
  <c r="E138" i="8"/>
  <c r="AN150" i="8"/>
  <c r="DO167" i="8"/>
  <c r="DT193" i="8"/>
  <c r="DJ45" i="8"/>
  <c r="CR57" i="8"/>
  <c r="AB136" i="8"/>
  <c r="CR151" i="8"/>
  <c r="DJ175" i="8"/>
  <c r="B54" i="8"/>
  <c r="DJ59" i="8"/>
  <c r="CA49" i="8"/>
  <c r="CX57" i="8"/>
  <c r="DC197" i="8"/>
  <c r="V148" i="8"/>
  <c r="AN70" i="8"/>
  <c r="UB347" i="4"/>
  <c r="AG158" i="8"/>
  <c r="CX93" i="8"/>
  <c r="DT95" i="8"/>
  <c r="DC95" i="8"/>
  <c r="AB102" i="8"/>
  <c r="AC153" i="7"/>
  <c r="UB332" i="4"/>
  <c r="V114" i="8"/>
  <c r="AN114" i="8"/>
  <c r="AB106" i="8"/>
  <c r="AS104" i="8"/>
  <c r="E153" i="8"/>
  <c r="B10" i="1"/>
  <c r="CR95" i="8"/>
  <c r="CA58" i="8"/>
  <c r="CA88" i="8"/>
  <c r="E113" i="8"/>
  <c r="AB156" i="8"/>
  <c r="E110" i="8"/>
  <c r="CL145" i="1"/>
  <c r="DJ145" i="8"/>
  <c r="AU91" i="6"/>
  <c r="AV120" i="6"/>
  <c r="AP85" i="7" s="1"/>
  <c r="DJ189" i="8"/>
  <c r="BU23" i="1"/>
  <c r="V170" i="8"/>
  <c r="CX41" i="8"/>
  <c r="V124" i="8"/>
  <c r="CA45" i="8"/>
  <c r="CX61" i="8"/>
  <c r="AG110" i="8"/>
  <c r="DT185" i="8"/>
  <c r="DT133" i="8"/>
  <c r="DC109" i="8"/>
  <c r="DJ123" i="8"/>
  <c r="CX91" i="8"/>
  <c r="E98" i="8"/>
  <c r="DJ181" i="8"/>
  <c r="CR135" i="8"/>
  <c r="CA117" i="8"/>
  <c r="CA37" i="8"/>
  <c r="DT159" i="8"/>
  <c r="DC139" i="8"/>
  <c r="CX107" i="8"/>
  <c r="E105" i="8"/>
  <c r="DO91" i="8"/>
  <c r="DO119" i="8"/>
  <c r="CX83" i="8"/>
  <c r="DT67" i="8"/>
  <c r="DO133" i="8"/>
  <c r="DT87" i="8"/>
  <c r="DT71" i="8"/>
  <c r="AN62" i="8"/>
  <c r="AX200" i="8"/>
  <c r="CX135" i="8"/>
  <c r="DJ77" i="8"/>
  <c r="CR167" i="8"/>
  <c r="AN202" i="8"/>
  <c r="CR173" i="8"/>
  <c r="AG154" i="8"/>
  <c r="CR85" i="8"/>
  <c r="CX169" i="8"/>
  <c r="AB190" i="8"/>
  <c r="AN198" i="8"/>
  <c r="AG150" i="8"/>
  <c r="CR37" i="8"/>
  <c r="AG70" i="8"/>
  <c r="V178" i="8"/>
  <c r="DT171" i="8"/>
  <c r="AB150" i="8"/>
  <c r="DJ61" i="8"/>
  <c r="CA47" i="8"/>
  <c r="CA73" i="8"/>
  <c r="CR191" i="8"/>
  <c r="CX55" i="8"/>
  <c r="BE132" i="1"/>
  <c r="CX139" i="8"/>
  <c r="CA109" i="8"/>
  <c r="DO101" i="8"/>
  <c r="E195" i="8"/>
  <c r="CA139" i="8"/>
  <c r="DT115" i="8"/>
  <c r="DO35" i="8"/>
  <c r="CA159" i="8"/>
  <c r="CX137" i="8"/>
  <c r="DO117" i="8"/>
  <c r="DT145" i="8"/>
  <c r="DO89" i="8"/>
  <c r="CR71" i="8"/>
  <c r="DJ143" i="8"/>
  <c r="DT79" i="8"/>
  <c r="AB64" i="8"/>
  <c r="AB178" i="8"/>
  <c r="CR91" i="8"/>
  <c r="AS70" i="8"/>
  <c r="AG184" i="8"/>
  <c r="AN148" i="8"/>
  <c r="CX89" i="8"/>
  <c r="CX175" i="8"/>
  <c r="AX184" i="8"/>
  <c r="V152" i="8"/>
  <c r="CR33" i="8"/>
  <c r="AS188" i="8"/>
  <c r="AX186" i="8"/>
  <c r="DC193" i="8"/>
  <c r="DC55" i="8"/>
  <c r="V138" i="8"/>
  <c r="AB182" i="8"/>
  <c r="B64" i="8"/>
  <c r="CX45" i="8"/>
  <c r="CR47" i="8"/>
  <c r="DC199" i="8"/>
  <c r="DC171" i="8"/>
  <c r="DC87" i="8"/>
  <c r="CR39" i="8"/>
  <c r="CR45" i="8"/>
  <c r="CX51" i="8"/>
  <c r="CX197" i="8"/>
  <c r="CA173" i="8"/>
  <c r="CA79" i="8"/>
  <c r="AX2" i="1"/>
  <c r="V94" i="8"/>
  <c r="V78" i="8"/>
  <c r="CA90" i="8"/>
  <c r="E187" i="8"/>
  <c r="AT51" i="1"/>
  <c r="AE2" i="1"/>
  <c r="CX149" i="8"/>
  <c r="DO145" i="8"/>
  <c r="CR93" i="8"/>
  <c r="AX98" i="8"/>
  <c r="CB10" i="1"/>
  <c r="V156" i="8"/>
  <c r="AB108" i="8"/>
  <c r="E157" i="8"/>
  <c r="AG98" i="8"/>
  <c r="CA147" i="8"/>
  <c r="BC6" i="1"/>
  <c r="V92" i="8"/>
  <c r="DO185" i="8"/>
  <c r="DJ161" i="8"/>
  <c r="CA97" i="1"/>
  <c r="AX110" i="8"/>
  <c r="BU45" i="1"/>
  <c r="CK45" i="1" s="1"/>
  <c r="BU27" i="1"/>
  <c r="B202" i="8"/>
  <c r="B134" i="8"/>
  <c r="BX191" i="8"/>
  <c r="BX115" i="8"/>
  <c r="BX43" i="8"/>
  <c r="B200" i="8"/>
  <c r="B132" i="8"/>
  <c r="BX189" i="8"/>
  <c r="BX113" i="8"/>
  <c r="BX41" i="8"/>
  <c r="BX29" i="8"/>
  <c r="DJ57" i="8"/>
  <c r="AB146" i="8"/>
  <c r="B58" i="8"/>
  <c r="E106" i="8"/>
  <c r="DT131" i="8"/>
  <c r="DJ117" i="8"/>
  <c r="DJ91" i="8"/>
  <c r="CX187" i="8"/>
  <c r="CX103" i="8"/>
  <c r="DJ101" i="8"/>
  <c r="CR185" i="8"/>
  <c r="DJ135" i="8"/>
  <c r="CX105" i="8"/>
  <c r="DJ129" i="8"/>
  <c r="DO77" i="8"/>
  <c r="BE111" i="1"/>
  <c r="CR81" i="8"/>
  <c r="AX62" i="8"/>
  <c r="AB202" i="8"/>
  <c r="CR79" i="8"/>
  <c r="AB200" i="8"/>
  <c r="DO171" i="8"/>
  <c r="DO103" i="8"/>
  <c r="AS62" i="8"/>
  <c r="V186" i="8"/>
  <c r="CA151" i="8"/>
  <c r="DO75" i="8"/>
  <c r="AS202" i="8"/>
  <c r="AN144" i="8"/>
  <c r="DT43" i="8"/>
  <c r="V140" i="8"/>
  <c r="AN178" i="8"/>
  <c r="CA39" i="8"/>
  <c r="AN140" i="8"/>
  <c r="AB142" i="8"/>
  <c r="E142" i="8"/>
  <c r="DC67" i="8"/>
  <c r="CR193" i="8"/>
  <c r="DC45" i="8"/>
  <c r="DC47" i="8"/>
  <c r="CA189" i="8"/>
  <c r="AG180" i="8"/>
  <c r="BB33" i="6"/>
  <c r="AG104" i="8"/>
  <c r="AB100" i="8"/>
  <c r="AG156" i="8"/>
  <c r="V104" i="8"/>
  <c r="CL157" i="1"/>
  <c r="AS156" i="8"/>
  <c r="AB104" i="8"/>
  <c r="V112" i="8"/>
  <c r="AB110" i="8"/>
  <c r="AU89" i="6"/>
  <c r="AS106" i="8"/>
  <c r="DO149" i="8"/>
  <c r="CA56" i="8"/>
  <c r="E145" i="8"/>
  <c r="E102" i="8"/>
  <c r="E189" i="8"/>
  <c r="DC185" i="8"/>
  <c r="BT146" i="6"/>
  <c r="V126" i="1" s="1"/>
  <c r="AC116" i="7"/>
  <c r="DC93" i="8"/>
  <c r="BU51" i="1"/>
  <c r="B142" i="8"/>
  <c r="BX183" i="8"/>
  <c r="BX95" i="8"/>
  <c r="BX157" i="8"/>
  <c r="B168" i="8"/>
  <c r="B88" i="8"/>
  <c r="BX133" i="8"/>
  <c r="BX49" i="8"/>
  <c r="B198" i="8"/>
  <c r="B130" i="8"/>
  <c r="BX187" i="8"/>
  <c r="BX111" i="8"/>
  <c r="BX39" i="8"/>
  <c r="B152" i="8"/>
  <c r="B84" i="8"/>
  <c r="BX61" i="8"/>
  <c r="BP87" i="1"/>
  <c r="BE83" i="1"/>
  <c r="CA87" i="1"/>
  <c r="CL81" i="1"/>
  <c r="DZ15" i="8"/>
  <c r="DJ199" i="8"/>
  <c r="E197" i="8"/>
  <c r="CA121" i="8"/>
  <c r="CA181" i="8"/>
  <c r="DO37" i="8"/>
  <c r="CX115" i="8"/>
  <c r="DT167" i="8"/>
  <c r="AB66" i="8"/>
  <c r="E190" i="8"/>
  <c r="DO87" i="8"/>
  <c r="AX198" i="8"/>
  <c r="AS68" i="8"/>
  <c r="AN152" i="8"/>
  <c r="DO197" i="8"/>
  <c r="DO59" i="8"/>
  <c r="V134" i="8"/>
  <c r="CX101" i="8"/>
  <c r="AB140" i="8"/>
  <c r="AB138" i="8"/>
  <c r="DT149" i="8"/>
  <c r="AX156" i="8"/>
  <c r="E97" i="8"/>
  <c r="AU47" i="6"/>
  <c r="V82" i="8"/>
  <c r="V158" i="8"/>
  <c r="DJ147" i="8"/>
  <c r="AG102" i="8"/>
  <c r="CR149" i="8"/>
  <c r="CR163" i="8"/>
  <c r="DT147" i="8"/>
  <c r="BU35" i="1"/>
  <c r="B114" i="8"/>
  <c r="BX101" i="8"/>
  <c r="BX197" i="8"/>
  <c r="BX25" i="8"/>
  <c r="B110" i="8"/>
  <c r="BX91" i="8"/>
  <c r="B136" i="8"/>
  <c r="DC169" i="8"/>
  <c r="DC49" i="8"/>
  <c r="E168" i="8"/>
  <c r="E136" i="8"/>
  <c r="DT161" i="8"/>
  <c r="CX143" i="8"/>
  <c r="DT119" i="8"/>
  <c r="CX147" i="8"/>
  <c r="DO183" i="8"/>
  <c r="DO109" i="8"/>
  <c r="CX35" i="8"/>
  <c r="CR183" i="8"/>
  <c r="DO107" i="8"/>
  <c r="DC101" i="8"/>
  <c r="DJ115" i="8"/>
  <c r="CX75" i="8"/>
  <c r="DC159" i="8"/>
  <c r="DO79" i="8"/>
  <c r="DT169" i="8"/>
  <c r="AX202" i="8"/>
  <c r="DT73" i="8"/>
  <c r="AX190" i="8"/>
  <c r="CX151" i="8"/>
  <c r="CR31" i="8"/>
  <c r="CA167" i="8"/>
  <c r="AB194" i="8"/>
  <c r="AG138" i="8"/>
  <c r="CR73" i="8"/>
  <c r="AN192" i="8"/>
  <c r="AB152" i="8"/>
  <c r="CA55" i="8"/>
  <c r="CA197" i="8"/>
  <c r="AS196" i="8"/>
  <c r="CX59" i="8"/>
  <c r="DT41" i="8"/>
  <c r="AS142" i="8"/>
  <c r="AS150" i="8"/>
  <c r="DC77" i="8"/>
  <c r="DC39" i="8"/>
  <c r="DT49" i="8"/>
  <c r="V122" i="8"/>
  <c r="DO189" i="8"/>
  <c r="CR169" i="8"/>
  <c r="X75" i="6"/>
  <c r="AS98" i="8"/>
  <c r="DC147" i="8"/>
  <c r="V108" i="8"/>
  <c r="E201" i="8"/>
  <c r="CJ147" i="6"/>
  <c r="AB150" i="1" s="1"/>
  <c r="AG108" i="8"/>
  <c r="AN98" i="8"/>
  <c r="E185" i="8"/>
  <c r="CA149" i="8"/>
  <c r="BA33" i="6"/>
  <c r="V102" i="8"/>
  <c r="CR145" i="8"/>
  <c r="AS112" i="8"/>
  <c r="E86" i="8"/>
  <c r="AN100" i="8"/>
  <c r="DO163" i="8"/>
  <c r="AL17" i="6"/>
  <c r="BJ2" i="1" s="1"/>
  <c r="E80" i="8"/>
  <c r="B2" i="1"/>
  <c r="BU43" i="1"/>
  <c r="CK43" i="1" s="1"/>
  <c r="B126" i="8"/>
  <c r="BX171" i="8"/>
  <c r="BX87" i="8"/>
  <c r="BX129" i="8"/>
  <c r="B156" i="8"/>
  <c r="B80" i="8"/>
  <c r="BX121" i="8"/>
  <c r="BX33" i="8"/>
  <c r="B190" i="8"/>
  <c r="B122" i="8"/>
  <c r="BX175" i="8"/>
  <c r="BX103" i="8"/>
  <c r="BX31" i="8"/>
  <c r="B144" i="8"/>
  <c r="B76" i="8"/>
  <c r="BX45" i="8"/>
  <c r="CL85" i="1"/>
  <c r="CA85" i="1"/>
  <c r="E124" i="8"/>
  <c r="DJ109" i="8"/>
  <c r="CA61" i="8"/>
  <c r="DO159" i="8"/>
  <c r="CA143" i="8"/>
  <c r="CR119" i="8"/>
  <c r="CA183" i="8"/>
  <c r="DC145" i="8"/>
  <c r="CX109" i="8"/>
  <c r="DC123" i="8"/>
  <c r="CA75" i="8"/>
  <c r="CX77" i="8"/>
  <c r="CA132" i="1"/>
  <c r="AG144" i="8"/>
  <c r="AX196" i="8"/>
  <c r="AS158" i="8"/>
  <c r="AX192" i="8"/>
  <c r="CR41" i="8"/>
  <c r="V68" i="8"/>
  <c r="DT51" i="8"/>
  <c r="E144" i="8"/>
  <c r="CR59" i="8"/>
  <c r="AS138" i="8"/>
  <c r="V54" i="8"/>
  <c r="UB266" i="4"/>
  <c r="E156" i="8"/>
  <c r="AS102" i="8"/>
  <c r="V154" i="8"/>
  <c r="V75" i="6"/>
  <c r="AB114" i="8"/>
  <c r="AS154" i="8"/>
  <c r="CA125" i="1"/>
  <c r="AZ47" i="6"/>
  <c r="UB286" i="4"/>
  <c r="E14" i="4"/>
  <c r="B194" i="8"/>
  <c r="BX163" i="8"/>
  <c r="BX79" i="8"/>
  <c r="B148" i="8"/>
  <c r="BX105" i="8"/>
  <c r="B182" i="8"/>
  <c r="BX167" i="8"/>
  <c r="BX23" i="8"/>
  <c r="BX193" i="8"/>
  <c r="CX195" i="8"/>
  <c r="B62" i="8"/>
  <c r="CR55" i="8"/>
  <c r="AB192" i="8"/>
  <c r="DJ187" i="8"/>
  <c r="DO135" i="8"/>
  <c r="DC105" i="8"/>
  <c r="CA48" i="8"/>
  <c r="CX133" i="8"/>
  <c r="DT121" i="8"/>
  <c r="E111" i="8"/>
  <c r="CR141" i="8"/>
  <c r="DC121" i="8"/>
  <c r="DT33" i="8"/>
  <c r="DJ35" i="8"/>
  <c r="DJ69" i="8"/>
  <c r="DT117" i="8"/>
  <c r="DC75" i="8"/>
  <c r="DJ167" i="8"/>
  <c r="DC161" i="8"/>
  <c r="AG64" i="8"/>
  <c r="AN182" i="8"/>
  <c r="AG148" i="8"/>
  <c r="DJ83" i="8"/>
  <c r="V200" i="8"/>
  <c r="DJ173" i="8"/>
  <c r="CR131" i="8"/>
  <c r="DO169" i="8"/>
  <c r="E184" i="8"/>
  <c r="CR195" i="8"/>
  <c r="DJ41" i="8"/>
  <c r="DT189" i="8"/>
  <c r="DC37" i="8"/>
  <c r="DO53" i="8"/>
  <c r="DC51" i="8"/>
  <c r="DJ197" i="8"/>
  <c r="V184" i="8"/>
  <c r="B56" i="8"/>
  <c r="DJ53" i="8"/>
  <c r="DJ55" i="8"/>
  <c r="AS136" i="8"/>
  <c r="CX191" i="8"/>
  <c r="DC71" i="8"/>
  <c r="DC149" i="8"/>
  <c r="CX145" i="8"/>
  <c r="AN108" i="8"/>
  <c r="AG114" i="8"/>
  <c r="E92" i="8"/>
  <c r="BC75" i="6"/>
  <c r="V98" i="8"/>
  <c r="DJ93" i="8"/>
  <c r="E88" i="8"/>
  <c r="V96" i="8"/>
  <c r="E13" i="4"/>
  <c r="DJ95" i="8"/>
  <c r="AX102" i="8"/>
  <c r="CA122" i="8"/>
  <c r="E154" i="8"/>
  <c r="BO10" i="1"/>
  <c r="AX154" i="8"/>
  <c r="DJ159" i="8"/>
  <c r="BE104" i="1"/>
  <c r="CA145" i="8"/>
  <c r="AF20" i="8"/>
  <c r="BU53" i="1"/>
  <c r="CK53" i="1" s="1"/>
  <c r="BU39" i="1"/>
  <c r="CK39" i="1" s="1"/>
  <c r="B186" i="8"/>
  <c r="B106" i="8"/>
  <c r="BX151" i="8"/>
  <c r="BX71" i="8"/>
  <c r="BX73" i="8"/>
  <c r="B140" i="8"/>
  <c r="BX181" i="8"/>
  <c r="BX93" i="8"/>
  <c r="BX165" i="8"/>
  <c r="B174" i="8"/>
  <c r="B102" i="8"/>
  <c r="BX159" i="8"/>
  <c r="BX83" i="8"/>
  <c r="B196" i="8"/>
  <c r="B128" i="8"/>
  <c r="BX185" i="8"/>
  <c r="DT39" i="8"/>
  <c r="CR197" i="8"/>
  <c r="AS110" i="8"/>
  <c r="CX183" i="8"/>
  <c r="CR103" i="8"/>
  <c r="CA101" i="8"/>
  <c r="B59" i="1"/>
  <c r="DO129" i="8"/>
  <c r="DT111" i="8"/>
  <c r="CL149" i="1"/>
  <c r="DT141" i="8"/>
  <c r="CX111" i="8"/>
  <c r="DJ33" i="8"/>
  <c r="CR87" i="8"/>
  <c r="CR67" i="8"/>
  <c r="CR35" i="8"/>
  <c r="DJ71" i="8"/>
  <c r="AB180" i="8"/>
  <c r="DO121" i="8"/>
  <c r="AB62" i="8"/>
  <c r="V194" i="8"/>
  <c r="V150" i="8"/>
  <c r="DO71" i="8"/>
  <c r="AS178" i="8"/>
  <c r="E146" i="8"/>
  <c r="CR117" i="8"/>
  <c r="CX167" i="8"/>
  <c r="AB198" i="8"/>
  <c r="DJ191" i="8"/>
  <c r="DT57" i="8"/>
  <c r="AG152" i="8"/>
  <c r="DJ185" i="8"/>
  <c r="DC53" i="8"/>
  <c r="DC57" i="8"/>
  <c r="DO199" i="8"/>
  <c r="V190" i="8"/>
  <c r="B66" i="8"/>
  <c r="CR53" i="8"/>
  <c r="CA41" i="8"/>
  <c r="AG142" i="8"/>
  <c r="AB144" i="8"/>
  <c r="CA89" i="8"/>
  <c r="CA150" i="8"/>
  <c r="AX158" i="8"/>
  <c r="AB98" i="8"/>
  <c r="DJ149" i="8"/>
  <c r="CA95" i="8"/>
  <c r="AZ33" i="6"/>
  <c r="CA124" i="8"/>
  <c r="AN154" i="8"/>
  <c r="AG106" i="8"/>
  <c r="E151" i="8"/>
  <c r="BV2" i="1"/>
  <c r="AN156" i="8"/>
  <c r="V80" i="8"/>
  <c r="E143" i="8"/>
  <c r="AI51" i="1"/>
  <c r="E114" i="8"/>
  <c r="AG100" i="8"/>
  <c r="CX159" i="8"/>
  <c r="AF46" i="1"/>
  <c r="E149" i="8"/>
  <c r="BU37" i="1"/>
  <c r="CK37" i="1" s="1"/>
  <c r="BU49" i="1"/>
  <c r="B178" i="8"/>
  <c r="B98" i="8"/>
  <c r="BX143" i="8"/>
  <c r="BX59" i="8"/>
  <c r="BX37" i="8"/>
  <c r="B124" i="8"/>
  <c r="BX169" i="8"/>
  <c r="BX85" i="8"/>
  <c r="BX137" i="8"/>
  <c r="B166" i="8"/>
  <c r="B94" i="8"/>
  <c r="BX147" i="8"/>
  <c r="BX75" i="8"/>
  <c r="B188" i="8"/>
  <c r="B120" i="8"/>
  <c r="BX173" i="8"/>
  <c r="BP81" i="1"/>
  <c r="DT53" i="8"/>
  <c r="DJ151" i="8"/>
  <c r="B164" i="8"/>
  <c r="E108" i="8"/>
  <c r="F10" i="1"/>
  <c r="DO41" i="8"/>
  <c r="CR49" i="8"/>
  <c r="AG140" i="8"/>
  <c r="CR69" i="8"/>
  <c r="AS180" i="8"/>
  <c r="AN64" i="8"/>
  <c r="E107" i="8"/>
  <c r="DJ139" i="8"/>
  <c r="DO43" i="8"/>
  <c r="BX195" i="8"/>
  <c r="BX109" i="8"/>
  <c r="B104" i="8"/>
  <c r="BX107" i="8"/>
  <c r="BU29" i="1"/>
  <c r="CK29" i="1" s="1"/>
  <c r="CA50" i="8"/>
  <c r="DC43" i="8"/>
  <c r="BU25" i="1"/>
  <c r="CK25" i="1" s="1"/>
  <c r="JL1" i="4"/>
  <c r="BN59" i="1" s="1"/>
  <c r="BE85" i="1"/>
  <c r="BX89" i="8"/>
  <c r="B180" i="8"/>
  <c r="B78" i="8"/>
  <c r="BX57" i="8"/>
  <c r="B112" i="8"/>
  <c r="BX123" i="8"/>
  <c r="AX100" i="8"/>
  <c r="V9" i="4"/>
  <c r="AC135" i="7"/>
  <c r="AN102" i="8"/>
  <c r="AN158" i="8"/>
  <c r="CA92" i="8"/>
  <c r="AN112" i="8"/>
  <c r="V110" i="8"/>
  <c r="DT165" i="8"/>
  <c r="CX43" i="8"/>
  <c r="V136" i="8"/>
  <c r="DJ43" i="8"/>
  <c r="AX136" i="8"/>
  <c r="AG200" i="8"/>
  <c r="V144" i="8"/>
  <c r="DC183" i="8"/>
  <c r="DJ81" i="8"/>
  <c r="CA69" i="8"/>
  <c r="DJ85" i="8"/>
  <c r="CA137" i="8"/>
  <c r="CA119" i="8"/>
  <c r="DC33" i="8"/>
  <c r="CA104" i="1"/>
  <c r="BX117" i="8"/>
  <c r="BX47" i="8"/>
  <c r="B86" i="8"/>
  <c r="BX69" i="8"/>
  <c r="B176" i="8"/>
  <c r="BX135" i="8"/>
  <c r="AJ10" i="1"/>
  <c r="CA44" i="8"/>
  <c r="V76" i="8"/>
  <c r="AX112" i="8"/>
  <c r="CA152" i="8"/>
  <c r="CA60" i="8"/>
  <c r="CA54" i="8"/>
  <c r="AS114" i="8"/>
  <c r="CX199" i="8"/>
  <c r="DO61" i="8"/>
  <c r="CR189" i="8"/>
  <c r="CA191" i="8"/>
  <c r="E140" i="8"/>
  <c r="V166" i="8"/>
  <c r="AN184" i="8"/>
  <c r="E150" i="8"/>
  <c r="DO85" i="8"/>
  <c r="DJ87" i="8"/>
  <c r="DT85" i="8"/>
  <c r="DO131" i="8"/>
  <c r="DC143" i="8"/>
  <c r="DJ37" i="8"/>
  <c r="AN104" i="8"/>
  <c r="BX81" i="8"/>
  <c r="BX51" i="8"/>
  <c r="BU21" i="1"/>
  <c r="CK21" i="1" s="1"/>
  <c r="V106" i="8"/>
  <c r="CX157" i="8"/>
  <c r="AX108" i="8"/>
  <c r="AN110" i="8"/>
  <c r="V188" i="8"/>
  <c r="AG146" i="8"/>
  <c r="E148" i="8"/>
  <c r="V66" i="8"/>
  <c r="CX161" i="8"/>
  <c r="BP83" i="1"/>
  <c r="E96" i="8"/>
  <c r="BX145" i="8"/>
  <c r="BX55" i="8"/>
  <c r="B138" i="8"/>
  <c r="BX77" i="8"/>
  <c r="B184" i="8"/>
  <c r="BU47" i="1"/>
  <c r="CK47" i="1" s="1"/>
  <c r="CL141" i="1"/>
  <c r="CA96" i="8"/>
  <c r="AX106" i="8"/>
  <c r="AG112" i="8"/>
  <c r="E193" i="8"/>
  <c r="DO95" i="8"/>
  <c r="E155" i="8"/>
  <c r="CA94" i="8"/>
  <c r="CA199" i="8"/>
  <c r="DO193" i="8"/>
  <c r="CX189" i="8"/>
  <c r="B70" i="8"/>
  <c r="CR61" i="8"/>
  <c r="AG196" i="8"/>
  <c r="E202" i="8"/>
  <c r="CR165" i="8"/>
  <c r="CR27" i="8"/>
  <c r="CR89" i="8"/>
  <c r="DT139" i="8"/>
  <c r="DC129" i="8"/>
  <c r="DJ137" i="8"/>
  <c r="CX117" i="8"/>
  <c r="DT93" i="8"/>
  <c r="B92" i="8"/>
  <c r="BX67" i="8"/>
  <c r="B146" i="8"/>
  <c r="BX141" i="8"/>
  <c r="B192" i="8"/>
  <c r="B82" i="8"/>
  <c r="BU33" i="1"/>
  <c r="CK33" i="1" s="1"/>
  <c r="BE125" i="1"/>
  <c r="V84" i="8"/>
  <c r="CX95" i="8"/>
  <c r="CA52" i="8"/>
  <c r="E147" i="8"/>
  <c r="DO147" i="8"/>
  <c r="E141" i="8"/>
  <c r="B20" i="8"/>
  <c r="V126" i="8"/>
  <c r="DO191" i="8"/>
  <c r="V128" i="8"/>
  <c r="CX163" i="8"/>
  <c r="CX53" i="8"/>
  <c r="CA77" i="8"/>
  <c r="AX178" i="8"/>
  <c r="V176" i="8"/>
  <c r="E182" i="8"/>
  <c r="CA91" i="8"/>
  <c r="CR181" i="8"/>
  <c r="DO161" i="8"/>
  <c r="DJ131" i="8"/>
  <c r="DC111" i="8"/>
  <c r="CX141" i="8"/>
  <c r="CL83" i="1"/>
  <c r="BE87" i="1"/>
  <c r="BX139" i="8"/>
  <c r="B96" i="8"/>
  <c r="B158" i="8"/>
  <c r="V100" i="8"/>
  <c r="AS184" i="8"/>
  <c r="CA123" i="8"/>
  <c r="B172" i="8"/>
  <c r="B170" i="8"/>
  <c r="V86" i="8"/>
  <c r="E158" i="8"/>
  <c r="AB158" i="8"/>
  <c r="DO93" i="8"/>
  <c r="AB154" i="8"/>
  <c r="E194" i="8"/>
  <c r="AS200" i="8"/>
  <c r="DJ49" i="8"/>
  <c r="V142" i="8"/>
  <c r="CR171" i="8"/>
  <c r="AX152" i="8"/>
  <c r="CA135" i="8"/>
  <c r="DT175" i="8"/>
  <c r="AB68" i="8"/>
  <c r="DC81" i="8"/>
  <c r="DJ111" i="8"/>
  <c r="CX113" i="8"/>
  <c r="DO33" i="8"/>
  <c r="CX181" i="8"/>
  <c r="AX142" i="8"/>
  <c r="BP85" i="1"/>
  <c r="BX199" i="8"/>
  <c r="CL87" i="1"/>
  <c r="CA83" i="1"/>
  <c r="S51" i="1"/>
  <c r="B100" i="8"/>
  <c r="BX119" i="8"/>
  <c r="B154" i="8"/>
  <c r="BX149" i="8"/>
  <c r="BX27" i="8"/>
  <c r="B90" i="8"/>
  <c r="BU41" i="1"/>
  <c r="CK41" i="1" s="1"/>
  <c r="E104" i="8"/>
  <c r="AS108" i="8"/>
  <c r="AS100" i="8"/>
  <c r="CR147" i="8"/>
  <c r="E82" i="8"/>
  <c r="AC10" i="1"/>
  <c r="E199" i="8"/>
  <c r="UB48" i="4"/>
  <c r="DO137" i="8"/>
  <c r="CA57" i="8"/>
  <c r="DO195" i="8"/>
  <c r="AN136" i="8"/>
  <c r="E192" i="8"/>
  <c r="CA59" i="8"/>
  <c r="CX79" i="8"/>
  <c r="AX68" i="8"/>
  <c r="AG194" i="8"/>
  <c r="E200" i="8"/>
  <c r="AX70" i="8"/>
  <c r="CA185" i="8"/>
  <c r="CA118" i="1"/>
  <c r="CX185" i="8"/>
  <c r="DT107" i="8"/>
  <c r="AS194" i="8"/>
  <c r="V59" i="1"/>
  <c r="AQ90" i="1"/>
  <c r="AL59" i="1"/>
  <c r="V69" i="1"/>
  <c r="CA25" i="8"/>
  <c r="B52" i="8"/>
  <c r="B60" i="8"/>
  <c r="AQ126" i="1"/>
  <c r="I97" i="1"/>
  <c r="AQ102" i="1"/>
  <c r="B130" i="1"/>
  <c r="C79" i="6"/>
  <c r="CA81" i="1"/>
  <c r="B94" i="1"/>
  <c r="B118" i="1"/>
  <c r="AV81" i="6"/>
  <c r="I133" i="1"/>
  <c r="I109" i="1"/>
  <c r="AB59" i="1"/>
  <c r="B114" i="1"/>
  <c r="AG69" i="1"/>
  <c r="I145" i="1"/>
  <c r="AB69" i="1"/>
  <c r="CA27" i="8"/>
  <c r="B78" i="6"/>
  <c r="B63" i="1"/>
  <c r="BM13" i="4"/>
  <c r="BP13" i="4"/>
  <c r="BK9" i="4"/>
  <c r="BP9" i="4" s="1"/>
  <c r="ID5" i="4"/>
  <c r="FT4" i="4"/>
  <c r="AC64" i="6" s="1"/>
  <c r="BK14" i="4"/>
  <c r="BP14" i="4" s="1"/>
  <c r="KB8" i="4"/>
  <c r="BK17" i="4"/>
  <c r="EW30" i="4"/>
  <c r="ZK4" i="4"/>
  <c r="ZK5" i="4" s="1"/>
  <c r="CM9" i="4"/>
  <c r="JD12" i="4"/>
  <c r="JC12" i="4" s="1"/>
  <c r="CK27" i="1"/>
  <c r="EU18" i="4"/>
  <c r="BT147" i="6"/>
  <c r="AB126" i="1" s="1"/>
  <c r="WB205" i="4"/>
  <c r="LK99" i="4"/>
  <c r="LK124" i="4"/>
  <c r="WB35" i="4"/>
  <c r="WB3" i="4"/>
  <c r="WB139" i="4"/>
  <c r="WB231" i="4"/>
  <c r="WB227" i="4"/>
  <c r="WB213" i="4"/>
  <c r="LK114" i="4"/>
  <c r="WB48" i="4"/>
  <c r="GV9" i="4"/>
  <c r="GU9" i="4" s="1"/>
  <c r="GV4" i="4"/>
  <c r="GU4" i="4" s="1"/>
  <c r="TN209" i="4"/>
  <c r="CA31" i="8" s="1"/>
  <c r="BD75" i="6"/>
  <c r="GP7" i="4"/>
  <c r="FT5" i="4"/>
  <c r="AC65" i="6" s="1"/>
  <c r="CP12" i="4"/>
  <c r="FT6" i="4"/>
  <c r="AC66" i="6" s="1"/>
  <c r="BK12" i="4"/>
  <c r="FS4" i="4"/>
  <c r="EV30" i="4"/>
  <c r="CN12" i="4"/>
  <c r="DP32" i="4"/>
  <c r="EI32" i="4"/>
  <c r="JD4" i="4"/>
  <c r="CP13" i="4"/>
  <c r="FS5" i="4"/>
  <c r="TP311" i="4"/>
  <c r="TN311" i="4" s="1"/>
  <c r="RX25" i="4"/>
  <c r="TN41" i="4"/>
  <c r="E132" i="8" s="1"/>
  <c r="BO12" i="9"/>
  <c r="AP7" i="4"/>
  <c r="AO8" i="4"/>
  <c r="DV2" i="4"/>
  <c r="KU49" i="4"/>
  <c r="PU49" i="4"/>
  <c r="PV49" i="4" s="1"/>
  <c r="TN191" i="4"/>
  <c r="E90" i="8" s="1"/>
  <c r="FT3" i="4"/>
  <c r="AC63" i="6" s="1"/>
  <c r="HJ5" i="4"/>
  <c r="UQ184" i="4"/>
  <c r="TP184" i="4" s="1"/>
  <c r="TN184" i="4" s="1"/>
  <c r="UQ235" i="4"/>
  <c r="UQ26" i="4"/>
  <c r="TP26" i="4" s="1"/>
  <c r="TN26" i="4" s="1"/>
  <c r="UQ269" i="4"/>
  <c r="TP269" i="4" s="1"/>
  <c r="UQ100" i="4"/>
  <c r="UQ28" i="4"/>
  <c r="TP28" i="4" s="1"/>
  <c r="TN28" i="4" s="1"/>
  <c r="BO7" i="9"/>
  <c r="TN145" i="4"/>
  <c r="E122" i="8" s="1"/>
  <c r="TP317" i="4"/>
  <c r="TN317" i="4" s="1"/>
  <c r="UY21" i="4"/>
  <c r="TP21" i="4" s="1"/>
  <c r="TN21" i="4" s="1"/>
  <c r="UY320" i="4"/>
  <c r="TP320" i="4" s="1"/>
  <c r="TN320" i="4" s="1"/>
  <c r="UY15" i="4"/>
  <c r="TP15" i="4" s="1"/>
  <c r="UY243" i="4"/>
  <c r="TP243" i="4" s="1"/>
  <c r="TN243" i="4" s="1"/>
  <c r="AS20" i="6"/>
  <c r="TJ6" i="4"/>
  <c r="TJ7" i="4" s="1"/>
  <c r="TJ8" i="4" s="1"/>
  <c r="TJ9" i="4" s="1"/>
  <c r="TJ10" i="4" s="1"/>
  <c r="TJ11" i="4" s="1"/>
  <c r="TJ12" i="4" s="1"/>
  <c r="TJ13" i="4" s="1"/>
  <c r="TJ14" i="4" s="1"/>
  <c r="TJ15" i="4" s="1"/>
  <c r="TJ16" i="4" s="1"/>
  <c r="TJ17" i="4" s="1"/>
  <c r="TJ18" i="4" s="1"/>
  <c r="TJ19" i="4" s="1"/>
  <c r="TJ20" i="4" s="1"/>
  <c r="TJ21" i="4" s="1"/>
  <c r="TJ22" i="4" s="1"/>
  <c r="TJ23" i="4" s="1"/>
  <c r="TJ24" i="4" s="1"/>
  <c r="TJ25" i="4" s="1"/>
  <c r="TJ26" i="4" s="1"/>
  <c r="TJ27" i="4" s="1"/>
  <c r="TJ28" i="4" s="1"/>
  <c r="TJ29" i="4" s="1"/>
  <c r="TJ30" i="4" s="1"/>
  <c r="TJ31" i="4" s="1"/>
  <c r="TJ32" i="4" s="1"/>
  <c r="TJ33" i="4" s="1"/>
  <c r="TJ34" i="4" s="1"/>
  <c r="TJ35" i="4" s="1"/>
  <c r="TJ36" i="4" s="1"/>
  <c r="TJ37" i="4" s="1"/>
  <c r="TJ38" i="4" s="1"/>
  <c r="TJ39" i="4" s="1"/>
  <c r="TJ40" i="4" s="1"/>
  <c r="TJ41" i="4" s="1"/>
  <c r="TJ42" i="4" s="1"/>
  <c r="TJ43" i="4" s="1"/>
  <c r="TJ44" i="4" s="1"/>
  <c r="TJ45" i="4" s="1"/>
  <c r="TJ46" i="4" s="1"/>
  <c r="TJ47" i="4" s="1"/>
  <c r="TJ48" i="4" s="1"/>
  <c r="TJ49" i="4" s="1"/>
  <c r="TJ50" i="4" s="1"/>
  <c r="TJ51" i="4" s="1"/>
  <c r="TJ52" i="4" s="1"/>
  <c r="TJ53" i="4" s="1"/>
  <c r="TJ54" i="4" s="1"/>
  <c r="TJ55" i="4" s="1"/>
  <c r="TJ56" i="4" s="1"/>
  <c r="TJ57" i="4" s="1"/>
  <c r="TJ58" i="4" s="1"/>
  <c r="TJ59" i="4" s="1"/>
  <c r="TJ60" i="4" s="1"/>
  <c r="TJ61" i="4" s="1"/>
  <c r="TJ62" i="4" s="1"/>
  <c r="TJ63" i="4" s="1"/>
  <c r="TJ64" i="4" s="1"/>
  <c r="TJ65" i="4" s="1"/>
  <c r="TJ66" i="4" s="1"/>
  <c r="TJ67" i="4" s="1"/>
  <c r="TJ68" i="4" s="1"/>
  <c r="TJ69" i="4" s="1"/>
  <c r="TJ70" i="4" s="1"/>
  <c r="TJ71" i="4" s="1"/>
  <c r="TJ72" i="4" s="1"/>
  <c r="TJ73" i="4" s="1"/>
  <c r="TJ74" i="4" s="1"/>
  <c r="TJ75" i="4" s="1"/>
  <c r="TJ76" i="4" s="1"/>
  <c r="TJ77" i="4" s="1"/>
  <c r="TJ78" i="4" s="1"/>
  <c r="TJ79" i="4" s="1"/>
  <c r="TJ80" i="4" s="1"/>
  <c r="TJ81" i="4" s="1"/>
  <c r="TJ82" i="4" s="1"/>
  <c r="TJ83" i="4" s="1"/>
  <c r="TJ84" i="4" s="1"/>
  <c r="TJ85" i="4" s="1"/>
  <c r="TJ86" i="4" s="1"/>
  <c r="TJ87" i="4" s="1"/>
  <c r="TJ88" i="4" s="1"/>
  <c r="TJ89" i="4" s="1"/>
  <c r="TJ90" i="4" s="1"/>
  <c r="TJ91" i="4" s="1"/>
  <c r="TJ92" i="4" s="1"/>
  <c r="TJ93" i="4" s="1"/>
  <c r="TJ94" i="4" s="1"/>
  <c r="TJ95" i="4" s="1"/>
  <c r="TJ96" i="4" s="1"/>
  <c r="TJ97" i="4" s="1"/>
  <c r="TJ98" i="4" s="1"/>
  <c r="TJ99" i="4" s="1"/>
  <c r="TJ100" i="4" s="1"/>
  <c r="TJ101" i="4" s="1"/>
  <c r="TJ102" i="4" s="1"/>
  <c r="TJ103" i="4" s="1"/>
  <c r="TJ104" i="4" s="1"/>
  <c r="TJ105" i="4" s="1"/>
  <c r="TJ106" i="4" s="1"/>
  <c r="TJ107" i="4" s="1"/>
  <c r="TJ108" i="4" s="1"/>
  <c r="TJ109" i="4" s="1"/>
  <c r="TJ110" i="4" s="1"/>
  <c r="TJ111" i="4" s="1"/>
  <c r="TJ112" i="4" s="1"/>
  <c r="TJ113" i="4" s="1"/>
  <c r="TJ114" i="4" s="1"/>
  <c r="TJ115" i="4" s="1"/>
  <c r="TJ116" i="4" s="1"/>
  <c r="TJ117" i="4" s="1"/>
  <c r="TJ118" i="4" s="1"/>
  <c r="TJ119" i="4" s="1"/>
  <c r="TJ120" i="4" s="1"/>
  <c r="TJ121" i="4" s="1"/>
  <c r="TJ122" i="4" s="1"/>
  <c r="TJ123" i="4" s="1"/>
  <c r="TJ124" i="4" s="1"/>
  <c r="TJ125" i="4" s="1"/>
  <c r="TJ126" i="4" s="1"/>
  <c r="TJ127" i="4" s="1"/>
  <c r="TJ128" i="4" s="1"/>
  <c r="TJ129" i="4" s="1"/>
  <c r="TJ130" i="4" s="1"/>
  <c r="TJ131" i="4" s="1"/>
  <c r="TJ132" i="4" s="1"/>
  <c r="TJ133" i="4" s="1"/>
  <c r="TJ134" i="4" s="1"/>
  <c r="TJ135" i="4" s="1"/>
  <c r="TJ136" i="4" s="1"/>
  <c r="TJ137" i="4" s="1"/>
  <c r="TJ138" i="4" s="1"/>
  <c r="TJ139" i="4" s="1"/>
  <c r="TJ140" i="4" s="1"/>
  <c r="TJ141" i="4" s="1"/>
  <c r="TJ142" i="4" s="1"/>
  <c r="TJ143" i="4" s="1"/>
  <c r="TJ144" i="4" s="1"/>
  <c r="TJ145" i="4" s="1"/>
  <c r="TJ146" i="4" s="1"/>
  <c r="TJ147" i="4" s="1"/>
  <c r="TJ148" i="4" s="1"/>
  <c r="TJ149" i="4" s="1"/>
  <c r="TJ150" i="4" s="1"/>
  <c r="TJ151" i="4" s="1"/>
  <c r="TJ152" i="4" s="1"/>
  <c r="TJ153" i="4" s="1"/>
  <c r="TJ154" i="4" s="1"/>
  <c r="TJ155" i="4" s="1"/>
  <c r="TJ156" i="4" s="1"/>
  <c r="TJ157" i="4" s="1"/>
  <c r="TJ158" i="4" s="1"/>
  <c r="TJ159" i="4" s="1"/>
  <c r="TJ160" i="4" s="1"/>
  <c r="TJ161" i="4" s="1"/>
  <c r="TJ162" i="4" s="1"/>
  <c r="TJ163" i="4" s="1"/>
  <c r="TJ164" i="4" s="1"/>
  <c r="TJ165" i="4" s="1"/>
  <c r="TJ166" i="4" s="1"/>
  <c r="TJ167" i="4" s="1"/>
  <c r="TJ168" i="4" s="1"/>
  <c r="TJ169" i="4" s="1"/>
  <c r="TJ170" i="4" s="1"/>
  <c r="TJ171" i="4" s="1"/>
  <c r="TJ172" i="4" s="1"/>
  <c r="TJ173" i="4" s="1"/>
  <c r="TJ174" i="4" s="1"/>
  <c r="TJ175" i="4" s="1"/>
  <c r="TJ176" i="4" s="1"/>
  <c r="TJ177" i="4" s="1"/>
  <c r="TJ178" i="4" s="1"/>
  <c r="TJ179" i="4" s="1"/>
  <c r="TJ180" i="4" s="1"/>
  <c r="TJ181" i="4" s="1"/>
  <c r="TJ182" i="4" s="1"/>
  <c r="TJ183" i="4" s="1"/>
  <c r="TJ184" i="4" s="1"/>
  <c r="TJ185" i="4" s="1"/>
  <c r="TJ186" i="4" s="1"/>
  <c r="TJ187" i="4" s="1"/>
  <c r="TJ188" i="4" s="1"/>
  <c r="TJ189" i="4" s="1"/>
  <c r="TJ190" i="4" s="1"/>
  <c r="TJ191" i="4" s="1"/>
  <c r="TJ192" i="4" s="1"/>
  <c r="TJ193" i="4" s="1"/>
  <c r="TJ194" i="4" s="1"/>
  <c r="TJ195" i="4" s="1"/>
  <c r="TJ196" i="4" s="1"/>
  <c r="TJ197" i="4" s="1"/>
  <c r="TJ198" i="4" s="1"/>
  <c r="TJ199" i="4" s="1"/>
  <c r="TJ200" i="4" s="1"/>
  <c r="TJ201" i="4" s="1"/>
  <c r="TJ202" i="4" s="1"/>
  <c r="TJ203" i="4" s="1"/>
  <c r="TJ204" i="4" s="1"/>
  <c r="TJ205" i="4" s="1"/>
  <c r="TJ206" i="4" s="1"/>
  <c r="TJ207" i="4" s="1"/>
  <c r="TJ208" i="4" s="1"/>
  <c r="TJ209" i="4" s="1"/>
  <c r="TJ210" i="4" s="1"/>
  <c r="TJ211" i="4" s="1"/>
  <c r="TJ212" i="4" s="1"/>
  <c r="TJ213" i="4" s="1"/>
  <c r="TJ214" i="4" s="1"/>
  <c r="TJ215" i="4" s="1"/>
  <c r="TJ216" i="4" s="1"/>
  <c r="TJ217" i="4" s="1"/>
  <c r="TJ218" i="4" s="1"/>
  <c r="TJ219" i="4" s="1"/>
  <c r="TJ220" i="4" s="1"/>
  <c r="TJ221" i="4" s="1"/>
  <c r="TJ222" i="4" s="1"/>
  <c r="TJ223" i="4" s="1"/>
  <c r="TJ224" i="4" s="1"/>
  <c r="TJ225" i="4" s="1"/>
  <c r="TJ226" i="4" s="1"/>
  <c r="TJ227" i="4" s="1"/>
  <c r="TJ228" i="4" s="1"/>
  <c r="TJ229" i="4" s="1"/>
  <c r="TJ230" i="4" s="1"/>
  <c r="TJ231" i="4" s="1"/>
  <c r="TJ232" i="4" s="1"/>
  <c r="TJ233" i="4" s="1"/>
  <c r="TJ234" i="4" s="1"/>
  <c r="TJ235" i="4" s="1"/>
  <c r="TJ236" i="4" s="1"/>
  <c r="TJ237" i="4" s="1"/>
  <c r="TJ238" i="4" s="1"/>
  <c r="TJ239" i="4" s="1"/>
  <c r="TJ240" i="4" s="1"/>
  <c r="TJ241" i="4" s="1"/>
  <c r="TJ242" i="4" s="1"/>
  <c r="TJ243" i="4" s="1"/>
  <c r="TJ244" i="4" s="1"/>
  <c r="TJ245" i="4" s="1"/>
  <c r="TJ246" i="4" s="1"/>
  <c r="TJ247" i="4" s="1"/>
  <c r="TJ248" i="4" s="1"/>
  <c r="TJ249" i="4" s="1"/>
  <c r="TJ250" i="4" s="1"/>
  <c r="TJ251" i="4" s="1"/>
  <c r="TJ252" i="4" s="1"/>
  <c r="TJ253" i="4" s="1"/>
  <c r="TJ254" i="4" s="1"/>
  <c r="TJ255" i="4" s="1"/>
  <c r="TJ256" i="4" s="1"/>
  <c r="TJ257" i="4" s="1"/>
  <c r="TJ258" i="4" s="1"/>
  <c r="TJ259" i="4" s="1"/>
  <c r="TJ260" i="4" s="1"/>
  <c r="TJ261" i="4" s="1"/>
  <c r="TJ262" i="4" s="1"/>
  <c r="TJ263" i="4" s="1"/>
  <c r="TJ264" i="4" s="1"/>
  <c r="TJ265" i="4" s="1"/>
  <c r="TJ266" i="4" s="1"/>
  <c r="TJ267" i="4" s="1"/>
  <c r="TJ268" i="4" s="1"/>
  <c r="TJ269" i="4" s="1"/>
  <c r="TJ270" i="4" s="1"/>
  <c r="TJ271" i="4" s="1"/>
  <c r="TJ272" i="4" s="1"/>
  <c r="TJ273" i="4" s="1"/>
  <c r="TJ274" i="4" s="1"/>
  <c r="TJ275" i="4" s="1"/>
  <c r="TJ276" i="4" s="1"/>
  <c r="TJ277" i="4" s="1"/>
  <c r="TJ278" i="4" s="1"/>
  <c r="TJ279" i="4" s="1"/>
  <c r="TJ280" i="4" s="1"/>
  <c r="TJ281" i="4" s="1"/>
  <c r="TJ282" i="4" s="1"/>
  <c r="TJ283" i="4" s="1"/>
  <c r="TJ284" i="4" s="1"/>
  <c r="TJ285" i="4" s="1"/>
  <c r="TJ286" i="4" s="1"/>
  <c r="TJ287" i="4" s="1"/>
  <c r="TJ288" i="4" s="1"/>
  <c r="TJ289" i="4" s="1"/>
  <c r="TJ290" i="4" s="1"/>
  <c r="TJ291" i="4" s="1"/>
  <c r="TJ292" i="4" s="1"/>
  <c r="TJ293" i="4" s="1"/>
  <c r="TJ294" i="4" s="1"/>
  <c r="TJ295" i="4" s="1"/>
  <c r="TJ296" i="4" s="1"/>
  <c r="TJ297" i="4" s="1"/>
  <c r="TJ298" i="4" s="1"/>
  <c r="TJ299" i="4" s="1"/>
  <c r="TJ300" i="4" s="1"/>
  <c r="TJ301" i="4" s="1"/>
  <c r="TJ302" i="4" s="1"/>
  <c r="TJ303" i="4" s="1"/>
  <c r="TJ304" i="4" s="1"/>
  <c r="TJ305" i="4" s="1"/>
  <c r="TJ306" i="4" s="1"/>
  <c r="TJ307" i="4" s="1"/>
  <c r="TJ308" i="4" s="1"/>
  <c r="TJ309" i="4" s="1"/>
  <c r="TJ310" i="4" s="1"/>
  <c r="TJ311" i="4" s="1"/>
  <c r="TJ312" i="4" s="1"/>
  <c r="TJ313" i="4" s="1"/>
  <c r="TJ314" i="4" s="1"/>
  <c r="TJ315" i="4" s="1"/>
  <c r="TJ316" i="4" s="1"/>
  <c r="TJ317" i="4" s="1"/>
  <c r="TJ318" i="4" s="1"/>
  <c r="TJ319" i="4" s="1"/>
  <c r="TJ320" i="4" s="1"/>
  <c r="TJ321" i="4" s="1"/>
  <c r="TJ322" i="4" s="1"/>
  <c r="TJ323" i="4" s="1"/>
  <c r="TJ324" i="4" s="1"/>
  <c r="TJ325" i="4" s="1"/>
  <c r="TJ326" i="4" s="1"/>
  <c r="TJ327" i="4" s="1"/>
  <c r="TJ328" i="4" s="1"/>
  <c r="TJ329" i="4" s="1"/>
  <c r="TJ330" i="4" s="1"/>
  <c r="TJ331" i="4" s="1"/>
  <c r="TJ332" i="4" s="1"/>
  <c r="TJ333" i="4" s="1"/>
  <c r="TJ334" i="4" s="1"/>
  <c r="TJ335" i="4" s="1"/>
  <c r="TJ336" i="4" s="1"/>
  <c r="TJ337" i="4" s="1"/>
  <c r="TJ338" i="4" s="1"/>
  <c r="TJ339" i="4" s="1"/>
  <c r="TJ340" i="4" s="1"/>
  <c r="TJ341" i="4" s="1"/>
  <c r="TJ342" i="4" s="1"/>
  <c r="TJ343" i="4" s="1"/>
  <c r="TJ344" i="4" s="1"/>
  <c r="TJ345" i="4" s="1"/>
  <c r="TJ346" i="4" s="1"/>
  <c r="TJ347" i="4" s="1"/>
  <c r="TJ348" i="4" s="1"/>
  <c r="TJ349" i="4" s="1"/>
  <c r="TJ350" i="4" s="1"/>
  <c r="TJ351" i="4" s="1"/>
  <c r="TJ352" i="4" s="1"/>
  <c r="TJ353" i="4" s="1"/>
  <c r="TJ354" i="4" s="1"/>
  <c r="TJ355" i="4" s="1"/>
  <c r="TJ356" i="4" s="1"/>
  <c r="TJ357" i="4" s="1"/>
  <c r="TJ358" i="4" s="1"/>
  <c r="TJ359" i="4" s="1"/>
  <c r="TJ360" i="4" s="1"/>
  <c r="TJ361" i="4" s="1"/>
  <c r="TJ362" i="4" s="1"/>
  <c r="TJ363" i="4" s="1"/>
  <c r="TJ364" i="4" s="1"/>
  <c r="TJ2" i="4"/>
  <c r="QT17" i="4"/>
  <c r="RX17" i="4" s="1"/>
  <c r="RX30" i="4" s="1"/>
  <c r="RH16" i="4"/>
  <c r="RH29" i="4" s="1"/>
  <c r="SN16" i="4"/>
  <c r="SN29" i="4" s="1"/>
  <c r="VQ174" i="4"/>
  <c r="VQ41" i="4"/>
  <c r="VQ250" i="4"/>
  <c r="VQ88" i="4"/>
  <c r="TP59" i="4"/>
  <c r="TN59" i="4" s="1"/>
  <c r="TP256" i="4"/>
  <c r="TN256" i="4" s="1"/>
  <c r="SF16" i="4"/>
  <c r="SF29" i="4" s="1"/>
  <c r="DG20" i="7"/>
  <c r="DH20" i="7" s="1"/>
  <c r="DI20" i="7" s="1"/>
  <c r="DJ20" i="7" s="1"/>
  <c r="DK20" i="7" s="1"/>
  <c r="DL20" i="7" s="1"/>
  <c r="TU1" i="4"/>
  <c r="V132" i="8"/>
  <c r="CR29" i="8"/>
  <c r="V58" i="8"/>
  <c r="V88" i="8"/>
  <c r="V56" i="8"/>
  <c r="CR25" i="8"/>
  <c r="V164" i="8"/>
  <c r="CR23" i="8"/>
  <c r="V52" i="8"/>
  <c r="V168" i="8"/>
  <c r="V60" i="8"/>
  <c r="V130" i="8"/>
  <c r="VD100" i="4"/>
  <c r="AV150" i="6"/>
  <c r="BD149" i="6"/>
  <c r="B106" i="1" s="1"/>
  <c r="AK37" i="6"/>
  <c r="BL148" i="6"/>
  <c r="AQ114" i="1" s="1"/>
  <c r="SN12" i="4"/>
  <c r="RX15" i="4"/>
  <c r="RX28" i="4" s="1"/>
  <c r="QZ16" i="4"/>
  <c r="QZ29" i="4" s="1"/>
  <c r="BL139" i="6"/>
  <c r="I121" i="1" s="1"/>
  <c r="RH15" i="4"/>
  <c r="RH28" i="4" s="1"/>
  <c r="Y171" i="6"/>
  <c r="BA12" i="9"/>
  <c r="BD144" i="6"/>
  <c r="BT142" i="6"/>
  <c r="B126" i="1" s="1"/>
  <c r="AL2" i="4"/>
  <c r="AK3" i="4"/>
  <c r="AU80" i="6" s="1"/>
  <c r="TP104" i="4"/>
  <c r="TN104" i="4" s="1"/>
  <c r="E164" i="8" s="1"/>
  <c r="CJ142" i="6"/>
  <c r="B150" i="1" s="1"/>
  <c r="CJ148" i="6"/>
  <c r="AQ150" i="1" s="1"/>
  <c r="CJ149" i="6"/>
  <c r="B154" i="1" s="1"/>
  <c r="BD142" i="6"/>
  <c r="B102" i="1" s="1"/>
  <c r="CJ145" i="6"/>
  <c r="SN7" i="4" s="1"/>
  <c r="SN20" i="4" s="1"/>
  <c r="CB150" i="6"/>
  <c r="BL144" i="6"/>
  <c r="CB142" i="6"/>
  <c r="B138" i="1" s="1"/>
  <c r="CB148" i="6"/>
  <c r="AQ138" i="1" s="1"/>
  <c r="QZ9" i="4"/>
  <c r="QZ22" i="4" s="1"/>
  <c r="AV142" i="6"/>
  <c r="B90" i="1" s="1"/>
  <c r="CJ151" i="6"/>
  <c r="J154" i="1" s="1"/>
  <c r="CB144" i="6"/>
  <c r="QZ13" i="4"/>
  <c r="QZ26" i="4" s="1"/>
  <c r="RH11" i="4"/>
  <c r="RP13" i="4"/>
  <c r="RP26" i="4" s="1"/>
  <c r="QZ11" i="4"/>
  <c r="QZ24" i="4" s="1"/>
  <c r="QZ12" i="4"/>
  <c r="QZ25" i="4" s="1"/>
  <c r="SN11" i="4"/>
  <c r="SN24" i="4" s="1"/>
  <c r="RX14" i="4"/>
  <c r="RX27" i="4" s="1"/>
  <c r="RX16" i="4"/>
  <c r="RX29" i="4" s="1"/>
  <c r="SN13" i="4"/>
  <c r="SN26" i="4" s="1"/>
  <c r="CJ139" i="6"/>
  <c r="I157" i="1" s="1"/>
  <c r="CJ150" i="6"/>
  <c r="CB149" i="6"/>
  <c r="B142" i="1" s="1"/>
  <c r="RP15" i="4"/>
  <c r="RH14" i="4"/>
  <c r="RH27" i="4" s="1"/>
  <c r="RP12" i="4"/>
  <c r="RX10" i="4"/>
  <c r="RX23" i="4" s="1"/>
  <c r="SF15" i="4"/>
  <c r="SF28" i="4" s="1"/>
  <c r="SF8" i="4"/>
  <c r="SF21" i="4" s="1"/>
  <c r="RX9" i="4"/>
  <c r="RX22" i="4" s="1"/>
  <c r="BA9" i="9"/>
  <c r="BA11" i="9"/>
  <c r="BA8" i="9"/>
  <c r="BA10" i="9"/>
  <c r="TN344" i="4"/>
  <c r="TN94" i="4"/>
  <c r="EL32" i="4"/>
  <c r="TN126" i="4"/>
  <c r="IH4" i="4"/>
  <c r="IM3" i="4" s="1"/>
  <c r="AP5" i="4"/>
  <c r="TN193" i="4"/>
  <c r="XP5" i="4"/>
  <c r="XQ3" i="4"/>
  <c r="XP2" i="4"/>
  <c r="F27" i="9" s="1"/>
  <c r="AY20" i="8" s="1"/>
  <c r="TN132" i="4"/>
  <c r="TN173" i="4"/>
  <c r="TN325" i="4"/>
  <c r="TN179" i="4"/>
  <c r="F3" i="4"/>
  <c r="AV36" i="6" s="1"/>
  <c r="TN259" i="4"/>
  <c r="TN83" i="4"/>
  <c r="XQ6" i="4"/>
  <c r="XN6" i="4"/>
  <c r="XM7" i="4"/>
  <c r="TN97" i="4"/>
  <c r="E78" i="8" s="1"/>
  <c r="TN285" i="4"/>
  <c r="TN3" i="4"/>
  <c r="TN67" i="4"/>
  <c r="TN195" i="4"/>
  <c r="TN204" i="4"/>
  <c r="TN253" i="4"/>
  <c r="TN292" i="4"/>
  <c r="IG2" i="4"/>
  <c r="CO17" i="4" s="1"/>
  <c r="DI20" i="11"/>
  <c r="DJ20" i="11" s="1"/>
  <c r="DK20" i="11" s="1"/>
  <c r="DL20" i="11" s="1"/>
  <c r="TN9" i="4"/>
  <c r="TN38" i="4"/>
  <c r="TN74" i="4"/>
  <c r="TN146" i="4"/>
  <c r="TN181" i="4"/>
  <c r="TN276" i="4"/>
  <c r="TN82" i="4"/>
  <c r="TN11" i="4"/>
  <c r="GI11" i="4"/>
  <c r="GI10" i="4"/>
  <c r="TN85" i="4"/>
  <c r="TN108" i="4"/>
  <c r="TN275" i="4"/>
  <c r="TN293" i="4"/>
  <c r="E174" i="8" s="1"/>
  <c r="TN123" i="4"/>
  <c r="TN50" i="4"/>
  <c r="ZE4" i="4"/>
  <c r="ZE5" i="4" s="1"/>
  <c r="ZE6" i="4" s="1"/>
  <c r="GI9" i="4"/>
  <c r="YI4" i="4"/>
  <c r="W75" i="6"/>
  <c r="XM32" i="4"/>
  <c r="XN5" i="4"/>
  <c r="GI8" i="4"/>
  <c r="XM31" i="4"/>
  <c r="GI7" i="4"/>
  <c r="GI13" i="4"/>
  <c r="FF20" i="8"/>
  <c r="FG20" i="8" s="1"/>
  <c r="FH20" i="8" s="1"/>
  <c r="FI20" i="8" s="1"/>
  <c r="HQ5" i="4"/>
  <c r="HS5" i="4" s="1"/>
  <c r="GI12" i="4"/>
  <c r="BV17" i="4"/>
  <c r="GY5" i="4"/>
  <c r="L3" i="4"/>
  <c r="N5" i="6" s="1"/>
  <c r="YX2" i="4"/>
  <c r="YW2" i="4" s="1"/>
  <c r="I8" i="4"/>
  <c r="I3" i="4" s="1"/>
  <c r="B75" i="6" s="1"/>
  <c r="YY2" i="4"/>
  <c r="YV2" i="4"/>
  <c r="E8" i="4"/>
  <c r="K3" i="4"/>
  <c r="AU77" i="6" s="1"/>
  <c r="R3" i="4"/>
  <c r="C45" i="6" s="1"/>
  <c r="Y21" i="4"/>
  <c r="X21" i="4" s="1"/>
  <c r="P3" i="4"/>
  <c r="N9" i="6" s="1"/>
  <c r="AR9" i="6" s="1"/>
  <c r="N35" i="1" s="1"/>
  <c r="Y9" i="4"/>
  <c r="E3" i="4"/>
  <c r="BI2" i="6" s="1"/>
  <c r="Y10" i="4"/>
  <c r="Y18" i="4"/>
  <c r="X18" i="4" s="1"/>
  <c r="Y17" i="4"/>
  <c r="X17" i="4" s="1"/>
  <c r="S3" i="4"/>
  <c r="G47" i="6" s="1"/>
  <c r="Y16" i="4"/>
  <c r="X16" i="4" s="1"/>
  <c r="Y4" i="4"/>
  <c r="X4" i="4" s="1"/>
  <c r="Y5" i="4"/>
  <c r="X5" i="4" s="1"/>
  <c r="H3" i="4"/>
  <c r="C76" i="6" s="1"/>
  <c r="Y13" i="4"/>
  <c r="X13" i="4" s="1"/>
  <c r="J3" i="4"/>
  <c r="AV78" i="6" s="1"/>
  <c r="Y12" i="4"/>
  <c r="X12" i="4" s="1"/>
  <c r="B3" i="4"/>
  <c r="K22" i="6" s="1"/>
  <c r="V10" i="1" s="1"/>
  <c r="O3" i="4"/>
  <c r="N8" i="6" s="1"/>
  <c r="AR8" i="6" s="1"/>
  <c r="AU8" i="6" s="1"/>
  <c r="Q3" i="4"/>
  <c r="N10" i="6" s="1"/>
  <c r="AR10" i="6" s="1"/>
  <c r="AU10" i="6" s="1"/>
  <c r="G3" i="4"/>
  <c r="AU35" i="6" s="1"/>
  <c r="Y23" i="4"/>
  <c r="X23" i="4" s="1"/>
  <c r="Y22" i="4"/>
  <c r="X22" i="4" s="1"/>
  <c r="D3" i="4"/>
  <c r="K24" i="6" s="1"/>
  <c r="Y8" i="4"/>
  <c r="Y25" i="4"/>
  <c r="X25" i="4" s="1"/>
  <c r="Y7" i="4"/>
  <c r="T3" i="4"/>
  <c r="G48" i="6" s="1"/>
  <c r="KW89" i="4"/>
  <c r="KW115" i="4"/>
  <c r="KW118" i="4"/>
  <c r="KW101" i="4"/>
  <c r="CC7" i="4"/>
  <c r="KU38" i="4"/>
  <c r="PU38" i="4"/>
  <c r="PV38" i="4" s="1"/>
  <c r="YL3" i="4"/>
  <c r="PI1" i="4"/>
  <c r="CC6" i="9"/>
  <c r="VE86" i="4"/>
  <c r="TP86" i="4" s="1"/>
  <c r="TN86" i="4" s="1"/>
  <c r="VE313" i="4"/>
  <c r="TP313" i="4" s="1"/>
  <c r="TN313" i="4" s="1"/>
  <c r="VE107" i="4"/>
  <c r="TP107" i="4" s="1"/>
  <c r="TN107" i="4" s="1"/>
  <c r="VE152" i="4"/>
  <c r="TP152" i="4" s="1"/>
  <c r="TN152" i="4" s="1"/>
  <c r="VE298" i="4"/>
  <c r="TP298" i="4" s="1"/>
  <c r="TN298" i="4" s="1"/>
  <c r="VB312" i="4"/>
  <c r="TP312" i="4" s="1"/>
  <c r="TN312" i="4" s="1"/>
  <c r="VB332" i="4"/>
  <c r="TP332" i="4" s="1"/>
  <c r="TN332" i="4" s="1"/>
  <c r="VB339" i="4"/>
  <c r="TP339" i="4" s="1"/>
  <c r="TN339" i="4" s="1"/>
  <c r="VB281" i="4"/>
  <c r="TP281" i="4" s="1"/>
  <c r="TN281" i="4" s="1"/>
  <c r="VB299" i="4"/>
  <c r="TP299" i="4" s="1"/>
  <c r="TN299" i="4" s="1"/>
  <c r="VB114" i="4"/>
  <c r="TP114" i="4" s="1"/>
  <c r="TN114" i="4" s="1"/>
  <c r="VB308" i="4"/>
  <c r="TP308" i="4" s="1"/>
  <c r="TN308" i="4" s="1"/>
  <c r="LJ108" i="4"/>
  <c r="LJ99" i="4"/>
  <c r="LJ114" i="4"/>
  <c r="LJ124" i="4"/>
  <c r="PU13" i="4"/>
  <c r="PV13" i="4" s="1"/>
  <c r="KU13" i="4"/>
  <c r="PU42" i="4"/>
  <c r="PV42" i="4" s="1"/>
  <c r="KU42" i="4"/>
  <c r="VL225" i="4"/>
  <c r="TP225" i="4" s="1"/>
  <c r="TN225" i="4" s="1"/>
  <c r="VL318" i="4"/>
  <c r="TP318" i="4" s="1"/>
  <c r="TN318" i="4" s="1"/>
  <c r="VL249" i="4"/>
  <c r="TP249" i="4" s="1"/>
  <c r="TN249" i="4" s="1"/>
  <c r="VL351" i="4"/>
  <c r="TP351" i="4" s="1"/>
  <c r="TN351" i="4" s="1"/>
  <c r="VL207" i="4"/>
  <c r="TP207" i="4" s="1"/>
  <c r="ZL4" i="4"/>
  <c r="ZJ4" i="4"/>
  <c r="ZN4" i="4"/>
  <c r="ZN5" i="4" s="1"/>
  <c r="ZN6" i="4" s="1"/>
  <c r="ZH4" i="4"/>
  <c r="ZO4" i="4"/>
  <c r="ZG4" i="4"/>
  <c r="ZI4" i="4"/>
  <c r="ZM6" i="4"/>
  <c r="ZM7" i="4" s="1"/>
  <c r="TP316" i="4"/>
  <c r="TN316" i="4" s="1"/>
  <c r="UZ92" i="4"/>
  <c r="TP92" i="4" s="1"/>
  <c r="TN92" i="4" s="1"/>
  <c r="UZ30" i="4"/>
  <c r="TP30" i="4" s="1"/>
  <c r="TN30" i="4" s="1"/>
  <c r="UZ314" i="4"/>
  <c r="TP314" i="4" s="1"/>
  <c r="TN314" i="4" s="1"/>
  <c r="UZ167" i="4"/>
  <c r="TP167" i="4" s="1"/>
  <c r="TN167" i="4" s="1"/>
  <c r="UZ36" i="4"/>
  <c r="TP36" i="4" s="1"/>
  <c r="TN36" i="4" s="1"/>
  <c r="UZ273" i="4"/>
  <c r="TP273" i="4" s="1"/>
  <c r="TN273" i="4" s="1"/>
  <c r="UZ220" i="4"/>
  <c r="TP220" i="4" s="1"/>
  <c r="TN220" i="4" s="1"/>
  <c r="KU51" i="4"/>
  <c r="PU51" i="4"/>
  <c r="PV51" i="4" s="1"/>
  <c r="PU20" i="4"/>
  <c r="PV20" i="4" s="1"/>
  <c r="KU20" i="4"/>
  <c r="TP203" i="4"/>
  <c r="TN203" i="4" s="1"/>
  <c r="RQ25" i="4"/>
  <c r="SF25" i="4"/>
  <c r="PU55" i="4"/>
  <c r="PV55" i="4" s="1"/>
  <c r="KU55" i="4"/>
  <c r="KU26" i="4"/>
  <c r="PU26" i="4"/>
  <c r="PV26" i="4" s="1"/>
  <c r="CJ18" i="4"/>
  <c r="IK18" i="4"/>
  <c r="GP6" i="4"/>
  <c r="TP176" i="4"/>
  <c r="TN176" i="4" s="1"/>
  <c r="TP289" i="4"/>
  <c r="TN289" i="4" s="1"/>
  <c r="TP100" i="4"/>
  <c r="TP185" i="4"/>
  <c r="BO13" i="9" s="1"/>
  <c r="VC77" i="4"/>
  <c r="TP77" i="4" s="1"/>
  <c r="TN77" i="4" s="1"/>
  <c r="VC171" i="4"/>
  <c r="TP171" i="4" s="1"/>
  <c r="TN171" i="4" s="1"/>
  <c r="VC190" i="4"/>
  <c r="TP190" i="4" s="1"/>
  <c r="TN190" i="4" s="1"/>
  <c r="VC95" i="4"/>
  <c r="TP95" i="4" s="1"/>
  <c r="TN95" i="4" s="1"/>
  <c r="VC334" i="4"/>
  <c r="TP334" i="4" s="1"/>
  <c r="TN334" i="4" s="1"/>
  <c r="VC44" i="4"/>
  <c r="TP44" i="4" s="1"/>
  <c r="TN44" i="4" s="1"/>
  <c r="VC296" i="4"/>
  <c r="TP296" i="4" s="1"/>
  <c r="TN296" i="4" s="1"/>
  <c r="VC148" i="4"/>
  <c r="TP148" i="4" s="1"/>
  <c r="VC196" i="4"/>
  <c r="TP196" i="4" s="1"/>
  <c r="TN196" i="4" s="1"/>
  <c r="VC305" i="4"/>
  <c r="TP305" i="4" s="1"/>
  <c r="TN305" i="4" s="1"/>
  <c r="YI9" i="4"/>
  <c r="YM9" i="4"/>
  <c r="YN9" i="4"/>
  <c r="ZF5" i="4"/>
  <c r="TN185" i="4"/>
  <c r="E134" i="8" s="1"/>
  <c r="YJ9" i="4"/>
  <c r="OQ1" i="4"/>
  <c r="ZT12" i="4"/>
  <c r="GE4" i="4" s="1"/>
  <c r="ZT9" i="4"/>
  <c r="AQ43" i="6" s="1"/>
  <c r="PQ1" i="4"/>
  <c r="OZ1" i="4"/>
  <c r="OK1" i="4"/>
  <c r="PF1" i="4"/>
  <c r="OU1" i="4"/>
  <c r="ZT6" i="4"/>
  <c r="AV50" i="6" s="1"/>
  <c r="AU49" i="6" s="1"/>
  <c r="OI1" i="4"/>
  <c r="OF1" i="4"/>
  <c r="ZT8" i="4"/>
  <c r="C99" i="6" s="1"/>
  <c r="H98" i="6" s="1"/>
  <c r="PN1" i="4"/>
  <c r="QC39" i="4" s="1"/>
  <c r="OW1" i="4"/>
  <c r="ZT2" i="4"/>
  <c r="PH1" i="4"/>
  <c r="ON1" i="4"/>
  <c r="OM1" i="4"/>
  <c r="PD1" i="4"/>
  <c r="PO1" i="4"/>
  <c r="OL1" i="4"/>
  <c r="PK1" i="4"/>
  <c r="ZT4" i="4"/>
  <c r="YI5" i="4"/>
  <c r="OP1" i="4"/>
  <c r="OY1" i="4"/>
  <c r="PG1" i="4"/>
  <c r="OT1" i="4"/>
  <c r="PL1" i="4"/>
  <c r="PP1" i="4"/>
  <c r="YO3" i="4"/>
  <c r="ZT5" i="4"/>
  <c r="OE1" i="4"/>
  <c r="YN5" i="4"/>
  <c r="OC1" i="4"/>
  <c r="OB1" i="4"/>
  <c r="OV1" i="4"/>
  <c r="OS1" i="4"/>
  <c r="PM1" i="4"/>
  <c r="PA1" i="4"/>
  <c r="PB1" i="4"/>
  <c r="OG1" i="4"/>
  <c r="YJ5" i="4"/>
  <c r="OD1" i="4"/>
  <c r="OJ1" i="4"/>
  <c r="OH1" i="4"/>
  <c r="PE1" i="4"/>
  <c r="ZT3" i="4"/>
  <c r="V82" i="1" s="1"/>
  <c r="OO1" i="4"/>
  <c r="YM5" i="4"/>
  <c r="ZT7" i="4"/>
  <c r="OX1" i="4"/>
  <c r="BA6" i="9"/>
  <c r="TN43" i="4"/>
  <c r="E76" i="8" s="1"/>
  <c r="FO6" i="4"/>
  <c r="Q5" i="6"/>
  <c r="Q7" i="6"/>
  <c r="CP11" i="4"/>
  <c r="CU11" i="4"/>
  <c r="BK11" i="4"/>
  <c r="GP4" i="4"/>
  <c r="OR1" i="4"/>
  <c r="PJ1" i="4"/>
  <c r="PC1" i="4"/>
  <c r="CC7" i="9"/>
  <c r="TN142" i="4"/>
  <c r="E166" i="8" s="1"/>
  <c r="BA16" i="9"/>
  <c r="VP288" i="4"/>
  <c r="VP142" i="4"/>
  <c r="VP348" i="4"/>
  <c r="VP226" i="4"/>
  <c r="VP214" i="4"/>
  <c r="VP88" i="4"/>
  <c r="VP269" i="4"/>
  <c r="VP246" i="4"/>
  <c r="VP263" i="4"/>
  <c r="VP207" i="4"/>
  <c r="VP5" i="4"/>
  <c r="VP205" i="4"/>
  <c r="VP257" i="4"/>
  <c r="VP334" i="4"/>
  <c r="VP76" i="4"/>
  <c r="VP161" i="4"/>
  <c r="VP35" i="4"/>
  <c r="VP296" i="4"/>
  <c r="VP240" i="4"/>
  <c r="VP213" i="4"/>
  <c r="VP139" i="4"/>
  <c r="VP89" i="4"/>
  <c r="TP91" i="4"/>
  <c r="TN91" i="4" s="1"/>
  <c r="CN17" i="4"/>
  <c r="CP17" i="4"/>
  <c r="ID7" i="4"/>
  <c r="ID6" i="4"/>
  <c r="U18" i="9"/>
  <c r="DA18" i="8" s="1"/>
  <c r="WB276" i="4"/>
  <c r="WB228" i="4"/>
  <c r="WB343" i="4"/>
  <c r="WB153" i="4"/>
  <c r="WB263" i="4"/>
  <c r="WB300" i="4"/>
  <c r="VB266" i="4"/>
  <c r="TP266" i="4" s="1"/>
  <c r="TN266" i="4" s="1"/>
  <c r="VB359" i="4"/>
  <c r="TP359" i="4" s="1"/>
  <c r="TN359" i="4" s="1"/>
  <c r="VH233" i="4"/>
  <c r="TP233" i="4" s="1"/>
  <c r="TN233" i="4" s="1"/>
  <c r="VH235" i="4"/>
  <c r="TP235" i="4" s="1"/>
  <c r="AZ82" i="1"/>
  <c r="AP82" i="1" s="1"/>
  <c r="KB9" i="4"/>
  <c r="BW11" i="4"/>
  <c r="BO8" i="4"/>
  <c r="AM49" i="9"/>
  <c r="BN8" i="4"/>
  <c r="EP32" i="4"/>
  <c r="AC74" i="6"/>
  <c r="KB7" i="4"/>
  <c r="BN9" i="4"/>
  <c r="LM124" i="4"/>
  <c r="LM114" i="4"/>
  <c r="LM108" i="4"/>
  <c r="WD259" i="4"/>
  <c r="WE259" i="4" s="1"/>
  <c r="IR2" i="4"/>
  <c r="CN18" i="4" s="1"/>
  <c r="WC231" i="4"/>
  <c r="WD206" i="4"/>
  <c r="WE206" i="4" s="1"/>
  <c r="WD120" i="4"/>
  <c r="WE120" i="4" s="1"/>
  <c r="LI67" i="4"/>
  <c r="LI70" i="4"/>
  <c r="LL112" i="4"/>
  <c r="LL114" i="4"/>
  <c r="LI61" i="4"/>
  <c r="Y11" i="4"/>
  <c r="X11" i="4" s="1"/>
  <c r="Y24" i="4"/>
  <c r="X24" i="4" s="1"/>
  <c r="N3" i="4"/>
  <c r="N7" i="6" s="1"/>
  <c r="M3" i="4"/>
  <c r="N6" i="6" s="1"/>
  <c r="AR6" i="6" s="1"/>
  <c r="Y6" i="4"/>
  <c r="Y19" i="4"/>
  <c r="X19" i="4" s="1"/>
  <c r="WD338" i="4"/>
  <c r="WE338" i="4" s="1"/>
  <c r="HH4" i="4"/>
  <c r="AC69" i="6" s="1"/>
  <c r="CP3" i="9"/>
  <c r="GV18" i="4"/>
  <c r="GU18" i="4" s="1"/>
  <c r="ER32" i="4"/>
  <c r="CB7" i="4"/>
  <c r="HY4" i="4"/>
  <c r="GV15" i="4"/>
  <c r="GU15" i="4" s="1"/>
  <c r="FX5" i="4"/>
  <c r="FW5" i="4" s="1"/>
  <c r="HY6" i="4"/>
  <c r="HZ5" i="4"/>
  <c r="AC108" i="6" s="1"/>
  <c r="GZ4" i="4"/>
  <c r="AC91" i="6" s="1"/>
  <c r="GY4" i="4"/>
  <c r="GV14" i="4"/>
  <c r="GU14" i="4" s="1"/>
  <c r="GV11" i="4"/>
  <c r="GU11" i="4" s="1"/>
  <c r="GV8" i="4"/>
  <c r="GU8" i="4" s="1"/>
  <c r="GV7" i="4"/>
  <c r="GU7" i="4" s="1"/>
  <c r="HZ4" i="4"/>
  <c r="AC107" i="6" s="1"/>
  <c r="K18" i="9"/>
  <c r="EH18" i="8" s="1"/>
  <c r="GZ7" i="4"/>
  <c r="AC94" i="6" s="1"/>
  <c r="GV17" i="4"/>
  <c r="GU17" i="4" s="1"/>
  <c r="GV13" i="4"/>
  <c r="GU13" i="4" s="1"/>
  <c r="GV10" i="4"/>
  <c r="GU10" i="4" s="1"/>
  <c r="GV6" i="4"/>
  <c r="GU6" i="4" s="1"/>
  <c r="GY7" i="4"/>
  <c r="HZ7" i="4"/>
  <c r="AC110" i="6" s="1"/>
  <c r="EN32" i="4"/>
  <c r="HY5" i="4"/>
  <c r="GZ6" i="4"/>
  <c r="AC93" i="6" s="1"/>
  <c r="GY6" i="4"/>
  <c r="GV19" i="4"/>
  <c r="GU19" i="4" s="1"/>
  <c r="GV16" i="4"/>
  <c r="GU16" i="4" s="1"/>
  <c r="GV12" i="4"/>
  <c r="GU12" i="4" s="1"/>
  <c r="GV5" i="4"/>
  <c r="GU5" i="4" s="1"/>
  <c r="HZ6" i="4"/>
  <c r="AC109" i="6" s="1"/>
  <c r="CK12" i="4"/>
  <c r="AC75" i="6"/>
  <c r="YW32" i="4"/>
  <c r="YV29" i="4"/>
  <c r="YV26" i="4"/>
  <c r="MC128" i="4"/>
  <c r="MC78" i="4"/>
  <c r="MC127" i="4"/>
  <c r="MC126" i="4"/>
  <c r="MC129" i="4"/>
  <c r="YV38" i="4"/>
  <c r="YV35" i="4"/>
  <c r="YW56" i="4"/>
  <c r="MS77" i="4"/>
  <c r="MS76" i="4"/>
  <c r="MS62" i="4"/>
  <c r="MS81" i="4"/>
  <c r="MS116" i="4"/>
  <c r="MS118" i="4"/>
  <c r="MS123" i="4"/>
  <c r="MS74" i="4"/>
  <c r="MS103" i="4"/>
  <c r="MS107" i="4"/>
  <c r="MS105" i="4"/>
  <c r="MS117" i="4"/>
  <c r="MS84" i="4"/>
  <c r="MS122" i="4"/>
  <c r="MS108" i="4"/>
  <c r="MS101" i="4"/>
  <c r="MS125" i="4"/>
  <c r="MS109" i="4"/>
  <c r="MS110" i="4"/>
  <c r="MS124" i="4"/>
  <c r="MS120" i="4"/>
  <c r="MS112" i="4"/>
  <c r="MS85" i="4"/>
  <c r="MS104" i="4"/>
  <c r="MS113" i="4"/>
  <c r="MS106" i="4"/>
  <c r="MS119" i="4"/>
  <c r="MS102" i="4"/>
  <c r="MS121" i="4"/>
  <c r="MS73" i="4"/>
  <c r="MS115" i="4"/>
  <c r="MS75" i="4"/>
  <c r="MS114" i="4"/>
  <c r="MS111" i="4"/>
  <c r="YW4" i="4"/>
  <c r="YV41" i="4"/>
  <c r="MI113" i="4"/>
  <c r="MI104" i="4"/>
  <c r="MI69" i="4"/>
  <c r="MI127" i="4"/>
  <c r="MI92" i="4"/>
  <c r="MI112" i="4"/>
  <c r="MI82" i="4"/>
  <c r="MI119" i="4"/>
  <c r="MI95" i="4"/>
  <c r="MI105" i="4"/>
  <c r="MI100" i="4"/>
  <c r="MI93" i="4"/>
  <c r="MI73" i="4"/>
  <c r="MI120" i="4"/>
  <c r="MI87" i="4"/>
  <c r="MI91" i="4"/>
  <c r="MI85" i="4"/>
  <c r="MI64" i="4"/>
  <c r="MI106" i="4"/>
  <c r="MI65" i="4"/>
  <c r="MI84" i="4"/>
  <c r="MI114" i="4"/>
  <c r="MI99" i="4"/>
  <c r="MI71" i="4"/>
  <c r="MI125" i="4"/>
  <c r="MI124" i="4"/>
  <c r="MI115" i="4"/>
  <c r="MI61" i="4"/>
  <c r="MI103" i="4"/>
  <c r="MI63" i="4"/>
  <c r="MI116" i="4"/>
  <c r="MI66" i="4"/>
  <c r="MI117" i="4"/>
  <c r="MI122" i="4"/>
  <c r="MI97" i="4"/>
  <c r="MI102" i="4"/>
  <c r="MI121" i="4"/>
  <c r="MI118" i="4"/>
  <c r="MI94" i="4"/>
  <c r="MI68" i="4"/>
  <c r="MI123" i="4"/>
  <c r="MI108" i="4"/>
  <c r="MI72" i="4"/>
  <c r="MI70" i="4"/>
  <c r="MI86" i="4"/>
  <c r="MI60" i="4"/>
  <c r="MI81" i="4"/>
  <c r="MI110" i="4"/>
  <c r="MI67" i="4"/>
  <c r="MI89" i="4"/>
  <c r="MI129" i="4"/>
  <c r="MI74" i="4"/>
  <c r="MI101" i="4"/>
  <c r="MI107" i="4"/>
  <c r="MI83" i="4"/>
  <c r="MI88" i="4"/>
  <c r="MI98" i="4"/>
  <c r="MI109" i="4"/>
  <c r="MI80" i="4"/>
  <c r="MI126" i="4"/>
  <c r="MI111" i="4"/>
  <c r="MI78" i="4"/>
  <c r="MI90" i="4"/>
  <c r="MI96" i="4"/>
  <c r="MI128" i="4"/>
  <c r="UF311" i="4"/>
  <c r="UF155" i="4"/>
  <c r="UF130" i="4"/>
  <c r="UF50" i="4"/>
  <c r="UF356" i="4"/>
  <c r="UF52" i="4"/>
  <c r="UF351" i="4"/>
  <c r="UF205" i="4"/>
  <c r="UF300" i="4"/>
  <c r="UF342" i="4"/>
  <c r="UF100" i="4"/>
  <c r="UF264" i="4"/>
  <c r="UF304" i="4"/>
  <c r="UF283" i="4"/>
  <c r="UF48" i="4"/>
  <c r="UF84" i="4"/>
  <c r="UF223" i="4"/>
  <c r="UF85" i="4"/>
  <c r="UF297" i="4"/>
  <c r="UF142" i="4"/>
  <c r="UF250" i="4"/>
  <c r="UF147" i="4"/>
  <c r="UF260" i="4"/>
  <c r="UF43" i="4"/>
  <c r="UF263" i="4"/>
  <c r="UF316" i="4"/>
  <c r="UF35" i="4"/>
  <c r="UF235" i="4"/>
  <c r="UF213" i="4"/>
  <c r="UF261" i="4"/>
  <c r="UF37" i="4"/>
  <c r="UF115" i="4"/>
  <c r="UF320" i="4"/>
  <c r="UF54" i="4"/>
  <c r="UF360" i="4"/>
  <c r="UF141" i="4"/>
  <c r="UF189" i="4"/>
  <c r="UF6" i="4"/>
  <c r="UF123" i="4"/>
  <c r="UF111" i="4"/>
  <c r="UF160" i="4"/>
  <c r="UF131" i="4"/>
  <c r="UF101" i="4"/>
  <c r="UF129" i="4"/>
  <c r="UF361" i="4"/>
  <c r="UF154" i="4"/>
  <c r="UF204" i="4"/>
  <c r="UF302" i="4"/>
  <c r="UF242" i="4"/>
  <c r="UF171" i="4"/>
  <c r="UF153" i="4"/>
  <c r="UF63" i="4"/>
  <c r="UF258" i="4"/>
  <c r="UF126" i="4"/>
  <c r="UF139" i="4"/>
  <c r="UF328" i="4"/>
  <c r="UF39" i="4"/>
  <c r="UF119" i="4"/>
  <c r="UF219" i="4"/>
  <c r="UF196" i="4"/>
  <c r="UF296" i="4"/>
  <c r="UF16" i="4"/>
  <c r="UF228" i="4"/>
  <c r="UF343" i="4"/>
  <c r="UF322" i="4"/>
  <c r="UF334" i="4"/>
  <c r="UF56" i="4"/>
  <c r="UF28" i="4"/>
  <c r="UF326" i="4"/>
  <c r="UF276" i="4"/>
  <c r="UF318" i="4"/>
  <c r="UF11" i="4"/>
  <c r="UF41" i="4"/>
  <c r="UF354" i="4"/>
  <c r="UF93" i="4"/>
  <c r="UF97" i="4"/>
  <c r="UF110" i="4"/>
  <c r="UF231" i="4"/>
  <c r="UF190" i="4"/>
  <c r="UF185" i="4"/>
  <c r="UF90" i="4"/>
  <c r="UF91" i="4"/>
  <c r="UF109" i="4"/>
  <c r="UF99" i="4"/>
  <c r="UF255" i="4"/>
  <c r="UF47" i="4"/>
  <c r="UF199" i="4"/>
  <c r="UF61" i="4"/>
  <c r="UF194" i="4"/>
  <c r="UF291" i="4"/>
  <c r="UF207" i="4"/>
  <c r="UF89" i="4"/>
  <c r="UF3" i="4"/>
  <c r="UF305" i="4"/>
  <c r="UF102" i="4"/>
  <c r="UF46" i="4"/>
  <c r="UF176" i="4"/>
  <c r="UF355" i="4"/>
  <c r="UF321" i="4"/>
  <c r="UF329" i="4"/>
  <c r="UF88" i="4"/>
  <c r="UF64" i="4"/>
  <c r="UF306" i="4"/>
  <c r="UF233" i="4"/>
  <c r="UF197" i="4"/>
  <c r="UF348" i="4"/>
  <c r="UF227" i="4"/>
  <c r="UF80" i="4"/>
  <c r="UF104" i="4"/>
  <c r="UF269" i="4"/>
  <c r="UF138" i="4"/>
  <c r="UF257" i="4"/>
  <c r="UF125" i="4"/>
  <c r="UF288" i="4"/>
  <c r="UF40" i="4"/>
  <c r="UF212" i="4"/>
  <c r="UF229" i="4"/>
  <c r="UF198" i="4"/>
  <c r="UF184" i="4"/>
  <c r="UF336" i="4"/>
  <c r="UF49" i="4"/>
  <c r="UF216" i="4"/>
  <c r="UF118" i="4"/>
  <c r="UF165" i="4"/>
  <c r="UF148" i="4"/>
  <c r="UF55" i="4"/>
  <c r="UF335" i="4"/>
  <c r="UF292" i="4"/>
  <c r="YW39" i="4"/>
  <c r="LZ64" i="4"/>
  <c r="LZ61" i="4"/>
  <c r="LZ63" i="4"/>
  <c r="LZ67" i="4"/>
  <c r="LZ126" i="4"/>
  <c r="LZ66" i="4"/>
  <c r="LZ69" i="4"/>
  <c r="LZ71" i="4"/>
  <c r="LZ72" i="4"/>
  <c r="LZ127" i="4"/>
  <c r="LZ78" i="4"/>
  <c r="LZ128" i="4"/>
  <c r="LZ60" i="4"/>
  <c r="LZ68" i="4"/>
  <c r="LZ70" i="4"/>
  <c r="LZ65" i="4"/>
  <c r="LZ129" i="4"/>
  <c r="MG129" i="4"/>
  <c r="MG126" i="4"/>
  <c r="MG128" i="4"/>
  <c r="MG78" i="4"/>
  <c r="MG127" i="4"/>
  <c r="YV14" i="4"/>
  <c r="MK100" i="4"/>
  <c r="MK88" i="4"/>
  <c r="MK60" i="4"/>
  <c r="MK86" i="4"/>
  <c r="MK65" i="4"/>
  <c r="MK93" i="4"/>
  <c r="MK66" i="4"/>
  <c r="MK94" i="4"/>
  <c r="MK91" i="4"/>
  <c r="MK92" i="4"/>
  <c r="MK96" i="4"/>
  <c r="MK127" i="4"/>
  <c r="MK87" i="4"/>
  <c r="MK99" i="4"/>
  <c r="MK80" i="4"/>
  <c r="MK129" i="4"/>
  <c r="MK90" i="4"/>
  <c r="MK95" i="4"/>
  <c r="MK89" i="4"/>
  <c r="MK128" i="4"/>
  <c r="MK78" i="4"/>
  <c r="MK97" i="4"/>
  <c r="MK83" i="4"/>
  <c r="MK98" i="4"/>
  <c r="MK67" i="4"/>
  <c r="MK126" i="4"/>
  <c r="MK82" i="4"/>
  <c r="UD284" i="4"/>
  <c r="UD182" i="4"/>
  <c r="UD4" i="4"/>
  <c r="UD28" i="4"/>
  <c r="UD98" i="4"/>
  <c r="UD298" i="4"/>
  <c r="UD209" i="4"/>
  <c r="UD135" i="4"/>
  <c r="WD135" i="4" s="1"/>
  <c r="WE135" i="4" s="1"/>
  <c r="UD290" i="4"/>
  <c r="WD290" i="4" s="1"/>
  <c r="WE290" i="4" s="1"/>
  <c r="UD364" i="4"/>
  <c r="UD97" i="4"/>
  <c r="UD38" i="4"/>
  <c r="WD38" i="4" s="1"/>
  <c r="WE38" i="4" s="1"/>
  <c r="UD103" i="4"/>
  <c r="UD117" i="4"/>
  <c r="WD117" i="4" s="1"/>
  <c r="WE117" i="4" s="1"/>
  <c r="UD363" i="4"/>
  <c r="WD363" i="4" s="1"/>
  <c r="WE363" i="4" s="1"/>
  <c r="UD23" i="4"/>
  <c r="WD23" i="4" s="1"/>
  <c r="WE23" i="4" s="1"/>
  <c r="UD333" i="4"/>
  <c r="WD333" i="4" s="1"/>
  <c r="WE333" i="4" s="1"/>
  <c r="UD57" i="4"/>
  <c r="UD95" i="4"/>
  <c r="WD95" i="4" s="1"/>
  <c r="WE95" i="4" s="1"/>
  <c r="UD60" i="4"/>
  <c r="WD60" i="4" s="1"/>
  <c r="WE60" i="4" s="1"/>
  <c r="UD272" i="4"/>
  <c r="UD27" i="4"/>
  <c r="WD27" i="4" s="1"/>
  <c r="WE27" i="4" s="1"/>
  <c r="UD96" i="4"/>
  <c r="UD81" i="4"/>
  <c r="UD203" i="4"/>
  <c r="UD51" i="4"/>
  <c r="WD51" i="4" s="1"/>
  <c r="WE51" i="4" s="1"/>
  <c r="UD315" i="4"/>
  <c r="WD315" i="4" s="1"/>
  <c r="WE315" i="4" s="1"/>
  <c r="UD92" i="4"/>
  <c r="UD24" i="4"/>
  <c r="WD24" i="4" s="1"/>
  <c r="WE24" i="4" s="1"/>
  <c r="UD104" i="4"/>
  <c r="UD156" i="4"/>
  <c r="UD210" i="4"/>
  <c r="UD270" i="4"/>
  <c r="UD86" i="4"/>
  <c r="UD87" i="4"/>
  <c r="UD22" i="4"/>
  <c r="WD22" i="4" s="1"/>
  <c r="WE22" i="4" s="1"/>
  <c r="UD42" i="4"/>
  <c r="WD42" i="4" s="1"/>
  <c r="WE42" i="4" s="1"/>
  <c r="UD36" i="4"/>
  <c r="UD271" i="4"/>
  <c r="UD218" i="4"/>
  <c r="UD280" i="4"/>
  <c r="UD107" i="4"/>
  <c r="WD107" i="4" s="1"/>
  <c r="WE107" i="4" s="1"/>
  <c r="UD91" i="4"/>
  <c r="UD273" i="4"/>
  <c r="UD214" i="4"/>
  <c r="YW3" i="4"/>
  <c r="YW18" i="4"/>
  <c r="YW9" i="4"/>
  <c r="YV47" i="4"/>
  <c r="YW17" i="4"/>
  <c r="MB126" i="4"/>
  <c r="MB66" i="4"/>
  <c r="MB129" i="4"/>
  <c r="MB60" i="4"/>
  <c r="MB65" i="4"/>
  <c r="MB127" i="4"/>
  <c r="MB67" i="4"/>
  <c r="MB78" i="4"/>
  <c r="MB128" i="4"/>
  <c r="YV7" i="4"/>
  <c r="YV33" i="4"/>
  <c r="YW27" i="4"/>
  <c r="YV27" i="4"/>
  <c r="YW45" i="4"/>
  <c r="YW16" i="4"/>
  <c r="YV12" i="4"/>
  <c r="YW60" i="4"/>
  <c r="YW59" i="4"/>
  <c r="YW41" i="4"/>
  <c r="YV36" i="4"/>
  <c r="YV56" i="4"/>
  <c r="MD99" i="4"/>
  <c r="MD95" i="4"/>
  <c r="MD117" i="4"/>
  <c r="MD102" i="4"/>
  <c r="MD98" i="4"/>
  <c r="MD113" i="4"/>
  <c r="MD100" i="4"/>
  <c r="MD104" i="4"/>
  <c r="MD91" i="4"/>
  <c r="MD92" i="4"/>
  <c r="MD116" i="4"/>
  <c r="MD110" i="4"/>
  <c r="MD94" i="4"/>
  <c r="MD82" i="4"/>
  <c r="MD120" i="4"/>
  <c r="MD80" i="4"/>
  <c r="MD124" i="4"/>
  <c r="MD101" i="4"/>
  <c r="MD103" i="4"/>
  <c r="MD90" i="4"/>
  <c r="MD84" i="4"/>
  <c r="MD123" i="4"/>
  <c r="MD125" i="4"/>
  <c r="MD126" i="4"/>
  <c r="MD129" i="4"/>
  <c r="MD128" i="4"/>
  <c r="MD111" i="4"/>
  <c r="MD119" i="4"/>
  <c r="MD96" i="4"/>
  <c r="MD114" i="4"/>
  <c r="MD63" i="4"/>
  <c r="MD89" i="4"/>
  <c r="MD78" i="4"/>
  <c r="MD115" i="4"/>
  <c r="MD122" i="4"/>
  <c r="MD86" i="4"/>
  <c r="MD64" i="4"/>
  <c r="MD93" i="4"/>
  <c r="MD107" i="4"/>
  <c r="MD85" i="4"/>
  <c r="MD88" i="4"/>
  <c r="MD118" i="4"/>
  <c r="MD108" i="4"/>
  <c r="MD97" i="4"/>
  <c r="MD112" i="4"/>
  <c r="MD105" i="4"/>
  <c r="MD109" i="4"/>
  <c r="MD106" i="4"/>
  <c r="MD87" i="4"/>
  <c r="MD121" i="4"/>
  <c r="MD81" i="4"/>
  <c r="MD127" i="4"/>
  <c r="MD83" i="4"/>
  <c r="YW50" i="4"/>
  <c r="YW23" i="4"/>
  <c r="YV16" i="4"/>
  <c r="UI344" i="4"/>
  <c r="UI299" i="4"/>
  <c r="WD299" i="4" s="1"/>
  <c r="WE299" i="4" s="1"/>
  <c r="UI133" i="4"/>
  <c r="UI158" i="4"/>
  <c r="WD158" i="4" s="1"/>
  <c r="WE158" i="4" s="1"/>
  <c r="UI90" i="4"/>
  <c r="UI128" i="4"/>
  <c r="UI59" i="4"/>
  <c r="WD59" i="4" s="1"/>
  <c r="WE59" i="4" s="1"/>
  <c r="UI232" i="4"/>
  <c r="UI29" i="4"/>
  <c r="UI162" i="4"/>
  <c r="UI281" i="4"/>
  <c r="UI178" i="4"/>
  <c r="UI272" i="4"/>
  <c r="UI136" i="4"/>
  <c r="UI14" i="4"/>
  <c r="UI37" i="4"/>
  <c r="UI98" i="4"/>
  <c r="UI91" i="4"/>
  <c r="UI322" i="4"/>
  <c r="UI318" i="4"/>
  <c r="UI305" i="4"/>
  <c r="UI332" i="4"/>
  <c r="WD332" i="4" s="1"/>
  <c r="WE332" i="4" s="1"/>
  <c r="UI208" i="4"/>
  <c r="UI266" i="4"/>
  <c r="WD266" i="4" s="1"/>
  <c r="WE266" i="4" s="1"/>
  <c r="UI137" i="4"/>
  <c r="UI64" i="4"/>
  <c r="UI312" i="4"/>
  <c r="UI257" i="4"/>
  <c r="UI114" i="4"/>
  <c r="WD114" i="4" s="1"/>
  <c r="WE114" i="4" s="1"/>
  <c r="UI181" i="4"/>
  <c r="UI118" i="4"/>
  <c r="UI351" i="4"/>
  <c r="UI121" i="4"/>
  <c r="WD121" i="4" s="1"/>
  <c r="WE121" i="4" s="1"/>
  <c r="UI220" i="4"/>
  <c r="UI227" i="4"/>
  <c r="UI145" i="4"/>
  <c r="UI97" i="4"/>
  <c r="UI237" i="4"/>
  <c r="WD237" i="4" s="1"/>
  <c r="WE237" i="4" s="1"/>
  <c r="UI47" i="4"/>
  <c r="UI31" i="4"/>
  <c r="WD31" i="4" s="1"/>
  <c r="WE31" i="4" s="1"/>
  <c r="UI44" i="4"/>
  <c r="WD44" i="4" s="1"/>
  <c r="WE44" i="4" s="1"/>
  <c r="UI87" i="4"/>
  <c r="UI283" i="4"/>
  <c r="UI258" i="4"/>
  <c r="UI279" i="4"/>
  <c r="WD279" i="4" s="1"/>
  <c r="WE279" i="4" s="1"/>
  <c r="UI132" i="4"/>
  <c r="UI82" i="4"/>
  <c r="UI141" i="4"/>
  <c r="UI196" i="4"/>
  <c r="UI317" i="4"/>
  <c r="UI177" i="4"/>
  <c r="UI198" i="4"/>
  <c r="UI8" i="4"/>
  <c r="UI341" i="4"/>
  <c r="UI151" i="4"/>
  <c r="UI104" i="4"/>
  <c r="UI289" i="4"/>
  <c r="UI115" i="4"/>
  <c r="UI254" i="4"/>
  <c r="UI174" i="4"/>
  <c r="UI74" i="4"/>
  <c r="UI25" i="4"/>
  <c r="UI171" i="4"/>
  <c r="UI255" i="4"/>
  <c r="UI156" i="4"/>
  <c r="UI308" i="4"/>
  <c r="UI295" i="4"/>
  <c r="UI358" i="4"/>
  <c r="WD358" i="4" s="1"/>
  <c r="WE358" i="4" s="1"/>
  <c r="UI166" i="4"/>
  <c r="UI248" i="4"/>
  <c r="UI163" i="4"/>
  <c r="UI152" i="4"/>
  <c r="UI321" i="4"/>
  <c r="UI310" i="4"/>
  <c r="UI169" i="4"/>
  <c r="UI65" i="4"/>
  <c r="UI355" i="4"/>
  <c r="UI72" i="4"/>
  <c r="WD72" i="4" s="1"/>
  <c r="WE72" i="4" s="1"/>
  <c r="UI203" i="4"/>
  <c r="UI143" i="4"/>
  <c r="WD143" i="4" s="1"/>
  <c r="WE143" i="4" s="1"/>
  <c r="UI359" i="4"/>
  <c r="WD359" i="4" s="1"/>
  <c r="WE359" i="4" s="1"/>
  <c r="UI78" i="4"/>
  <c r="UI269" i="4"/>
  <c r="UI319" i="4"/>
  <c r="WD319" i="4" s="1"/>
  <c r="WE319" i="4" s="1"/>
  <c r="UI148" i="4"/>
  <c r="UI69" i="4"/>
  <c r="UI68" i="4"/>
  <c r="UI354" i="4"/>
  <c r="UI109" i="4"/>
  <c r="UI70" i="4"/>
  <c r="UI352" i="4"/>
  <c r="WD352" i="4" s="1"/>
  <c r="WE352" i="4" s="1"/>
  <c r="UI185" i="4"/>
  <c r="UI242" i="4"/>
  <c r="UI190" i="4"/>
  <c r="UI179" i="4"/>
  <c r="UI77" i="4"/>
  <c r="UI256" i="4"/>
  <c r="UI211" i="4"/>
  <c r="UI271" i="4"/>
  <c r="UI337" i="4"/>
  <c r="WD337" i="4" s="1"/>
  <c r="WE337" i="4" s="1"/>
  <c r="UI348" i="4"/>
  <c r="UI278" i="4"/>
  <c r="UI7" i="4"/>
  <c r="UI9" i="4"/>
  <c r="WD9" i="4" s="1"/>
  <c r="WE9" i="4" s="1"/>
  <c r="UI334" i="4"/>
  <c r="UI225" i="4"/>
  <c r="UI339" i="4"/>
  <c r="WD339" i="4" s="1"/>
  <c r="WE339" i="4" s="1"/>
  <c r="UI12" i="4"/>
  <c r="WD12" i="4" s="1"/>
  <c r="WE12" i="4" s="1"/>
  <c r="YV5" i="4"/>
  <c r="YV44" i="4"/>
  <c r="YW31" i="4"/>
  <c r="YW20" i="4"/>
  <c r="YV13" i="4"/>
  <c r="YW24" i="4"/>
  <c r="YV59" i="4"/>
  <c r="YV63" i="4"/>
  <c r="YW28" i="4"/>
  <c r="YV54" i="4"/>
  <c r="UB226" i="4"/>
  <c r="UB241" i="4"/>
  <c r="UB257" i="4"/>
  <c r="UB288" i="4"/>
  <c r="UB264" i="4"/>
  <c r="UB49" i="4"/>
  <c r="UB361" i="4"/>
  <c r="UB350" i="4"/>
  <c r="UB216" i="4"/>
  <c r="UB139" i="4"/>
  <c r="UB207" i="4"/>
  <c r="UB322" i="4"/>
  <c r="UB276" i="4"/>
  <c r="UB180" i="4"/>
  <c r="UB348" i="4"/>
  <c r="UB43" i="4"/>
  <c r="UB321" i="4"/>
  <c r="UB245" i="4"/>
  <c r="UB334" i="4"/>
  <c r="UB300" i="4"/>
  <c r="UB140" i="4"/>
  <c r="UB296" i="4"/>
  <c r="YV10" i="4"/>
  <c r="YV39" i="4"/>
  <c r="UL148" i="4"/>
  <c r="UL153" i="4"/>
  <c r="UL202" i="4"/>
  <c r="UL111" i="4"/>
  <c r="UL75" i="4"/>
  <c r="WD75" i="4" s="1"/>
  <c r="WE75" i="4" s="1"/>
  <c r="UL268" i="4"/>
  <c r="UL156" i="4"/>
  <c r="UL13" i="4"/>
  <c r="UL303" i="4"/>
  <c r="WD303" i="4" s="1"/>
  <c r="WE303" i="4" s="1"/>
  <c r="UL224" i="4"/>
  <c r="WD224" i="4" s="1"/>
  <c r="WE224" i="4" s="1"/>
  <c r="UL11" i="4"/>
  <c r="UL327" i="4"/>
  <c r="WD327" i="4" s="1"/>
  <c r="WE327" i="4" s="1"/>
  <c r="UL90" i="4"/>
  <c r="UL150" i="4"/>
  <c r="UL53" i="4"/>
  <c r="WD53" i="4" s="1"/>
  <c r="WE53" i="4" s="1"/>
  <c r="UL47" i="4"/>
  <c r="UL78" i="4"/>
  <c r="UL241" i="4"/>
  <c r="UL133" i="4"/>
  <c r="UL100" i="4"/>
  <c r="UL297" i="4"/>
  <c r="UL185" i="4"/>
  <c r="UL201" i="4"/>
  <c r="WD201" i="4" s="1"/>
  <c r="WE201" i="4" s="1"/>
  <c r="UL123" i="4"/>
  <c r="UL277" i="4"/>
  <c r="WD277" i="4" s="1"/>
  <c r="WE277" i="4" s="1"/>
  <c r="UL232" i="4"/>
  <c r="UL80" i="4"/>
  <c r="UL275" i="4"/>
  <c r="UL130" i="4"/>
  <c r="UL76" i="4"/>
  <c r="WD76" i="4" s="1"/>
  <c r="WE76" i="4" s="1"/>
  <c r="UL17" i="4"/>
  <c r="WD17" i="4" s="1"/>
  <c r="WE17" i="4" s="1"/>
  <c r="UL349" i="4"/>
  <c r="WD349" i="4" s="1"/>
  <c r="WE349" i="4" s="1"/>
  <c r="UL88" i="4"/>
  <c r="UL168" i="4"/>
  <c r="UL3" i="4"/>
  <c r="UL46" i="4"/>
  <c r="UL199" i="4"/>
  <c r="UL139" i="4"/>
  <c r="UL155" i="4"/>
  <c r="UL184" i="4"/>
  <c r="UL294" i="4"/>
  <c r="WD294" i="4" s="1"/>
  <c r="WE294" i="4" s="1"/>
  <c r="UL215" i="4"/>
  <c r="WD215" i="4" s="1"/>
  <c r="WE215" i="4" s="1"/>
  <c r="UL354" i="4"/>
  <c r="UL218" i="4"/>
  <c r="UL73" i="4"/>
  <c r="UL280" i="4"/>
  <c r="UL265" i="4"/>
  <c r="WD265" i="4" s="1"/>
  <c r="WE265" i="4" s="1"/>
  <c r="UL20" i="4"/>
  <c r="UL316" i="4"/>
  <c r="UL325" i="4"/>
  <c r="UL102" i="4"/>
  <c r="VV1" i="4"/>
  <c r="UL240" i="4"/>
  <c r="UL234" i="4"/>
  <c r="UL200" i="4"/>
  <c r="UL311" i="4"/>
  <c r="UL348" i="4"/>
  <c r="UL360" i="4"/>
  <c r="UL343" i="4"/>
  <c r="UL164" i="4"/>
  <c r="WD164" i="4" s="1"/>
  <c r="WE164" i="4" s="1"/>
  <c r="UL211" i="4"/>
  <c r="UL231" i="4"/>
  <c r="UL131" i="4"/>
  <c r="UL94" i="4"/>
  <c r="UL306" i="4"/>
  <c r="UL132" i="4"/>
  <c r="UL49" i="4"/>
  <c r="UL207" i="4"/>
  <c r="UL257" i="4"/>
  <c r="UL35" i="4"/>
  <c r="UL104" i="4"/>
  <c r="UL255" i="4"/>
  <c r="UL176" i="4"/>
  <c r="UL63" i="4"/>
  <c r="UL340" i="4"/>
  <c r="UL194" i="4"/>
  <c r="UL228" i="4"/>
  <c r="UL33" i="4"/>
  <c r="WD33" i="4" s="1"/>
  <c r="WE33" i="4" s="1"/>
  <c r="UL56" i="4"/>
  <c r="UL357" i="4"/>
  <c r="WD357" i="4" s="1"/>
  <c r="WE357" i="4" s="1"/>
  <c r="UL134" i="4"/>
  <c r="WD134" i="4" s="1"/>
  <c r="WE134" i="4" s="1"/>
  <c r="UL302" i="4"/>
  <c r="UL345" i="4"/>
  <c r="UL145" i="4"/>
  <c r="UL99" i="4"/>
  <c r="UL216" i="4"/>
  <c r="UL161" i="4"/>
  <c r="UL295" i="4"/>
  <c r="UL41" i="4"/>
  <c r="UL246" i="4"/>
  <c r="WD246" i="4" s="1"/>
  <c r="WE246" i="4" s="1"/>
  <c r="UL198" i="4"/>
  <c r="UL205" i="4"/>
  <c r="UL233" i="4"/>
  <c r="UL129" i="4"/>
  <c r="UL322" i="4"/>
  <c r="UL217" i="4"/>
  <c r="UL219" i="4"/>
  <c r="UL6" i="4"/>
  <c r="UL249" i="4"/>
  <c r="WD249" i="4" s="1"/>
  <c r="WE249" i="4" s="1"/>
  <c r="UL226" i="4"/>
  <c r="WD226" i="4" s="1"/>
  <c r="WE226" i="4" s="1"/>
  <c r="UL260" i="4"/>
  <c r="UL317" i="4"/>
  <c r="UL157" i="4"/>
  <c r="UL112" i="4"/>
  <c r="WD112" i="4" s="1"/>
  <c r="WE112" i="4" s="1"/>
  <c r="UL254" i="4"/>
  <c r="UL190" i="4"/>
  <c r="UL15" i="4"/>
  <c r="WD15" i="4" s="1"/>
  <c r="WE15" i="4" s="1"/>
  <c r="UL292" i="4"/>
  <c r="UL350" i="4"/>
  <c r="WD350" i="4" s="1"/>
  <c r="WE350" i="4" s="1"/>
  <c r="UL274" i="4"/>
  <c r="WD274" i="4" s="1"/>
  <c r="WE274" i="4" s="1"/>
  <c r="UL138" i="4"/>
  <c r="UL97" i="4"/>
  <c r="UL32" i="4"/>
  <c r="UL101" i="4"/>
  <c r="UL223" i="4"/>
  <c r="UL351" i="4"/>
  <c r="UL283" i="4"/>
  <c r="UL204" i="4"/>
  <c r="UL64" i="4"/>
  <c r="UL342" i="4"/>
  <c r="UL54" i="4"/>
  <c r="UL243" i="4"/>
  <c r="UL269" i="4"/>
  <c r="UL43" i="4"/>
  <c r="UL28" i="4"/>
  <c r="UL230" i="4"/>
  <c r="UL334" i="4"/>
  <c r="UL140" i="4"/>
  <c r="WD140" i="4" s="1"/>
  <c r="WE140" i="4" s="1"/>
  <c r="UL250" i="4"/>
  <c r="UL346" i="4"/>
  <c r="UL305" i="4"/>
  <c r="UL151" i="4"/>
  <c r="UL242" i="4"/>
  <c r="UL191" i="4"/>
  <c r="UL77" i="4"/>
  <c r="UL227" i="4"/>
  <c r="UL288" i="4"/>
  <c r="UL16" i="4"/>
  <c r="UL318" i="4"/>
  <c r="UL236" i="4"/>
  <c r="UL321" i="4"/>
  <c r="UL146" i="4"/>
  <c r="UL276" i="4"/>
  <c r="UL154" i="4"/>
  <c r="UL289" i="4"/>
  <c r="UL55" i="4"/>
  <c r="UL336" i="4"/>
  <c r="UL214" i="4"/>
  <c r="UL50" i="4"/>
  <c r="UL320" i="4"/>
  <c r="UL335" i="4"/>
  <c r="UL110" i="4"/>
  <c r="UL37" i="4"/>
  <c r="UL83" i="4"/>
  <c r="UL267" i="4"/>
  <c r="UL356" i="4"/>
  <c r="UL285" i="4"/>
  <c r="WD285" i="4" s="1"/>
  <c r="WE285" i="4" s="1"/>
  <c r="UL330" i="4"/>
  <c r="WD330" i="4" s="1"/>
  <c r="WE330" i="4" s="1"/>
  <c r="UL296" i="4"/>
  <c r="UL245" i="4"/>
  <c r="WD245" i="4" s="1"/>
  <c r="WE245" i="4" s="1"/>
  <c r="UL291" i="4"/>
  <c r="UL304" i="4"/>
  <c r="UL119" i="4"/>
  <c r="UL247" i="4"/>
  <c r="UL192" i="4"/>
  <c r="UL329" i="4"/>
  <c r="UL127" i="4"/>
  <c r="WD127" i="4" s="1"/>
  <c r="WE127" i="4" s="1"/>
  <c r="UL89" i="4"/>
  <c r="UL210" i="4"/>
  <c r="UL10" i="4"/>
  <c r="UL264" i="4"/>
  <c r="UL252" i="4"/>
  <c r="WD252" i="4" s="1"/>
  <c r="WE252" i="4" s="1"/>
  <c r="UL52" i="4"/>
  <c r="UL160" i="4"/>
  <c r="UL197" i="4"/>
  <c r="UL235" i="4"/>
  <c r="UL261" i="4"/>
  <c r="UL93" i="4"/>
  <c r="UL326" i="4"/>
  <c r="UL48" i="4"/>
  <c r="UL258" i="4"/>
  <c r="UL40" i="4"/>
  <c r="UL251" i="4"/>
  <c r="WD251" i="4" s="1"/>
  <c r="WE251" i="4" s="1"/>
  <c r="UL229" i="4"/>
  <c r="UL14" i="4"/>
  <c r="UL142" i="4"/>
  <c r="UL328" i="4"/>
  <c r="UL68" i="4"/>
  <c r="UL39" i="4"/>
  <c r="UL61" i="4"/>
  <c r="UL209" i="4"/>
  <c r="UL244" i="4"/>
  <c r="WD244" i="4" s="1"/>
  <c r="WE244" i="4" s="1"/>
  <c r="UL263" i="4"/>
  <c r="UL84" i="4"/>
  <c r="UL85" i="4"/>
  <c r="UL113" i="4"/>
  <c r="UL324" i="4"/>
  <c r="UL126" i="4"/>
  <c r="UL239" i="4"/>
  <c r="UL171" i="4"/>
  <c r="UL361" i="4"/>
  <c r="UL238" i="4"/>
  <c r="WD238" i="4" s="1"/>
  <c r="WE238" i="4" s="1"/>
  <c r="UL293" i="4"/>
  <c r="UL174" i="4"/>
  <c r="UL5" i="4"/>
  <c r="UL189" i="4"/>
  <c r="UL125" i="4"/>
  <c r="UL270" i="4"/>
  <c r="UL300" i="4"/>
  <c r="UL147" i="4"/>
  <c r="UL70" i="4"/>
  <c r="UL165" i="4"/>
  <c r="UL124" i="4"/>
  <c r="WD124" i="4" s="1"/>
  <c r="WE124" i="4" s="1"/>
  <c r="UL213" i="4"/>
  <c r="UL212" i="4"/>
  <c r="UL193" i="4"/>
  <c r="YV60" i="4"/>
  <c r="YW64" i="4"/>
  <c r="ME66" i="4"/>
  <c r="ME129" i="4"/>
  <c r="ME128" i="4"/>
  <c r="ME78" i="4"/>
  <c r="ME60" i="4"/>
  <c r="ME65" i="4"/>
  <c r="ME127" i="4"/>
  <c r="ME67" i="4"/>
  <c r="ME126" i="4"/>
  <c r="NK116" i="4"/>
  <c r="NK61" i="4"/>
  <c r="NK109" i="4"/>
  <c r="NK102" i="4"/>
  <c r="NK101" i="4"/>
  <c r="NK70" i="4"/>
  <c r="NK64" i="4"/>
  <c r="NK117" i="4"/>
  <c r="NK104" i="4"/>
  <c r="NK85" i="4"/>
  <c r="NK65" i="4"/>
  <c r="NK63" i="4"/>
  <c r="NK72" i="4"/>
  <c r="NK121" i="4"/>
  <c r="NK113" i="4"/>
  <c r="NK106" i="4"/>
  <c r="NK103" i="4"/>
  <c r="NK71" i="4"/>
  <c r="NK125" i="4"/>
  <c r="NK115" i="4"/>
  <c r="NK119" i="4"/>
  <c r="NK66" i="4"/>
  <c r="NK112" i="4"/>
  <c r="NK110" i="4"/>
  <c r="NK67" i="4"/>
  <c r="NK123" i="4"/>
  <c r="NK124" i="4"/>
  <c r="NK107" i="4"/>
  <c r="NK114" i="4"/>
  <c r="NK120" i="4"/>
  <c r="NK68" i="4"/>
  <c r="NK105" i="4"/>
  <c r="NK122" i="4"/>
  <c r="NK118" i="4"/>
  <c r="NK111" i="4"/>
  <c r="NK81" i="4"/>
  <c r="NK108" i="4"/>
  <c r="NK84" i="4"/>
  <c r="NK69" i="4"/>
  <c r="YW34" i="4"/>
  <c r="YW46" i="4"/>
  <c r="UE355" i="4"/>
  <c r="UE152" i="4"/>
  <c r="UE79" i="4"/>
  <c r="WD79" i="4" s="1"/>
  <c r="WE79" i="4" s="1"/>
  <c r="UE301" i="4"/>
  <c r="UE308" i="4"/>
  <c r="UE7" i="4"/>
  <c r="UE256" i="4"/>
  <c r="UE163" i="4"/>
  <c r="UE188" i="4"/>
  <c r="WD188" i="4" s="1"/>
  <c r="WE188" i="4" s="1"/>
  <c r="UE87" i="4"/>
  <c r="UE248" i="4"/>
  <c r="UE5" i="4"/>
  <c r="UE148" i="4"/>
  <c r="UE66" i="4"/>
  <c r="WD66" i="4" s="1"/>
  <c r="WE66" i="4" s="1"/>
  <c r="UE97" i="4"/>
  <c r="UE203" i="4"/>
  <c r="UE8" i="4"/>
  <c r="UE172" i="4"/>
  <c r="WD172" i="4" s="1"/>
  <c r="WE172" i="4" s="1"/>
  <c r="UE91" i="4"/>
  <c r="UE90" i="4"/>
  <c r="UE98" i="4"/>
  <c r="UE271" i="4"/>
  <c r="UE162" i="4"/>
  <c r="UE323" i="4"/>
  <c r="WD323" i="4" s="1"/>
  <c r="WE323" i="4" s="1"/>
  <c r="UE312" i="4"/>
  <c r="UE65" i="4"/>
  <c r="UE354" i="4"/>
  <c r="UE29" i="4"/>
  <c r="UE269" i="4"/>
  <c r="UE58" i="4"/>
  <c r="UE211" i="4"/>
  <c r="UE71" i="4"/>
  <c r="WD71" i="4" s="1"/>
  <c r="WE71" i="4" s="1"/>
  <c r="UE208" i="4"/>
  <c r="YV42" i="4"/>
  <c r="YW22" i="4"/>
  <c r="YW63" i="4"/>
  <c r="YV58" i="4"/>
  <c r="YV46" i="4"/>
  <c r="YW42" i="4"/>
  <c r="YV24" i="4"/>
  <c r="YW55" i="4"/>
  <c r="YV3" i="4"/>
  <c r="YW6" i="4"/>
  <c r="YW14" i="4"/>
  <c r="MJ127" i="4"/>
  <c r="MJ129" i="4"/>
  <c r="MJ128" i="4"/>
  <c r="MJ126" i="4"/>
  <c r="MJ78" i="4"/>
  <c r="YW65" i="4"/>
  <c r="YV45" i="4"/>
  <c r="YV34" i="4"/>
  <c r="YW13" i="4"/>
  <c r="YV49" i="4"/>
  <c r="YW53" i="4"/>
  <c r="YW40" i="4"/>
  <c r="YV55" i="4"/>
  <c r="YV32" i="4"/>
  <c r="YW57" i="4"/>
  <c r="YV37" i="4"/>
  <c r="YV52" i="4"/>
  <c r="YV6" i="4"/>
  <c r="YV15" i="4"/>
  <c r="YV4" i="4"/>
  <c r="YW37" i="4"/>
  <c r="YW25" i="4"/>
  <c r="YW26" i="4"/>
  <c r="MH113" i="4"/>
  <c r="MH129" i="4"/>
  <c r="MH72" i="4"/>
  <c r="MH118" i="4"/>
  <c r="MH110" i="4"/>
  <c r="MH61" i="4"/>
  <c r="MH80" i="4"/>
  <c r="MH101" i="4"/>
  <c r="MH63" i="4"/>
  <c r="MH86" i="4"/>
  <c r="MH99" i="4"/>
  <c r="MH119" i="4"/>
  <c r="MH88" i="4"/>
  <c r="MH66" i="4"/>
  <c r="MH104" i="4"/>
  <c r="MH108" i="4"/>
  <c r="MH116" i="4"/>
  <c r="MH84" i="4"/>
  <c r="MH109" i="4"/>
  <c r="MH127" i="4"/>
  <c r="MH124" i="4"/>
  <c r="MH96" i="4"/>
  <c r="MH70" i="4"/>
  <c r="MH81" i="4"/>
  <c r="MH85" i="4"/>
  <c r="MH122" i="4"/>
  <c r="MH94" i="4"/>
  <c r="MH105" i="4"/>
  <c r="MH89" i="4"/>
  <c r="MH125" i="4"/>
  <c r="MH121" i="4"/>
  <c r="MH60" i="4"/>
  <c r="MH82" i="4"/>
  <c r="MH97" i="4"/>
  <c r="MH103" i="4"/>
  <c r="MH98" i="4"/>
  <c r="MH91" i="4"/>
  <c r="MH90" i="4"/>
  <c r="MH87" i="4"/>
  <c r="MH107" i="4"/>
  <c r="MH71" i="4"/>
  <c r="MH102" i="4"/>
  <c r="MH106" i="4"/>
  <c r="MH95" i="4"/>
  <c r="MH69" i="4"/>
  <c r="MH115" i="4"/>
  <c r="MH120" i="4"/>
  <c r="MH64" i="4"/>
  <c r="MH126" i="4"/>
  <c r="MH92" i="4"/>
  <c r="MH117" i="4"/>
  <c r="MH68" i="4"/>
  <c r="MH123" i="4"/>
  <c r="MH78" i="4"/>
  <c r="MH112" i="4"/>
  <c r="MH100" i="4"/>
  <c r="MH93" i="4"/>
  <c r="MH114" i="4"/>
  <c r="MH67" i="4"/>
  <c r="MH111" i="4"/>
  <c r="MH65" i="4"/>
  <c r="MH83" i="4"/>
  <c r="MH128" i="4"/>
  <c r="UH313" i="4"/>
  <c r="WD313" i="4" s="1"/>
  <c r="WE313" i="4" s="1"/>
  <c r="UH205" i="4"/>
  <c r="UH118" i="4"/>
  <c r="UH170" i="4"/>
  <c r="WD170" i="4" s="1"/>
  <c r="WE170" i="4" s="1"/>
  <c r="UH83" i="4"/>
  <c r="UH28" i="4"/>
  <c r="UH144" i="4"/>
  <c r="WD144" i="4" s="1"/>
  <c r="WE144" i="4" s="1"/>
  <c r="UH81" i="4"/>
  <c r="UH355" i="4"/>
  <c r="UH32" i="4"/>
  <c r="UH26" i="4"/>
  <c r="UH52" i="4"/>
  <c r="UH284" i="4"/>
  <c r="UH273" i="4"/>
  <c r="UH67" i="4"/>
  <c r="WD67" i="4" s="1"/>
  <c r="WE67" i="4" s="1"/>
  <c r="UH34" i="4"/>
  <c r="WD34" i="4" s="1"/>
  <c r="WE34" i="4" s="1"/>
  <c r="UH307" i="4"/>
  <c r="UH82" i="4"/>
  <c r="UH141" i="4"/>
  <c r="UH364" i="4"/>
  <c r="UH309" i="4"/>
  <c r="UH280" i="4"/>
  <c r="UH221" i="4"/>
  <c r="WD221" i="4" s="1"/>
  <c r="WE221" i="4" s="1"/>
  <c r="UH166" i="4"/>
  <c r="UH331" i="4"/>
  <c r="UH210" i="4"/>
  <c r="UH13" i="4"/>
  <c r="UH77" i="4"/>
  <c r="UH209" i="4"/>
  <c r="UH298" i="4"/>
  <c r="UH30" i="4"/>
  <c r="UH222" i="4"/>
  <c r="WD222" i="4" s="1"/>
  <c r="WE222" i="4" s="1"/>
  <c r="UH20" i="4"/>
  <c r="UH78" i="4"/>
  <c r="UH225" i="4"/>
  <c r="UH270" i="4"/>
  <c r="UH178" i="4"/>
  <c r="UH103" i="4"/>
  <c r="UH278" i="4"/>
  <c r="UH98" i="4"/>
  <c r="UH344" i="4"/>
  <c r="UH97" i="4"/>
  <c r="UH286" i="4"/>
  <c r="UH92" i="4"/>
  <c r="UH161" i="4"/>
  <c r="UH157" i="4"/>
  <c r="UH324" i="4"/>
  <c r="UH200" i="4"/>
  <c r="UH39" i="4"/>
  <c r="UH195" i="4"/>
  <c r="WD195" i="4" s="1"/>
  <c r="WE195" i="4" s="1"/>
  <c r="UH123" i="4"/>
  <c r="UH155" i="4"/>
  <c r="UH271" i="4"/>
  <c r="UH342" i="4"/>
  <c r="UH133" i="4"/>
  <c r="UH57" i="4"/>
  <c r="UH136" i="4"/>
  <c r="UH301" i="4"/>
  <c r="UH149" i="4"/>
  <c r="WD149" i="4" s="1"/>
  <c r="WE149" i="4" s="1"/>
  <c r="UH186" i="4"/>
  <c r="WD186" i="4" s="1"/>
  <c r="WE186" i="4" s="1"/>
  <c r="UH203" i="4"/>
  <c r="UH353" i="4"/>
  <c r="WD353" i="4" s="1"/>
  <c r="WE353" i="4" s="1"/>
  <c r="UH253" i="4"/>
  <c r="WD253" i="4" s="1"/>
  <c r="WE253" i="4" s="1"/>
  <c r="UH87" i="4"/>
  <c r="UH287" i="4"/>
  <c r="WD287" i="4" s="1"/>
  <c r="WE287" i="4" s="1"/>
  <c r="UH10" i="4"/>
  <c r="UH167" i="4"/>
  <c r="WD167" i="4" s="1"/>
  <c r="WE167" i="4" s="1"/>
  <c r="UH177" i="4"/>
  <c r="UH91" i="4"/>
  <c r="UH196" i="4"/>
  <c r="UH106" i="4"/>
  <c r="WD106" i="4" s="1"/>
  <c r="WE106" i="4" s="1"/>
  <c r="UH314" i="4"/>
  <c r="WD314" i="4" s="1"/>
  <c r="WE314" i="4" s="1"/>
  <c r="UH137" i="4"/>
  <c r="UH262" i="4"/>
  <c r="WD262" i="4" s="1"/>
  <c r="WE262" i="4" s="1"/>
  <c r="UH282" i="4"/>
  <c r="UH185" i="4"/>
  <c r="UH289" i="4"/>
  <c r="UH74" i="4"/>
  <c r="UH336" i="4"/>
  <c r="UH255" i="4"/>
  <c r="UH341" i="4"/>
  <c r="UH269" i="4"/>
  <c r="UH175" i="4"/>
  <c r="WD175" i="4" s="1"/>
  <c r="WE175" i="4" s="1"/>
  <c r="UH36" i="4"/>
  <c r="UH45" i="4"/>
  <c r="UH152" i="4"/>
  <c r="UH169" i="4"/>
  <c r="UH4" i="4"/>
  <c r="UH96" i="4"/>
  <c r="UH220" i="4"/>
  <c r="UH156" i="4"/>
  <c r="UH104" i="4"/>
  <c r="UH214" i="4"/>
  <c r="UH317" i="4"/>
  <c r="UH58" i="4"/>
  <c r="UH293" i="4"/>
  <c r="UH108" i="4"/>
  <c r="WD108" i="4" s="1"/>
  <c r="WE108" i="4" s="1"/>
  <c r="UH272" i="4"/>
  <c r="UH281" i="4"/>
  <c r="UH181" i="4"/>
  <c r="UH254" i="4"/>
  <c r="UH21" i="4"/>
  <c r="WD21" i="4" s="1"/>
  <c r="WE21" i="4" s="1"/>
  <c r="UH115" i="4"/>
  <c r="UH173" i="4"/>
  <c r="WD173" i="4" s="1"/>
  <c r="WE173" i="4" s="1"/>
  <c r="UH362" i="4"/>
  <c r="WD362" i="4" s="1"/>
  <c r="WE362" i="4" s="1"/>
  <c r="YW51" i="4"/>
  <c r="YV48" i="4"/>
  <c r="MN73" i="4"/>
  <c r="MN77" i="4"/>
  <c r="MN75" i="4"/>
  <c r="MN76" i="4"/>
  <c r="MN74" i="4"/>
  <c r="MN62" i="4"/>
  <c r="YV64" i="4"/>
  <c r="YV50" i="4"/>
  <c r="MA101" i="4"/>
  <c r="MA93" i="4"/>
  <c r="MA109" i="4"/>
  <c r="MA65" i="4"/>
  <c r="MA72" i="4"/>
  <c r="MA87" i="4"/>
  <c r="MA114" i="4"/>
  <c r="MA61" i="4"/>
  <c r="MA119" i="4"/>
  <c r="MA126" i="4"/>
  <c r="MA116" i="4"/>
  <c r="MA71" i="4"/>
  <c r="MA95" i="4"/>
  <c r="MA86" i="4"/>
  <c r="MA81" i="4"/>
  <c r="MA103" i="4"/>
  <c r="MA104" i="4"/>
  <c r="MA121" i="4"/>
  <c r="MA94" i="4"/>
  <c r="MA112" i="4"/>
  <c r="MA127" i="4"/>
  <c r="MA91" i="4"/>
  <c r="MA120" i="4"/>
  <c r="MA83" i="4"/>
  <c r="MA60" i="4"/>
  <c r="MA98" i="4"/>
  <c r="MA85" i="4"/>
  <c r="MA110" i="4"/>
  <c r="MA67" i="4"/>
  <c r="MA84" i="4"/>
  <c r="MA107" i="4"/>
  <c r="MA106" i="4"/>
  <c r="MA66" i="4"/>
  <c r="MA92" i="4"/>
  <c r="MA124" i="4"/>
  <c r="MA78" i="4"/>
  <c r="MA118" i="4"/>
  <c r="MA68" i="4"/>
  <c r="MA122" i="4"/>
  <c r="MA90" i="4"/>
  <c r="MA69" i="4"/>
  <c r="MA100" i="4"/>
  <c r="MA105" i="4"/>
  <c r="MA102" i="4"/>
  <c r="MA70" i="4"/>
  <c r="MA108" i="4"/>
  <c r="MA89" i="4"/>
  <c r="MA82" i="4"/>
  <c r="MA96" i="4"/>
  <c r="MA64" i="4"/>
  <c r="MA123" i="4"/>
  <c r="MA128" i="4"/>
  <c r="MA115" i="4"/>
  <c r="MA97" i="4"/>
  <c r="MA111" i="4"/>
  <c r="MA80" i="4"/>
  <c r="MA125" i="4"/>
  <c r="MA113" i="4"/>
  <c r="MA129" i="4"/>
  <c r="MA117" i="4"/>
  <c r="MA88" i="4"/>
  <c r="MA63" i="4"/>
  <c r="MA99" i="4"/>
  <c r="YW21" i="4"/>
  <c r="YW43" i="4"/>
  <c r="YW15" i="4"/>
  <c r="YW49" i="4"/>
  <c r="YW54" i="4"/>
  <c r="YV11" i="4"/>
  <c r="YW19" i="4"/>
  <c r="UC343" i="4"/>
  <c r="UC166" i="4"/>
  <c r="UC156" i="4"/>
  <c r="UC64" i="4"/>
  <c r="UC263" i="4"/>
  <c r="UC329" i="4"/>
  <c r="UC165" i="4"/>
  <c r="UC62" i="4"/>
  <c r="WD62" i="4" s="1"/>
  <c r="WE62" i="4" s="1"/>
  <c r="UC267" i="4"/>
  <c r="UC88" i="4"/>
  <c r="UC61" i="4"/>
  <c r="UC250" i="4"/>
  <c r="UC289" i="4"/>
  <c r="UC336" i="4"/>
  <c r="UC118" i="4"/>
  <c r="UC220" i="4"/>
  <c r="UC296" i="4"/>
  <c r="UC151" i="4"/>
  <c r="UC208" i="4"/>
  <c r="UC239" i="4"/>
  <c r="UC309" i="4"/>
  <c r="UC292" i="4"/>
  <c r="UC184" i="4"/>
  <c r="UC199" i="4"/>
  <c r="UC179" i="4"/>
  <c r="UC256" i="4"/>
  <c r="UC234" i="4"/>
  <c r="UC203" i="4"/>
  <c r="UC316" i="4"/>
  <c r="UC174" i="4"/>
  <c r="UC168" i="4"/>
  <c r="UC100" i="4"/>
  <c r="UC182" i="4"/>
  <c r="UC128" i="4"/>
  <c r="UC268" i="4"/>
  <c r="UC32" i="4"/>
  <c r="UC123" i="4"/>
  <c r="UC223" i="4"/>
  <c r="UC35" i="4"/>
  <c r="UC202" i="4"/>
  <c r="UC105" i="4"/>
  <c r="WD105" i="4" s="1"/>
  <c r="WE105" i="4" s="1"/>
  <c r="UC258" i="4"/>
  <c r="UC260" i="4"/>
  <c r="UC47" i="4"/>
  <c r="UC87" i="4"/>
  <c r="UC217" i="4"/>
  <c r="UC136" i="4"/>
  <c r="UC261" i="4"/>
  <c r="UC302" i="4"/>
  <c r="UC241" i="4"/>
  <c r="UC153" i="4"/>
  <c r="UC52" i="4"/>
  <c r="UC278" i="4"/>
  <c r="UC232" i="4"/>
  <c r="UC211" i="4"/>
  <c r="UC243" i="4"/>
  <c r="UC304" i="4"/>
  <c r="UC236" i="4"/>
  <c r="UC150" i="4"/>
  <c r="UC310" i="4"/>
  <c r="UC254" i="4"/>
  <c r="UC328" i="4"/>
  <c r="UC291" i="4"/>
  <c r="UC227" i="4"/>
  <c r="UC178" i="4"/>
  <c r="UC192" i="4"/>
  <c r="UC200" i="4"/>
  <c r="UC293" i="4"/>
  <c r="UC282" i="4"/>
  <c r="UC228" i="4"/>
  <c r="UC231" i="4"/>
  <c r="UC152" i="4"/>
  <c r="UC205" i="4"/>
  <c r="UC209" i="4"/>
  <c r="UC104" i="4"/>
  <c r="UC85" i="4"/>
  <c r="UC247" i="4"/>
  <c r="UC122" i="4"/>
  <c r="UC45" i="4"/>
  <c r="UC320" i="4"/>
  <c r="UC161" i="4"/>
  <c r="UC130" i="4"/>
  <c r="UC213" i="4"/>
  <c r="UC301" i="4"/>
  <c r="UC111" i="4"/>
  <c r="UC345" i="4"/>
  <c r="UC197" i="4"/>
  <c r="UC11" i="4"/>
  <c r="UC364" i="4"/>
  <c r="UC133" i="4"/>
  <c r="UC325" i="4"/>
  <c r="UC25" i="4"/>
  <c r="UC219" i="4"/>
  <c r="UC126" i="4"/>
  <c r="UC99" i="4"/>
  <c r="UC132" i="4"/>
  <c r="UC324" i="4"/>
  <c r="UC7" i="4"/>
  <c r="UC185" i="4"/>
  <c r="UC54" i="4"/>
  <c r="UC191" i="4"/>
  <c r="UC342" i="4"/>
  <c r="UC8" i="4"/>
  <c r="UC334" i="4"/>
  <c r="UC39" i="4"/>
  <c r="UC347" i="4"/>
  <c r="WD347" i="4" s="1"/>
  <c r="WE347" i="4" s="1"/>
  <c r="UC189" i="4"/>
  <c r="UC210" i="4"/>
  <c r="UC97" i="4"/>
  <c r="UC113" i="4"/>
  <c r="UC273" i="4"/>
  <c r="UC308" i="4"/>
  <c r="UC230" i="4"/>
  <c r="UC110" i="4"/>
  <c r="UC26" i="4"/>
  <c r="UC340" i="4"/>
  <c r="UC131" i="4"/>
  <c r="JX13" i="4"/>
  <c r="YV43" i="4"/>
  <c r="YW12" i="4"/>
  <c r="YW52" i="4"/>
  <c r="MP74" i="4"/>
  <c r="MP76" i="4"/>
  <c r="MP75" i="4"/>
  <c r="MP73" i="4"/>
  <c r="MP62" i="4"/>
  <c r="MP77" i="4"/>
  <c r="YV9" i="4"/>
  <c r="YW33" i="4"/>
  <c r="YW58" i="4"/>
  <c r="YV40" i="4"/>
  <c r="MQ62" i="4"/>
  <c r="MQ102" i="4"/>
  <c r="MQ77" i="4"/>
  <c r="MQ109" i="4"/>
  <c r="MQ114" i="4"/>
  <c r="MQ115" i="4"/>
  <c r="MQ73" i="4"/>
  <c r="MQ84" i="4"/>
  <c r="MQ111" i="4"/>
  <c r="MQ123" i="4"/>
  <c r="MQ125" i="4"/>
  <c r="MQ117" i="4"/>
  <c r="MQ122" i="4"/>
  <c r="MQ121" i="4"/>
  <c r="MQ85" i="4"/>
  <c r="MQ113" i="4"/>
  <c r="MQ108" i="4"/>
  <c r="MQ118" i="4"/>
  <c r="MQ103" i="4"/>
  <c r="MQ106" i="4"/>
  <c r="MQ101" i="4"/>
  <c r="MQ107" i="4"/>
  <c r="MQ124" i="4"/>
  <c r="MQ120" i="4"/>
  <c r="MQ105" i="4"/>
  <c r="MQ75" i="4"/>
  <c r="MQ104" i="4"/>
  <c r="MQ110" i="4"/>
  <c r="MQ116" i="4"/>
  <c r="MQ112" i="4"/>
  <c r="MQ74" i="4"/>
  <c r="MQ81" i="4"/>
  <c r="MQ76" i="4"/>
  <c r="MQ119" i="4"/>
  <c r="YW30" i="4"/>
  <c r="UG37" i="4"/>
  <c r="UG151" i="4"/>
  <c r="UG47" i="4"/>
  <c r="UG54" i="4"/>
  <c r="UG85" i="4"/>
  <c r="UG340" i="4"/>
  <c r="UG197" i="4"/>
  <c r="UG61" i="4"/>
  <c r="UG150" i="4"/>
  <c r="UG28" i="4"/>
  <c r="UG80" i="4"/>
  <c r="UG116" i="4"/>
  <c r="WD116" i="4" s="1"/>
  <c r="WE116" i="4" s="1"/>
  <c r="UG18" i="4"/>
  <c r="WD18" i="4" s="1"/>
  <c r="WE18" i="4" s="1"/>
  <c r="UG361" i="4"/>
  <c r="UG113" i="4"/>
  <c r="UG50" i="4"/>
  <c r="UG146" i="4"/>
  <c r="UG193" i="4"/>
  <c r="UG153" i="4"/>
  <c r="UG104" i="4"/>
  <c r="UG346" i="4"/>
  <c r="UG189" i="4"/>
  <c r="UG260" i="4"/>
  <c r="UG122" i="4"/>
  <c r="UG223" i="4"/>
  <c r="UG138" i="4"/>
  <c r="UG213" i="4"/>
  <c r="UG343" i="4"/>
  <c r="UG184" i="4"/>
  <c r="UG183" i="4"/>
  <c r="WD183" i="4" s="1"/>
  <c r="WE183" i="4" s="1"/>
  <c r="UG255" i="4"/>
  <c r="UG130" i="4"/>
  <c r="UG214" i="4"/>
  <c r="UG185" i="4"/>
  <c r="UG125" i="4"/>
  <c r="UG192" i="4"/>
  <c r="UG289" i="4"/>
  <c r="UG345" i="4"/>
  <c r="UG20" i="4"/>
  <c r="UG83" i="4"/>
  <c r="UG94" i="4"/>
  <c r="UG257" i="4"/>
  <c r="UG48" i="4"/>
  <c r="UG261" i="4"/>
  <c r="UG219" i="4"/>
  <c r="UG280" i="4"/>
  <c r="UG73" i="4"/>
  <c r="UG263" i="4"/>
  <c r="UG270" i="4"/>
  <c r="UG132" i="4"/>
  <c r="UG235" i="4"/>
  <c r="UG110" i="4"/>
  <c r="UG233" i="4"/>
  <c r="UG123" i="4"/>
  <c r="UG180" i="4"/>
  <c r="WD180" i="4" s="1"/>
  <c r="WE180" i="4" s="1"/>
  <c r="UG16" i="4"/>
  <c r="UG296" i="4"/>
  <c r="UG19" i="4"/>
  <c r="WD19" i="4" s="1"/>
  <c r="WE19" i="4" s="1"/>
  <c r="UG154" i="4"/>
  <c r="UG320" i="4"/>
  <c r="UG311" i="4"/>
  <c r="UG174" i="4"/>
  <c r="UG147" i="4"/>
  <c r="UG159" i="4"/>
  <c r="WD159" i="4" s="1"/>
  <c r="WE159" i="4" s="1"/>
  <c r="UG336" i="4"/>
  <c r="UG187" i="4"/>
  <c r="WD187" i="4" s="1"/>
  <c r="WE187" i="4" s="1"/>
  <c r="UG100" i="4"/>
  <c r="UG126" i="4"/>
  <c r="UG69" i="4"/>
  <c r="UG35" i="4"/>
  <c r="UG342" i="4"/>
  <c r="UG89" i="4"/>
  <c r="UG275" i="4"/>
  <c r="YV8" i="4"/>
  <c r="YV65" i="4"/>
  <c r="YV28" i="4"/>
  <c r="YW38" i="4"/>
  <c r="YV31" i="4"/>
  <c r="YV51" i="4"/>
  <c r="YW36" i="4"/>
  <c r="YW5" i="4"/>
  <c r="YV17" i="4"/>
  <c r="YW7" i="4"/>
  <c r="YW29" i="4"/>
  <c r="YW8" i="4"/>
  <c r="YW48" i="4"/>
  <c r="YW44" i="4"/>
  <c r="YV53" i="4"/>
  <c r="YW11" i="4"/>
  <c r="YV30" i="4"/>
  <c r="YV23" i="4"/>
  <c r="YV25" i="4"/>
  <c r="YV57" i="4"/>
  <c r="YW47" i="4"/>
  <c r="YW10" i="4"/>
  <c r="MF61" i="4"/>
  <c r="MF78" i="4"/>
  <c r="MF67" i="4"/>
  <c r="MF72" i="4"/>
  <c r="MF129" i="4"/>
  <c r="MF64" i="4"/>
  <c r="MF69" i="4"/>
  <c r="MF65" i="4"/>
  <c r="MF128" i="4"/>
  <c r="MF70" i="4"/>
  <c r="MF126" i="4"/>
  <c r="MF60" i="4"/>
  <c r="MF127" i="4"/>
  <c r="MF68" i="4"/>
  <c r="MF66" i="4"/>
  <c r="MF71" i="4"/>
  <c r="YW35" i="4"/>
  <c r="BZ7" i="4"/>
  <c r="CA7" i="4"/>
  <c r="HG6" i="4"/>
  <c r="HH6" i="4"/>
  <c r="AC71" i="6" s="1"/>
  <c r="HG5" i="4"/>
  <c r="HH5" i="4"/>
  <c r="AC70" i="6" s="1"/>
  <c r="HI3" i="4"/>
  <c r="ZD6" i="4" l="1"/>
  <c r="BM9" i="4"/>
  <c r="AU83" i="7"/>
  <c r="BP141" i="1" s="1"/>
  <c r="GP5" i="4"/>
  <c r="IO4" i="4"/>
  <c r="IP4" i="4"/>
  <c r="AC113" i="6" s="1"/>
  <c r="BM15" i="4"/>
  <c r="BP7" i="4"/>
  <c r="BK8" i="4"/>
  <c r="BM8" i="4" s="1"/>
  <c r="AS24" i="6"/>
  <c r="AR25" i="6"/>
  <c r="IO10" i="4"/>
  <c r="FW17" i="4"/>
  <c r="FW18" i="4" s="1"/>
  <c r="IP6" i="4"/>
  <c r="AC115" i="6" s="1"/>
  <c r="ZE7" i="4"/>
  <c r="ZE8" i="4" s="1"/>
  <c r="BP16" i="4"/>
  <c r="ZM8" i="4"/>
  <c r="ZM9" i="4" s="1"/>
  <c r="IP11" i="4"/>
  <c r="AC120" i="6" s="1"/>
  <c r="IP9" i="4"/>
  <c r="AC118" i="6" s="1"/>
  <c r="IP8" i="4"/>
  <c r="AC117" i="6" s="1"/>
  <c r="BP18" i="4"/>
  <c r="BM18" i="4"/>
  <c r="IP5" i="4"/>
  <c r="AC114" i="6" s="1"/>
  <c r="IO7" i="4"/>
  <c r="IP7" i="4"/>
  <c r="AC116" i="6" s="1"/>
  <c r="IO5" i="4"/>
  <c r="IP10" i="4"/>
  <c r="AC119" i="6" s="1"/>
  <c r="IO8" i="4"/>
  <c r="IO9" i="4"/>
  <c r="IO6" i="4"/>
  <c r="CK51" i="1"/>
  <c r="CK35" i="1"/>
  <c r="AC51" i="1"/>
  <c r="CK49" i="1"/>
  <c r="CK19" i="1"/>
  <c r="CK23" i="1"/>
  <c r="CK31" i="1"/>
  <c r="BM14" i="4"/>
  <c r="ZK6" i="4"/>
  <c r="ZK7" i="4" s="1"/>
  <c r="BM17" i="4"/>
  <c r="BP17" i="4"/>
  <c r="N39" i="1"/>
  <c r="AR5" i="6"/>
  <c r="I19" i="1" s="1"/>
  <c r="O19" i="1" s="1"/>
  <c r="CC12" i="9"/>
  <c r="TN269" i="4"/>
  <c r="E176" i="8" s="1"/>
  <c r="BD22" i="6"/>
  <c r="BD19" i="6"/>
  <c r="BD17" i="6"/>
  <c r="BD21" i="6"/>
  <c r="BD18" i="6"/>
  <c r="BD20" i="6"/>
  <c r="JC4" i="4"/>
  <c r="XO7" i="4"/>
  <c r="XN7" i="4"/>
  <c r="XP7" i="4"/>
  <c r="XM8" i="4"/>
  <c r="XQ7" i="4"/>
  <c r="XR7" i="4"/>
  <c r="IH6" i="4"/>
  <c r="IH7" i="4" s="1"/>
  <c r="RY25" i="4"/>
  <c r="SN25" i="4"/>
  <c r="SF17" i="4"/>
  <c r="QT18" i="4"/>
  <c r="RH17" i="4"/>
  <c r="SN17" i="4"/>
  <c r="SN30" i="4" s="1"/>
  <c r="QZ17" i="4"/>
  <c r="KW4" i="4"/>
  <c r="BK73" i="1" s="1"/>
  <c r="RP17" i="4"/>
  <c r="CQ6" i="9"/>
  <c r="TN15" i="4"/>
  <c r="CA23" i="8" s="1"/>
  <c r="DW2" i="4"/>
  <c r="TV1" i="4"/>
  <c r="AB134" i="8"/>
  <c r="AB166" i="8"/>
  <c r="AB124" i="8"/>
  <c r="CX25" i="8"/>
  <c r="AB80" i="8"/>
  <c r="CX23" i="8"/>
  <c r="AB172" i="8"/>
  <c r="AB128" i="8"/>
  <c r="AB58" i="8"/>
  <c r="AB164" i="8"/>
  <c r="AB56" i="8"/>
  <c r="AB52" i="8"/>
  <c r="AB174" i="8"/>
  <c r="AB168" i="8"/>
  <c r="AB92" i="8"/>
  <c r="AB90" i="8"/>
  <c r="AB88" i="8"/>
  <c r="CX27" i="8"/>
  <c r="AB54" i="8"/>
  <c r="AB170" i="8"/>
  <c r="AB132" i="8"/>
  <c r="AB86" i="8"/>
  <c r="CX31" i="8"/>
  <c r="CX29" i="8"/>
  <c r="AB84" i="8"/>
  <c r="AB96" i="8"/>
  <c r="AB120" i="8"/>
  <c r="AB94" i="8"/>
  <c r="AB60" i="8"/>
  <c r="AB76" i="8"/>
  <c r="AB176" i="8"/>
  <c r="AB122" i="8"/>
  <c r="AB126" i="8"/>
  <c r="AB82" i="8"/>
  <c r="AB78" i="8"/>
  <c r="AB130" i="8"/>
  <c r="AL3" i="4"/>
  <c r="AV45" i="6" s="1"/>
  <c r="AM2" i="4"/>
  <c r="AM3" i="4" s="1"/>
  <c r="AU44" i="6" s="1"/>
  <c r="AP8" i="4"/>
  <c r="AO9" i="4"/>
  <c r="BM12" i="4"/>
  <c r="BP12" i="4"/>
  <c r="XQ5" i="4"/>
  <c r="XQ2" i="4"/>
  <c r="C25" i="9" s="1"/>
  <c r="B24" i="8" s="1"/>
  <c r="XR3" i="4"/>
  <c r="XM33" i="4"/>
  <c r="XM35" i="4"/>
  <c r="RP25" i="4"/>
  <c r="RA25" i="4"/>
  <c r="I39" i="1"/>
  <c r="O39" i="1" s="1"/>
  <c r="DX28" i="4" s="1"/>
  <c r="X6" i="4"/>
  <c r="X7" i="4" s="1"/>
  <c r="AV92" i="6"/>
  <c r="AY91" i="6" s="1"/>
  <c r="N31" i="1"/>
  <c r="F98" i="6"/>
  <c r="I31" i="1"/>
  <c r="O31" i="1" s="1"/>
  <c r="AM31" i="1" s="1"/>
  <c r="YJ33" i="4"/>
  <c r="AU9" i="6"/>
  <c r="I35" i="1"/>
  <c r="O35" i="1" s="1"/>
  <c r="WD275" i="4"/>
  <c r="WE275" i="4" s="1"/>
  <c r="WD94" i="4"/>
  <c r="WE94" i="4" s="1"/>
  <c r="WD324" i="4"/>
  <c r="WE324" i="4" s="1"/>
  <c r="WD282" i="4"/>
  <c r="WE282" i="4" s="1"/>
  <c r="WD45" i="4"/>
  <c r="WE45" i="4" s="1"/>
  <c r="ZH5" i="4"/>
  <c r="TN207" i="4"/>
  <c r="E170" i="8" s="1"/>
  <c r="CC9" i="9"/>
  <c r="WD241" i="4"/>
  <c r="WE241" i="4" s="1"/>
  <c r="WD329" i="4"/>
  <c r="WE329" i="4" s="1"/>
  <c r="WD30" i="4"/>
  <c r="WE30" i="4" s="1"/>
  <c r="WD240" i="4"/>
  <c r="WE240" i="4" s="1"/>
  <c r="WD86" i="4"/>
  <c r="WE86" i="4" s="1"/>
  <c r="GE3" i="4"/>
  <c r="GF3" i="4" s="1"/>
  <c r="GJ3" i="4" s="1"/>
  <c r="ZI5" i="4"/>
  <c r="ZG5" i="4"/>
  <c r="ZJ5" i="4"/>
  <c r="ZJ6" i="4" s="1"/>
  <c r="TN100" i="4"/>
  <c r="CA29" i="8" s="1"/>
  <c r="CQ9" i="9"/>
  <c r="AR7" i="6"/>
  <c r="N27" i="1" s="1"/>
  <c r="ZO5" i="4"/>
  <c r="ZO6" i="4" s="1"/>
  <c r="ZL5" i="4"/>
  <c r="ZL6" i="4" s="1"/>
  <c r="ZN7" i="4"/>
  <c r="FO9" i="4"/>
  <c r="FO10" i="4" s="1"/>
  <c r="ZF6" i="4"/>
  <c r="ZF7" i="4" s="1"/>
  <c r="OS65" i="4"/>
  <c r="OS67" i="4"/>
  <c r="OS60" i="4"/>
  <c r="OS66" i="4"/>
  <c r="GF4" i="4"/>
  <c r="GJ4" i="4" s="1"/>
  <c r="GG4" i="4"/>
  <c r="AC79" i="6" s="1"/>
  <c r="OC114" i="4"/>
  <c r="OC113" i="4"/>
  <c r="OO75" i="4"/>
  <c r="OO62" i="4"/>
  <c r="OO76" i="4"/>
  <c r="OO77" i="4"/>
  <c r="OO74" i="4"/>
  <c r="OO73" i="4"/>
  <c r="AA79" i="1"/>
  <c r="N23" i="6"/>
  <c r="B79" i="1"/>
  <c r="V76" i="1"/>
  <c r="BM11" i="4"/>
  <c r="BP11" i="4"/>
  <c r="BO9" i="9"/>
  <c r="BO27" i="9" s="1"/>
  <c r="TN235" i="4"/>
  <c r="E126" i="8" s="1"/>
  <c r="PA71" i="4"/>
  <c r="PA72" i="4"/>
  <c r="PA64" i="4"/>
  <c r="KU64" i="4" s="1"/>
  <c r="PA63" i="4"/>
  <c r="KU63" i="4" s="1"/>
  <c r="PA70" i="4"/>
  <c r="PA61" i="4"/>
  <c r="PA69" i="4"/>
  <c r="PA68" i="4"/>
  <c r="OB120" i="4"/>
  <c r="KU120" i="4" s="1"/>
  <c r="QB5" i="4" s="1"/>
  <c r="OB122" i="4"/>
  <c r="OB85" i="4"/>
  <c r="KU85" i="4" s="1"/>
  <c r="OB121" i="4"/>
  <c r="KU121" i="4" s="1"/>
  <c r="QB6" i="4" s="1"/>
  <c r="PR1" i="4"/>
  <c r="OB123" i="4"/>
  <c r="KU123" i="4" s="1"/>
  <c r="QB9" i="4" s="1"/>
  <c r="OB125" i="4"/>
  <c r="KU125" i="4" s="1"/>
  <c r="QB28" i="4" s="1"/>
  <c r="B85" i="1"/>
  <c r="OB124" i="4"/>
  <c r="KU124" i="4" s="1"/>
  <c r="QB24" i="4" s="1"/>
  <c r="BA15" i="9"/>
  <c r="BA27" i="9" s="1"/>
  <c r="TN148" i="4"/>
  <c r="E94" i="8" s="1"/>
  <c r="ZD7" i="4"/>
  <c r="WD236" i="4"/>
  <c r="WE236" i="4" s="1"/>
  <c r="WD217" i="4"/>
  <c r="WE217" i="4" s="1"/>
  <c r="WD128" i="4"/>
  <c r="WE128" i="4" s="1"/>
  <c r="WD292" i="4"/>
  <c r="WE292" i="4" s="1"/>
  <c r="WD181" i="4"/>
  <c r="WE181" i="4" s="1"/>
  <c r="WD193" i="4"/>
  <c r="WE193" i="4" s="1"/>
  <c r="WD111" i="4"/>
  <c r="WE111" i="4" s="1"/>
  <c r="WD247" i="4"/>
  <c r="WE247" i="4" s="1"/>
  <c r="WD13" i="4"/>
  <c r="WE13" i="4" s="1"/>
  <c r="WD278" i="4"/>
  <c r="WE278" i="4" s="1"/>
  <c r="WD182" i="4"/>
  <c r="WE182" i="4" s="1"/>
  <c r="WD25" i="4"/>
  <c r="WE25" i="4" s="1"/>
  <c r="WD310" i="4"/>
  <c r="WE310" i="4" s="1"/>
  <c r="WD220" i="4"/>
  <c r="WE220" i="4" s="1"/>
  <c r="WD74" i="4"/>
  <c r="WE74" i="4" s="1"/>
  <c r="WD29" i="4"/>
  <c r="WE29" i="4" s="1"/>
  <c r="WD90" i="4"/>
  <c r="WE90" i="4" s="1"/>
  <c r="WD225" i="4"/>
  <c r="WE225" i="4" s="1"/>
  <c r="WD69" i="4"/>
  <c r="WE69" i="4" s="1"/>
  <c r="WD308" i="4"/>
  <c r="WE308" i="4" s="1"/>
  <c r="WD26" i="4"/>
  <c r="WE26" i="4" s="1"/>
  <c r="WD273" i="4"/>
  <c r="WE273" i="4" s="1"/>
  <c r="WD8" i="4"/>
  <c r="WE8" i="4" s="1"/>
  <c r="WD136" i="4"/>
  <c r="WE136" i="4" s="1"/>
  <c r="WD165" i="4"/>
  <c r="WE165" i="4" s="1"/>
  <c r="WD341" i="4"/>
  <c r="WE341" i="4" s="1"/>
  <c r="WD137" i="4"/>
  <c r="WE137" i="4" s="1"/>
  <c r="WD344" i="4"/>
  <c r="WE344" i="4" s="1"/>
  <c r="WD162" i="4"/>
  <c r="WE162" i="4" s="1"/>
  <c r="WD248" i="4"/>
  <c r="WE248" i="4" s="1"/>
  <c r="WD20" i="4"/>
  <c r="WE20" i="4" s="1"/>
  <c r="WD7" i="4"/>
  <c r="WE7" i="4" s="1"/>
  <c r="WD133" i="4"/>
  <c r="WE133" i="4" s="1"/>
  <c r="WD209" i="4"/>
  <c r="WE209" i="4" s="1"/>
  <c r="WD328" i="4"/>
  <c r="WE328" i="4" s="1"/>
  <c r="WD256" i="4"/>
  <c r="WE256" i="4" s="1"/>
  <c r="WD177" i="4"/>
  <c r="WE177" i="4" s="1"/>
  <c r="WD77" i="4"/>
  <c r="WE77" i="4" s="1"/>
  <c r="WD11" i="4"/>
  <c r="WE11" i="4" s="1"/>
  <c r="WD202" i="4"/>
  <c r="WE202" i="4" s="1"/>
  <c r="WD5" i="4"/>
  <c r="WE5" i="4" s="1"/>
  <c r="WD131" i="4"/>
  <c r="WE131" i="4" s="1"/>
  <c r="WD230" i="4"/>
  <c r="WE230" i="4" s="1"/>
  <c r="WD97" i="4"/>
  <c r="WE97" i="4" s="1"/>
  <c r="WD39" i="4"/>
  <c r="WE39" i="4" s="1"/>
  <c r="WD191" i="4"/>
  <c r="WE191" i="4" s="1"/>
  <c r="WD219" i="4"/>
  <c r="WE219" i="4" s="1"/>
  <c r="WD364" i="4"/>
  <c r="WE364" i="4" s="1"/>
  <c r="WD161" i="4"/>
  <c r="WE161" i="4" s="1"/>
  <c r="WD178" i="4"/>
  <c r="WE178" i="4" s="1"/>
  <c r="WD254" i="4"/>
  <c r="WE254" i="4" s="1"/>
  <c r="WD304" i="4"/>
  <c r="WE304" i="4" s="1"/>
  <c r="WD302" i="4"/>
  <c r="WE302" i="4" s="1"/>
  <c r="WD87" i="4"/>
  <c r="WE87" i="4" s="1"/>
  <c r="WD316" i="4"/>
  <c r="WE316" i="4" s="1"/>
  <c r="WD179" i="4"/>
  <c r="WE179" i="4" s="1"/>
  <c r="WD309" i="4"/>
  <c r="WE309" i="4" s="1"/>
  <c r="WD267" i="4"/>
  <c r="WE267" i="4" s="1"/>
  <c r="WD312" i="4"/>
  <c r="WE312" i="4" s="1"/>
  <c r="WD346" i="4"/>
  <c r="WE346" i="4" s="1"/>
  <c r="WD146" i="4"/>
  <c r="WE146" i="4" s="1"/>
  <c r="WD243" i="4"/>
  <c r="WE243" i="4" s="1"/>
  <c r="WD239" i="4"/>
  <c r="WE239" i="4" s="1"/>
  <c r="WD317" i="4"/>
  <c r="WE317" i="4" s="1"/>
  <c r="WD10" i="4"/>
  <c r="WE10" i="4" s="1"/>
  <c r="WD157" i="4"/>
  <c r="WE157" i="4" s="1"/>
  <c r="WD82" i="4"/>
  <c r="WE82" i="4" s="1"/>
  <c r="WD163" i="4"/>
  <c r="WE163" i="4" s="1"/>
  <c r="WD83" i="4"/>
  <c r="WE83" i="4" s="1"/>
  <c r="WD325" i="4"/>
  <c r="WE325" i="4" s="1"/>
  <c r="WD268" i="4"/>
  <c r="WE268" i="4" s="1"/>
  <c r="WD168" i="4"/>
  <c r="WE168" i="4" s="1"/>
  <c r="WD234" i="4"/>
  <c r="WE234" i="4" s="1"/>
  <c r="WD208" i="4"/>
  <c r="WE208" i="4" s="1"/>
  <c r="WD118" i="4"/>
  <c r="WE118" i="4" s="1"/>
  <c r="WD156" i="4"/>
  <c r="WE156" i="4" s="1"/>
  <c r="WD55" i="4"/>
  <c r="WE55" i="4" s="1"/>
  <c r="WD216" i="4"/>
  <c r="WE216" i="4" s="1"/>
  <c r="WD305" i="4"/>
  <c r="WE305" i="4" s="1"/>
  <c r="WD16" i="4"/>
  <c r="WE16" i="4" s="1"/>
  <c r="WD119" i="4"/>
  <c r="WE119" i="4" s="1"/>
  <c r="WD171" i="4"/>
  <c r="WE171" i="4" s="1"/>
  <c r="WD154" i="4"/>
  <c r="WE154" i="4" s="1"/>
  <c r="WD147" i="4"/>
  <c r="WE147" i="4" s="1"/>
  <c r="WD296" i="4"/>
  <c r="WE296" i="4" s="1"/>
  <c r="WD289" i="4"/>
  <c r="WE289" i="4" s="1"/>
  <c r="WD298" i="4"/>
  <c r="WE298" i="4" s="1"/>
  <c r="GX19" i="4"/>
  <c r="WD145" i="4"/>
  <c r="WE145" i="4" s="1"/>
  <c r="WD123" i="4"/>
  <c r="WE123" i="4" s="1"/>
  <c r="WD155" i="4"/>
  <c r="WE155" i="4" s="1"/>
  <c r="WD340" i="4"/>
  <c r="WE340" i="4" s="1"/>
  <c r="WD210" i="4"/>
  <c r="WE210" i="4" s="1"/>
  <c r="WD334" i="4"/>
  <c r="WE334" i="4" s="1"/>
  <c r="WD54" i="4"/>
  <c r="WE54" i="4" s="1"/>
  <c r="WD132" i="4"/>
  <c r="WE132" i="4" s="1"/>
  <c r="WD301" i="4"/>
  <c r="WE301" i="4" s="1"/>
  <c r="WD320" i="4"/>
  <c r="WE320" i="4" s="1"/>
  <c r="WD85" i="4"/>
  <c r="WE85" i="4" s="1"/>
  <c r="WD152" i="4"/>
  <c r="WE152" i="4" s="1"/>
  <c r="WD293" i="4"/>
  <c r="WE293" i="4" s="1"/>
  <c r="WD52" i="4"/>
  <c r="WE52" i="4" s="1"/>
  <c r="WD261" i="4"/>
  <c r="WE261" i="4" s="1"/>
  <c r="WD47" i="4"/>
  <c r="WE47" i="4" s="1"/>
  <c r="WD32" i="4"/>
  <c r="WE32" i="4" s="1"/>
  <c r="WD100" i="4"/>
  <c r="WE100" i="4" s="1"/>
  <c r="WD203" i="4"/>
  <c r="WE203" i="4" s="1"/>
  <c r="WD199" i="4"/>
  <c r="WE199" i="4" s="1"/>
  <c r="WD250" i="4"/>
  <c r="WE250" i="4" s="1"/>
  <c r="WD64" i="4"/>
  <c r="WE64" i="4" s="1"/>
  <c r="WD354" i="4"/>
  <c r="WE354" i="4" s="1"/>
  <c r="WD68" i="4"/>
  <c r="WE68" i="4" s="1"/>
  <c r="WD295" i="4"/>
  <c r="WE295" i="4" s="1"/>
  <c r="WD14" i="4"/>
  <c r="WE14" i="4" s="1"/>
  <c r="WD214" i="4"/>
  <c r="WE214" i="4" s="1"/>
  <c r="WD280" i="4"/>
  <c r="WE280" i="4" s="1"/>
  <c r="WD270" i="4"/>
  <c r="WE270" i="4" s="1"/>
  <c r="WD272" i="4"/>
  <c r="WE272" i="4" s="1"/>
  <c r="WD103" i="4"/>
  <c r="WE103" i="4" s="1"/>
  <c r="WD98" i="4"/>
  <c r="WE98" i="4" s="1"/>
  <c r="WD49" i="4"/>
  <c r="WE49" i="4" s="1"/>
  <c r="WD229" i="4"/>
  <c r="WE229" i="4" s="1"/>
  <c r="WD125" i="4"/>
  <c r="WE125" i="4" s="1"/>
  <c r="WD176" i="4"/>
  <c r="WE176" i="4" s="1"/>
  <c r="WD3" i="4"/>
  <c r="WE3" i="4" s="1"/>
  <c r="WD194" i="4"/>
  <c r="WE194" i="4" s="1"/>
  <c r="WD255" i="4"/>
  <c r="WE255" i="4" s="1"/>
  <c r="WD41" i="4"/>
  <c r="WE41" i="4" s="1"/>
  <c r="WD326" i="4"/>
  <c r="WE326" i="4" s="1"/>
  <c r="WD322" i="4"/>
  <c r="WE322" i="4" s="1"/>
  <c r="WD242" i="4"/>
  <c r="WE242" i="4" s="1"/>
  <c r="WD361" i="4"/>
  <c r="WE361" i="4" s="1"/>
  <c r="WD160" i="4"/>
  <c r="WE160" i="4" s="1"/>
  <c r="WD356" i="4"/>
  <c r="WE356" i="4" s="1"/>
  <c r="WD311" i="4"/>
  <c r="WE311" i="4" s="1"/>
  <c r="GX5" i="4"/>
  <c r="WD36" i="4"/>
  <c r="WE36" i="4" s="1"/>
  <c r="WD57" i="4"/>
  <c r="WE57" i="4" s="1"/>
  <c r="WD198" i="4"/>
  <c r="WE198" i="4" s="1"/>
  <c r="WD348" i="4"/>
  <c r="WE348" i="4" s="1"/>
  <c r="WD189" i="4"/>
  <c r="WE189" i="4" s="1"/>
  <c r="WD185" i="4"/>
  <c r="WE185" i="4" s="1"/>
  <c r="WD99" i="4"/>
  <c r="WE99" i="4" s="1"/>
  <c r="WD197" i="4"/>
  <c r="WE197" i="4" s="1"/>
  <c r="WD104" i="4"/>
  <c r="WE104" i="4" s="1"/>
  <c r="WD200" i="4"/>
  <c r="WE200" i="4" s="1"/>
  <c r="WD291" i="4"/>
  <c r="WE291" i="4" s="1"/>
  <c r="WD150" i="4"/>
  <c r="WE150" i="4" s="1"/>
  <c r="WD211" i="4"/>
  <c r="WE211" i="4" s="1"/>
  <c r="WD260" i="4"/>
  <c r="WE260" i="4" s="1"/>
  <c r="WD184" i="4"/>
  <c r="WE184" i="4" s="1"/>
  <c r="WD61" i="4"/>
  <c r="WE61" i="4" s="1"/>
  <c r="WD78" i="4"/>
  <c r="WE78" i="4" s="1"/>
  <c r="WD58" i="4"/>
  <c r="WE58" i="4" s="1"/>
  <c r="WD65" i="4"/>
  <c r="WE65" i="4" s="1"/>
  <c r="WD70" i="4"/>
  <c r="WE70" i="4" s="1"/>
  <c r="WD218" i="4"/>
  <c r="WE218" i="4" s="1"/>
  <c r="WD92" i="4"/>
  <c r="WE92" i="4" s="1"/>
  <c r="WD81" i="4"/>
  <c r="WE81" i="4" s="1"/>
  <c r="WD28" i="4"/>
  <c r="WE28" i="4" s="1"/>
  <c r="WD212" i="4"/>
  <c r="WE212" i="4" s="1"/>
  <c r="WD80" i="4"/>
  <c r="WE80" i="4" s="1"/>
  <c r="WD233" i="4"/>
  <c r="WE233" i="4" s="1"/>
  <c r="WD46" i="4"/>
  <c r="WE46" i="4" s="1"/>
  <c r="WD89" i="4"/>
  <c r="WE89" i="4" s="1"/>
  <c r="WD63" i="4"/>
  <c r="WE63" i="4" s="1"/>
  <c r="WD129" i="4"/>
  <c r="WE129" i="4" s="1"/>
  <c r="WD141" i="4"/>
  <c r="WE141" i="4" s="1"/>
  <c r="WD235" i="4"/>
  <c r="WE235" i="4" s="1"/>
  <c r="WD43" i="4"/>
  <c r="WE43" i="4" s="1"/>
  <c r="WD142" i="4"/>
  <c r="WE142" i="4" s="1"/>
  <c r="WD84" i="4"/>
  <c r="WE84" i="4" s="1"/>
  <c r="WD264" i="4"/>
  <c r="WE264" i="4" s="1"/>
  <c r="WD50" i="4"/>
  <c r="WE50" i="4" s="1"/>
  <c r="GX15" i="4"/>
  <c r="GX7" i="4"/>
  <c r="WD288" i="4"/>
  <c r="WE288" i="4" s="1"/>
  <c r="WD283" i="4"/>
  <c r="WE283" i="4" s="1"/>
  <c r="GX11" i="4"/>
  <c r="WD73" i="4"/>
  <c r="WE73" i="4" s="1"/>
  <c r="WD110" i="4"/>
  <c r="WE110" i="4" s="1"/>
  <c r="WD113" i="4"/>
  <c r="WE113" i="4" s="1"/>
  <c r="WD342" i="4"/>
  <c r="WE342" i="4" s="1"/>
  <c r="WD345" i="4"/>
  <c r="WE345" i="4" s="1"/>
  <c r="WD122" i="4"/>
  <c r="WE122" i="4" s="1"/>
  <c r="WD192" i="4"/>
  <c r="WE192" i="4" s="1"/>
  <c r="WD232" i="4"/>
  <c r="WE232" i="4" s="1"/>
  <c r="WD258" i="4"/>
  <c r="WE258" i="4" s="1"/>
  <c r="WD223" i="4"/>
  <c r="WE223" i="4" s="1"/>
  <c r="WD174" i="4"/>
  <c r="WE174" i="4" s="1"/>
  <c r="WD151" i="4"/>
  <c r="WE151" i="4" s="1"/>
  <c r="WD336" i="4"/>
  <c r="WE336" i="4" s="1"/>
  <c r="WD166" i="4"/>
  <c r="WE166" i="4" s="1"/>
  <c r="WD269" i="4"/>
  <c r="WE269" i="4" s="1"/>
  <c r="WD148" i="4"/>
  <c r="WE148" i="4" s="1"/>
  <c r="WD355" i="4"/>
  <c r="WE355" i="4" s="1"/>
  <c r="WD91" i="4"/>
  <c r="WE91" i="4" s="1"/>
  <c r="WD271" i="4"/>
  <c r="WE271" i="4" s="1"/>
  <c r="WD96" i="4"/>
  <c r="WE96" i="4" s="1"/>
  <c r="WD4" i="4"/>
  <c r="WE4" i="4" s="1"/>
  <c r="WD335" i="4"/>
  <c r="WE335" i="4" s="1"/>
  <c r="WD40" i="4"/>
  <c r="WE40" i="4" s="1"/>
  <c r="WD138" i="4"/>
  <c r="WE138" i="4" s="1"/>
  <c r="WD306" i="4"/>
  <c r="WE306" i="4" s="1"/>
  <c r="WD321" i="4"/>
  <c r="WE321" i="4" s="1"/>
  <c r="WD102" i="4"/>
  <c r="WE102" i="4" s="1"/>
  <c r="WD207" i="4"/>
  <c r="WE207" i="4" s="1"/>
  <c r="WD109" i="4"/>
  <c r="WE109" i="4" s="1"/>
  <c r="WD190" i="4"/>
  <c r="WE190" i="4" s="1"/>
  <c r="WD318" i="4"/>
  <c r="WE318" i="4" s="1"/>
  <c r="WD56" i="4"/>
  <c r="WE56" i="4" s="1"/>
  <c r="WD204" i="4"/>
  <c r="WE204" i="4" s="1"/>
  <c r="WD101" i="4"/>
  <c r="WE101" i="4" s="1"/>
  <c r="WD360" i="4"/>
  <c r="WE360" i="4" s="1"/>
  <c r="WD37" i="4"/>
  <c r="WE37" i="4" s="1"/>
  <c r="WD297" i="4"/>
  <c r="WE297" i="4" s="1"/>
  <c r="WD351" i="4"/>
  <c r="WE351" i="4" s="1"/>
  <c r="WD196" i="4"/>
  <c r="WE196" i="4" s="1"/>
  <c r="WD115" i="4"/>
  <c r="WE115" i="4" s="1"/>
  <c r="GX6" i="4"/>
  <c r="WD93" i="4"/>
  <c r="WE93" i="4" s="1"/>
  <c r="GX4" i="4"/>
  <c r="WD126" i="4"/>
  <c r="WE126" i="4" s="1"/>
  <c r="WD130" i="4"/>
  <c r="WE130" i="4" s="1"/>
  <c r="WD284" i="4"/>
  <c r="WE284" i="4" s="1"/>
  <c r="WD6" i="4"/>
  <c r="WE6" i="4" s="1"/>
  <c r="GX16" i="4"/>
  <c r="GX8" i="4"/>
  <c r="GX12" i="4"/>
  <c r="I23" i="1"/>
  <c r="O23" i="1" s="1"/>
  <c r="N23" i="1"/>
  <c r="AU6" i="6"/>
  <c r="GX10" i="4"/>
  <c r="GX18" i="4"/>
  <c r="GX14" i="4"/>
  <c r="GX17" i="4"/>
  <c r="GX13" i="4"/>
  <c r="GX9" i="4"/>
  <c r="KU115" i="4"/>
  <c r="KU118" i="4"/>
  <c r="QB41" i="4" s="1"/>
  <c r="KU104" i="4"/>
  <c r="QB15" i="4" s="1"/>
  <c r="KU119" i="4"/>
  <c r="QB42" i="4" s="1"/>
  <c r="YW61" i="4"/>
  <c r="YW62" i="4" s="1"/>
  <c r="WF69" i="4"/>
  <c r="WG69" i="4" s="1"/>
  <c r="WL69" i="4"/>
  <c r="WM69" i="4" s="1"/>
  <c r="WJ69" i="4"/>
  <c r="WK69" i="4" s="1"/>
  <c r="WR69" i="4"/>
  <c r="WS69" i="4" s="1"/>
  <c r="WN69" i="4"/>
  <c r="WO69" i="4" s="1"/>
  <c r="WT69" i="4"/>
  <c r="WU69" i="4" s="1"/>
  <c r="WX69" i="4"/>
  <c r="WY69" i="4" s="1"/>
  <c r="WP69" i="4"/>
  <c r="WQ69" i="4" s="1"/>
  <c r="WV69" i="4"/>
  <c r="WW69" i="4" s="1"/>
  <c r="WH69" i="4"/>
  <c r="WI69" i="4" s="1"/>
  <c r="WH94" i="4"/>
  <c r="WI94" i="4" s="1"/>
  <c r="WL94" i="4"/>
  <c r="WM94" i="4" s="1"/>
  <c r="WR94" i="4"/>
  <c r="WS94" i="4" s="1"/>
  <c r="WF94" i="4"/>
  <c r="WG94" i="4" s="1"/>
  <c r="WT94" i="4"/>
  <c r="WU94" i="4" s="1"/>
  <c r="WP94" i="4"/>
  <c r="WQ94" i="4" s="1"/>
  <c r="WN94" i="4"/>
  <c r="WO94" i="4" s="1"/>
  <c r="WV94" i="4"/>
  <c r="WW94" i="4" s="1"/>
  <c r="WX94" i="4"/>
  <c r="WY94" i="4" s="1"/>
  <c r="WJ94" i="4"/>
  <c r="WK94" i="4" s="1"/>
  <c r="WX346" i="4"/>
  <c r="WY346" i="4" s="1"/>
  <c r="WN346" i="4"/>
  <c r="WO346" i="4" s="1"/>
  <c r="WV346" i="4"/>
  <c r="WW346" i="4" s="1"/>
  <c r="WJ346" i="4"/>
  <c r="WK346" i="4" s="1"/>
  <c r="WH346" i="4"/>
  <c r="WI346" i="4" s="1"/>
  <c r="WP346" i="4"/>
  <c r="WQ346" i="4" s="1"/>
  <c r="WT346" i="4"/>
  <c r="WU346" i="4" s="1"/>
  <c r="WR346" i="4"/>
  <c r="WS346" i="4" s="1"/>
  <c r="WF346" i="4"/>
  <c r="WG346" i="4" s="1"/>
  <c r="WR18" i="4"/>
  <c r="WS18" i="4" s="1"/>
  <c r="WT18" i="4"/>
  <c r="WU18" i="4" s="1"/>
  <c r="WH18" i="4"/>
  <c r="WI18" i="4" s="1"/>
  <c r="WP18" i="4"/>
  <c r="WQ18" i="4" s="1"/>
  <c r="WX18" i="4"/>
  <c r="WY18" i="4" s="1"/>
  <c r="WL18" i="4"/>
  <c r="WM18" i="4" s="1"/>
  <c r="WN18" i="4"/>
  <c r="WO18" i="4" s="1"/>
  <c r="WJ18" i="4"/>
  <c r="WK18" i="4" s="1"/>
  <c r="WV18" i="4"/>
  <c r="WW18" i="4" s="1"/>
  <c r="WF18" i="4"/>
  <c r="WG18" i="4" s="1"/>
  <c r="WP113" i="4"/>
  <c r="WQ113" i="4" s="1"/>
  <c r="WV113" i="4"/>
  <c r="WW113" i="4" s="1"/>
  <c r="WT113" i="4"/>
  <c r="WU113" i="4" s="1"/>
  <c r="WF113" i="4"/>
  <c r="WG113" i="4" s="1"/>
  <c r="WN113" i="4"/>
  <c r="WO113" i="4" s="1"/>
  <c r="WL113" i="4"/>
  <c r="WM113" i="4" s="1"/>
  <c r="WX113" i="4"/>
  <c r="WY113" i="4" s="1"/>
  <c r="WR113" i="4"/>
  <c r="WS113" i="4" s="1"/>
  <c r="WJ113" i="4"/>
  <c r="WK113" i="4" s="1"/>
  <c r="WH113" i="4"/>
  <c r="WI113" i="4" s="1"/>
  <c r="WP7" i="4"/>
  <c r="WQ7" i="4" s="1"/>
  <c r="WN7" i="4"/>
  <c r="WO7" i="4" s="1"/>
  <c r="WV7" i="4"/>
  <c r="WW7" i="4" s="1"/>
  <c r="WT7" i="4"/>
  <c r="WU7" i="4" s="1"/>
  <c r="WJ7" i="4"/>
  <c r="WK7" i="4" s="1"/>
  <c r="WF7" i="4"/>
  <c r="WG7" i="4" s="1"/>
  <c r="WL7" i="4"/>
  <c r="WM7" i="4" s="1"/>
  <c r="WR7" i="4"/>
  <c r="WS7" i="4" s="1"/>
  <c r="WX7" i="4"/>
  <c r="WY7" i="4" s="1"/>
  <c r="WH7" i="4"/>
  <c r="WI7" i="4" s="1"/>
  <c r="WV133" i="4"/>
  <c r="WW133" i="4" s="1"/>
  <c r="WH133" i="4"/>
  <c r="WI133" i="4" s="1"/>
  <c r="WF133" i="4"/>
  <c r="WG133" i="4" s="1"/>
  <c r="WJ133" i="4"/>
  <c r="WK133" i="4" s="1"/>
  <c r="WT133" i="4"/>
  <c r="WU133" i="4" s="1"/>
  <c r="WX133" i="4"/>
  <c r="WY133" i="4" s="1"/>
  <c r="WN133" i="4"/>
  <c r="WO133" i="4" s="1"/>
  <c r="WP133" i="4"/>
  <c r="WQ133" i="4" s="1"/>
  <c r="WR133" i="4"/>
  <c r="WS133" i="4" s="1"/>
  <c r="WP122" i="4"/>
  <c r="WQ122" i="4" s="1"/>
  <c r="WX122" i="4"/>
  <c r="WY122" i="4" s="1"/>
  <c r="WF122" i="4"/>
  <c r="WG122" i="4" s="1"/>
  <c r="WV122" i="4"/>
  <c r="WW122" i="4" s="1"/>
  <c r="WH122" i="4"/>
  <c r="WI122" i="4" s="1"/>
  <c r="WN122" i="4"/>
  <c r="WO122" i="4" s="1"/>
  <c r="WL122" i="4"/>
  <c r="WM122" i="4" s="1"/>
  <c r="WR122" i="4"/>
  <c r="WS122" i="4" s="1"/>
  <c r="WJ122" i="4"/>
  <c r="WK122" i="4" s="1"/>
  <c r="WT122" i="4"/>
  <c r="WU122" i="4" s="1"/>
  <c r="WX192" i="4"/>
  <c r="WY192" i="4" s="1"/>
  <c r="WJ192" i="4"/>
  <c r="WK192" i="4" s="1"/>
  <c r="WP192" i="4"/>
  <c r="WQ192" i="4" s="1"/>
  <c r="WL192" i="4"/>
  <c r="WM192" i="4" s="1"/>
  <c r="WF192" i="4"/>
  <c r="WG192" i="4" s="1"/>
  <c r="WT192" i="4"/>
  <c r="WU192" i="4" s="1"/>
  <c r="WR192" i="4"/>
  <c r="WS192" i="4" s="1"/>
  <c r="WN192" i="4"/>
  <c r="WO192" i="4" s="1"/>
  <c r="WV192" i="4"/>
  <c r="WW192" i="4" s="1"/>
  <c r="WN236" i="4"/>
  <c r="WO236" i="4" s="1"/>
  <c r="WJ236" i="4"/>
  <c r="WK236" i="4" s="1"/>
  <c r="WL236" i="4"/>
  <c r="WM236" i="4" s="1"/>
  <c r="WX236" i="4"/>
  <c r="WY236" i="4" s="1"/>
  <c r="WT236" i="4"/>
  <c r="WU236" i="4" s="1"/>
  <c r="WR236" i="4"/>
  <c r="WS236" i="4" s="1"/>
  <c r="WP236" i="4"/>
  <c r="WQ236" i="4" s="1"/>
  <c r="WH236" i="4"/>
  <c r="WI236" i="4" s="1"/>
  <c r="WF236" i="4"/>
  <c r="WG236" i="4" s="1"/>
  <c r="WV236" i="4"/>
  <c r="WW236" i="4" s="1"/>
  <c r="WR217" i="4"/>
  <c r="WS217" i="4" s="1"/>
  <c r="WF217" i="4"/>
  <c r="WG217" i="4" s="1"/>
  <c r="WT217" i="4"/>
  <c r="WU217" i="4" s="1"/>
  <c r="WH217" i="4"/>
  <c r="WI217" i="4" s="1"/>
  <c r="WL217" i="4"/>
  <c r="WM217" i="4" s="1"/>
  <c r="WP217" i="4"/>
  <c r="WQ217" i="4" s="1"/>
  <c r="WX217" i="4"/>
  <c r="WY217" i="4" s="1"/>
  <c r="WV217" i="4"/>
  <c r="WW217" i="4" s="1"/>
  <c r="WN217" i="4"/>
  <c r="WO217" i="4" s="1"/>
  <c r="WJ128" i="4"/>
  <c r="WK128" i="4" s="1"/>
  <c r="WL128" i="4"/>
  <c r="WM128" i="4" s="1"/>
  <c r="WV128" i="4"/>
  <c r="WW128" i="4" s="1"/>
  <c r="WT128" i="4"/>
  <c r="WU128" i="4" s="1"/>
  <c r="WP128" i="4"/>
  <c r="WQ128" i="4" s="1"/>
  <c r="WR128" i="4"/>
  <c r="WS128" i="4" s="1"/>
  <c r="WF128" i="4"/>
  <c r="WG128" i="4" s="1"/>
  <c r="WH128" i="4"/>
  <c r="WI128" i="4" s="1"/>
  <c r="WX128" i="4"/>
  <c r="WY128" i="4" s="1"/>
  <c r="WN128" i="4"/>
  <c r="WO128" i="4" s="1"/>
  <c r="KU101" i="4"/>
  <c r="QB4" i="4" s="1"/>
  <c r="CB145" i="6" s="1"/>
  <c r="SF7" i="4" s="1"/>
  <c r="WX317" i="4"/>
  <c r="WY317" i="4" s="1"/>
  <c r="WL317" i="4"/>
  <c r="WM317" i="4" s="1"/>
  <c r="WT317" i="4"/>
  <c r="WU317" i="4" s="1"/>
  <c r="WR317" i="4"/>
  <c r="WS317" i="4" s="1"/>
  <c r="WH317" i="4"/>
  <c r="WI317" i="4" s="1"/>
  <c r="WF317" i="4"/>
  <c r="WG317" i="4" s="1"/>
  <c r="WP317" i="4"/>
  <c r="WQ317" i="4" s="1"/>
  <c r="WJ317" i="4"/>
  <c r="WK317" i="4" s="1"/>
  <c r="WV317" i="4"/>
  <c r="WW317" i="4" s="1"/>
  <c r="WX353" i="4"/>
  <c r="WY353" i="4" s="1"/>
  <c r="WV353" i="4"/>
  <c r="WW353" i="4" s="1"/>
  <c r="WF353" i="4"/>
  <c r="WG353" i="4" s="1"/>
  <c r="WT353" i="4"/>
  <c r="WU353" i="4" s="1"/>
  <c r="WH353" i="4"/>
  <c r="WI353" i="4" s="1"/>
  <c r="WL353" i="4"/>
  <c r="WM353" i="4" s="1"/>
  <c r="WN353" i="4"/>
  <c r="WO353" i="4" s="1"/>
  <c r="WR353" i="4"/>
  <c r="WS353" i="4" s="1"/>
  <c r="WP353" i="4"/>
  <c r="WQ353" i="4" s="1"/>
  <c r="WJ353" i="4"/>
  <c r="WK353" i="4" s="1"/>
  <c r="WT195" i="4"/>
  <c r="WU195" i="4" s="1"/>
  <c r="WP195" i="4"/>
  <c r="WQ195" i="4" s="1"/>
  <c r="WJ195" i="4"/>
  <c r="WK195" i="4" s="1"/>
  <c r="WN195" i="4"/>
  <c r="WO195" i="4" s="1"/>
  <c r="WF195" i="4"/>
  <c r="WG195" i="4" s="1"/>
  <c r="WV195" i="4"/>
  <c r="WW195" i="4" s="1"/>
  <c r="WL195" i="4"/>
  <c r="WM195" i="4" s="1"/>
  <c r="WR195" i="4"/>
  <c r="WS195" i="4" s="1"/>
  <c r="WX195" i="4"/>
  <c r="WY195" i="4" s="1"/>
  <c r="WN354" i="4"/>
  <c r="WO354" i="4" s="1"/>
  <c r="WT354" i="4"/>
  <c r="WU354" i="4" s="1"/>
  <c r="WJ354" i="4"/>
  <c r="WK354" i="4" s="1"/>
  <c r="WH354" i="4"/>
  <c r="WI354" i="4" s="1"/>
  <c r="WP354" i="4"/>
  <c r="WQ354" i="4" s="1"/>
  <c r="WV354" i="4"/>
  <c r="WW354" i="4" s="1"/>
  <c r="WF354" i="4"/>
  <c r="WG354" i="4" s="1"/>
  <c r="WR354" i="4"/>
  <c r="WS354" i="4" s="1"/>
  <c r="WX354" i="4"/>
  <c r="WY354" i="4" s="1"/>
  <c r="WX248" i="4"/>
  <c r="WY248" i="4" s="1"/>
  <c r="WJ248" i="4"/>
  <c r="WK248" i="4" s="1"/>
  <c r="WL248" i="4"/>
  <c r="WM248" i="4" s="1"/>
  <c r="WR248" i="4"/>
  <c r="WS248" i="4" s="1"/>
  <c r="WF248" i="4"/>
  <c r="WG248" i="4" s="1"/>
  <c r="WN248" i="4"/>
  <c r="WO248" i="4" s="1"/>
  <c r="WV248" i="4"/>
  <c r="WW248" i="4" s="1"/>
  <c r="WH248" i="4"/>
  <c r="WI248" i="4" s="1"/>
  <c r="WP248" i="4"/>
  <c r="WQ248" i="4" s="1"/>
  <c r="WT248" i="4"/>
  <c r="WU248" i="4" s="1"/>
  <c r="WP357" i="4"/>
  <c r="WQ357" i="4" s="1"/>
  <c r="WN357" i="4"/>
  <c r="WO357" i="4" s="1"/>
  <c r="WT357" i="4"/>
  <c r="WU357" i="4" s="1"/>
  <c r="WH357" i="4"/>
  <c r="WI357" i="4" s="1"/>
  <c r="WJ357" i="4"/>
  <c r="WK357" i="4" s="1"/>
  <c r="WL357" i="4"/>
  <c r="WM357" i="4" s="1"/>
  <c r="WV357" i="4"/>
  <c r="WW357" i="4" s="1"/>
  <c r="WF357" i="4"/>
  <c r="WG357" i="4" s="1"/>
  <c r="WR357" i="4"/>
  <c r="WS357" i="4" s="1"/>
  <c r="WX357" i="4"/>
  <c r="WY357" i="4" s="1"/>
  <c r="WV349" i="4"/>
  <c r="WW349" i="4" s="1"/>
  <c r="WP349" i="4"/>
  <c r="WQ349" i="4" s="1"/>
  <c r="WL349" i="4"/>
  <c r="WM349" i="4" s="1"/>
  <c r="WN349" i="4"/>
  <c r="WO349" i="4" s="1"/>
  <c r="WT349" i="4"/>
  <c r="WU349" i="4" s="1"/>
  <c r="WJ349" i="4"/>
  <c r="WK349" i="4" s="1"/>
  <c r="WX349" i="4"/>
  <c r="WY349" i="4" s="1"/>
  <c r="WF349" i="4"/>
  <c r="WG349" i="4" s="1"/>
  <c r="WR349" i="4"/>
  <c r="WS349" i="4" s="1"/>
  <c r="WH349" i="4"/>
  <c r="WI349" i="4" s="1"/>
  <c r="WR327" i="4"/>
  <c r="WS327" i="4" s="1"/>
  <c r="WV327" i="4"/>
  <c r="WW327" i="4" s="1"/>
  <c r="WL327" i="4"/>
  <c r="WM327" i="4" s="1"/>
  <c r="WT327" i="4"/>
  <c r="WU327" i="4" s="1"/>
  <c r="WF327" i="4"/>
  <c r="WG327" i="4" s="1"/>
  <c r="WH327" i="4"/>
  <c r="WI327" i="4" s="1"/>
  <c r="WP327" i="4"/>
  <c r="WQ327" i="4" s="1"/>
  <c r="WJ327" i="4"/>
  <c r="WK327" i="4" s="1"/>
  <c r="WX327" i="4"/>
  <c r="WY327" i="4" s="1"/>
  <c r="WN327" i="4"/>
  <c r="WO327" i="4" s="1"/>
  <c r="WL180" i="4"/>
  <c r="WM180" i="4" s="1"/>
  <c r="WR180" i="4"/>
  <c r="WS180" i="4" s="1"/>
  <c r="WV180" i="4"/>
  <c r="WW180" i="4" s="1"/>
  <c r="WJ180" i="4"/>
  <c r="WK180" i="4" s="1"/>
  <c r="WN180" i="4"/>
  <c r="WO180" i="4" s="1"/>
  <c r="WF180" i="4"/>
  <c r="WG180" i="4" s="1"/>
  <c r="WX180" i="4"/>
  <c r="WY180" i="4" s="1"/>
  <c r="WH180" i="4"/>
  <c r="WI180" i="4" s="1"/>
  <c r="WP180" i="4"/>
  <c r="WQ180" i="4" s="1"/>
  <c r="WT180" i="4"/>
  <c r="WU180" i="4" s="1"/>
  <c r="WL288" i="4"/>
  <c r="WM288" i="4" s="1"/>
  <c r="WF288" i="4"/>
  <c r="WG288" i="4" s="1"/>
  <c r="WT288" i="4"/>
  <c r="WU288" i="4" s="1"/>
  <c r="WP288" i="4"/>
  <c r="WQ288" i="4" s="1"/>
  <c r="WR288" i="4"/>
  <c r="WS288" i="4" s="1"/>
  <c r="WN288" i="4"/>
  <c r="WO288" i="4" s="1"/>
  <c r="WH288" i="4"/>
  <c r="WI288" i="4" s="1"/>
  <c r="WV288" i="4"/>
  <c r="WW288" i="4" s="1"/>
  <c r="WX288" i="4"/>
  <c r="WY288" i="4" s="1"/>
  <c r="WF9" i="4"/>
  <c r="WG9" i="4" s="1"/>
  <c r="WN9" i="4"/>
  <c r="WO9" i="4" s="1"/>
  <c r="WV9" i="4"/>
  <c r="WW9" i="4" s="1"/>
  <c r="WP9" i="4"/>
  <c r="WQ9" i="4" s="1"/>
  <c r="WR9" i="4"/>
  <c r="WS9" i="4" s="1"/>
  <c r="WH9" i="4"/>
  <c r="WI9" i="4" s="1"/>
  <c r="WT9" i="4"/>
  <c r="WU9" i="4" s="1"/>
  <c r="WX9" i="4"/>
  <c r="WY9" i="4" s="1"/>
  <c r="WJ9" i="4"/>
  <c r="WK9" i="4" s="1"/>
  <c r="WL9" i="4"/>
  <c r="WM9" i="4" s="1"/>
  <c r="WT319" i="4"/>
  <c r="WU319" i="4" s="1"/>
  <c r="WH319" i="4"/>
  <c r="WI319" i="4" s="1"/>
  <c r="WJ319" i="4"/>
  <c r="WK319" i="4" s="1"/>
  <c r="WV319" i="4"/>
  <c r="WW319" i="4" s="1"/>
  <c r="WP319" i="4"/>
  <c r="WQ319" i="4" s="1"/>
  <c r="WN319" i="4"/>
  <c r="WO319" i="4" s="1"/>
  <c r="WF319" i="4"/>
  <c r="WG319" i="4" s="1"/>
  <c r="WL319" i="4"/>
  <c r="WM319" i="4" s="1"/>
  <c r="WR319" i="4"/>
  <c r="WS319" i="4" s="1"/>
  <c r="WX319" i="4"/>
  <c r="WY319" i="4" s="1"/>
  <c r="WH31" i="4"/>
  <c r="WI31" i="4" s="1"/>
  <c r="WN31" i="4"/>
  <c r="WO31" i="4" s="1"/>
  <c r="WJ31" i="4"/>
  <c r="WK31" i="4" s="1"/>
  <c r="WL31" i="4"/>
  <c r="WM31" i="4" s="1"/>
  <c r="WV31" i="4"/>
  <c r="WW31" i="4" s="1"/>
  <c r="WP31" i="4"/>
  <c r="WQ31" i="4" s="1"/>
  <c r="WT31" i="4"/>
  <c r="WU31" i="4" s="1"/>
  <c r="WX31" i="4"/>
  <c r="WY31" i="4" s="1"/>
  <c r="WF31" i="4"/>
  <c r="WG31" i="4" s="1"/>
  <c r="WR31" i="4"/>
  <c r="WS31" i="4" s="1"/>
  <c r="WP266" i="4"/>
  <c r="WQ266" i="4" s="1"/>
  <c r="WV266" i="4"/>
  <c r="WW266" i="4" s="1"/>
  <c r="WR266" i="4"/>
  <c r="WS266" i="4" s="1"/>
  <c r="WX266" i="4"/>
  <c r="WY266" i="4" s="1"/>
  <c r="WJ266" i="4"/>
  <c r="WK266" i="4" s="1"/>
  <c r="WH266" i="4"/>
  <c r="WI266" i="4" s="1"/>
  <c r="WT266" i="4"/>
  <c r="WU266" i="4" s="1"/>
  <c r="WL266" i="4"/>
  <c r="WM266" i="4" s="1"/>
  <c r="WN266" i="4"/>
  <c r="WO266" i="4" s="1"/>
  <c r="WF266" i="4"/>
  <c r="WG266" i="4" s="1"/>
  <c r="WN158" i="4"/>
  <c r="WO158" i="4" s="1"/>
  <c r="WT158" i="4"/>
  <c r="WU158" i="4" s="1"/>
  <c r="WV158" i="4"/>
  <c r="WW158" i="4" s="1"/>
  <c r="WH158" i="4"/>
  <c r="WI158" i="4" s="1"/>
  <c r="WF158" i="4"/>
  <c r="WG158" i="4" s="1"/>
  <c r="WX158" i="4"/>
  <c r="WY158" i="4" s="1"/>
  <c r="WJ158" i="4"/>
  <c r="WK158" i="4" s="1"/>
  <c r="WR158" i="4"/>
  <c r="WS158" i="4" s="1"/>
  <c r="WP158" i="4"/>
  <c r="WQ158" i="4" s="1"/>
  <c r="WL158" i="4"/>
  <c r="WM158" i="4" s="1"/>
  <c r="WV271" i="4"/>
  <c r="WW271" i="4" s="1"/>
  <c r="WN271" i="4"/>
  <c r="WO271" i="4" s="1"/>
  <c r="WT271" i="4"/>
  <c r="WU271" i="4" s="1"/>
  <c r="WR271" i="4"/>
  <c r="WS271" i="4" s="1"/>
  <c r="WL271" i="4"/>
  <c r="WM271" i="4" s="1"/>
  <c r="WF271" i="4"/>
  <c r="WG271" i="4" s="1"/>
  <c r="WJ271" i="4"/>
  <c r="WK271" i="4" s="1"/>
  <c r="WX271" i="4"/>
  <c r="WY271" i="4" s="1"/>
  <c r="WH271" i="4"/>
  <c r="WI271" i="4" s="1"/>
  <c r="WP271" i="4"/>
  <c r="WQ271" i="4" s="1"/>
  <c r="WP96" i="4"/>
  <c r="WQ96" i="4" s="1"/>
  <c r="WV96" i="4"/>
  <c r="WW96" i="4" s="1"/>
  <c r="WJ96" i="4"/>
  <c r="WK96" i="4" s="1"/>
  <c r="WL96" i="4"/>
  <c r="WM96" i="4" s="1"/>
  <c r="WF96" i="4"/>
  <c r="WG96" i="4" s="1"/>
  <c r="WN96" i="4"/>
  <c r="WO96" i="4" s="1"/>
  <c r="WR96" i="4"/>
  <c r="WS96" i="4" s="1"/>
  <c r="WX96" i="4"/>
  <c r="WY96" i="4" s="1"/>
  <c r="WT96" i="4"/>
  <c r="WU96" i="4" s="1"/>
  <c r="WH363" i="4"/>
  <c r="WI363" i="4" s="1"/>
  <c r="WV363" i="4"/>
  <c r="WW363" i="4" s="1"/>
  <c r="WN363" i="4"/>
  <c r="WO363" i="4" s="1"/>
  <c r="WP363" i="4"/>
  <c r="WQ363" i="4" s="1"/>
  <c r="WX363" i="4"/>
  <c r="WY363" i="4" s="1"/>
  <c r="WR363" i="4"/>
  <c r="WS363" i="4" s="1"/>
  <c r="WJ363" i="4"/>
  <c r="WK363" i="4" s="1"/>
  <c r="WF363" i="4"/>
  <c r="WG363" i="4" s="1"/>
  <c r="WL363" i="4"/>
  <c r="WM363" i="4" s="1"/>
  <c r="WT363" i="4"/>
  <c r="WU363" i="4" s="1"/>
  <c r="KU78" i="4"/>
  <c r="WP80" i="4"/>
  <c r="WQ80" i="4" s="1"/>
  <c r="WF80" i="4"/>
  <c r="WG80" i="4" s="1"/>
  <c r="WT80" i="4"/>
  <c r="WU80" i="4" s="1"/>
  <c r="WR80" i="4"/>
  <c r="WS80" i="4" s="1"/>
  <c r="WJ80" i="4"/>
  <c r="WK80" i="4" s="1"/>
  <c r="WX80" i="4"/>
  <c r="WY80" i="4" s="1"/>
  <c r="WN80" i="4"/>
  <c r="WO80" i="4" s="1"/>
  <c r="WH80" i="4"/>
  <c r="WI80" i="4" s="1"/>
  <c r="WV80" i="4"/>
  <c r="WW80" i="4" s="1"/>
  <c r="WH89" i="4"/>
  <c r="WI89" i="4" s="1"/>
  <c r="WN89" i="4"/>
  <c r="WO89" i="4" s="1"/>
  <c r="WL89" i="4"/>
  <c r="WM89" i="4" s="1"/>
  <c r="WR89" i="4"/>
  <c r="WS89" i="4" s="1"/>
  <c r="WV89" i="4"/>
  <c r="WW89" i="4" s="1"/>
  <c r="WT89" i="4"/>
  <c r="WU89" i="4" s="1"/>
  <c r="WX89" i="4"/>
  <c r="WY89" i="4" s="1"/>
  <c r="WP89" i="4"/>
  <c r="WQ89" i="4" s="1"/>
  <c r="WF89" i="4"/>
  <c r="WG89" i="4" s="1"/>
  <c r="WX196" i="4"/>
  <c r="WY196" i="4" s="1"/>
  <c r="WN196" i="4"/>
  <c r="WO196" i="4" s="1"/>
  <c r="WP196" i="4"/>
  <c r="WQ196" i="4" s="1"/>
  <c r="WV196" i="4"/>
  <c r="WW196" i="4" s="1"/>
  <c r="WH196" i="4"/>
  <c r="WI196" i="4" s="1"/>
  <c r="WL196" i="4"/>
  <c r="WM196" i="4" s="1"/>
  <c r="WJ196" i="4"/>
  <c r="WK196" i="4" s="1"/>
  <c r="WT196" i="4"/>
  <c r="WU196" i="4" s="1"/>
  <c r="WF196" i="4"/>
  <c r="WG196" i="4" s="1"/>
  <c r="WR196" i="4"/>
  <c r="WS196" i="4" s="1"/>
  <c r="WX129" i="4"/>
  <c r="WY129" i="4" s="1"/>
  <c r="WR129" i="4"/>
  <c r="WS129" i="4" s="1"/>
  <c r="WJ129" i="4"/>
  <c r="WK129" i="4" s="1"/>
  <c r="WN129" i="4"/>
  <c r="WO129" i="4" s="1"/>
  <c r="WP129" i="4"/>
  <c r="WQ129" i="4" s="1"/>
  <c r="WL129" i="4"/>
  <c r="WM129" i="4" s="1"/>
  <c r="WT129" i="4"/>
  <c r="WU129" i="4" s="1"/>
  <c r="WV129" i="4"/>
  <c r="WW129" i="4" s="1"/>
  <c r="WF129" i="4"/>
  <c r="WG129" i="4" s="1"/>
  <c r="WX115" i="4"/>
  <c r="WY115" i="4" s="1"/>
  <c r="WF115" i="4"/>
  <c r="WG115" i="4" s="1"/>
  <c r="WL115" i="4"/>
  <c r="WM115" i="4" s="1"/>
  <c r="WR115" i="4"/>
  <c r="WS115" i="4" s="1"/>
  <c r="WH115" i="4"/>
  <c r="WI115" i="4" s="1"/>
  <c r="WV115" i="4"/>
  <c r="WW115" i="4" s="1"/>
  <c r="WP115" i="4"/>
  <c r="WQ115" i="4" s="1"/>
  <c r="WJ115" i="4"/>
  <c r="WK115" i="4" s="1"/>
  <c r="WN115" i="4"/>
  <c r="WO115" i="4" s="1"/>
  <c r="WT115" i="4"/>
  <c r="WU115" i="4" s="1"/>
  <c r="WN235" i="4"/>
  <c r="WO235" i="4" s="1"/>
  <c r="WH235" i="4"/>
  <c r="WI235" i="4" s="1"/>
  <c r="WX235" i="4"/>
  <c r="WY235" i="4" s="1"/>
  <c r="WP235" i="4"/>
  <c r="WQ235" i="4" s="1"/>
  <c r="WL235" i="4"/>
  <c r="WM235" i="4" s="1"/>
  <c r="WR235" i="4"/>
  <c r="WS235" i="4" s="1"/>
  <c r="WF235" i="4"/>
  <c r="WG235" i="4" s="1"/>
  <c r="WT235" i="4"/>
  <c r="WU235" i="4" s="1"/>
  <c r="WV235" i="4"/>
  <c r="WW235" i="4" s="1"/>
  <c r="WP84" i="4"/>
  <c r="WQ84" i="4" s="1"/>
  <c r="WX84" i="4"/>
  <c r="WY84" i="4" s="1"/>
  <c r="WH84" i="4"/>
  <c r="WI84" i="4" s="1"/>
  <c r="WR84" i="4"/>
  <c r="WS84" i="4" s="1"/>
  <c r="WL84" i="4"/>
  <c r="WM84" i="4" s="1"/>
  <c r="WJ84" i="4"/>
  <c r="WK84" i="4" s="1"/>
  <c r="WN84" i="4"/>
  <c r="WO84" i="4" s="1"/>
  <c r="WV84" i="4"/>
  <c r="WW84" i="4" s="1"/>
  <c r="WF84" i="4"/>
  <c r="WG84" i="4" s="1"/>
  <c r="WT84" i="4"/>
  <c r="WU84" i="4" s="1"/>
  <c r="WH50" i="4"/>
  <c r="WI50" i="4" s="1"/>
  <c r="WV50" i="4"/>
  <c r="WW50" i="4" s="1"/>
  <c r="WF50" i="4"/>
  <c r="WG50" i="4" s="1"/>
  <c r="WR50" i="4"/>
  <c r="WS50" i="4" s="1"/>
  <c r="WJ50" i="4"/>
  <c r="WK50" i="4" s="1"/>
  <c r="WX50" i="4"/>
  <c r="WY50" i="4" s="1"/>
  <c r="WT50" i="4"/>
  <c r="WU50" i="4" s="1"/>
  <c r="WP50" i="4"/>
  <c r="WQ50" i="4" s="1"/>
  <c r="WL50" i="4"/>
  <c r="WM50" i="4" s="1"/>
  <c r="WN50" i="4"/>
  <c r="WO50" i="4" s="1"/>
  <c r="WR159" i="4"/>
  <c r="WS159" i="4" s="1"/>
  <c r="WN159" i="4"/>
  <c r="WO159" i="4" s="1"/>
  <c r="WF159" i="4"/>
  <c r="WG159" i="4" s="1"/>
  <c r="WV159" i="4"/>
  <c r="WW159" i="4" s="1"/>
  <c r="WL159" i="4"/>
  <c r="WM159" i="4" s="1"/>
  <c r="WT159" i="4"/>
  <c r="WU159" i="4" s="1"/>
  <c r="WX159" i="4"/>
  <c r="WY159" i="4" s="1"/>
  <c r="WJ159" i="4"/>
  <c r="WK159" i="4" s="1"/>
  <c r="WH159" i="4"/>
  <c r="WI159" i="4" s="1"/>
  <c r="WP159" i="4"/>
  <c r="WQ159" i="4" s="1"/>
  <c r="WH83" i="4"/>
  <c r="WI83" i="4" s="1"/>
  <c r="WV83" i="4"/>
  <c r="WW83" i="4" s="1"/>
  <c r="WJ83" i="4"/>
  <c r="WK83" i="4" s="1"/>
  <c r="WP83" i="4"/>
  <c r="WQ83" i="4" s="1"/>
  <c r="WT83" i="4"/>
  <c r="WU83" i="4" s="1"/>
  <c r="WL83" i="4"/>
  <c r="WM83" i="4" s="1"/>
  <c r="WR83" i="4"/>
  <c r="WS83" i="4" s="1"/>
  <c r="WN83" i="4"/>
  <c r="WO83" i="4" s="1"/>
  <c r="WX83" i="4"/>
  <c r="WY83" i="4" s="1"/>
  <c r="WF83" i="4"/>
  <c r="WG83" i="4" s="1"/>
  <c r="WP131" i="4"/>
  <c r="WQ131" i="4" s="1"/>
  <c r="WJ131" i="4"/>
  <c r="WK131" i="4" s="1"/>
  <c r="WV131" i="4"/>
  <c r="WW131" i="4" s="1"/>
  <c r="WT131" i="4"/>
  <c r="WU131" i="4" s="1"/>
  <c r="WX131" i="4"/>
  <c r="WY131" i="4" s="1"/>
  <c r="WN131" i="4"/>
  <c r="WO131" i="4" s="1"/>
  <c r="WR131" i="4"/>
  <c r="WS131" i="4" s="1"/>
  <c r="WF131" i="4"/>
  <c r="WG131" i="4" s="1"/>
  <c r="WL131" i="4"/>
  <c r="WM131" i="4" s="1"/>
  <c r="WP230" i="4"/>
  <c r="WQ230" i="4" s="1"/>
  <c r="WV230" i="4"/>
  <c r="WW230" i="4" s="1"/>
  <c r="WH230" i="4"/>
  <c r="WI230" i="4" s="1"/>
  <c r="WT230" i="4"/>
  <c r="WU230" i="4" s="1"/>
  <c r="WJ230" i="4"/>
  <c r="WK230" i="4" s="1"/>
  <c r="WL230" i="4"/>
  <c r="WM230" i="4" s="1"/>
  <c r="WX230" i="4"/>
  <c r="WY230" i="4" s="1"/>
  <c r="WN230" i="4"/>
  <c r="WO230" i="4" s="1"/>
  <c r="WR230" i="4"/>
  <c r="WS230" i="4" s="1"/>
  <c r="WF230" i="4"/>
  <c r="WG230" i="4" s="1"/>
  <c r="WX97" i="4"/>
  <c r="WY97" i="4" s="1"/>
  <c r="WF97" i="4"/>
  <c r="WG97" i="4" s="1"/>
  <c r="WL97" i="4"/>
  <c r="WM97" i="4" s="1"/>
  <c r="WP97" i="4"/>
  <c r="WQ97" i="4" s="1"/>
  <c r="WR97" i="4"/>
  <c r="WS97" i="4" s="1"/>
  <c r="WN97" i="4"/>
  <c r="WO97" i="4" s="1"/>
  <c r="WT97" i="4"/>
  <c r="WU97" i="4" s="1"/>
  <c r="WJ97" i="4"/>
  <c r="WK97" i="4" s="1"/>
  <c r="WV97" i="4"/>
  <c r="WW97" i="4" s="1"/>
  <c r="WH39" i="4"/>
  <c r="WI39" i="4" s="1"/>
  <c r="WL39" i="4"/>
  <c r="WM39" i="4" s="1"/>
  <c r="WN39" i="4"/>
  <c r="WO39" i="4" s="1"/>
  <c r="WF39" i="4"/>
  <c r="WG39" i="4" s="1"/>
  <c r="WX39" i="4"/>
  <c r="WY39" i="4" s="1"/>
  <c r="WR39" i="4"/>
  <c r="WS39" i="4" s="1"/>
  <c r="WT39" i="4"/>
  <c r="WU39" i="4" s="1"/>
  <c r="WV39" i="4"/>
  <c r="WW39" i="4" s="1"/>
  <c r="WP39" i="4"/>
  <c r="WQ39" i="4" s="1"/>
  <c r="WP191" i="4"/>
  <c r="WQ191" i="4" s="1"/>
  <c r="WT191" i="4"/>
  <c r="WU191" i="4" s="1"/>
  <c r="WX191" i="4"/>
  <c r="WY191" i="4" s="1"/>
  <c r="WJ191" i="4"/>
  <c r="WK191" i="4" s="1"/>
  <c r="WF191" i="4"/>
  <c r="WG191" i="4" s="1"/>
  <c r="WN191" i="4"/>
  <c r="WO191" i="4" s="1"/>
  <c r="WL191" i="4"/>
  <c r="WM191" i="4" s="1"/>
  <c r="WV191" i="4"/>
  <c r="WW191" i="4" s="1"/>
  <c r="WR191" i="4"/>
  <c r="WS191" i="4" s="1"/>
  <c r="WH324" i="4"/>
  <c r="WI324" i="4" s="1"/>
  <c r="WP324" i="4"/>
  <c r="WQ324" i="4" s="1"/>
  <c r="WF324" i="4"/>
  <c r="WG324" i="4" s="1"/>
  <c r="WT324" i="4"/>
  <c r="WU324" i="4" s="1"/>
  <c r="WV324" i="4"/>
  <c r="WW324" i="4" s="1"/>
  <c r="WJ324" i="4"/>
  <c r="WK324" i="4" s="1"/>
  <c r="WX324" i="4"/>
  <c r="WY324" i="4" s="1"/>
  <c r="WL324" i="4"/>
  <c r="WM324" i="4" s="1"/>
  <c r="WR324" i="4"/>
  <c r="WS324" i="4" s="1"/>
  <c r="WN324" i="4"/>
  <c r="WO324" i="4" s="1"/>
  <c r="WV219" i="4"/>
  <c r="WW219" i="4" s="1"/>
  <c r="WT219" i="4"/>
  <c r="WU219" i="4" s="1"/>
  <c r="WR219" i="4"/>
  <c r="WS219" i="4" s="1"/>
  <c r="WF219" i="4"/>
  <c r="WG219" i="4" s="1"/>
  <c r="WP219" i="4"/>
  <c r="WQ219" i="4" s="1"/>
  <c r="WX219" i="4"/>
  <c r="WY219" i="4" s="1"/>
  <c r="WH219" i="4"/>
  <c r="WI219" i="4" s="1"/>
  <c r="WN219" i="4"/>
  <c r="WO219" i="4" s="1"/>
  <c r="WJ219" i="4"/>
  <c r="WK219" i="4" s="1"/>
  <c r="WP364" i="4"/>
  <c r="WQ364" i="4" s="1"/>
  <c r="WL364" i="4"/>
  <c r="WM364" i="4" s="1"/>
  <c r="WT364" i="4"/>
  <c r="WU364" i="4" s="1"/>
  <c r="WR364" i="4"/>
  <c r="WS364" i="4" s="1"/>
  <c r="WX364" i="4"/>
  <c r="WY364" i="4" s="1"/>
  <c r="WJ364" i="4"/>
  <c r="WK364" i="4" s="1"/>
  <c r="WH364" i="4"/>
  <c r="WI364" i="4" s="1"/>
  <c r="WF364" i="4"/>
  <c r="WG364" i="4" s="1"/>
  <c r="WV364" i="4"/>
  <c r="WW364" i="4" s="1"/>
  <c r="WN364" i="4"/>
  <c r="WO364" i="4" s="1"/>
  <c r="WH111" i="4"/>
  <c r="WI111" i="4" s="1"/>
  <c r="WJ111" i="4"/>
  <c r="WK111" i="4" s="1"/>
  <c r="WF111" i="4"/>
  <c r="WG111" i="4" s="1"/>
  <c r="WL111" i="4"/>
  <c r="WM111" i="4" s="1"/>
  <c r="WX111" i="4"/>
  <c r="WY111" i="4" s="1"/>
  <c r="WR111" i="4"/>
  <c r="WS111" i="4" s="1"/>
  <c r="WT111" i="4"/>
  <c r="WU111" i="4" s="1"/>
  <c r="WP111" i="4"/>
  <c r="WQ111" i="4" s="1"/>
  <c r="WN111" i="4"/>
  <c r="WO111" i="4" s="1"/>
  <c r="WV111" i="4"/>
  <c r="WW111" i="4" s="1"/>
  <c r="WH161" i="4"/>
  <c r="WI161" i="4" s="1"/>
  <c r="WT161" i="4"/>
  <c r="WU161" i="4" s="1"/>
  <c r="WR161" i="4"/>
  <c r="WS161" i="4" s="1"/>
  <c r="WX161" i="4"/>
  <c r="WY161" i="4" s="1"/>
  <c r="WP161" i="4"/>
  <c r="WQ161" i="4" s="1"/>
  <c r="WN161" i="4"/>
  <c r="WO161" i="4" s="1"/>
  <c r="WF161" i="4"/>
  <c r="WG161" i="4" s="1"/>
  <c r="WV161" i="4"/>
  <c r="WW161" i="4" s="1"/>
  <c r="WJ161" i="4"/>
  <c r="WK161" i="4" s="1"/>
  <c r="WH247" i="4"/>
  <c r="WI247" i="4" s="1"/>
  <c r="WJ247" i="4"/>
  <c r="WK247" i="4" s="1"/>
  <c r="WN247" i="4"/>
  <c r="WO247" i="4" s="1"/>
  <c r="WV247" i="4"/>
  <c r="WW247" i="4" s="1"/>
  <c r="WX247" i="4"/>
  <c r="WY247" i="4" s="1"/>
  <c r="WR247" i="4"/>
  <c r="WS247" i="4" s="1"/>
  <c r="WP247" i="4"/>
  <c r="WQ247" i="4" s="1"/>
  <c r="WT247" i="4"/>
  <c r="WU247" i="4" s="1"/>
  <c r="WF247" i="4"/>
  <c r="WG247" i="4" s="1"/>
  <c r="WL247" i="4"/>
  <c r="WM247" i="4" s="1"/>
  <c r="WH205" i="4"/>
  <c r="WI205" i="4" s="1"/>
  <c r="WX205" i="4"/>
  <c r="WY205" i="4" s="1"/>
  <c r="WV205" i="4"/>
  <c r="WW205" i="4" s="1"/>
  <c r="WP205" i="4"/>
  <c r="WQ205" i="4" s="1"/>
  <c r="WR205" i="4"/>
  <c r="WS205" i="4" s="1"/>
  <c r="WN205" i="4"/>
  <c r="WO205" i="4" s="1"/>
  <c r="WT205" i="4"/>
  <c r="WU205" i="4" s="1"/>
  <c r="WJ205" i="4"/>
  <c r="WK205" i="4" s="1"/>
  <c r="WL205" i="4"/>
  <c r="WM205" i="4" s="1"/>
  <c r="WF282" i="4"/>
  <c r="WG282" i="4" s="1"/>
  <c r="WN282" i="4"/>
  <c r="WO282" i="4" s="1"/>
  <c r="WV282" i="4"/>
  <c r="WW282" i="4" s="1"/>
  <c r="WH282" i="4"/>
  <c r="WI282" i="4" s="1"/>
  <c r="WR282" i="4"/>
  <c r="WS282" i="4" s="1"/>
  <c r="WJ282" i="4"/>
  <c r="WK282" i="4" s="1"/>
  <c r="WP282" i="4"/>
  <c r="WQ282" i="4" s="1"/>
  <c r="WL282" i="4"/>
  <c r="WM282" i="4" s="1"/>
  <c r="WT282" i="4"/>
  <c r="WU282" i="4" s="1"/>
  <c r="WX282" i="4"/>
  <c r="WY282" i="4" s="1"/>
  <c r="WR178" i="4"/>
  <c r="WS178" i="4" s="1"/>
  <c r="WF178" i="4"/>
  <c r="WG178" i="4" s="1"/>
  <c r="WL178" i="4"/>
  <c r="WM178" i="4" s="1"/>
  <c r="WN178" i="4"/>
  <c r="WO178" i="4" s="1"/>
  <c r="WV178" i="4"/>
  <c r="WW178" i="4" s="1"/>
  <c r="WP178" i="4"/>
  <c r="WQ178" i="4" s="1"/>
  <c r="WX178" i="4"/>
  <c r="WY178" i="4" s="1"/>
  <c r="WJ178" i="4"/>
  <c r="WK178" i="4" s="1"/>
  <c r="WT178" i="4"/>
  <c r="WU178" i="4" s="1"/>
  <c r="WV254" i="4"/>
  <c r="WW254" i="4" s="1"/>
  <c r="WT254" i="4"/>
  <c r="WU254" i="4" s="1"/>
  <c r="WL254" i="4"/>
  <c r="WM254" i="4" s="1"/>
  <c r="WJ254" i="4"/>
  <c r="WK254" i="4" s="1"/>
  <c r="WR254" i="4"/>
  <c r="WS254" i="4" s="1"/>
  <c r="WP254" i="4"/>
  <c r="WQ254" i="4" s="1"/>
  <c r="WN254" i="4"/>
  <c r="WO254" i="4" s="1"/>
  <c r="WX254" i="4"/>
  <c r="WY254" i="4" s="1"/>
  <c r="WH254" i="4"/>
  <c r="WI254" i="4" s="1"/>
  <c r="WF254" i="4"/>
  <c r="WG254" i="4" s="1"/>
  <c r="WX304" i="4"/>
  <c r="WY304" i="4" s="1"/>
  <c r="WN304" i="4"/>
  <c r="WO304" i="4" s="1"/>
  <c r="WR304" i="4"/>
  <c r="WS304" i="4" s="1"/>
  <c r="WL304" i="4"/>
  <c r="WM304" i="4" s="1"/>
  <c r="WV304" i="4"/>
  <c r="WW304" i="4" s="1"/>
  <c r="WF304" i="4"/>
  <c r="WG304" i="4" s="1"/>
  <c r="WT304" i="4"/>
  <c r="WU304" i="4" s="1"/>
  <c r="WJ304" i="4"/>
  <c r="WK304" i="4" s="1"/>
  <c r="WP304" i="4"/>
  <c r="WQ304" i="4" s="1"/>
  <c r="WR278" i="4"/>
  <c r="WS278" i="4" s="1"/>
  <c r="WX278" i="4"/>
  <c r="WY278" i="4" s="1"/>
  <c r="WN278" i="4"/>
  <c r="WO278" i="4" s="1"/>
  <c r="WH278" i="4"/>
  <c r="WI278" i="4" s="1"/>
  <c r="WJ278" i="4"/>
  <c r="WK278" i="4" s="1"/>
  <c r="WF278" i="4"/>
  <c r="WG278" i="4" s="1"/>
  <c r="WT278" i="4"/>
  <c r="WU278" i="4" s="1"/>
  <c r="WP278" i="4"/>
  <c r="WQ278" i="4" s="1"/>
  <c r="WV278" i="4"/>
  <c r="WW278" i="4" s="1"/>
  <c r="WL278" i="4"/>
  <c r="WM278" i="4" s="1"/>
  <c r="WR302" i="4"/>
  <c r="WS302" i="4" s="1"/>
  <c r="WV302" i="4"/>
  <c r="WW302" i="4" s="1"/>
  <c r="WP302" i="4"/>
  <c r="WQ302" i="4" s="1"/>
  <c r="WX302" i="4"/>
  <c r="WY302" i="4" s="1"/>
  <c r="WF302" i="4"/>
  <c r="WG302" i="4" s="1"/>
  <c r="WJ302" i="4"/>
  <c r="WK302" i="4" s="1"/>
  <c r="WL302" i="4"/>
  <c r="WM302" i="4" s="1"/>
  <c r="WT302" i="4"/>
  <c r="WU302" i="4" s="1"/>
  <c r="WN302" i="4"/>
  <c r="WO302" i="4" s="1"/>
  <c r="WP87" i="4"/>
  <c r="WQ87" i="4" s="1"/>
  <c r="WX87" i="4"/>
  <c r="WY87" i="4" s="1"/>
  <c r="WR87" i="4"/>
  <c r="WS87" i="4" s="1"/>
  <c r="WF87" i="4"/>
  <c r="WG87" i="4" s="1"/>
  <c r="WL87" i="4"/>
  <c r="WM87" i="4" s="1"/>
  <c r="WN87" i="4"/>
  <c r="WO87" i="4" s="1"/>
  <c r="WV87" i="4"/>
  <c r="WW87" i="4" s="1"/>
  <c r="WT87" i="4"/>
  <c r="WU87" i="4" s="1"/>
  <c r="WJ87" i="4"/>
  <c r="WK87" i="4" s="1"/>
  <c r="WL105" i="4"/>
  <c r="WM105" i="4" s="1"/>
  <c r="WF105" i="4"/>
  <c r="WG105" i="4" s="1"/>
  <c r="WJ105" i="4"/>
  <c r="WK105" i="4" s="1"/>
  <c r="WT105" i="4"/>
  <c r="WU105" i="4" s="1"/>
  <c r="WP105" i="4"/>
  <c r="WQ105" i="4" s="1"/>
  <c r="WN105" i="4"/>
  <c r="WO105" i="4" s="1"/>
  <c r="WV105" i="4"/>
  <c r="WW105" i="4" s="1"/>
  <c r="WH105" i="4"/>
  <c r="WI105" i="4" s="1"/>
  <c r="WX105" i="4"/>
  <c r="WY105" i="4" s="1"/>
  <c r="WR105" i="4"/>
  <c r="WS105" i="4" s="1"/>
  <c r="WN123" i="4"/>
  <c r="WO123" i="4" s="1"/>
  <c r="WH123" i="4"/>
  <c r="WI123" i="4" s="1"/>
  <c r="WR123" i="4"/>
  <c r="WS123" i="4" s="1"/>
  <c r="WJ123" i="4"/>
  <c r="WK123" i="4" s="1"/>
  <c r="WV123" i="4"/>
  <c r="WW123" i="4" s="1"/>
  <c r="WF123" i="4"/>
  <c r="WG123" i="4" s="1"/>
  <c r="WX123" i="4"/>
  <c r="WY123" i="4" s="1"/>
  <c r="WT123" i="4"/>
  <c r="WU123" i="4" s="1"/>
  <c r="WP123" i="4"/>
  <c r="WQ123" i="4" s="1"/>
  <c r="WL123" i="4"/>
  <c r="WM123" i="4" s="1"/>
  <c r="WJ316" i="4"/>
  <c r="WK316" i="4" s="1"/>
  <c r="WF316" i="4"/>
  <c r="WG316" i="4" s="1"/>
  <c r="WH316" i="4"/>
  <c r="WI316" i="4" s="1"/>
  <c r="WP316" i="4"/>
  <c r="WQ316" i="4" s="1"/>
  <c r="WV316" i="4"/>
  <c r="WW316" i="4" s="1"/>
  <c r="WR316" i="4"/>
  <c r="WS316" i="4" s="1"/>
  <c r="WT316" i="4"/>
  <c r="WU316" i="4" s="1"/>
  <c r="WN316" i="4"/>
  <c r="WO316" i="4" s="1"/>
  <c r="WX316" i="4"/>
  <c r="WY316" i="4" s="1"/>
  <c r="WT179" i="4"/>
  <c r="WU179" i="4" s="1"/>
  <c r="WP179" i="4"/>
  <c r="WQ179" i="4" s="1"/>
  <c r="WJ179" i="4"/>
  <c r="WK179" i="4" s="1"/>
  <c r="WH179" i="4"/>
  <c r="WI179" i="4" s="1"/>
  <c r="WX179" i="4"/>
  <c r="WY179" i="4" s="1"/>
  <c r="WV179" i="4"/>
  <c r="WW179" i="4" s="1"/>
  <c r="WL179" i="4"/>
  <c r="WM179" i="4" s="1"/>
  <c r="WR179" i="4"/>
  <c r="WS179" i="4" s="1"/>
  <c r="WF179" i="4"/>
  <c r="WG179" i="4" s="1"/>
  <c r="WN179" i="4"/>
  <c r="WO179" i="4" s="1"/>
  <c r="WP309" i="4"/>
  <c r="WQ309" i="4" s="1"/>
  <c r="WN309" i="4"/>
  <c r="WO309" i="4" s="1"/>
  <c r="WF309" i="4"/>
  <c r="WG309" i="4" s="1"/>
  <c r="WL309" i="4"/>
  <c r="WM309" i="4" s="1"/>
  <c r="WV309" i="4"/>
  <c r="WW309" i="4" s="1"/>
  <c r="WH309" i="4"/>
  <c r="WI309" i="4" s="1"/>
  <c r="WJ309" i="4"/>
  <c r="WK309" i="4" s="1"/>
  <c r="WR309" i="4"/>
  <c r="WS309" i="4" s="1"/>
  <c r="WT309" i="4"/>
  <c r="WU309" i="4" s="1"/>
  <c r="WX309" i="4"/>
  <c r="WY309" i="4" s="1"/>
  <c r="WJ289" i="4"/>
  <c r="WK289" i="4" s="1"/>
  <c r="WF289" i="4"/>
  <c r="WG289" i="4" s="1"/>
  <c r="WR289" i="4"/>
  <c r="WS289" i="4" s="1"/>
  <c r="WX289" i="4"/>
  <c r="WY289" i="4" s="1"/>
  <c r="WT289" i="4"/>
  <c r="WU289" i="4" s="1"/>
  <c r="WL289" i="4"/>
  <c r="WM289" i="4" s="1"/>
  <c r="WN289" i="4"/>
  <c r="WO289" i="4" s="1"/>
  <c r="WH289" i="4"/>
  <c r="WI289" i="4" s="1"/>
  <c r="WV289" i="4"/>
  <c r="WW289" i="4" s="1"/>
  <c r="WP289" i="4"/>
  <c r="WQ289" i="4" s="1"/>
  <c r="WR267" i="4"/>
  <c r="WS267" i="4" s="1"/>
  <c r="WN267" i="4"/>
  <c r="WO267" i="4" s="1"/>
  <c r="WF267" i="4"/>
  <c r="WG267" i="4" s="1"/>
  <c r="WX267" i="4"/>
  <c r="WY267" i="4" s="1"/>
  <c r="WJ267" i="4"/>
  <c r="WK267" i="4" s="1"/>
  <c r="WV267" i="4"/>
  <c r="WW267" i="4" s="1"/>
  <c r="WP267" i="4"/>
  <c r="WQ267" i="4" s="1"/>
  <c r="WT267" i="4"/>
  <c r="WU267" i="4" s="1"/>
  <c r="WL267" i="4"/>
  <c r="WM267" i="4" s="1"/>
  <c r="WH267" i="4"/>
  <c r="WI267" i="4" s="1"/>
  <c r="WP263" i="4"/>
  <c r="WQ263" i="4" s="1"/>
  <c r="WT263" i="4"/>
  <c r="WU263" i="4" s="1"/>
  <c r="WV263" i="4"/>
  <c r="WW263" i="4" s="1"/>
  <c r="WR263" i="4"/>
  <c r="WS263" i="4" s="1"/>
  <c r="WX263" i="4"/>
  <c r="WY263" i="4" s="1"/>
  <c r="WJ263" i="4"/>
  <c r="WK263" i="4" s="1"/>
  <c r="WN263" i="4"/>
  <c r="WO263" i="4" s="1"/>
  <c r="WH263" i="4"/>
  <c r="WI263" i="4" s="1"/>
  <c r="WL263" i="4"/>
  <c r="WM263" i="4" s="1"/>
  <c r="WH343" i="4"/>
  <c r="WI343" i="4" s="1"/>
  <c r="WX343" i="4"/>
  <c r="WY343" i="4" s="1"/>
  <c r="WR343" i="4"/>
  <c r="WS343" i="4" s="1"/>
  <c r="WL343" i="4"/>
  <c r="WM343" i="4" s="1"/>
  <c r="WP343" i="4"/>
  <c r="WQ343" i="4" s="1"/>
  <c r="WT343" i="4"/>
  <c r="WU343" i="4" s="1"/>
  <c r="WN343" i="4"/>
  <c r="WO343" i="4" s="1"/>
  <c r="WV343" i="4"/>
  <c r="WW343" i="4" s="1"/>
  <c r="WJ343" i="4"/>
  <c r="WK343" i="4" s="1"/>
  <c r="KU117" i="4"/>
  <c r="QB40" i="4" s="1"/>
  <c r="KU102" i="4"/>
  <c r="QB13" i="4" s="1"/>
  <c r="KU106" i="4"/>
  <c r="QB18" i="4" s="1"/>
  <c r="KU110" i="4"/>
  <c r="QB27" i="4" s="1"/>
  <c r="KU103" i="4"/>
  <c r="QB14" i="4" s="1"/>
  <c r="WJ362" i="4"/>
  <c r="WK362" i="4" s="1"/>
  <c r="WN362" i="4"/>
  <c r="WO362" i="4" s="1"/>
  <c r="WX362" i="4"/>
  <c r="WY362" i="4" s="1"/>
  <c r="WH362" i="4"/>
  <c r="WI362" i="4" s="1"/>
  <c r="WL362" i="4"/>
  <c r="WM362" i="4" s="1"/>
  <c r="WR362" i="4"/>
  <c r="WS362" i="4" s="1"/>
  <c r="WV362" i="4"/>
  <c r="WW362" i="4" s="1"/>
  <c r="WP362" i="4"/>
  <c r="WQ362" i="4" s="1"/>
  <c r="WT362" i="4"/>
  <c r="WU362" i="4" s="1"/>
  <c r="WF362" i="4"/>
  <c r="WG362" i="4" s="1"/>
  <c r="WT108" i="4"/>
  <c r="WU108" i="4" s="1"/>
  <c r="WN108" i="4"/>
  <c r="WO108" i="4" s="1"/>
  <c r="WP108" i="4"/>
  <c r="WQ108" i="4" s="1"/>
  <c r="WL108" i="4"/>
  <c r="WM108" i="4" s="1"/>
  <c r="WV108" i="4"/>
  <c r="WW108" i="4" s="1"/>
  <c r="WH108" i="4"/>
  <c r="WI108" i="4" s="1"/>
  <c r="WF108" i="4"/>
  <c r="WG108" i="4" s="1"/>
  <c r="WJ108" i="4"/>
  <c r="WK108" i="4" s="1"/>
  <c r="WX108" i="4"/>
  <c r="WY108" i="4" s="1"/>
  <c r="WR108" i="4"/>
  <c r="WS108" i="4" s="1"/>
  <c r="WF341" i="4"/>
  <c r="WG341" i="4" s="1"/>
  <c r="WL341" i="4"/>
  <c r="WM341" i="4" s="1"/>
  <c r="WH341" i="4"/>
  <c r="WI341" i="4" s="1"/>
  <c r="WP341" i="4"/>
  <c r="WQ341" i="4" s="1"/>
  <c r="WV341" i="4"/>
  <c r="WW341" i="4" s="1"/>
  <c r="WR341" i="4"/>
  <c r="WS341" i="4" s="1"/>
  <c r="WX341" i="4"/>
  <c r="WY341" i="4" s="1"/>
  <c r="WN341" i="4"/>
  <c r="WO341" i="4" s="1"/>
  <c r="WJ341" i="4"/>
  <c r="WK341" i="4" s="1"/>
  <c r="WT341" i="4"/>
  <c r="WU341" i="4" s="1"/>
  <c r="WF137" i="4"/>
  <c r="WG137" i="4" s="1"/>
  <c r="WN137" i="4"/>
  <c r="WO137" i="4" s="1"/>
  <c r="WH137" i="4"/>
  <c r="WI137" i="4" s="1"/>
  <c r="WT137" i="4"/>
  <c r="WU137" i="4" s="1"/>
  <c r="WJ137" i="4"/>
  <c r="WK137" i="4" s="1"/>
  <c r="WR137" i="4"/>
  <c r="WS137" i="4" s="1"/>
  <c r="WL137" i="4"/>
  <c r="WM137" i="4" s="1"/>
  <c r="WV137" i="4"/>
  <c r="WW137" i="4" s="1"/>
  <c r="WP137" i="4"/>
  <c r="WQ137" i="4" s="1"/>
  <c r="WX137" i="4"/>
  <c r="WY137" i="4" s="1"/>
  <c r="WP287" i="4"/>
  <c r="WQ287" i="4" s="1"/>
  <c r="WN287" i="4"/>
  <c r="WO287" i="4" s="1"/>
  <c r="WJ287" i="4"/>
  <c r="WK287" i="4" s="1"/>
  <c r="WL287" i="4"/>
  <c r="WM287" i="4" s="1"/>
  <c r="WT287" i="4"/>
  <c r="WU287" i="4" s="1"/>
  <c r="WF287" i="4"/>
  <c r="WG287" i="4" s="1"/>
  <c r="WX287" i="4"/>
  <c r="WY287" i="4" s="1"/>
  <c r="WV287" i="4"/>
  <c r="WW287" i="4" s="1"/>
  <c r="WR287" i="4"/>
  <c r="WS287" i="4" s="1"/>
  <c r="WJ344" i="4"/>
  <c r="WK344" i="4" s="1"/>
  <c r="WH344" i="4"/>
  <c r="WI344" i="4" s="1"/>
  <c r="WX344" i="4"/>
  <c r="WY344" i="4" s="1"/>
  <c r="WR344" i="4"/>
  <c r="WS344" i="4" s="1"/>
  <c r="WP344" i="4"/>
  <c r="WQ344" i="4" s="1"/>
  <c r="WF344" i="4"/>
  <c r="WG344" i="4" s="1"/>
  <c r="WN344" i="4"/>
  <c r="WO344" i="4" s="1"/>
  <c r="WL344" i="4"/>
  <c r="WM344" i="4" s="1"/>
  <c r="WV344" i="4"/>
  <c r="WW344" i="4" s="1"/>
  <c r="WT344" i="4"/>
  <c r="WU344" i="4" s="1"/>
  <c r="WV331" i="4"/>
  <c r="WW331" i="4" s="1"/>
  <c r="WJ331" i="4"/>
  <c r="WK331" i="4" s="1"/>
  <c r="WP331" i="4"/>
  <c r="WQ331" i="4" s="1"/>
  <c r="WL331" i="4"/>
  <c r="WM331" i="4" s="1"/>
  <c r="WR331" i="4"/>
  <c r="WS331" i="4" s="1"/>
  <c r="WH331" i="4"/>
  <c r="WI331" i="4" s="1"/>
  <c r="WX331" i="4"/>
  <c r="WY331" i="4" s="1"/>
  <c r="WN331" i="4"/>
  <c r="WO331" i="4" s="1"/>
  <c r="WT331" i="4"/>
  <c r="WU331" i="4" s="1"/>
  <c r="WX307" i="4"/>
  <c r="WY307" i="4" s="1"/>
  <c r="WP307" i="4"/>
  <c r="WQ307" i="4" s="1"/>
  <c r="WR307" i="4"/>
  <c r="WS307" i="4" s="1"/>
  <c r="WV307" i="4"/>
  <c r="WW307" i="4" s="1"/>
  <c r="WL307" i="4"/>
  <c r="WM307" i="4" s="1"/>
  <c r="WN307" i="4"/>
  <c r="WO307" i="4" s="1"/>
  <c r="WJ307" i="4"/>
  <c r="WK307" i="4" s="1"/>
  <c r="WT307" i="4"/>
  <c r="WU307" i="4" s="1"/>
  <c r="WH307" i="4"/>
  <c r="WI307" i="4" s="1"/>
  <c r="WJ313" i="4"/>
  <c r="WK313" i="4" s="1"/>
  <c r="WV313" i="4"/>
  <c r="WW313" i="4" s="1"/>
  <c r="WN313" i="4"/>
  <c r="WO313" i="4" s="1"/>
  <c r="WX313" i="4"/>
  <c r="WY313" i="4" s="1"/>
  <c r="WL313" i="4"/>
  <c r="WM313" i="4" s="1"/>
  <c r="WP313" i="4"/>
  <c r="WQ313" i="4" s="1"/>
  <c r="WT313" i="4"/>
  <c r="WU313" i="4" s="1"/>
  <c r="WH313" i="4"/>
  <c r="WI313" i="4" s="1"/>
  <c r="WF313" i="4"/>
  <c r="WG313" i="4" s="1"/>
  <c r="WR313" i="4"/>
  <c r="WS313" i="4" s="1"/>
  <c r="WH58" i="4"/>
  <c r="WI58" i="4" s="1"/>
  <c r="WX58" i="4"/>
  <c r="WY58" i="4" s="1"/>
  <c r="WP58" i="4"/>
  <c r="WQ58" i="4" s="1"/>
  <c r="WF58" i="4"/>
  <c r="WG58" i="4" s="1"/>
  <c r="WV58" i="4"/>
  <c r="WW58" i="4" s="1"/>
  <c r="WR58" i="4"/>
  <c r="WS58" i="4" s="1"/>
  <c r="WL58" i="4"/>
  <c r="WM58" i="4" s="1"/>
  <c r="WN58" i="4"/>
  <c r="WO58" i="4" s="1"/>
  <c r="WT58" i="4"/>
  <c r="WU58" i="4" s="1"/>
  <c r="WJ58" i="4"/>
  <c r="WK58" i="4" s="1"/>
  <c r="WH65" i="4"/>
  <c r="WI65" i="4" s="1"/>
  <c r="WT65" i="4"/>
  <c r="WU65" i="4" s="1"/>
  <c r="WJ65" i="4"/>
  <c r="WK65" i="4" s="1"/>
  <c r="WL65" i="4"/>
  <c r="WM65" i="4" s="1"/>
  <c r="WF65" i="4"/>
  <c r="WG65" i="4" s="1"/>
  <c r="WP65" i="4"/>
  <c r="WQ65" i="4" s="1"/>
  <c r="WN65" i="4"/>
  <c r="WO65" i="4" s="1"/>
  <c r="WR65" i="4"/>
  <c r="WS65" i="4" s="1"/>
  <c r="WX65" i="4"/>
  <c r="WY65" i="4" s="1"/>
  <c r="WV65" i="4"/>
  <c r="WW65" i="4" s="1"/>
  <c r="WH172" i="4"/>
  <c r="WI172" i="4" s="1"/>
  <c r="WX172" i="4"/>
  <c r="WY172" i="4" s="1"/>
  <c r="WJ172" i="4"/>
  <c r="WK172" i="4" s="1"/>
  <c r="WN172" i="4"/>
  <c r="WO172" i="4" s="1"/>
  <c r="WT172" i="4"/>
  <c r="WU172" i="4" s="1"/>
  <c r="WP172" i="4"/>
  <c r="WQ172" i="4" s="1"/>
  <c r="WR172" i="4"/>
  <c r="WS172" i="4" s="1"/>
  <c r="WF172" i="4"/>
  <c r="WG172" i="4" s="1"/>
  <c r="WV172" i="4"/>
  <c r="WW172" i="4" s="1"/>
  <c r="WL172" i="4"/>
  <c r="WM172" i="4" s="1"/>
  <c r="WP66" i="4"/>
  <c r="WQ66" i="4" s="1"/>
  <c r="WL66" i="4"/>
  <c r="WM66" i="4" s="1"/>
  <c r="WF66" i="4"/>
  <c r="WG66" i="4" s="1"/>
  <c r="WJ66" i="4"/>
  <c r="WK66" i="4" s="1"/>
  <c r="WV66" i="4"/>
  <c r="WW66" i="4" s="1"/>
  <c r="WH66" i="4"/>
  <c r="WI66" i="4" s="1"/>
  <c r="WN66" i="4"/>
  <c r="WO66" i="4" s="1"/>
  <c r="WX66" i="4"/>
  <c r="WY66" i="4" s="1"/>
  <c r="WT66" i="4"/>
  <c r="WU66" i="4" s="1"/>
  <c r="WR66" i="4"/>
  <c r="WS66" i="4" s="1"/>
  <c r="WF251" i="4"/>
  <c r="WG251" i="4" s="1"/>
  <c r="WR251" i="4"/>
  <c r="WS251" i="4" s="1"/>
  <c r="WH251" i="4"/>
  <c r="WI251" i="4" s="1"/>
  <c r="WT251" i="4"/>
  <c r="WU251" i="4" s="1"/>
  <c r="WV251" i="4"/>
  <c r="WW251" i="4" s="1"/>
  <c r="WJ251" i="4"/>
  <c r="WK251" i="4" s="1"/>
  <c r="WX251" i="4"/>
  <c r="WY251" i="4" s="1"/>
  <c r="WP251" i="4"/>
  <c r="WQ251" i="4" s="1"/>
  <c r="WL251" i="4"/>
  <c r="WM251" i="4" s="1"/>
  <c r="WP127" i="4"/>
  <c r="WQ127" i="4" s="1"/>
  <c r="WT127" i="4"/>
  <c r="WU127" i="4" s="1"/>
  <c r="WX127" i="4"/>
  <c r="WY127" i="4" s="1"/>
  <c r="WH127" i="4"/>
  <c r="WI127" i="4" s="1"/>
  <c r="WF127" i="4"/>
  <c r="WG127" i="4" s="1"/>
  <c r="WR127" i="4"/>
  <c r="WS127" i="4" s="1"/>
  <c r="WL127" i="4"/>
  <c r="WM127" i="4" s="1"/>
  <c r="WJ127" i="4"/>
  <c r="WK127" i="4" s="1"/>
  <c r="WV127" i="4"/>
  <c r="WW127" i="4" s="1"/>
  <c r="WR15" i="4"/>
  <c r="WS15" i="4" s="1"/>
  <c r="WX15" i="4"/>
  <c r="WY15" i="4" s="1"/>
  <c r="WF15" i="4"/>
  <c r="WG15" i="4" s="1"/>
  <c r="WL15" i="4"/>
  <c r="WM15" i="4" s="1"/>
  <c r="WP15" i="4"/>
  <c r="WQ15" i="4" s="1"/>
  <c r="WH15" i="4"/>
  <c r="WI15" i="4" s="1"/>
  <c r="WT15" i="4"/>
  <c r="WU15" i="4" s="1"/>
  <c r="WJ15" i="4"/>
  <c r="WK15" i="4" s="1"/>
  <c r="WV15" i="4"/>
  <c r="WW15" i="4" s="1"/>
  <c r="WR249" i="4"/>
  <c r="WS249" i="4" s="1"/>
  <c r="WN249" i="4"/>
  <c r="WO249" i="4" s="1"/>
  <c r="WX249" i="4"/>
  <c r="WY249" i="4" s="1"/>
  <c r="WT249" i="4"/>
  <c r="WU249" i="4" s="1"/>
  <c r="WP249" i="4"/>
  <c r="WQ249" i="4" s="1"/>
  <c r="WH249" i="4"/>
  <c r="WI249" i="4" s="1"/>
  <c r="WJ249" i="4"/>
  <c r="WK249" i="4" s="1"/>
  <c r="WV249" i="4"/>
  <c r="WW249" i="4" s="1"/>
  <c r="WL249" i="4"/>
  <c r="WM249" i="4" s="1"/>
  <c r="WF249" i="4"/>
  <c r="WG249" i="4" s="1"/>
  <c r="WX265" i="4"/>
  <c r="WY265" i="4" s="1"/>
  <c r="WP265" i="4"/>
  <c r="WQ265" i="4" s="1"/>
  <c r="WJ265" i="4"/>
  <c r="WK265" i="4" s="1"/>
  <c r="WF265" i="4"/>
  <c r="WG265" i="4" s="1"/>
  <c r="WV265" i="4"/>
  <c r="WW265" i="4" s="1"/>
  <c r="WH265" i="4"/>
  <c r="WI265" i="4" s="1"/>
  <c r="WN265" i="4"/>
  <c r="WO265" i="4" s="1"/>
  <c r="WR265" i="4"/>
  <c r="WS265" i="4" s="1"/>
  <c r="WT265" i="4"/>
  <c r="WU265" i="4" s="1"/>
  <c r="WL265" i="4"/>
  <c r="WM265" i="4" s="1"/>
  <c r="WR17" i="4"/>
  <c r="WS17" i="4" s="1"/>
  <c r="WV17" i="4"/>
  <c r="WW17" i="4" s="1"/>
  <c r="WP17" i="4"/>
  <c r="WQ17" i="4" s="1"/>
  <c r="WL17" i="4"/>
  <c r="WM17" i="4" s="1"/>
  <c r="WX17" i="4"/>
  <c r="WY17" i="4" s="1"/>
  <c r="WH17" i="4"/>
  <c r="WI17" i="4" s="1"/>
  <c r="WF17" i="4"/>
  <c r="WG17" i="4" s="1"/>
  <c r="WT17" i="4"/>
  <c r="WU17" i="4" s="1"/>
  <c r="WN17" i="4"/>
  <c r="WO17" i="4" s="1"/>
  <c r="WR201" i="4"/>
  <c r="WS201" i="4" s="1"/>
  <c r="WP201" i="4"/>
  <c r="WQ201" i="4" s="1"/>
  <c r="WH201" i="4"/>
  <c r="WI201" i="4" s="1"/>
  <c r="WL201" i="4"/>
  <c r="WM201" i="4" s="1"/>
  <c r="WF201" i="4"/>
  <c r="WG201" i="4" s="1"/>
  <c r="WT201" i="4"/>
  <c r="WU201" i="4" s="1"/>
  <c r="WJ201" i="4"/>
  <c r="WK201" i="4" s="1"/>
  <c r="WX201" i="4"/>
  <c r="WY201" i="4" s="1"/>
  <c r="WV201" i="4"/>
  <c r="WW201" i="4" s="1"/>
  <c r="WX53" i="4"/>
  <c r="WY53" i="4" s="1"/>
  <c r="WJ53" i="4"/>
  <c r="WK53" i="4" s="1"/>
  <c r="WP53" i="4"/>
  <c r="WQ53" i="4" s="1"/>
  <c r="WR53" i="4"/>
  <c r="WS53" i="4" s="1"/>
  <c r="WL53" i="4"/>
  <c r="WM53" i="4" s="1"/>
  <c r="WN53" i="4"/>
  <c r="WO53" i="4" s="1"/>
  <c r="WT53" i="4"/>
  <c r="WU53" i="4" s="1"/>
  <c r="WH53" i="4"/>
  <c r="WI53" i="4" s="1"/>
  <c r="WF53" i="4"/>
  <c r="WG53" i="4" s="1"/>
  <c r="WV53" i="4"/>
  <c r="WW53" i="4" s="1"/>
  <c r="WR300" i="4"/>
  <c r="WS300" i="4" s="1"/>
  <c r="WL300" i="4"/>
  <c r="WM300" i="4" s="1"/>
  <c r="WN300" i="4"/>
  <c r="WO300" i="4" s="1"/>
  <c r="WP300" i="4"/>
  <c r="WQ300" i="4" s="1"/>
  <c r="WH300" i="4"/>
  <c r="WI300" i="4" s="1"/>
  <c r="WV300" i="4"/>
  <c r="WW300" i="4" s="1"/>
  <c r="WX300" i="4"/>
  <c r="WY300" i="4" s="1"/>
  <c r="WJ300" i="4"/>
  <c r="WK300" i="4" s="1"/>
  <c r="WT300" i="4"/>
  <c r="WU300" i="4" s="1"/>
  <c r="WL321" i="4"/>
  <c r="WM321" i="4" s="1"/>
  <c r="WH321" i="4"/>
  <c r="WI321" i="4" s="1"/>
  <c r="WJ321" i="4"/>
  <c r="WK321" i="4" s="1"/>
  <c r="WV321" i="4"/>
  <c r="WW321" i="4" s="1"/>
  <c r="WF321" i="4"/>
  <c r="WG321" i="4" s="1"/>
  <c r="WN321" i="4"/>
  <c r="WO321" i="4" s="1"/>
  <c r="WR321" i="4"/>
  <c r="WS321" i="4" s="1"/>
  <c r="WT321" i="4"/>
  <c r="WU321" i="4" s="1"/>
  <c r="WX321" i="4"/>
  <c r="WY321" i="4" s="1"/>
  <c r="WP321" i="4"/>
  <c r="WQ321" i="4" s="1"/>
  <c r="WN276" i="4"/>
  <c r="WO276" i="4" s="1"/>
  <c r="WV276" i="4"/>
  <c r="WW276" i="4" s="1"/>
  <c r="WJ276" i="4"/>
  <c r="WK276" i="4" s="1"/>
  <c r="WT276" i="4"/>
  <c r="WU276" i="4" s="1"/>
  <c r="WP276" i="4"/>
  <c r="WQ276" i="4" s="1"/>
  <c r="WX276" i="4"/>
  <c r="WY276" i="4" s="1"/>
  <c r="WL276" i="4"/>
  <c r="WM276" i="4" s="1"/>
  <c r="WH276" i="4"/>
  <c r="WI276" i="4" s="1"/>
  <c r="WR276" i="4"/>
  <c r="WS276" i="4" s="1"/>
  <c r="WT139" i="4"/>
  <c r="WU139" i="4" s="1"/>
  <c r="WN139" i="4"/>
  <c r="WO139" i="4" s="1"/>
  <c r="WP139" i="4"/>
  <c r="WQ139" i="4" s="1"/>
  <c r="WH139" i="4"/>
  <c r="WI139" i="4" s="1"/>
  <c r="WV139" i="4"/>
  <c r="WW139" i="4" s="1"/>
  <c r="WL139" i="4"/>
  <c r="WM139" i="4" s="1"/>
  <c r="WR139" i="4"/>
  <c r="WS139" i="4" s="1"/>
  <c r="WJ139" i="4"/>
  <c r="WK139" i="4" s="1"/>
  <c r="WX139" i="4"/>
  <c r="WY139" i="4" s="1"/>
  <c r="WN361" i="4"/>
  <c r="WO361" i="4" s="1"/>
  <c r="WX361" i="4"/>
  <c r="WY361" i="4" s="1"/>
  <c r="WJ361" i="4"/>
  <c r="WK361" i="4" s="1"/>
  <c r="WR361" i="4"/>
  <c r="WS361" i="4" s="1"/>
  <c r="WL361" i="4"/>
  <c r="WM361" i="4" s="1"/>
  <c r="WV361" i="4"/>
  <c r="WW361" i="4" s="1"/>
  <c r="WF361" i="4"/>
  <c r="WG361" i="4" s="1"/>
  <c r="WT361" i="4"/>
  <c r="WU361" i="4" s="1"/>
  <c r="WP361" i="4"/>
  <c r="WQ361" i="4" s="1"/>
  <c r="WH257" i="4"/>
  <c r="WI257" i="4" s="1"/>
  <c r="WT257" i="4"/>
  <c r="WU257" i="4" s="1"/>
  <c r="WN257" i="4"/>
  <c r="WO257" i="4" s="1"/>
  <c r="WR257" i="4"/>
  <c r="WS257" i="4" s="1"/>
  <c r="WJ257" i="4"/>
  <c r="WK257" i="4" s="1"/>
  <c r="WX257" i="4"/>
  <c r="WY257" i="4" s="1"/>
  <c r="WL257" i="4"/>
  <c r="WM257" i="4" s="1"/>
  <c r="WV257" i="4"/>
  <c r="WW257" i="4" s="1"/>
  <c r="WP257" i="4"/>
  <c r="WQ257" i="4" s="1"/>
  <c r="WF339" i="4"/>
  <c r="WG339" i="4" s="1"/>
  <c r="WH339" i="4"/>
  <c r="WI339" i="4" s="1"/>
  <c r="WJ339" i="4"/>
  <c r="WK339" i="4" s="1"/>
  <c r="WP339" i="4"/>
  <c r="WQ339" i="4" s="1"/>
  <c r="WT339" i="4"/>
  <c r="WU339" i="4" s="1"/>
  <c r="WR339" i="4"/>
  <c r="WS339" i="4" s="1"/>
  <c r="WV339" i="4"/>
  <c r="WW339" i="4" s="1"/>
  <c r="WX339" i="4"/>
  <c r="WY339" i="4" s="1"/>
  <c r="WN339" i="4"/>
  <c r="WO339" i="4" s="1"/>
  <c r="WL339" i="4"/>
  <c r="WM339" i="4" s="1"/>
  <c r="WH352" i="4"/>
  <c r="WI352" i="4" s="1"/>
  <c r="WL352" i="4"/>
  <c r="WM352" i="4" s="1"/>
  <c r="WR352" i="4"/>
  <c r="WS352" i="4" s="1"/>
  <c r="WT352" i="4"/>
  <c r="WU352" i="4" s="1"/>
  <c r="WN352" i="4"/>
  <c r="WO352" i="4" s="1"/>
  <c r="WF352" i="4"/>
  <c r="WG352" i="4" s="1"/>
  <c r="WV352" i="4"/>
  <c r="WW352" i="4" s="1"/>
  <c r="WJ352" i="4"/>
  <c r="WK352" i="4" s="1"/>
  <c r="WX352" i="4"/>
  <c r="WY352" i="4" s="1"/>
  <c r="WP352" i="4"/>
  <c r="WQ352" i="4" s="1"/>
  <c r="WH68" i="4"/>
  <c r="WI68" i="4" s="1"/>
  <c r="WV68" i="4"/>
  <c r="WW68" i="4" s="1"/>
  <c r="WP68" i="4"/>
  <c r="WQ68" i="4" s="1"/>
  <c r="WX68" i="4"/>
  <c r="WY68" i="4" s="1"/>
  <c r="WN68" i="4"/>
  <c r="WO68" i="4" s="1"/>
  <c r="WL68" i="4"/>
  <c r="WM68" i="4" s="1"/>
  <c r="WF68" i="4"/>
  <c r="WG68" i="4" s="1"/>
  <c r="WT68" i="4"/>
  <c r="WU68" i="4" s="1"/>
  <c r="WR68" i="4"/>
  <c r="WS68" i="4" s="1"/>
  <c r="WJ68" i="4"/>
  <c r="WK68" i="4" s="1"/>
  <c r="WF295" i="4"/>
  <c r="WG295" i="4" s="1"/>
  <c r="WL295" i="4"/>
  <c r="WM295" i="4" s="1"/>
  <c r="WX295" i="4"/>
  <c r="WY295" i="4" s="1"/>
  <c r="WT295" i="4"/>
  <c r="WU295" i="4" s="1"/>
  <c r="WP295" i="4"/>
  <c r="WQ295" i="4" s="1"/>
  <c r="WR295" i="4"/>
  <c r="WS295" i="4" s="1"/>
  <c r="WN295" i="4"/>
  <c r="WO295" i="4" s="1"/>
  <c r="WH295" i="4"/>
  <c r="WI295" i="4" s="1"/>
  <c r="WV295" i="4"/>
  <c r="WW295" i="4" s="1"/>
  <c r="WJ295" i="4"/>
  <c r="WK295" i="4" s="1"/>
  <c r="WT14" i="4"/>
  <c r="WU14" i="4" s="1"/>
  <c r="WR14" i="4"/>
  <c r="WS14" i="4" s="1"/>
  <c r="WH14" i="4"/>
  <c r="WI14" i="4" s="1"/>
  <c r="WN14" i="4"/>
  <c r="WO14" i="4" s="1"/>
  <c r="WJ14" i="4"/>
  <c r="WK14" i="4" s="1"/>
  <c r="WL14" i="4"/>
  <c r="WM14" i="4" s="1"/>
  <c r="WX14" i="4"/>
  <c r="WY14" i="4" s="1"/>
  <c r="WV14" i="4"/>
  <c r="WW14" i="4" s="1"/>
  <c r="WP14" i="4"/>
  <c r="WQ14" i="4" s="1"/>
  <c r="WF14" i="4"/>
  <c r="WG14" i="4" s="1"/>
  <c r="WR59" i="4"/>
  <c r="WS59" i="4" s="1"/>
  <c r="WX59" i="4"/>
  <c r="WY59" i="4" s="1"/>
  <c r="WL59" i="4"/>
  <c r="WM59" i="4" s="1"/>
  <c r="WH59" i="4"/>
  <c r="WI59" i="4" s="1"/>
  <c r="WF59" i="4"/>
  <c r="WG59" i="4" s="1"/>
  <c r="WV59" i="4"/>
  <c r="WW59" i="4" s="1"/>
  <c r="WT59" i="4"/>
  <c r="WU59" i="4" s="1"/>
  <c r="WP59" i="4"/>
  <c r="WQ59" i="4" s="1"/>
  <c r="WN59" i="4"/>
  <c r="WO59" i="4" s="1"/>
  <c r="WJ59" i="4"/>
  <c r="WK59" i="4" s="1"/>
  <c r="WT107" i="4"/>
  <c r="WU107" i="4" s="1"/>
  <c r="WR107" i="4"/>
  <c r="WS107" i="4" s="1"/>
  <c r="WL107" i="4"/>
  <c r="WM107" i="4" s="1"/>
  <c r="WN107" i="4"/>
  <c r="WO107" i="4" s="1"/>
  <c r="WX107" i="4"/>
  <c r="WY107" i="4" s="1"/>
  <c r="WH107" i="4"/>
  <c r="WI107" i="4" s="1"/>
  <c r="WV107" i="4"/>
  <c r="WW107" i="4" s="1"/>
  <c r="WP107" i="4"/>
  <c r="WQ107" i="4" s="1"/>
  <c r="WJ107" i="4"/>
  <c r="WK107" i="4" s="1"/>
  <c r="WF107" i="4"/>
  <c r="WG107" i="4" s="1"/>
  <c r="WR36" i="4"/>
  <c r="WS36" i="4" s="1"/>
  <c r="WV36" i="4"/>
  <c r="WW36" i="4" s="1"/>
  <c r="WX36" i="4"/>
  <c r="WY36" i="4" s="1"/>
  <c r="WT36" i="4"/>
  <c r="WU36" i="4" s="1"/>
  <c r="WL36" i="4"/>
  <c r="WM36" i="4" s="1"/>
  <c r="WF36" i="4"/>
  <c r="WG36" i="4" s="1"/>
  <c r="WJ36" i="4"/>
  <c r="WK36" i="4" s="1"/>
  <c r="WP36" i="4"/>
  <c r="WQ36" i="4" s="1"/>
  <c r="WN36" i="4"/>
  <c r="WO36" i="4" s="1"/>
  <c r="WH86" i="4"/>
  <c r="WI86" i="4" s="1"/>
  <c r="WP86" i="4"/>
  <c r="WQ86" i="4" s="1"/>
  <c r="WT86" i="4"/>
  <c r="WU86" i="4" s="1"/>
  <c r="WR86" i="4"/>
  <c r="WS86" i="4" s="1"/>
  <c r="WV86" i="4"/>
  <c r="WW86" i="4" s="1"/>
  <c r="WX86" i="4"/>
  <c r="WY86" i="4" s="1"/>
  <c r="WN86" i="4"/>
  <c r="WO86" i="4" s="1"/>
  <c r="WL86" i="4"/>
  <c r="WM86" i="4" s="1"/>
  <c r="WF86" i="4"/>
  <c r="WG86" i="4" s="1"/>
  <c r="WJ86" i="4"/>
  <c r="WK86" i="4" s="1"/>
  <c r="WV51" i="4"/>
  <c r="WW51" i="4" s="1"/>
  <c r="WN51" i="4"/>
  <c r="WO51" i="4" s="1"/>
  <c r="WF51" i="4"/>
  <c r="WG51" i="4" s="1"/>
  <c r="WL51" i="4"/>
  <c r="WM51" i="4" s="1"/>
  <c r="WH51" i="4"/>
  <c r="WI51" i="4" s="1"/>
  <c r="WX51" i="4"/>
  <c r="WY51" i="4" s="1"/>
  <c r="WP51" i="4"/>
  <c r="WQ51" i="4" s="1"/>
  <c r="WJ51" i="4"/>
  <c r="WK51" i="4" s="1"/>
  <c r="WR51" i="4"/>
  <c r="WS51" i="4" s="1"/>
  <c r="WT51" i="4"/>
  <c r="WU51" i="4" s="1"/>
  <c r="WP27" i="4"/>
  <c r="WQ27" i="4" s="1"/>
  <c r="WR27" i="4"/>
  <c r="WS27" i="4" s="1"/>
  <c r="WV27" i="4"/>
  <c r="WW27" i="4" s="1"/>
  <c r="WF27" i="4"/>
  <c r="WG27" i="4" s="1"/>
  <c r="WH27" i="4"/>
  <c r="WI27" i="4" s="1"/>
  <c r="WX27" i="4"/>
  <c r="WY27" i="4" s="1"/>
  <c r="WN27" i="4"/>
  <c r="WO27" i="4" s="1"/>
  <c r="WT27" i="4"/>
  <c r="WU27" i="4" s="1"/>
  <c r="WJ27" i="4"/>
  <c r="WK27" i="4" s="1"/>
  <c r="WL27" i="4"/>
  <c r="WM27" i="4" s="1"/>
  <c r="WR57" i="4"/>
  <c r="WS57" i="4" s="1"/>
  <c r="WN57" i="4"/>
  <c r="WO57" i="4" s="1"/>
  <c r="WX57" i="4"/>
  <c r="WY57" i="4" s="1"/>
  <c r="WJ57" i="4"/>
  <c r="WK57" i="4" s="1"/>
  <c r="WV57" i="4"/>
  <c r="WW57" i="4" s="1"/>
  <c r="WP57" i="4"/>
  <c r="WQ57" i="4" s="1"/>
  <c r="WF57" i="4"/>
  <c r="WG57" i="4" s="1"/>
  <c r="WL57" i="4"/>
  <c r="WM57" i="4" s="1"/>
  <c r="WT57" i="4"/>
  <c r="WU57" i="4" s="1"/>
  <c r="WT117" i="4"/>
  <c r="WU117" i="4" s="1"/>
  <c r="WJ117" i="4"/>
  <c r="WK117" i="4" s="1"/>
  <c r="WR117" i="4"/>
  <c r="WS117" i="4" s="1"/>
  <c r="WH117" i="4"/>
  <c r="WI117" i="4" s="1"/>
  <c r="WF117" i="4"/>
  <c r="WG117" i="4" s="1"/>
  <c r="WN117" i="4"/>
  <c r="WO117" i="4" s="1"/>
  <c r="WV117" i="4"/>
  <c r="WW117" i="4" s="1"/>
  <c r="WX117" i="4"/>
  <c r="WY117" i="4" s="1"/>
  <c r="WP117" i="4"/>
  <c r="WQ117" i="4" s="1"/>
  <c r="WL117" i="4"/>
  <c r="WM117" i="4" s="1"/>
  <c r="WP298" i="4"/>
  <c r="WQ298" i="4" s="1"/>
  <c r="WV298" i="4"/>
  <c r="WW298" i="4" s="1"/>
  <c r="WL298" i="4"/>
  <c r="WM298" i="4" s="1"/>
  <c r="WX298" i="4"/>
  <c r="WY298" i="4" s="1"/>
  <c r="WT298" i="4"/>
  <c r="WU298" i="4" s="1"/>
  <c r="WR298" i="4"/>
  <c r="WS298" i="4" s="1"/>
  <c r="WN298" i="4"/>
  <c r="WO298" i="4" s="1"/>
  <c r="WJ298" i="4"/>
  <c r="WK298" i="4" s="1"/>
  <c r="WF298" i="4"/>
  <c r="WG298" i="4" s="1"/>
  <c r="KU127" i="4"/>
  <c r="QB44" i="4" s="1"/>
  <c r="WH335" i="4"/>
  <c r="WI335" i="4" s="1"/>
  <c r="WN335" i="4"/>
  <c r="WO335" i="4" s="1"/>
  <c r="WF335" i="4"/>
  <c r="WG335" i="4" s="1"/>
  <c r="WR335" i="4"/>
  <c r="WS335" i="4" s="1"/>
  <c r="WT335" i="4"/>
  <c r="WU335" i="4" s="1"/>
  <c r="WL335" i="4"/>
  <c r="WM335" i="4" s="1"/>
  <c r="WX335" i="4"/>
  <c r="WY335" i="4" s="1"/>
  <c r="WJ335" i="4"/>
  <c r="WK335" i="4" s="1"/>
  <c r="WV335" i="4"/>
  <c r="WW335" i="4" s="1"/>
  <c r="WP335" i="4"/>
  <c r="WQ335" i="4" s="1"/>
  <c r="WJ40" i="4"/>
  <c r="WK40" i="4" s="1"/>
  <c r="WV40" i="4"/>
  <c r="WW40" i="4" s="1"/>
  <c r="WN40" i="4"/>
  <c r="WO40" i="4" s="1"/>
  <c r="WT40" i="4"/>
  <c r="WU40" i="4" s="1"/>
  <c r="WF40" i="4"/>
  <c r="WG40" i="4" s="1"/>
  <c r="WH40" i="4"/>
  <c r="WI40" i="4" s="1"/>
  <c r="WX40" i="4"/>
  <c r="WY40" i="4" s="1"/>
  <c r="WR40" i="4"/>
  <c r="WS40" i="4" s="1"/>
  <c r="WP40" i="4"/>
  <c r="WQ40" i="4" s="1"/>
  <c r="WH138" i="4"/>
  <c r="WI138" i="4" s="1"/>
  <c r="WR138" i="4"/>
  <c r="WS138" i="4" s="1"/>
  <c r="WJ138" i="4"/>
  <c r="WK138" i="4" s="1"/>
  <c r="WX138" i="4"/>
  <c r="WY138" i="4" s="1"/>
  <c r="WN138" i="4"/>
  <c r="WO138" i="4" s="1"/>
  <c r="WT138" i="4"/>
  <c r="WU138" i="4" s="1"/>
  <c r="WL138" i="4"/>
  <c r="WM138" i="4" s="1"/>
  <c r="WF138" i="4"/>
  <c r="WG138" i="4" s="1"/>
  <c r="WP138" i="4"/>
  <c r="WQ138" i="4" s="1"/>
  <c r="WV138" i="4"/>
  <c r="WW138" i="4" s="1"/>
  <c r="WR306" i="4"/>
  <c r="WS306" i="4" s="1"/>
  <c r="WJ306" i="4"/>
  <c r="WK306" i="4" s="1"/>
  <c r="WP306" i="4"/>
  <c r="WQ306" i="4" s="1"/>
  <c r="WV306" i="4"/>
  <c r="WW306" i="4" s="1"/>
  <c r="WT306" i="4"/>
  <c r="WU306" i="4" s="1"/>
  <c r="WF306" i="4"/>
  <c r="WG306" i="4" s="1"/>
  <c r="WX306" i="4"/>
  <c r="WY306" i="4" s="1"/>
  <c r="WN306" i="4"/>
  <c r="WO306" i="4" s="1"/>
  <c r="WH306" i="4"/>
  <c r="WI306" i="4" s="1"/>
  <c r="WX102" i="4"/>
  <c r="WY102" i="4" s="1"/>
  <c r="WT102" i="4"/>
  <c r="WU102" i="4" s="1"/>
  <c r="WN102" i="4"/>
  <c r="WO102" i="4" s="1"/>
  <c r="WR102" i="4"/>
  <c r="WS102" i="4" s="1"/>
  <c r="WL102" i="4"/>
  <c r="WM102" i="4" s="1"/>
  <c r="WH102" i="4"/>
  <c r="WI102" i="4" s="1"/>
  <c r="WP102" i="4"/>
  <c r="WQ102" i="4" s="1"/>
  <c r="WV102" i="4"/>
  <c r="WW102" i="4" s="1"/>
  <c r="WJ102" i="4"/>
  <c r="WK102" i="4" s="1"/>
  <c r="WF102" i="4"/>
  <c r="WG102" i="4" s="1"/>
  <c r="WN109" i="4"/>
  <c r="WO109" i="4" s="1"/>
  <c r="WJ109" i="4"/>
  <c r="WK109" i="4" s="1"/>
  <c r="WR109" i="4"/>
  <c r="WS109" i="4" s="1"/>
  <c r="WL109" i="4"/>
  <c r="WM109" i="4" s="1"/>
  <c r="WH109" i="4"/>
  <c r="WI109" i="4" s="1"/>
  <c r="WT109" i="4"/>
  <c r="WU109" i="4" s="1"/>
  <c r="WX109" i="4"/>
  <c r="WY109" i="4" s="1"/>
  <c r="WF109" i="4"/>
  <c r="WG109" i="4" s="1"/>
  <c r="WV109" i="4"/>
  <c r="WW109" i="4" s="1"/>
  <c r="WP109" i="4"/>
  <c r="WQ109" i="4" s="1"/>
  <c r="WR318" i="4"/>
  <c r="WS318" i="4" s="1"/>
  <c r="WX318" i="4"/>
  <c r="WY318" i="4" s="1"/>
  <c r="WT318" i="4"/>
  <c r="WU318" i="4" s="1"/>
  <c r="WF318" i="4"/>
  <c r="WG318" i="4" s="1"/>
  <c r="WP318" i="4"/>
  <c r="WQ318" i="4" s="1"/>
  <c r="WL318" i="4"/>
  <c r="WM318" i="4" s="1"/>
  <c r="WJ318" i="4"/>
  <c r="WK318" i="4" s="1"/>
  <c r="WV318" i="4"/>
  <c r="WW318" i="4" s="1"/>
  <c r="WH318" i="4"/>
  <c r="WI318" i="4" s="1"/>
  <c r="WL56" i="4"/>
  <c r="WM56" i="4" s="1"/>
  <c r="WN56" i="4"/>
  <c r="WO56" i="4" s="1"/>
  <c r="WX56" i="4"/>
  <c r="WY56" i="4" s="1"/>
  <c r="WJ56" i="4"/>
  <c r="WK56" i="4" s="1"/>
  <c r="WV56" i="4"/>
  <c r="WW56" i="4" s="1"/>
  <c r="WF56" i="4"/>
  <c r="WG56" i="4" s="1"/>
  <c r="WT56" i="4"/>
  <c r="WU56" i="4" s="1"/>
  <c r="WP56" i="4"/>
  <c r="WQ56" i="4" s="1"/>
  <c r="WR56" i="4"/>
  <c r="WS56" i="4" s="1"/>
  <c r="WT204" i="4"/>
  <c r="WU204" i="4" s="1"/>
  <c r="WN204" i="4"/>
  <c r="WO204" i="4" s="1"/>
  <c r="WV204" i="4"/>
  <c r="WW204" i="4" s="1"/>
  <c r="WF204" i="4"/>
  <c r="WG204" i="4" s="1"/>
  <c r="WX204" i="4"/>
  <c r="WY204" i="4" s="1"/>
  <c r="WP204" i="4"/>
  <c r="WQ204" i="4" s="1"/>
  <c r="WR204" i="4"/>
  <c r="WS204" i="4" s="1"/>
  <c r="WH204" i="4"/>
  <c r="WI204" i="4" s="1"/>
  <c r="WL204" i="4"/>
  <c r="WM204" i="4" s="1"/>
  <c r="WX101" i="4"/>
  <c r="WY101" i="4" s="1"/>
  <c r="WN101" i="4"/>
  <c r="WO101" i="4" s="1"/>
  <c r="WV101" i="4"/>
  <c r="WW101" i="4" s="1"/>
  <c r="WT101" i="4"/>
  <c r="WU101" i="4" s="1"/>
  <c r="WP101" i="4"/>
  <c r="WQ101" i="4" s="1"/>
  <c r="WL101" i="4"/>
  <c r="WM101" i="4" s="1"/>
  <c r="WR101" i="4"/>
  <c r="WS101" i="4" s="1"/>
  <c r="WJ101" i="4"/>
  <c r="WK101" i="4" s="1"/>
  <c r="WF101" i="4"/>
  <c r="WG101" i="4" s="1"/>
  <c r="WF360" i="4"/>
  <c r="WG360" i="4" s="1"/>
  <c r="WR360" i="4"/>
  <c r="WS360" i="4" s="1"/>
  <c r="WP360" i="4"/>
  <c r="WQ360" i="4" s="1"/>
  <c r="WL360" i="4"/>
  <c r="WM360" i="4" s="1"/>
  <c r="WX360" i="4"/>
  <c r="WY360" i="4" s="1"/>
  <c r="WV360" i="4"/>
  <c r="WW360" i="4" s="1"/>
  <c r="WT360" i="4"/>
  <c r="WU360" i="4" s="1"/>
  <c r="WJ360" i="4"/>
  <c r="WK360" i="4" s="1"/>
  <c r="WH360" i="4"/>
  <c r="WI360" i="4" s="1"/>
  <c r="WN360" i="4"/>
  <c r="WO360" i="4" s="1"/>
  <c r="WL37" i="4"/>
  <c r="WM37" i="4" s="1"/>
  <c r="WH37" i="4"/>
  <c r="WI37" i="4" s="1"/>
  <c r="WR37" i="4"/>
  <c r="WS37" i="4" s="1"/>
  <c r="WV37" i="4"/>
  <c r="WW37" i="4" s="1"/>
  <c r="WF37" i="4"/>
  <c r="WG37" i="4" s="1"/>
  <c r="WX37" i="4"/>
  <c r="WY37" i="4" s="1"/>
  <c r="WT37" i="4"/>
  <c r="WU37" i="4" s="1"/>
  <c r="WP37" i="4"/>
  <c r="WQ37" i="4" s="1"/>
  <c r="WJ37" i="4"/>
  <c r="WK37" i="4" s="1"/>
  <c r="WT297" i="4"/>
  <c r="WU297" i="4" s="1"/>
  <c r="WX297" i="4"/>
  <c r="WY297" i="4" s="1"/>
  <c r="WF297" i="4"/>
  <c r="WG297" i="4" s="1"/>
  <c r="WV297" i="4"/>
  <c r="WW297" i="4" s="1"/>
  <c r="WR297" i="4"/>
  <c r="WS297" i="4" s="1"/>
  <c r="WJ297" i="4"/>
  <c r="WK297" i="4" s="1"/>
  <c r="WL297" i="4"/>
  <c r="WM297" i="4" s="1"/>
  <c r="WN297" i="4"/>
  <c r="WO297" i="4" s="1"/>
  <c r="WP297" i="4"/>
  <c r="WQ297" i="4" s="1"/>
  <c r="WL48" i="4"/>
  <c r="WM48" i="4" s="1"/>
  <c r="WX48" i="4"/>
  <c r="WY48" i="4" s="1"/>
  <c r="WP48" i="4"/>
  <c r="WQ48" i="4" s="1"/>
  <c r="WR48" i="4"/>
  <c r="WS48" i="4" s="1"/>
  <c r="WN48" i="4"/>
  <c r="WO48" i="4" s="1"/>
  <c r="WJ48" i="4"/>
  <c r="WK48" i="4" s="1"/>
  <c r="WT48" i="4"/>
  <c r="WU48" i="4" s="1"/>
  <c r="WV48" i="4"/>
  <c r="WW48" i="4" s="1"/>
  <c r="WH48" i="4"/>
  <c r="WI48" i="4" s="1"/>
  <c r="WJ351" i="4"/>
  <c r="WK351" i="4" s="1"/>
  <c r="WV351" i="4"/>
  <c r="WW351" i="4" s="1"/>
  <c r="WL351" i="4"/>
  <c r="WM351" i="4" s="1"/>
  <c r="WT351" i="4"/>
  <c r="WU351" i="4" s="1"/>
  <c r="WX351" i="4"/>
  <c r="WY351" i="4" s="1"/>
  <c r="WH351" i="4"/>
  <c r="WI351" i="4" s="1"/>
  <c r="WP351" i="4"/>
  <c r="WQ351" i="4" s="1"/>
  <c r="WN351" i="4"/>
  <c r="WO351" i="4" s="1"/>
  <c r="WR351" i="4"/>
  <c r="WS351" i="4" s="1"/>
  <c r="WF351" i="4"/>
  <c r="WG351" i="4" s="1"/>
  <c r="WX275" i="4"/>
  <c r="WY275" i="4" s="1"/>
  <c r="WL275" i="4"/>
  <c r="WM275" i="4" s="1"/>
  <c r="WH275" i="4"/>
  <c r="WI275" i="4" s="1"/>
  <c r="WN275" i="4"/>
  <c r="WO275" i="4" s="1"/>
  <c r="WR275" i="4"/>
  <c r="WS275" i="4" s="1"/>
  <c r="WV275" i="4"/>
  <c r="WW275" i="4" s="1"/>
  <c r="WT275" i="4"/>
  <c r="WU275" i="4" s="1"/>
  <c r="WF275" i="4"/>
  <c r="WG275" i="4" s="1"/>
  <c r="WP275" i="4"/>
  <c r="WQ275" i="4" s="1"/>
  <c r="WV342" i="4"/>
  <c r="WW342" i="4" s="1"/>
  <c r="WF342" i="4"/>
  <c r="WG342" i="4" s="1"/>
  <c r="WN342" i="4"/>
  <c r="WO342" i="4" s="1"/>
  <c r="WJ342" i="4"/>
  <c r="WK342" i="4" s="1"/>
  <c r="WT342" i="4"/>
  <c r="WU342" i="4" s="1"/>
  <c r="WH342" i="4"/>
  <c r="WI342" i="4" s="1"/>
  <c r="WP342" i="4"/>
  <c r="WQ342" i="4" s="1"/>
  <c r="WL342" i="4"/>
  <c r="WM342" i="4" s="1"/>
  <c r="WX342" i="4"/>
  <c r="WY342" i="4" s="1"/>
  <c r="WR342" i="4"/>
  <c r="WS342" i="4" s="1"/>
  <c r="WR345" i="4"/>
  <c r="WS345" i="4" s="1"/>
  <c r="WT345" i="4"/>
  <c r="WU345" i="4" s="1"/>
  <c r="WJ345" i="4"/>
  <c r="WK345" i="4" s="1"/>
  <c r="WF345" i="4"/>
  <c r="WG345" i="4" s="1"/>
  <c r="WN345" i="4"/>
  <c r="WO345" i="4" s="1"/>
  <c r="WL345" i="4"/>
  <c r="WM345" i="4" s="1"/>
  <c r="WX345" i="4"/>
  <c r="WY345" i="4" s="1"/>
  <c r="WV345" i="4"/>
  <c r="WW345" i="4" s="1"/>
  <c r="WP345" i="4"/>
  <c r="WQ345" i="4" s="1"/>
  <c r="WN228" i="4"/>
  <c r="WO228" i="4" s="1"/>
  <c r="WT228" i="4"/>
  <c r="WU228" i="4" s="1"/>
  <c r="WH228" i="4"/>
  <c r="WI228" i="4" s="1"/>
  <c r="WV228" i="4"/>
  <c r="WW228" i="4" s="1"/>
  <c r="WX228" i="4"/>
  <c r="WY228" i="4" s="1"/>
  <c r="WP228" i="4"/>
  <c r="WQ228" i="4" s="1"/>
  <c r="WJ228" i="4"/>
  <c r="WK228" i="4" s="1"/>
  <c r="WL228" i="4"/>
  <c r="WM228" i="4" s="1"/>
  <c r="WR228" i="4"/>
  <c r="WS228" i="4" s="1"/>
  <c r="WT174" i="4"/>
  <c r="WU174" i="4" s="1"/>
  <c r="WF174" i="4"/>
  <c r="WG174" i="4" s="1"/>
  <c r="WP174" i="4"/>
  <c r="WQ174" i="4" s="1"/>
  <c r="WH174" i="4"/>
  <c r="WI174" i="4" s="1"/>
  <c r="WV174" i="4"/>
  <c r="WW174" i="4" s="1"/>
  <c r="WR174" i="4"/>
  <c r="WS174" i="4" s="1"/>
  <c r="WL174" i="4"/>
  <c r="WM174" i="4" s="1"/>
  <c r="WX174" i="4"/>
  <c r="WY174" i="4" s="1"/>
  <c r="WJ174" i="4"/>
  <c r="WK174" i="4" s="1"/>
  <c r="WF21" i="4"/>
  <c r="WG21" i="4" s="1"/>
  <c r="WT21" i="4"/>
  <c r="WU21" i="4" s="1"/>
  <c r="WN21" i="4"/>
  <c r="WO21" i="4" s="1"/>
  <c r="WV21" i="4"/>
  <c r="WW21" i="4" s="1"/>
  <c r="WH21" i="4"/>
  <c r="WI21" i="4" s="1"/>
  <c r="WP21" i="4"/>
  <c r="WQ21" i="4" s="1"/>
  <c r="WJ21" i="4"/>
  <c r="WK21" i="4" s="1"/>
  <c r="WX21" i="4"/>
  <c r="WY21" i="4" s="1"/>
  <c r="WR21" i="4"/>
  <c r="WS21" i="4" s="1"/>
  <c r="WL21" i="4"/>
  <c r="WM21" i="4" s="1"/>
  <c r="WN262" i="4"/>
  <c r="WO262" i="4" s="1"/>
  <c r="WL262" i="4"/>
  <c r="WM262" i="4" s="1"/>
  <c r="WH262" i="4"/>
  <c r="WI262" i="4" s="1"/>
  <c r="WR262" i="4"/>
  <c r="WS262" i="4" s="1"/>
  <c r="WT262" i="4"/>
  <c r="WU262" i="4" s="1"/>
  <c r="WJ262" i="4"/>
  <c r="WK262" i="4" s="1"/>
  <c r="WF262" i="4"/>
  <c r="WG262" i="4" s="1"/>
  <c r="WX262" i="4"/>
  <c r="WY262" i="4" s="1"/>
  <c r="WP262" i="4"/>
  <c r="WQ262" i="4" s="1"/>
  <c r="WV262" i="4"/>
  <c r="WW262" i="4" s="1"/>
  <c r="WX157" i="4"/>
  <c r="WY157" i="4" s="1"/>
  <c r="WV157" i="4"/>
  <c r="WW157" i="4" s="1"/>
  <c r="WF157" i="4"/>
  <c r="WG157" i="4" s="1"/>
  <c r="WR157" i="4"/>
  <c r="WS157" i="4" s="1"/>
  <c r="WH157" i="4"/>
  <c r="WI157" i="4" s="1"/>
  <c r="WT157" i="4"/>
  <c r="WU157" i="4" s="1"/>
  <c r="WP157" i="4"/>
  <c r="WQ157" i="4" s="1"/>
  <c r="WN157" i="4"/>
  <c r="WO157" i="4" s="1"/>
  <c r="WL157" i="4"/>
  <c r="WM157" i="4" s="1"/>
  <c r="WJ82" i="4"/>
  <c r="WK82" i="4" s="1"/>
  <c r="WN82" i="4"/>
  <c r="WO82" i="4" s="1"/>
  <c r="WL82" i="4"/>
  <c r="WM82" i="4" s="1"/>
  <c r="WR82" i="4"/>
  <c r="WS82" i="4" s="1"/>
  <c r="WT82" i="4"/>
  <c r="WU82" i="4" s="1"/>
  <c r="WF82" i="4"/>
  <c r="WG82" i="4" s="1"/>
  <c r="WP82" i="4"/>
  <c r="WQ82" i="4" s="1"/>
  <c r="WV82" i="4"/>
  <c r="WW82" i="4" s="1"/>
  <c r="WX82" i="4"/>
  <c r="WY82" i="4" s="1"/>
  <c r="WH244" i="4"/>
  <c r="WI244" i="4" s="1"/>
  <c r="WR244" i="4"/>
  <c r="WS244" i="4" s="1"/>
  <c r="WX244" i="4"/>
  <c r="WY244" i="4" s="1"/>
  <c r="WT244" i="4"/>
  <c r="WU244" i="4" s="1"/>
  <c r="WF244" i="4"/>
  <c r="WG244" i="4" s="1"/>
  <c r="WP244" i="4"/>
  <c r="WQ244" i="4" s="1"/>
  <c r="WN244" i="4"/>
  <c r="WO244" i="4" s="1"/>
  <c r="WL244" i="4"/>
  <c r="WM244" i="4" s="1"/>
  <c r="WV244" i="4"/>
  <c r="WW244" i="4" s="1"/>
  <c r="WX252" i="4"/>
  <c r="WY252" i="4" s="1"/>
  <c r="WH252" i="4"/>
  <c r="WI252" i="4" s="1"/>
  <c r="WR252" i="4"/>
  <c r="WS252" i="4" s="1"/>
  <c r="WP252" i="4"/>
  <c r="WQ252" i="4" s="1"/>
  <c r="WT252" i="4"/>
  <c r="WU252" i="4" s="1"/>
  <c r="WF252" i="4"/>
  <c r="WG252" i="4" s="1"/>
  <c r="WV252" i="4"/>
  <c r="WW252" i="4" s="1"/>
  <c r="WJ252" i="4"/>
  <c r="WK252" i="4" s="1"/>
  <c r="WN252" i="4"/>
  <c r="WO252" i="4" s="1"/>
  <c r="WR350" i="4"/>
  <c r="WS350" i="4" s="1"/>
  <c r="WF350" i="4"/>
  <c r="WG350" i="4" s="1"/>
  <c r="WL350" i="4"/>
  <c r="WM350" i="4" s="1"/>
  <c r="WN350" i="4"/>
  <c r="WO350" i="4" s="1"/>
  <c r="WV350" i="4"/>
  <c r="WW350" i="4" s="1"/>
  <c r="WX350" i="4"/>
  <c r="WY350" i="4" s="1"/>
  <c r="WT350" i="4"/>
  <c r="WU350" i="4" s="1"/>
  <c r="WP350" i="4"/>
  <c r="WQ350" i="4" s="1"/>
  <c r="WH350" i="4"/>
  <c r="WI350" i="4" s="1"/>
  <c r="WJ350" i="4"/>
  <c r="WK350" i="4" s="1"/>
  <c r="WX337" i="4"/>
  <c r="WY337" i="4" s="1"/>
  <c r="WN337" i="4"/>
  <c r="WO337" i="4" s="1"/>
  <c r="WT337" i="4"/>
  <c r="WU337" i="4" s="1"/>
  <c r="WF337" i="4"/>
  <c r="WG337" i="4" s="1"/>
  <c r="WR337" i="4"/>
  <c r="WS337" i="4" s="1"/>
  <c r="WP337" i="4"/>
  <c r="WQ337" i="4" s="1"/>
  <c r="WH337" i="4"/>
  <c r="WI337" i="4" s="1"/>
  <c r="WL337" i="4"/>
  <c r="WM337" i="4" s="1"/>
  <c r="WJ337" i="4"/>
  <c r="WK337" i="4" s="1"/>
  <c r="WV337" i="4"/>
  <c r="WW337" i="4" s="1"/>
  <c r="WX143" i="4"/>
  <c r="WY143" i="4" s="1"/>
  <c r="WP143" i="4"/>
  <c r="WQ143" i="4" s="1"/>
  <c r="WT143" i="4"/>
  <c r="WU143" i="4" s="1"/>
  <c r="WR143" i="4"/>
  <c r="WS143" i="4" s="1"/>
  <c r="WL143" i="4"/>
  <c r="WM143" i="4" s="1"/>
  <c r="WF143" i="4"/>
  <c r="WG143" i="4" s="1"/>
  <c r="WN143" i="4"/>
  <c r="WO143" i="4" s="1"/>
  <c r="WV143" i="4"/>
  <c r="WW143" i="4" s="1"/>
  <c r="WH143" i="4"/>
  <c r="WI143" i="4" s="1"/>
  <c r="WJ143" i="4"/>
  <c r="WK143" i="4" s="1"/>
  <c r="WL358" i="4"/>
  <c r="WM358" i="4" s="1"/>
  <c r="WP358" i="4"/>
  <c r="WQ358" i="4" s="1"/>
  <c r="WR358" i="4"/>
  <c r="WS358" i="4" s="1"/>
  <c r="WN358" i="4"/>
  <c r="WO358" i="4" s="1"/>
  <c r="WT358" i="4"/>
  <c r="WU358" i="4" s="1"/>
  <c r="WJ358" i="4"/>
  <c r="WK358" i="4" s="1"/>
  <c r="WV358" i="4"/>
  <c r="WW358" i="4" s="1"/>
  <c r="WH358" i="4"/>
  <c r="WI358" i="4" s="1"/>
  <c r="WX358" i="4"/>
  <c r="WY358" i="4" s="1"/>
  <c r="WF358" i="4"/>
  <c r="WG358" i="4" s="1"/>
  <c r="WL308" i="4"/>
  <c r="WM308" i="4" s="1"/>
  <c r="WH308" i="4"/>
  <c r="WI308" i="4" s="1"/>
  <c r="WP308" i="4"/>
  <c r="WQ308" i="4" s="1"/>
  <c r="WN308" i="4"/>
  <c r="WO308" i="4" s="1"/>
  <c r="WJ308" i="4"/>
  <c r="WK308" i="4" s="1"/>
  <c r="WX308" i="4"/>
  <c r="WY308" i="4" s="1"/>
  <c r="WR308" i="4"/>
  <c r="WS308" i="4" s="1"/>
  <c r="WT308" i="4"/>
  <c r="WU308" i="4" s="1"/>
  <c r="WF308" i="4"/>
  <c r="WG308" i="4" s="1"/>
  <c r="WV308" i="4"/>
  <c r="WW308" i="4" s="1"/>
  <c r="WX25" i="4"/>
  <c r="WY25" i="4" s="1"/>
  <c r="WV25" i="4"/>
  <c r="WW25" i="4" s="1"/>
  <c r="WN25" i="4"/>
  <c r="WO25" i="4" s="1"/>
  <c r="WH25" i="4"/>
  <c r="WI25" i="4" s="1"/>
  <c r="WP25" i="4"/>
  <c r="WQ25" i="4" s="1"/>
  <c r="WJ25" i="4"/>
  <c r="WK25" i="4" s="1"/>
  <c r="WF25" i="4"/>
  <c r="WG25" i="4" s="1"/>
  <c r="WR25" i="4"/>
  <c r="WS25" i="4" s="1"/>
  <c r="WT25" i="4"/>
  <c r="WU25" i="4" s="1"/>
  <c r="WL25" i="4"/>
  <c r="WM25" i="4" s="1"/>
  <c r="WJ301" i="4"/>
  <c r="WK301" i="4" s="1"/>
  <c r="WH301" i="4"/>
  <c r="WI301" i="4" s="1"/>
  <c r="WP301" i="4"/>
  <c r="WQ301" i="4" s="1"/>
  <c r="WL301" i="4"/>
  <c r="WM301" i="4" s="1"/>
  <c r="WN301" i="4"/>
  <c r="WO301" i="4" s="1"/>
  <c r="WX301" i="4"/>
  <c r="WY301" i="4" s="1"/>
  <c r="WT301" i="4"/>
  <c r="WU301" i="4" s="1"/>
  <c r="WF301" i="4"/>
  <c r="WG301" i="4" s="1"/>
  <c r="WV301" i="4"/>
  <c r="WW301" i="4" s="1"/>
  <c r="WR301" i="4"/>
  <c r="WS301" i="4" s="1"/>
  <c r="WT152" i="4"/>
  <c r="WU152" i="4" s="1"/>
  <c r="WV152" i="4"/>
  <c r="WW152" i="4" s="1"/>
  <c r="WR152" i="4"/>
  <c r="WS152" i="4" s="1"/>
  <c r="WN152" i="4"/>
  <c r="WO152" i="4" s="1"/>
  <c r="WJ152" i="4"/>
  <c r="WK152" i="4" s="1"/>
  <c r="WF152" i="4"/>
  <c r="WG152" i="4" s="1"/>
  <c r="WX152" i="4"/>
  <c r="WY152" i="4" s="1"/>
  <c r="WL152" i="4"/>
  <c r="WM152" i="4" s="1"/>
  <c r="WH152" i="4"/>
  <c r="WI152" i="4" s="1"/>
  <c r="WP152" i="4"/>
  <c r="WQ152" i="4" s="1"/>
  <c r="WP227" i="4"/>
  <c r="WQ227" i="4" s="1"/>
  <c r="WN227" i="4"/>
  <c r="WO227" i="4" s="1"/>
  <c r="WL227" i="4"/>
  <c r="WM227" i="4" s="1"/>
  <c r="WT227" i="4"/>
  <c r="WU227" i="4" s="1"/>
  <c r="WV227" i="4"/>
  <c r="WW227" i="4" s="1"/>
  <c r="WR227" i="4"/>
  <c r="WS227" i="4" s="1"/>
  <c r="WJ227" i="4"/>
  <c r="WK227" i="4" s="1"/>
  <c r="WH227" i="4"/>
  <c r="WI227" i="4" s="1"/>
  <c r="WX227" i="4"/>
  <c r="WY227" i="4" s="1"/>
  <c r="WR243" i="4"/>
  <c r="WS243" i="4" s="1"/>
  <c r="WT243" i="4"/>
  <c r="WU243" i="4" s="1"/>
  <c r="WX243" i="4"/>
  <c r="WY243" i="4" s="1"/>
  <c r="WN243" i="4"/>
  <c r="WO243" i="4" s="1"/>
  <c r="WF243" i="4"/>
  <c r="WG243" i="4" s="1"/>
  <c r="WJ243" i="4"/>
  <c r="WK243" i="4" s="1"/>
  <c r="WH243" i="4"/>
  <c r="WI243" i="4" s="1"/>
  <c r="WV243" i="4"/>
  <c r="WW243" i="4" s="1"/>
  <c r="WP243" i="4"/>
  <c r="WQ243" i="4" s="1"/>
  <c r="WF52" i="4"/>
  <c r="WG52" i="4" s="1"/>
  <c r="WR52" i="4"/>
  <c r="WS52" i="4" s="1"/>
  <c r="WV52" i="4"/>
  <c r="WW52" i="4" s="1"/>
  <c r="WX52" i="4"/>
  <c r="WY52" i="4" s="1"/>
  <c r="WH52" i="4"/>
  <c r="WI52" i="4" s="1"/>
  <c r="WT52" i="4"/>
  <c r="WU52" i="4" s="1"/>
  <c r="WJ52" i="4"/>
  <c r="WK52" i="4" s="1"/>
  <c r="WP52" i="4"/>
  <c r="WQ52" i="4" s="1"/>
  <c r="WN52" i="4"/>
  <c r="WO52" i="4" s="1"/>
  <c r="WT261" i="4"/>
  <c r="WU261" i="4" s="1"/>
  <c r="WJ261" i="4"/>
  <c r="WK261" i="4" s="1"/>
  <c r="WL261" i="4"/>
  <c r="WM261" i="4" s="1"/>
  <c r="WR261" i="4"/>
  <c r="WS261" i="4" s="1"/>
  <c r="WP261" i="4"/>
  <c r="WQ261" i="4" s="1"/>
  <c r="WX261" i="4"/>
  <c r="WY261" i="4" s="1"/>
  <c r="WF261" i="4"/>
  <c r="WG261" i="4" s="1"/>
  <c r="WV261" i="4"/>
  <c r="WW261" i="4" s="1"/>
  <c r="WH261" i="4"/>
  <c r="WI261" i="4" s="1"/>
  <c r="WN261" i="4"/>
  <c r="WO261" i="4" s="1"/>
  <c r="WN202" i="4"/>
  <c r="WO202" i="4" s="1"/>
  <c r="WJ202" i="4"/>
  <c r="WK202" i="4" s="1"/>
  <c r="WX202" i="4"/>
  <c r="WY202" i="4" s="1"/>
  <c r="WT202" i="4"/>
  <c r="WU202" i="4" s="1"/>
  <c r="WF202" i="4"/>
  <c r="WG202" i="4" s="1"/>
  <c r="WV202" i="4"/>
  <c r="WW202" i="4" s="1"/>
  <c r="WP202" i="4"/>
  <c r="WQ202" i="4" s="1"/>
  <c r="WR202" i="4"/>
  <c r="WS202" i="4" s="1"/>
  <c r="WH202" i="4"/>
  <c r="WI202" i="4" s="1"/>
  <c r="WT32" i="4"/>
  <c r="WU32" i="4" s="1"/>
  <c r="WV32" i="4"/>
  <c r="WW32" i="4" s="1"/>
  <c r="WF32" i="4"/>
  <c r="WG32" i="4" s="1"/>
  <c r="WJ32" i="4"/>
  <c r="WK32" i="4" s="1"/>
  <c r="WP32" i="4"/>
  <c r="WQ32" i="4" s="1"/>
  <c r="WR32" i="4"/>
  <c r="WS32" i="4" s="1"/>
  <c r="WX32" i="4"/>
  <c r="WY32" i="4" s="1"/>
  <c r="WH32" i="4"/>
  <c r="WI32" i="4" s="1"/>
  <c r="WN32" i="4"/>
  <c r="WO32" i="4" s="1"/>
  <c r="WV100" i="4"/>
  <c r="WW100" i="4" s="1"/>
  <c r="WR100" i="4"/>
  <c r="WS100" i="4" s="1"/>
  <c r="WX100" i="4"/>
  <c r="WY100" i="4" s="1"/>
  <c r="WJ100" i="4"/>
  <c r="WK100" i="4" s="1"/>
  <c r="WF100" i="4"/>
  <c r="WG100" i="4" s="1"/>
  <c r="WT100" i="4"/>
  <c r="WU100" i="4" s="1"/>
  <c r="WP100" i="4"/>
  <c r="WQ100" i="4" s="1"/>
  <c r="WH100" i="4"/>
  <c r="WI100" i="4" s="1"/>
  <c r="WL100" i="4"/>
  <c r="WM100" i="4" s="1"/>
  <c r="WT203" i="4"/>
  <c r="WU203" i="4" s="1"/>
  <c r="WJ203" i="4"/>
  <c r="WK203" i="4" s="1"/>
  <c r="WL203" i="4"/>
  <c r="WM203" i="4" s="1"/>
  <c r="WX203" i="4"/>
  <c r="WY203" i="4" s="1"/>
  <c r="WN203" i="4"/>
  <c r="WO203" i="4" s="1"/>
  <c r="WV203" i="4"/>
  <c r="WW203" i="4" s="1"/>
  <c r="WP203" i="4"/>
  <c r="WQ203" i="4" s="1"/>
  <c r="WH203" i="4"/>
  <c r="WI203" i="4" s="1"/>
  <c r="WF203" i="4"/>
  <c r="WG203" i="4" s="1"/>
  <c r="WR203" i="4"/>
  <c r="WS203" i="4" s="1"/>
  <c r="WR199" i="4"/>
  <c r="WS199" i="4" s="1"/>
  <c r="WX199" i="4"/>
  <c r="WY199" i="4" s="1"/>
  <c r="WH199" i="4"/>
  <c r="WI199" i="4" s="1"/>
  <c r="WV199" i="4"/>
  <c r="WW199" i="4" s="1"/>
  <c r="WN199" i="4"/>
  <c r="WO199" i="4" s="1"/>
  <c r="WP199" i="4"/>
  <c r="WQ199" i="4" s="1"/>
  <c r="WL199" i="4"/>
  <c r="WM199" i="4" s="1"/>
  <c r="WF199" i="4"/>
  <c r="WG199" i="4" s="1"/>
  <c r="WT199" i="4"/>
  <c r="WU199" i="4" s="1"/>
  <c r="WX239" i="4"/>
  <c r="WY239" i="4" s="1"/>
  <c r="WJ239" i="4"/>
  <c r="WK239" i="4" s="1"/>
  <c r="WH239" i="4"/>
  <c r="WI239" i="4" s="1"/>
  <c r="WN239" i="4"/>
  <c r="WO239" i="4" s="1"/>
  <c r="WT239" i="4"/>
  <c r="WU239" i="4" s="1"/>
  <c r="WP239" i="4"/>
  <c r="WQ239" i="4" s="1"/>
  <c r="WR239" i="4"/>
  <c r="WS239" i="4" s="1"/>
  <c r="WV239" i="4"/>
  <c r="WW239" i="4" s="1"/>
  <c r="WL239" i="4"/>
  <c r="WM239" i="4" s="1"/>
  <c r="WF239" i="4"/>
  <c r="WG239" i="4" s="1"/>
  <c r="WP220" i="4"/>
  <c r="WQ220" i="4" s="1"/>
  <c r="WT220" i="4"/>
  <c r="WU220" i="4" s="1"/>
  <c r="WR220" i="4"/>
  <c r="WS220" i="4" s="1"/>
  <c r="WV220" i="4"/>
  <c r="WW220" i="4" s="1"/>
  <c r="WJ220" i="4"/>
  <c r="WK220" i="4" s="1"/>
  <c r="WF220" i="4"/>
  <c r="WG220" i="4" s="1"/>
  <c r="WL220" i="4"/>
  <c r="WM220" i="4" s="1"/>
  <c r="WN220" i="4"/>
  <c r="WO220" i="4" s="1"/>
  <c r="WH220" i="4"/>
  <c r="WI220" i="4" s="1"/>
  <c r="WX220" i="4"/>
  <c r="WY220" i="4" s="1"/>
  <c r="WL250" i="4"/>
  <c r="WM250" i="4" s="1"/>
  <c r="WF250" i="4"/>
  <c r="WG250" i="4" s="1"/>
  <c r="WT250" i="4"/>
  <c r="WU250" i="4" s="1"/>
  <c r="WX250" i="4"/>
  <c r="WY250" i="4" s="1"/>
  <c r="WP250" i="4"/>
  <c r="WQ250" i="4" s="1"/>
  <c r="WN250" i="4"/>
  <c r="WO250" i="4" s="1"/>
  <c r="WH250" i="4"/>
  <c r="WI250" i="4" s="1"/>
  <c r="WR250" i="4"/>
  <c r="WS250" i="4" s="1"/>
  <c r="WV250" i="4"/>
  <c r="WW250" i="4" s="1"/>
  <c r="WH62" i="4"/>
  <c r="WI62" i="4" s="1"/>
  <c r="WX62" i="4"/>
  <c r="WY62" i="4" s="1"/>
  <c r="WV62" i="4"/>
  <c r="WW62" i="4" s="1"/>
  <c r="WR62" i="4"/>
  <c r="WS62" i="4" s="1"/>
  <c r="WN62" i="4"/>
  <c r="WO62" i="4" s="1"/>
  <c r="WJ62" i="4"/>
  <c r="WK62" i="4" s="1"/>
  <c r="WL62" i="4"/>
  <c r="WM62" i="4" s="1"/>
  <c r="WT62" i="4"/>
  <c r="WU62" i="4" s="1"/>
  <c r="WF62" i="4"/>
  <c r="WG62" i="4" s="1"/>
  <c r="WP62" i="4"/>
  <c r="WQ62" i="4" s="1"/>
  <c r="WF64" i="4"/>
  <c r="WG64" i="4" s="1"/>
  <c r="WR64" i="4"/>
  <c r="WS64" i="4" s="1"/>
  <c r="WT64" i="4"/>
  <c r="WU64" i="4" s="1"/>
  <c r="WV64" i="4"/>
  <c r="WW64" i="4" s="1"/>
  <c r="WJ64" i="4"/>
  <c r="WK64" i="4" s="1"/>
  <c r="WP64" i="4"/>
  <c r="WQ64" i="4" s="1"/>
  <c r="WX64" i="4"/>
  <c r="WY64" i="4" s="1"/>
  <c r="WH64" i="4"/>
  <c r="WI64" i="4" s="1"/>
  <c r="WL64" i="4"/>
  <c r="WM64" i="4" s="1"/>
  <c r="KU111" i="4"/>
  <c r="QB29" i="4" s="1"/>
  <c r="KU105" i="4"/>
  <c r="QB17" i="4" s="1"/>
  <c r="KU107" i="4"/>
  <c r="QB21" i="4" s="1"/>
  <c r="KU81" i="4"/>
  <c r="PU81" i="4"/>
  <c r="KU116" i="4"/>
  <c r="QB38" i="4" s="1"/>
  <c r="KU109" i="4"/>
  <c r="QB26" i="4" s="1"/>
  <c r="WT173" i="4"/>
  <c r="WU173" i="4" s="1"/>
  <c r="WN173" i="4"/>
  <c r="WO173" i="4" s="1"/>
  <c r="WF173" i="4"/>
  <c r="WG173" i="4" s="1"/>
  <c r="WH173" i="4"/>
  <c r="WI173" i="4" s="1"/>
  <c r="WV173" i="4"/>
  <c r="WW173" i="4" s="1"/>
  <c r="WP173" i="4"/>
  <c r="WQ173" i="4" s="1"/>
  <c r="WR173" i="4"/>
  <c r="WS173" i="4" s="1"/>
  <c r="WL173" i="4"/>
  <c r="WM173" i="4" s="1"/>
  <c r="WJ173" i="4"/>
  <c r="WK173" i="4" s="1"/>
  <c r="WX173" i="4"/>
  <c r="WY173" i="4" s="1"/>
  <c r="WJ181" i="4"/>
  <c r="WK181" i="4" s="1"/>
  <c r="WL181" i="4"/>
  <c r="WM181" i="4" s="1"/>
  <c r="WX181" i="4"/>
  <c r="WY181" i="4" s="1"/>
  <c r="WP181" i="4"/>
  <c r="WQ181" i="4" s="1"/>
  <c r="WR181" i="4"/>
  <c r="WS181" i="4" s="1"/>
  <c r="WN181" i="4"/>
  <c r="WO181" i="4" s="1"/>
  <c r="WV181" i="4"/>
  <c r="WW181" i="4" s="1"/>
  <c r="WF181" i="4"/>
  <c r="WG181" i="4" s="1"/>
  <c r="WT181" i="4"/>
  <c r="WU181" i="4" s="1"/>
  <c r="WH181" i="4"/>
  <c r="WI181" i="4" s="1"/>
  <c r="WP314" i="4"/>
  <c r="WQ314" i="4" s="1"/>
  <c r="WF314" i="4"/>
  <c r="WG314" i="4" s="1"/>
  <c r="WT314" i="4"/>
  <c r="WU314" i="4" s="1"/>
  <c r="WV314" i="4"/>
  <c r="WW314" i="4" s="1"/>
  <c r="WJ314" i="4"/>
  <c r="WK314" i="4" s="1"/>
  <c r="WN314" i="4"/>
  <c r="WO314" i="4" s="1"/>
  <c r="WR314" i="4"/>
  <c r="WS314" i="4" s="1"/>
  <c r="WL314" i="4"/>
  <c r="WM314" i="4" s="1"/>
  <c r="WH314" i="4"/>
  <c r="WI314" i="4" s="1"/>
  <c r="WX314" i="4"/>
  <c r="WY314" i="4" s="1"/>
  <c r="WF177" i="4"/>
  <c r="WG177" i="4" s="1"/>
  <c r="WN177" i="4"/>
  <c r="WO177" i="4" s="1"/>
  <c r="WV177" i="4"/>
  <c r="WW177" i="4" s="1"/>
  <c r="WX177" i="4"/>
  <c r="WY177" i="4" s="1"/>
  <c r="WH177" i="4"/>
  <c r="WI177" i="4" s="1"/>
  <c r="WT177" i="4"/>
  <c r="WU177" i="4" s="1"/>
  <c r="WP177" i="4"/>
  <c r="WQ177" i="4" s="1"/>
  <c r="WL177" i="4"/>
  <c r="WM177" i="4" s="1"/>
  <c r="WR177" i="4"/>
  <c r="WS177" i="4" s="1"/>
  <c r="WJ177" i="4"/>
  <c r="WK177" i="4" s="1"/>
  <c r="WH186" i="4"/>
  <c r="WI186" i="4" s="1"/>
  <c r="WP186" i="4"/>
  <c r="WQ186" i="4" s="1"/>
  <c r="WT186" i="4"/>
  <c r="WU186" i="4" s="1"/>
  <c r="WF186" i="4"/>
  <c r="WG186" i="4" s="1"/>
  <c r="WN186" i="4"/>
  <c r="WO186" i="4" s="1"/>
  <c r="WX186" i="4"/>
  <c r="WY186" i="4" s="1"/>
  <c r="WV186" i="4"/>
  <c r="WW186" i="4" s="1"/>
  <c r="WL186" i="4"/>
  <c r="WM186" i="4" s="1"/>
  <c r="WJ186" i="4"/>
  <c r="WK186" i="4" s="1"/>
  <c r="WR186" i="4"/>
  <c r="WS186" i="4" s="1"/>
  <c r="WT222" i="4"/>
  <c r="WU222" i="4" s="1"/>
  <c r="WN222" i="4"/>
  <c r="WO222" i="4" s="1"/>
  <c r="WX222" i="4"/>
  <c r="WY222" i="4" s="1"/>
  <c r="WH222" i="4"/>
  <c r="WI222" i="4" s="1"/>
  <c r="WJ222" i="4"/>
  <c r="WK222" i="4" s="1"/>
  <c r="WF222" i="4"/>
  <c r="WG222" i="4" s="1"/>
  <c r="WR222" i="4"/>
  <c r="WS222" i="4" s="1"/>
  <c r="WV222" i="4"/>
  <c r="WW222" i="4" s="1"/>
  <c r="WL222" i="4"/>
  <c r="WM222" i="4" s="1"/>
  <c r="WP222" i="4"/>
  <c r="WQ222" i="4" s="1"/>
  <c r="WR77" i="4"/>
  <c r="WS77" i="4" s="1"/>
  <c r="WT77" i="4"/>
  <c r="WU77" i="4" s="1"/>
  <c r="WL77" i="4"/>
  <c r="WM77" i="4" s="1"/>
  <c r="WH77" i="4"/>
  <c r="WI77" i="4" s="1"/>
  <c r="WX77" i="4"/>
  <c r="WY77" i="4" s="1"/>
  <c r="WV77" i="4"/>
  <c r="WW77" i="4" s="1"/>
  <c r="WP77" i="4"/>
  <c r="WQ77" i="4" s="1"/>
  <c r="WJ77" i="4"/>
  <c r="WK77" i="4" s="1"/>
  <c r="WF77" i="4"/>
  <c r="WG77" i="4" s="1"/>
  <c r="WF34" i="4"/>
  <c r="WG34" i="4" s="1"/>
  <c r="WP34" i="4"/>
  <c r="WQ34" i="4" s="1"/>
  <c r="WJ34" i="4"/>
  <c r="WK34" i="4" s="1"/>
  <c r="WL34" i="4"/>
  <c r="WM34" i="4" s="1"/>
  <c r="WX34" i="4"/>
  <c r="WY34" i="4" s="1"/>
  <c r="WV34" i="4"/>
  <c r="WW34" i="4" s="1"/>
  <c r="WH34" i="4"/>
  <c r="WI34" i="4" s="1"/>
  <c r="WN34" i="4"/>
  <c r="WO34" i="4" s="1"/>
  <c r="WT34" i="4"/>
  <c r="WU34" i="4" s="1"/>
  <c r="WR34" i="4"/>
  <c r="WS34" i="4" s="1"/>
  <c r="WV170" i="4"/>
  <c r="WW170" i="4" s="1"/>
  <c r="WP170" i="4"/>
  <c r="WQ170" i="4" s="1"/>
  <c r="WT170" i="4"/>
  <c r="WU170" i="4" s="1"/>
  <c r="WN170" i="4"/>
  <c r="WO170" i="4" s="1"/>
  <c r="WR170" i="4"/>
  <c r="WS170" i="4" s="1"/>
  <c r="WF170" i="4"/>
  <c r="WG170" i="4" s="1"/>
  <c r="WL170" i="4"/>
  <c r="WM170" i="4" s="1"/>
  <c r="WJ170" i="4"/>
  <c r="WK170" i="4" s="1"/>
  <c r="WX170" i="4"/>
  <c r="WY170" i="4" s="1"/>
  <c r="WH269" i="4"/>
  <c r="WI269" i="4" s="1"/>
  <c r="WP269" i="4"/>
  <c r="WQ269" i="4" s="1"/>
  <c r="WJ269" i="4"/>
  <c r="WK269" i="4" s="1"/>
  <c r="WX269" i="4"/>
  <c r="WY269" i="4" s="1"/>
  <c r="WT269" i="4"/>
  <c r="WU269" i="4" s="1"/>
  <c r="WF269" i="4"/>
  <c r="WG269" i="4" s="1"/>
  <c r="WN269" i="4"/>
  <c r="WO269" i="4" s="1"/>
  <c r="WV269" i="4"/>
  <c r="WW269" i="4" s="1"/>
  <c r="WR269" i="4"/>
  <c r="WS269" i="4" s="1"/>
  <c r="WH312" i="4"/>
  <c r="WI312" i="4" s="1"/>
  <c r="WJ312" i="4"/>
  <c r="WK312" i="4" s="1"/>
  <c r="WN312" i="4"/>
  <c r="WO312" i="4" s="1"/>
  <c r="WP312" i="4"/>
  <c r="WQ312" i="4" s="1"/>
  <c r="WF312" i="4"/>
  <c r="WG312" i="4" s="1"/>
  <c r="WT312" i="4"/>
  <c r="WU312" i="4" s="1"/>
  <c r="WL312" i="4"/>
  <c r="WM312" i="4" s="1"/>
  <c r="WX312" i="4"/>
  <c r="WY312" i="4" s="1"/>
  <c r="WR312" i="4"/>
  <c r="WS312" i="4" s="1"/>
  <c r="WV312" i="4"/>
  <c r="WW312" i="4" s="1"/>
  <c r="WN148" i="4"/>
  <c r="WO148" i="4" s="1"/>
  <c r="WT148" i="4"/>
  <c r="WU148" i="4" s="1"/>
  <c r="WF148" i="4"/>
  <c r="WG148" i="4" s="1"/>
  <c r="WJ148" i="4"/>
  <c r="WK148" i="4" s="1"/>
  <c r="WX148" i="4"/>
  <c r="WY148" i="4" s="1"/>
  <c r="WL148" i="4"/>
  <c r="WM148" i="4" s="1"/>
  <c r="WP148" i="4"/>
  <c r="WQ148" i="4" s="1"/>
  <c r="WV148" i="4"/>
  <c r="WW148" i="4" s="1"/>
  <c r="WR148" i="4"/>
  <c r="WS148" i="4" s="1"/>
  <c r="WF188" i="4"/>
  <c r="WG188" i="4" s="1"/>
  <c r="WP188" i="4"/>
  <c r="WQ188" i="4" s="1"/>
  <c r="WJ188" i="4"/>
  <c r="WK188" i="4" s="1"/>
  <c r="WR188" i="4"/>
  <c r="WS188" i="4" s="1"/>
  <c r="WL188" i="4"/>
  <c r="WM188" i="4" s="1"/>
  <c r="WX188" i="4"/>
  <c r="WY188" i="4" s="1"/>
  <c r="WN188" i="4"/>
  <c r="WO188" i="4" s="1"/>
  <c r="WH188" i="4"/>
  <c r="WI188" i="4" s="1"/>
  <c r="WV188" i="4"/>
  <c r="WW188" i="4" s="1"/>
  <c r="WT188" i="4"/>
  <c r="WU188" i="4" s="1"/>
  <c r="WX355" i="4"/>
  <c r="WY355" i="4" s="1"/>
  <c r="WR355" i="4"/>
  <c r="WS355" i="4" s="1"/>
  <c r="WT355" i="4"/>
  <c r="WU355" i="4" s="1"/>
  <c r="WN355" i="4"/>
  <c r="WO355" i="4" s="1"/>
  <c r="WH355" i="4"/>
  <c r="WI355" i="4" s="1"/>
  <c r="WL355" i="4"/>
  <c r="WM355" i="4" s="1"/>
  <c r="WF355" i="4"/>
  <c r="WG355" i="4" s="1"/>
  <c r="WV355" i="4"/>
  <c r="WW355" i="4" s="1"/>
  <c r="WP355" i="4"/>
  <c r="WQ355" i="4" s="1"/>
  <c r="WJ355" i="4"/>
  <c r="WK355" i="4" s="1"/>
  <c r="WF330" i="4"/>
  <c r="WG330" i="4" s="1"/>
  <c r="WL330" i="4"/>
  <c r="WM330" i="4" s="1"/>
  <c r="WN330" i="4"/>
  <c r="WO330" i="4" s="1"/>
  <c r="WJ330" i="4"/>
  <c r="WK330" i="4" s="1"/>
  <c r="WX330" i="4"/>
  <c r="WY330" i="4" s="1"/>
  <c r="WV330" i="4"/>
  <c r="WW330" i="4" s="1"/>
  <c r="WT330" i="4"/>
  <c r="WU330" i="4" s="1"/>
  <c r="WR330" i="4"/>
  <c r="WS330" i="4" s="1"/>
  <c r="WP330" i="4"/>
  <c r="WQ330" i="4" s="1"/>
  <c r="WF274" i="4"/>
  <c r="WG274" i="4" s="1"/>
  <c r="WL274" i="4"/>
  <c r="WM274" i="4" s="1"/>
  <c r="WJ274" i="4"/>
  <c r="WK274" i="4" s="1"/>
  <c r="WV274" i="4"/>
  <c r="WW274" i="4" s="1"/>
  <c r="WR274" i="4"/>
  <c r="WS274" i="4" s="1"/>
  <c r="WN274" i="4"/>
  <c r="WO274" i="4" s="1"/>
  <c r="WP274" i="4"/>
  <c r="WQ274" i="4" s="1"/>
  <c r="WX274" i="4"/>
  <c r="WY274" i="4" s="1"/>
  <c r="WT274" i="4"/>
  <c r="WU274" i="4" s="1"/>
  <c r="WH274" i="4"/>
  <c r="WI274" i="4" s="1"/>
  <c r="WJ246" i="4"/>
  <c r="WK246" i="4" s="1"/>
  <c r="WL246" i="4"/>
  <c r="WM246" i="4" s="1"/>
  <c r="WP246" i="4"/>
  <c r="WQ246" i="4" s="1"/>
  <c r="WX246" i="4"/>
  <c r="WY246" i="4" s="1"/>
  <c r="WV246" i="4"/>
  <c r="WW246" i="4" s="1"/>
  <c r="WF246" i="4"/>
  <c r="WG246" i="4" s="1"/>
  <c r="WT246" i="4"/>
  <c r="WU246" i="4" s="1"/>
  <c r="WH246" i="4"/>
  <c r="WI246" i="4" s="1"/>
  <c r="WR246" i="4"/>
  <c r="WS246" i="4" s="1"/>
  <c r="WN215" i="4"/>
  <c r="WO215" i="4" s="1"/>
  <c r="WL215" i="4"/>
  <c r="WM215" i="4" s="1"/>
  <c r="WH215" i="4"/>
  <c r="WI215" i="4" s="1"/>
  <c r="WP215" i="4"/>
  <c r="WQ215" i="4" s="1"/>
  <c r="WT215" i="4"/>
  <c r="WU215" i="4" s="1"/>
  <c r="WJ215" i="4"/>
  <c r="WK215" i="4" s="1"/>
  <c r="WR215" i="4"/>
  <c r="WS215" i="4" s="1"/>
  <c r="WF215" i="4"/>
  <c r="WG215" i="4" s="1"/>
  <c r="WV215" i="4"/>
  <c r="WW215" i="4" s="1"/>
  <c r="WX215" i="4"/>
  <c r="WY215" i="4" s="1"/>
  <c r="WP76" i="4"/>
  <c r="WQ76" i="4" s="1"/>
  <c r="WX76" i="4"/>
  <c r="WY76" i="4" s="1"/>
  <c r="WR76" i="4"/>
  <c r="WS76" i="4" s="1"/>
  <c r="WF76" i="4"/>
  <c r="WG76" i="4" s="1"/>
  <c r="WV76" i="4"/>
  <c r="WW76" i="4" s="1"/>
  <c r="WN76" i="4"/>
  <c r="WO76" i="4" s="1"/>
  <c r="WL76" i="4"/>
  <c r="WM76" i="4" s="1"/>
  <c r="WH76" i="4"/>
  <c r="WI76" i="4" s="1"/>
  <c r="WT76" i="4"/>
  <c r="WU76" i="4" s="1"/>
  <c r="WJ224" i="4"/>
  <c r="WK224" i="4" s="1"/>
  <c r="WN224" i="4"/>
  <c r="WO224" i="4" s="1"/>
  <c r="WL224" i="4"/>
  <c r="WM224" i="4" s="1"/>
  <c r="WH224" i="4"/>
  <c r="WI224" i="4" s="1"/>
  <c r="WP224" i="4"/>
  <c r="WQ224" i="4" s="1"/>
  <c r="WV224" i="4"/>
  <c r="WW224" i="4" s="1"/>
  <c r="WT224" i="4"/>
  <c r="WU224" i="4" s="1"/>
  <c r="WX224" i="4"/>
  <c r="WY224" i="4" s="1"/>
  <c r="WF224" i="4"/>
  <c r="WG224" i="4" s="1"/>
  <c r="WR224" i="4"/>
  <c r="WS224" i="4" s="1"/>
  <c r="WL296" i="4"/>
  <c r="WM296" i="4" s="1"/>
  <c r="WR296" i="4"/>
  <c r="WS296" i="4" s="1"/>
  <c r="WN296" i="4"/>
  <c r="WO296" i="4" s="1"/>
  <c r="WT296" i="4"/>
  <c r="WU296" i="4" s="1"/>
  <c r="WX296" i="4"/>
  <c r="WY296" i="4" s="1"/>
  <c r="WV296" i="4"/>
  <c r="WW296" i="4" s="1"/>
  <c r="WP296" i="4"/>
  <c r="WQ296" i="4" s="1"/>
  <c r="WF296" i="4"/>
  <c r="WG296" i="4" s="1"/>
  <c r="WH296" i="4"/>
  <c r="WI296" i="4" s="1"/>
  <c r="WJ334" i="4"/>
  <c r="WK334" i="4" s="1"/>
  <c r="WP334" i="4"/>
  <c r="WQ334" i="4" s="1"/>
  <c r="WF334" i="4"/>
  <c r="WG334" i="4" s="1"/>
  <c r="WT334" i="4"/>
  <c r="WU334" i="4" s="1"/>
  <c r="WX334" i="4"/>
  <c r="WY334" i="4" s="1"/>
  <c r="WR334" i="4"/>
  <c r="WS334" i="4" s="1"/>
  <c r="WN334" i="4"/>
  <c r="WO334" i="4" s="1"/>
  <c r="WL334" i="4"/>
  <c r="WM334" i="4" s="1"/>
  <c r="WV334" i="4"/>
  <c r="WW334" i="4" s="1"/>
  <c r="WX43" i="4"/>
  <c r="WY43" i="4" s="1"/>
  <c r="WP43" i="4"/>
  <c r="WQ43" i="4" s="1"/>
  <c r="WJ43" i="4"/>
  <c r="WK43" i="4" s="1"/>
  <c r="WN43" i="4"/>
  <c r="WO43" i="4" s="1"/>
  <c r="WF43" i="4"/>
  <c r="WG43" i="4" s="1"/>
  <c r="WR43" i="4"/>
  <c r="WS43" i="4" s="1"/>
  <c r="WV43" i="4"/>
  <c r="WW43" i="4" s="1"/>
  <c r="WL43" i="4"/>
  <c r="WM43" i="4" s="1"/>
  <c r="WT43" i="4"/>
  <c r="WU43" i="4" s="1"/>
  <c r="WN216" i="4"/>
  <c r="WO216" i="4" s="1"/>
  <c r="WX216" i="4"/>
  <c r="WY216" i="4" s="1"/>
  <c r="WL216" i="4"/>
  <c r="WM216" i="4" s="1"/>
  <c r="WP216" i="4"/>
  <c r="WQ216" i="4" s="1"/>
  <c r="WT216" i="4"/>
  <c r="WU216" i="4" s="1"/>
  <c r="WR216" i="4"/>
  <c r="WS216" i="4" s="1"/>
  <c r="WJ216" i="4"/>
  <c r="WK216" i="4" s="1"/>
  <c r="WV216" i="4"/>
  <c r="WW216" i="4" s="1"/>
  <c r="WF216" i="4"/>
  <c r="WG216" i="4" s="1"/>
  <c r="WR49" i="4"/>
  <c r="WS49" i="4" s="1"/>
  <c r="WL49" i="4"/>
  <c r="WM49" i="4" s="1"/>
  <c r="WX49" i="4"/>
  <c r="WY49" i="4" s="1"/>
  <c r="WN49" i="4"/>
  <c r="WO49" i="4" s="1"/>
  <c r="WJ49" i="4"/>
  <c r="WK49" i="4" s="1"/>
  <c r="WF49" i="4"/>
  <c r="WG49" i="4" s="1"/>
  <c r="WV49" i="4"/>
  <c r="WW49" i="4" s="1"/>
  <c r="WT49" i="4"/>
  <c r="WU49" i="4" s="1"/>
  <c r="WP49" i="4"/>
  <c r="WQ49" i="4" s="1"/>
  <c r="WJ241" i="4"/>
  <c r="WK241" i="4" s="1"/>
  <c r="WH241" i="4"/>
  <c r="WI241" i="4" s="1"/>
  <c r="WX241" i="4"/>
  <c r="WY241" i="4" s="1"/>
  <c r="WT241" i="4"/>
  <c r="WU241" i="4" s="1"/>
  <c r="WF241" i="4"/>
  <c r="WG241" i="4" s="1"/>
  <c r="WN241" i="4"/>
  <c r="WO241" i="4" s="1"/>
  <c r="WP241" i="4"/>
  <c r="WQ241" i="4" s="1"/>
  <c r="WR241" i="4"/>
  <c r="WS241" i="4" s="1"/>
  <c r="WL241" i="4"/>
  <c r="WM241" i="4" s="1"/>
  <c r="WV241" i="4"/>
  <c r="WW241" i="4" s="1"/>
  <c r="WH70" i="4"/>
  <c r="WI70" i="4" s="1"/>
  <c r="WJ70" i="4"/>
  <c r="WK70" i="4" s="1"/>
  <c r="WV70" i="4"/>
  <c r="WW70" i="4" s="1"/>
  <c r="WL70" i="4"/>
  <c r="WM70" i="4" s="1"/>
  <c r="WP70" i="4"/>
  <c r="WQ70" i="4" s="1"/>
  <c r="WT70" i="4"/>
  <c r="WU70" i="4" s="1"/>
  <c r="WR70" i="4"/>
  <c r="WS70" i="4" s="1"/>
  <c r="WX70" i="4"/>
  <c r="WY70" i="4" s="1"/>
  <c r="WF70" i="4"/>
  <c r="WG70" i="4" s="1"/>
  <c r="WT72" i="4"/>
  <c r="WU72" i="4" s="1"/>
  <c r="WP72" i="4"/>
  <c r="WQ72" i="4" s="1"/>
  <c r="WN72" i="4"/>
  <c r="WO72" i="4" s="1"/>
  <c r="WR72" i="4"/>
  <c r="WS72" i="4" s="1"/>
  <c r="WX72" i="4"/>
  <c r="WY72" i="4" s="1"/>
  <c r="WL72" i="4"/>
  <c r="WM72" i="4" s="1"/>
  <c r="WF72" i="4"/>
  <c r="WG72" i="4" s="1"/>
  <c r="WJ72" i="4"/>
  <c r="WK72" i="4" s="1"/>
  <c r="WV72" i="4"/>
  <c r="WW72" i="4" s="1"/>
  <c r="WH72" i="4"/>
  <c r="WI72" i="4" s="1"/>
  <c r="WT237" i="4"/>
  <c r="WU237" i="4" s="1"/>
  <c r="WV237" i="4"/>
  <c r="WW237" i="4" s="1"/>
  <c r="WP237" i="4"/>
  <c r="WQ237" i="4" s="1"/>
  <c r="WX237" i="4"/>
  <c r="WY237" i="4" s="1"/>
  <c r="WL237" i="4"/>
  <c r="WM237" i="4" s="1"/>
  <c r="WR237" i="4"/>
  <c r="WS237" i="4" s="1"/>
  <c r="WN237" i="4"/>
  <c r="WO237" i="4" s="1"/>
  <c r="WJ237" i="4"/>
  <c r="WK237" i="4" s="1"/>
  <c r="WF237" i="4"/>
  <c r="WG237" i="4" s="1"/>
  <c r="WH237" i="4"/>
  <c r="WI237" i="4" s="1"/>
  <c r="WH332" i="4"/>
  <c r="WI332" i="4" s="1"/>
  <c r="WV332" i="4"/>
  <c r="WW332" i="4" s="1"/>
  <c r="WX332" i="4"/>
  <c r="WY332" i="4" s="1"/>
  <c r="WF332" i="4"/>
  <c r="WG332" i="4" s="1"/>
  <c r="WT332" i="4"/>
  <c r="WU332" i="4" s="1"/>
  <c r="WL332" i="4"/>
  <c r="WM332" i="4" s="1"/>
  <c r="WR332" i="4"/>
  <c r="WS332" i="4" s="1"/>
  <c r="WJ332" i="4"/>
  <c r="WK332" i="4" s="1"/>
  <c r="WN332" i="4"/>
  <c r="WO332" i="4" s="1"/>
  <c r="WP332" i="4"/>
  <c r="WQ332" i="4" s="1"/>
  <c r="WX299" i="4"/>
  <c r="WY299" i="4" s="1"/>
  <c r="WJ299" i="4"/>
  <c r="WK299" i="4" s="1"/>
  <c r="WH299" i="4"/>
  <c r="WI299" i="4" s="1"/>
  <c r="WN299" i="4"/>
  <c r="WO299" i="4" s="1"/>
  <c r="WT299" i="4"/>
  <c r="WU299" i="4" s="1"/>
  <c r="WF299" i="4"/>
  <c r="WG299" i="4" s="1"/>
  <c r="WR299" i="4"/>
  <c r="WS299" i="4" s="1"/>
  <c r="WV299" i="4"/>
  <c r="WW299" i="4" s="1"/>
  <c r="WL299" i="4"/>
  <c r="WM299" i="4" s="1"/>
  <c r="WP299" i="4"/>
  <c r="WQ299" i="4" s="1"/>
  <c r="WH214" i="4"/>
  <c r="WI214" i="4" s="1"/>
  <c r="WP214" i="4"/>
  <c r="WQ214" i="4" s="1"/>
  <c r="WX214" i="4"/>
  <c r="WY214" i="4" s="1"/>
  <c r="WR214" i="4"/>
  <c r="WS214" i="4" s="1"/>
  <c r="WV214" i="4"/>
  <c r="WW214" i="4" s="1"/>
  <c r="WT214" i="4"/>
  <c r="WU214" i="4" s="1"/>
  <c r="WN214" i="4"/>
  <c r="WO214" i="4" s="1"/>
  <c r="WJ214" i="4"/>
  <c r="WK214" i="4" s="1"/>
  <c r="WF214" i="4"/>
  <c r="WG214" i="4" s="1"/>
  <c r="WT280" i="4"/>
  <c r="WU280" i="4" s="1"/>
  <c r="WN280" i="4"/>
  <c r="WO280" i="4" s="1"/>
  <c r="WJ280" i="4"/>
  <c r="WK280" i="4" s="1"/>
  <c r="WF280" i="4"/>
  <c r="WG280" i="4" s="1"/>
  <c r="WR280" i="4"/>
  <c r="WS280" i="4" s="1"/>
  <c r="WV280" i="4"/>
  <c r="WW280" i="4" s="1"/>
  <c r="WX280" i="4"/>
  <c r="WY280" i="4" s="1"/>
  <c r="WP280" i="4"/>
  <c r="WQ280" i="4" s="1"/>
  <c r="WH280" i="4"/>
  <c r="WI280" i="4" s="1"/>
  <c r="WL42" i="4"/>
  <c r="WM42" i="4" s="1"/>
  <c r="WJ42" i="4"/>
  <c r="WK42" i="4" s="1"/>
  <c r="WT42" i="4"/>
  <c r="WU42" i="4" s="1"/>
  <c r="WN42" i="4"/>
  <c r="WO42" i="4" s="1"/>
  <c r="WH42" i="4"/>
  <c r="WI42" i="4" s="1"/>
  <c r="WP42" i="4"/>
  <c r="WQ42" i="4" s="1"/>
  <c r="WV42" i="4"/>
  <c r="WW42" i="4" s="1"/>
  <c r="WX42" i="4"/>
  <c r="WY42" i="4" s="1"/>
  <c r="WR42" i="4"/>
  <c r="WS42" i="4" s="1"/>
  <c r="WF42" i="4"/>
  <c r="WG42" i="4" s="1"/>
  <c r="WP270" i="4"/>
  <c r="WQ270" i="4" s="1"/>
  <c r="WT270" i="4"/>
  <c r="WU270" i="4" s="1"/>
  <c r="WF270" i="4"/>
  <c r="WG270" i="4" s="1"/>
  <c r="WV270" i="4"/>
  <c r="WW270" i="4" s="1"/>
  <c r="WN270" i="4"/>
  <c r="WO270" i="4" s="1"/>
  <c r="WL270" i="4"/>
  <c r="WM270" i="4" s="1"/>
  <c r="WR270" i="4"/>
  <c r="WS270" i="4" s="1"/>
  <c r="WX270" i="4"/>
  <c r="WY270" i="4" s="1"/>
  <c r="WJ270" i="4"/>
  <c r="WK270" i="4" s="1"/>
  <c r="WJ24" i="4"/>
  <c r="WK24" i="4" s="1"/>
  <c r="WL24" i="4"/>
  <c r="WM24" i="4" s="1"/>
  <c r="WF24" i="4"/>
  <c r="WG24" i="4" s="1"/>
  <c r="WN24" i="4"/>
  <c r="WO24" i="4" s="1"/>
  <c r="WP24" i="4"/>
  <c r="WQ24" i="4" s="1"/>
  <c r="WR24" i="4"/>
  <c r="WS24" i="4" s="1"/>
  <c r="WH24" i="4"/>
  <c r="WI24" i="4" s="1"/>
  <c r="WT24" i="4"/>
  <c r="WU24" i="4" s="1"/>
  <c r="WX24" i="4"/>
  <c r="WY24" i="4" s="1"/>
  <c r="WV24" i="4"/>
  <c r="WW24" i="4" s="1"/>
  <c r="WF272" i="4"/>
  <c r="WG272" i="4" s="1"/>
  <c r="WX272" i="4"/>
  <c r="WY272" i="4" s="1"/>
  <c r="WJ272" i="4"/>
  <c r="WK272" i="4" s="1"/>
  <c r="WL272" i="4"/>
  <c r="WM272" i="4" s="1"/>
  <c r="WN272" i="4"/>
  <c r="WO272" i="4" s="1"/>
  <c r="WT272" i="4"/>
  <c r="WU272" i="4" s="1"/>
  <c r="WV272" i="4"/>
  <c r="WW272" i="4" s="1"/>
  <c r="WR272" i="4"/>
  <c r="WS272" i="4" s="1"/>
  <c r="WP272" i="4"/>
  <c r="WQ272" i="4" s="1"/>
  <c r="WP333" i="4"/>
  <c r="WQ333" i="4" s="1"/>
  <c r="WF333" i="4"/>
  <c r="WG333" i="4" s="1"/>
  <c r="WT333" i="4"/>
  <c r="WU333" i="4" s="1"/>
  <c r="WJ333" i="4"/>
  <c r="WK333" i="4" s="1"/>
  <c r="WX333" i="4"/>
  <c r="WY333" i="4" s="1"/>
  <c r="WH333" i="4"/>
  <c r="WI333" i="4" s="1"/>
  <c r="WV333" i="4"/>
  <c r="WW333" i="4" s="1"/>
  <c r="WN333" i="4"/>
  <c r="WO333" i="4" s="1"/>
  <c r="WR333" i="4"/>
  <c r="WS333" i="4" s="1"/>
  <c r="WL333" i="4"/>
  <c r="WM333" i="4" s="1"/>
  <c r="WL103" i="4"/>
  <c r="WM103" i="4" s="1"/>
  <c r="WH103" i="4"/>
  <c r="WI103" i="4" s="1"/>
  <c r="WR103" i="4"/>
  <c r="WS103" i="4" s="1"/>
  <c r="WT103" i="4"/>
  <c r="WU103" i="4" s="1"/>
  <c r="WV103" i="4"/>
  <c r="WW103" i="4" s="1"/>
  <c r="WN103" i="4"/>
  <c r="WO103" i="4" s="1"/>
  <c r="WP103" i="4"/>
  <c r="WQ103" i="4" s="1"/>
  <c r="WJ103" i="4"/>
  <c r="WK103" i="4" s="1"/>
  <c r="WX103" i="4"/>
  <c r="WY103" i="4" s="1"/>
  <c r="WF103" i="4"/>
  <c r="WG103" i="4" s="1"/>
  <c r="WP290" i="4"/>
  <c r="WQ290" i="4" s="1"/>
  <c r="WX290" i="4"/>
  <c r="WY290" i="4" s="1"/>
  <c r="WV290" i="4"/>
  <c r="WW290" i="4" s="1"/>
  <c r="WR290" i="4"/>
  <c r="WS290" i="4" s="1"/>
  <c r="WN290" i="4"/>
  <c r="WO290" i="4" s="1"/>
  <c r="WL290" i="4"/>
  <c r="WM290" i="4" s="1"/>
  <c r="WH290" i="4"/>
  <c r="WI290" i="4" s="1"/>
  <c r="WT290" i="4"/>
  <c r="WU290" i="4" s="1"/>
  <c r="WJ290" i="4"/>
  <c r="WK290" i="4" s="1"/>
  <c r="WF290" i="4"/>
  <c r="WG290" i="4" s="1"/>
  <c r="WV98" i="4"/>
  <c r="WW98" i="4" s="1"/>
  <c r="WL98" i="4"/>
  <c r="WM98" i="4" s="1"/>
  <c r="WJ98" i="4"/>
  <c r="WK98" i="4" s="1"/>
  <c r="WT98" i="4"/>
  <c r="WU98" i="4" s="1"/>
  <c r="WX98" i="4"/>
  <c r="WY98" i="4" s="1"/>
  <c r="WN98" i="4"/>
  <c r="WO98" i="4" s="1"/>
  <c r="WF98" i="4"/>
  <c r="WG98" i="4" s="1"/>
  <c r="WP98" i="4"/>
  <c r="WQ98" i="4" s="1"/>
  <c r="WR98" i="4"/>
  <c r="WS98" i="4" s="1"/>
  <c r="WT284" i="4"/>
  <c r="WU284" i="4" s="1"/>
  <c r="WL284" i="4"/>
  <c r="WM284" i="4" s="1"/>
  <c r="WJ284" i="4"/>
  <c r="WK284" i="4" s="1"/>
  <c r="WH284" i="4"/>
  <c r="WI284" i="4" s="1"/>
  <c r="WN284" i="4"/>
  <c r="WO284" i="4" s="1"/>
  <c r="WV284" i="4"/>
  <c r="WW284" i="4" s="1"/>
  <c r="WP284" i="4"/>
  <c r="WQ284" i="4" s="1"/>
  <c r="WF284" i="4"/>
  <c r="WG284" i="4" s="1"/>
  <c r="WX284" i="4"/>
  <c r="WY284" i="4" s="1"/>
  <c r="WR284" i="4"/>
  <c r="WS284" i="4" s="1"/>
  <c r="KU129" i="4"/>
  <c r="KU126" i="4"/>
  <c r="QB43" i="4" s="1"/>
  <c r="AV145" i="6" s="1"/>
  <c r="WX198" i="4"/>
  <c r="WY198" i="4" s="1"/>
  <c r="WT198" i="4"/>
  <c r="WU198" i="4" s="1"/>
  <c r="WR198" i="4"/>
  <c r="WS198" i="4" s="1"/>
  <c r="WJ198" i="4"/>
  <c r="WK198" i="4" s="1"/>
  <c r="WL198" i="4"/>
  <c r="WM198" i="4" s="1"/>
  <c r="WP198" i="4"/>
  <c r="WQ198" i="4" s="1"/>
  <c r="WN198" i="4"/>
  <c r="WO198" i="4" s="1"/>
  <c r="WV198" i="4"/>
  <c r="WW198" i="4" s="1"/>
  <c r="WF198" i="4"/>
  <c r="WG198" i="4" s="1"/>
  <c r="WJ305" i="4"/>
  <c r="WK305" i="4" s="1"/>
  <c r="WV305" i="4"/>
  <c r="WW305" i="4" s="1"/>
  <c r="WP305" i="4"/>
  <c r="WQ305" i="4" s="1"/>
  <c r="WN305" i="4"/>
  <c r="WO305" i="4" s="1"/>
  <c r="WH305" i="4"/>
  <c r="WI305" i="4" s="1"/>
  <c r="WF305" i="4"/>
  <c r="WG305" i="4" s="1"/>
  <c r="WX305" i="4"/>
  <c r="WY305" i="4" s="1"/>
  <c r="WT305" i="4"/>
  <c r="WU305" i="4" s="1"/>
  <c r="WR305" i="4"/>
  <c r="WS305" i="4" s="1"/>
  <c r="WV16" i="4"/>
  <c r="WW16" i="4" s="1"/>
  <c r="WF16" i="4"/>
  <c r="WG16" i="4" s="1"/>
  <c r="WP16" i="4"/>
  <c r="WQ16" i="4" s="1"/>
  <c r="WX16" i="4"/>
  <c r="WY16" i="4" s="1"/>
  <c r="WL16" i="4"/>
  <c r="WM16" i="4" s="1"/>
  <c r="WN16" i="4"/>
  <c r="WO16" i="4" s="1"/>
  <c r="WT16" i="4"/>
  <c r="WU16" i="4" s="1"/>
  <c r="WR16" i="4"/>
  <c r="WS16" i="4" s="1"/>
  <c r="WJ16" i="4"/>
  <c r="WK16" i="4" s="1"/>
  <c r="WH16" i="4"/>
  <c r="WI16" i="4" s="1"/>
  <c r="WV119" i="4"/>
  <c r="WW119" i="4" s="1"/>
  <c r="WF119" i="4"/>
  <c r="WG119" i="4" s="1"/>
  <c r="WP119" i="4"/>
  <c r="WQ119" i="4" s="1"/>
  <c r="WR119" i="4"/>
  <c r="WS119" i="4" s="1"/>
  <c r="WH119" i="4"/>
  <c r="WI119" i="4" s="1"/>
  <c r="WX119" i="4"/>
  <c r="WY119" i="4" s="1"/>
  <c r="WL119" i="4"/>
  <c r="WM119" i="4" s="1"/>
  <c r="WT119" i="4"/>
  <c r="WU119" i="4" s="1"/>
  <c r="WN119" i="4"/>
  <c r="WO119" i="4" s="1"/>
  <c r="WX171" i="4"/>
  <c r="WY171" i="4" s="1"/>
  <c r="WV171" i="4"/>
  <c r="WW171" i="4" s="1"/>
  <c r="WT171" i="4"/>
  <c r="WU171" i="4" s="1"/>
  <c r="WP171" i="4"/>
  <c r="WQ171" i="4" s="1"/>
  <c r="WL171" i="4"/>
  <c r="WM171" i="4" s="1"/>
  <c r="WN171" i="4"/>
  <c r="WO171" i="4" s="1"/>
  <c r="WR171" i="4"/>
  <c r="WS171" i="4" s="1"/>
  <c r="WF171" i="4"/>
  <c r="WG171" i="4" s="1"/>
  <c r="WH171" i="4"/>
  <c r="WI171" i="4" s="1"/>
  <c r="WN154" i="4"/>
  <c r="WO154" i="4" s="1"/>
  <c r="WR154" i="4"/>
  <c r="WS154" i="4" s="1"/>
  <c r="WT154" i="4"/>
  <c r="WU154" i="4" s="1"/>
  <c r="WV154" i="4"/>
  <c r="WW154" i="4" s="1"/>
  <c r="WJ154" i="4"/>
  <c r="WK154" i="4" s="1"/>
  <c r="WX154" i="4"/>
  <c r="WY154" i="4" s="1"/>
  <c r="WH154" i="4"/>
  <c r="WI154" i="4" s="1"/>
  <c r="WF154" i="4"/>
  <c r="WG154" i="4" s="1"/>
  <c r="WP154" i="4"/>
  <c r="WQ154" i="4" s="1"/>
  <c r="WH6" i="4"/>
  <c r="WI6" i="4" s="1"/>
  <c r="WL6" i="4"/>
  <c r="WM6" i="4" s="1"/>
  <c r="WF6" i="4"/>
  <c r="WG6" i="4" s="1"/>
  <c r="WN6" i="4"/>
  <c r="WO6" i="4" s="1"/>
  <c r="WX6" i="4"/>
  <c r="WY6" i="4" s="1"/>
  <c r="WP6" i="4"/>
  <c r="WQ6" i="4" s="1"/>
  <c r="WV6" i="4"/>
  <c r="WW6" i="4" s="1"/>
  <c r="WR6" i="4"/>
  <c r="WS6" i="4" s="1"/>
  <c r="WT6" i="4"/>
  <c r="WU6" i="4" s="1"/>
  <c r="WP147" i="4"/>
  <c r="WQ147" i="4" s="1"/>
  <c r="WT147" i="4"/>
  <c r="WU147" i="4" s="1"/>
  <c r="WR147" i="4"/>
  <c r="WS147" i="4" s="1"/>
  <c r="WF147" i="4"/>
  <c r="WG147" i="4" s="1"/>
  <c r="WX147" i="4"/>
  <c r="WY147" i="4" s="1"/>
  <c r="WJ147" i="4"/>
  <c r="WK147" i="4" s="1"/>
  <c r="WV147" i="4"/>
  <c r="WW147" i="4" s="1"/>
  <c r="WH147" i="4"/>
  <c r="WI147" i="4" s="1"/>
  <c r="WN147" i="4"/>
  <c r="WO147" i="4" s="1"/>
  <c r="WJ283" i="4"/>
  <c r="WK283" i="4" s="1"/>
  <c r="WT283" i="4"/>
  <c r="WU283" i="4" s="1"/>
  <c r="WF283" i="4"/>
  <c r="WG283" i="4" s="1"/>
  <c r="WP283" i="4"/>
  <c r="WQ283" i="4" s="1"/>
  <c r="WR283" i="4"/>
  <c r="WS283" i="4" s="1"/>
  <c r="WX283" i="4"/>
  <c r="WY283" i="4" s="1"/>
  <c r="WL283" i="4"/>
  <c r="WM283" i="4" s="1"/>
  <c r="WH283" i="4"/>
  <c r="WI283" i="4" s="1"/>
  <c r="WN283" i="4"/>
  <c r="WO283" i="4" s="1"/>
  <c r="WV283" i="4"/>
  <c r="WW283" i="4" s="1"/>
  <c r="WP155" i="4"/>
  <c r="WQ155" i="4" s="1"/>
  <c r="WJ155" i="4"/>
  <c r="WK155" i="4" s="1"/>
  <c r="WL155" i="4"/>
  <c r="WM155" i="4" s="1"/>
  <c r="WF155" i="4"/>
  <c r="WG155" i="4" s="1"/>
  <c r="WR155" i="4"/>
  <c r="WS155" i="4" s="1"/>
  <c r="WN155" i="4"/>
  <c r="WO155" i="4" s="1"/>
  <c r="WH155" i="4"/>
  <c r="WI155" i="4" s="1"/>
  <c r="WT155" i="4"/>
  <c r="WU155" i="4" s="1"/>
  <c r="WX155" i="4"/>
  <c r="WY155" i="4" s="1"/>
  <c r="WV155" i="4"/>
  <c r="WW155" i="4" s="1"/>
  <c r="WV146" i="4"/>
  <c r="WW146" i="4" s="1"/>
  <c r="WF146" i="4"/>
  <c r="WG146" i="4" s="1"/>
  <c r="WT146" i="4"/>
  <c r="WU146" i="4" s="1"/>
  <c r="WN146" i="4"/>
  <c r="WO146" i="4" s="1"/>
  <c r="WH146" i="4"/>
  <c r="WI146" i="4" s="1"/>
  <c r="WJ146" i="4"/>
  <c r="WK146" i="4" s="1"/>
  <c r="WP146" i="4"/>
  <c r="WQ146" i="4" s="1"/>
  <c r="WX146" i="4"/>
  <c r="WY146" i="4" s="1"/>
  <c r="WL146" i="4"/>
  <c r="WM146" i="4" s="1"/>
  <c r="WR146" i="4"/>
  <c r="WS146" i="4" s="1"/>
  <c r="WF110" i="4"/>
  <c r="WG110" i="4" s="1"/>
  <c r="WJ110" i="4"/>
  <c r="WK110" i="4" s="1"/>
  <c r="WH110" i="4"/>
  <c r="WI110" i="4" s="1"/>
  <c r="WR110" i="4"/>
  <c r="WS110" i="4" s="1"/>
  <c r="WN110" i="4"/>
  <c r="WO110" i="4" s="1"/>
  <c r="WT110" i="4"/>
  <c r="WU110" i="4" s="1"/>
  <c r="WV110" i="4"/>
  <c r="WW110" i="4" s="1"/>
  <c r="WL110" i="4"/>
  <c r="WM110" i="4" s="1"/>
  <c r="WX110" i="4"/>
  <c r="WY110" i="4" s="1"/>
  <c r="WP110" i="4"/>
  <c r="WQ110" i="4" s="1"/>
  <c r="WN347" i="4"/>
  <c r="WO347" i="4" s="1"/>
  <c r="WR347" i="4"/>
  <c r="WS347" i="4" s="1"/>
  <c r="WL347" i="4"/>
  <c r="WM347" i="4" s="1"/>
  <c r="WJ347" i="4"/>
  <c r="WK347" i="4" s="1"/>
  <c r="WX347" i="4"/>
  <c r="WY347" i="4" s="1"/>
  <c r="WV347" i="4"/>
  <c r="WW347" i="4" s="1"/>
  <c r="WP347" i="4"/>
  <c r="WQ347" i="4" s="1"/>
  <c r="WH347" i="4"/>
  <c r="WI347" i="4" s="1"/>
  <c r="WF347" i="4"/>
  <c r="WG347" i="4" s="1"/>
  <c r="WT347" i="4"/>
  <c r="WU347" i="4" s="1"/>
  <c r="WL126" i="4"/>
  <c r="WM126" i="4" s="1"/>
  <c r="WT126" i="4"/>
  <c r="WU126" i="4" s="1"/>
  <c r="WX126" i="4"/>
  <c r="WY126" i="4" s="1"/>
  <c r="WR126" i="4"/>
  <c r="WS126" i="4" s="1"/>
  <c r="WF126" i="4"/>
  <c r="WG126" i="4" s="1"/>
  <c r="WV126" i="4"/>
  <c r="WW126" i="4" s="1"/>
  <c r="WJ126" i="4"/>
  <c r="WK126" i="4" s="1"/>
  <c r="WN126" i="4"/>
  <c r="WO126" i="4" s="1"/>
  <c r="WP126" i="4"/>
  <c r="WQ126" i="4" s="1"/>
  <c r="WH126" i="4"/>
  <c r="WI126" i="4" s="1"/>
  <c r="WF130" i="4"/>
  <c r="WG130" i="4" s="1"/>
  <c r="WJ130" i="4"/>
  <c r="WK130" i="4" s="1"/>
  <c r="WP130" i="4"/>
  <c r="WQ130" i="4" s="1"/>
  <c r="WX130" i="4"/>
  <c r="WY130" i="4" s="1"/>
  <c r="WT130" i="4"/>
  <c r="WU130" i="4" s="1"/>
  <c r="WN130" i="4"/>
  <c r="WO130" i="4" s="1"/>
  <c r="WH130" i="4"/>
  <c r="WI130" i="4" s="1"/>
  <c r="WR130" i="4"/>
  <c r="WS130" i="4" s="1"/>
  <c r="WV130" i="4"/>
  <c r="WW130" i="4" s="1"/>
  <c r="WT209" i="4"/>
  <c r="WU209" i="4" s="1"/>
  <c r="WP209" i="4"/>
  <c r="WQ209" i="4" s="1"/>
  <c r="WJ209" i="4"/>
  <c r="WK209" i="4" s="1"/>
  <c r="WR209" i="4"/>
  <c r="WS209" i="4" s="1"/>
  <c r="WX209" i="4"/>
  <c r="WY209" i="4" s="1"/>
  <c r="WL209" i="4"/>
  <c r="WM209" i="4" s="1"/>
  <c r="WH209" i="4"/>
  <c r="WI209" i="4" s="1"/>
  <c r="WF209" i="4"/>
  <c r="WG209" i="4" s="1"/>
  <c r="WV209" i="4"/>
  <c r="WW209" i="4" s="1"/>
  <c r="WR328" i="4"/>
  <c r="WS328" i="4" s="1"/>
  <c r="WT328" i="4"/>
  <c r="WU328" i="4" s="1"/>
  <c r="WL328" i="4"/>
  <c r="WM328" i="4" s="1"/>
  <c r="WV328" i="4"/>
  <c r="WW328" i="4" s="1"/>
  <c r="WX328" i="4"/>
  <c r="WY328" i="4" s="1"/>
  <c r="WF328" i="4"/>
  <c r="WG328" i="4" s="1"/>
  <c r="WH328" i="4"/>
  <c r="WI328" i="4" s="1"/>
  <c r="WJ328" i="4"/>
  <c r="WK328" i="4" s="1"/>
  <c r="WN328" i="4"/>
  <c r="WO328" i="4" s="1"/>
  <c r="WP328" i="4"/>
  <c r="WQ328" i="4" s="1"/>
  <c r="WT232" i="4"/>
  <c r="WU232" i="4" s="1"/>
  <c r="WR232" i="4"/>
  <c r="WS232" i="4" s="1"/>
  <c r="WN232" i="4"/>
  <c r="WO232" i="4" s="1"/>
  <c r="WF232" i="4"/>
  <c r="WG232" i="4" s="1"/>
  <c r="WJ232" i="4"/>
  <c r="WK232" i="4" s="1"/>
  <c r="WL232" i="4"/>
  <c r="WM232" i="4" s="1"/>
  <c r="WX232" i="4"/>
  <c r="WY232" i="4" s="1"/>
  <c r="WV232" i="4"/>
  <c r="WW232" i="4" s="1"/>
  <c r="WH232" i="4"/>
  <c r="WI232" i="4" s="1"/>
  <c r="WP232" i="4"/>
  <c r="WQ232" i="4" s="1"/>
  <c r="WR258" i="4"/>
  <c r="WS258" i="4" s="1"/>
  <c r="WL258" i="4"/>
  <c r="WM258" i="4" s="1"/>
  <c r="WT258" i="4"/>
  <c r="WU258" i="4" s="1"/>
  <c r="WP258" i="4"/>
  <c r="WQ258" i="4" s="1"/>
  <c r="WX258" i="4"/>
  <c r="WY258" i="4" s="1"/>
  <c r="WJ258" i="4"/>
  <c r="WK258" i="4" s="1"/>
  <c r="WH258" i="4"/>
  <c r="WI258" i="4" s="1"/>
  <c r="WV258" i="4"/>
  <c r="WW258" i="4" s="1"/>
  <c r="WF258" i="4"/>
  <c r="WG258" i="4" s="1"/>
  <c r="WV223" i="4"/>
  <c r="WW223" i="4" s="1"/>
  <c r="WJ223" i="4"/>
  <c r="WK223" i="4" s="1"/>
  <c r="WX223" i="4"/>
  <c r="WY223" i="4" s="1"/>
  <c r="WH223" i="4"/>
  <c r="WI223" i="4" s="1"/>
  <c r="WP223" i="4"/>
  <c r="WQ223" i="4" s="1"/>
  <c r="WT223" i="4"/>
  <c r="WU223" i="4" s="1"/>
  <c r="WR223" i="4"/>
  <c r="WS223" i="4" s="1"/>
  <c r="WF223" i="4"/>
  <c r="WG223" i="4" s="1"/>
  <c r="WN223" i="4"/>
  <c r="WO223" i="4" s="1"/>
  <c r="WL223" i="4"/>
  <c r="WM223" i="4" s="1"/>
  <c r="WV256" i="4"/>
  <c r="WW256" i="4" s="1"/>
  <c r="WJ256" i="4"/>
  <c r="WK256" i="4" s="1"/>
  <c r="WR256" i="4"/>
  <c r="WS256" i="4" s="1"/>
  <c r="WX256" i="4"/>
  <c r="WY256" i="4" s="1"/>
  <c r="WT256" i="4"/>
  <c r="WU256" i="4" s="1"/>
  <c r="WF256" i="4"/>
  <c r="WG256" i="4" s="1"/>
  <c r="WL256" i="4"/>
  <c r="WM256" i="4" s="1"/>
  <c r="WN256" i="4"/>
  <c r="WO256" i="4" s="1"/>
  <c r="WP256" i="4"/>
  <c r="WQ256" i="4" s="1"/>
  <c r="WH256" i="4"/>
  <c r="WI256" i="4" s="1"/>
  <c r="WN292" i="4"/>
  <c r="WO292" i="4" s="1"/>
  <c r="WT292" i="4"/>
  <c r="WU292" i="4" s="1"/>
  <c r="WF292" i="4"/>
  <c r="WG292" i="4" s="1"/>
  <c r="WH292" i="4"/>
  <c r="WI292" i="4" s="1"/>
  <c r="WV292" i="4"/>
  <c r="WW292" i="4" s="1"/>
  <c r="WL292" i="4"/>
  <c r="WM292" i="4" s="1"/>
  <c r="WX292" i="4"/>
  <c r="WY292" i="4" s="1"/>
  <c r="WR292" i="4"/>
  <c r="WS292" i="4" s="1"/>
  <c r="WP292" i="4"/>
  <c r="WQ292" i="4" s="1"/>
  <c r="WJ292" i="4"/>
  <c r="WK292" i="4" s="1"/>
  <c r="WV151" i="4"/>
  <c r="WW151" i="4" s="1"/>
  <c r="WP151" i="4"/>
  <c r="WQ151" i="4" s="1"/>
  <c r="WJ151" i="4"/>
  <c r="WK151" i="4" s="1"/>
  <c r="WH151" i="4"/>
  <c r="WI151" i="4" s="1"/>
  <c r="WL151" i="4"/>
  <c r="WM151" i="4" s="1"/>
  <c r="WR151" i="4"/>
  <c r="WS151" i="4" s="1"/>
  <c r="WN151" i="4"/>
  <c r="WO151" i="4" s="1"/>
  <c r="WF151" i="4"/>
  <c r="WG151" i="4" s="1"/>
  <c r="WX151" i="4"/>
  <c r="WY151" i="4" s="1"/>
  <c r="WT151" i="4"/>
  <c r="WU151" i="4" s="1"/>
  <c r="WJ336" i="4"/>
  <c r="WK336" i="4" s="1"/>
  <c r="WP336" i="4"/>
  <c r="WQ336" i="4" s="1"/>
  <c r="WF336" i="4"/>
  <c r="WG336" i="4" s="1"/>
  <c r="WH336" i="4"/>
  <c r="WI336" i="4" s="1"/>
  <c r="WT336" i="4"/>
  <c r="WU336" i="4" s="1"/>
  <c r="WV336" i="4"/>
  <c r="WW336" i="4" s="1"/>
  <c r="WN336" i="4"/>
  <c r="WO336" i="4" s="1"/>
  <c r="WX336" i="4"/>
  <c r="WY336" i="4" s="1"/>
  <c r="WR336" i="4"/>
  <c r="WS336" i="4" s="1"/>
  <c r="WP88" i="4"/>
  <c r="WQ88" i="4" s="1"/>
  <c r="WX88" i="4"/>
  <c r="WY88" i="4" s="1"/>
  <c r="WL88" i="4"/>
  <c r="WM88" i="4" s="1"/>
  <c r="WN88" i="4"/>
  <c r="WO88" i="4" s="1"/>
  <c r="WJ88" i="4"/>
  <c r="WK88" i="4" s="1"/>
  <c r="WV88" i="4"/>
  <c r="WW88" i="4" s="1"/>
  <c r="WT88" i="4"/>
  <c r="WU88" i="4" s="1"/>
  <c r="WH88" i="4"/>
  <c r="WI88" i="4" s="1"/>
  <c r="WR88" i="4"/>
  <c r="WS88" i="4" s="1"/>
  <c r="WJ329" i="4"/>
  <c r="WK329" i="4" s="1"/>
  <c r="WL329" i="4"/>
  <c r="WM329" i="4" s="1"/>
  <c r="WR329" i="4"/>
  <c r="WS329" i="4" s="1"/>
  <c r="WN329" i="4"/>
  <c r="WO329" i="4" s="1"/>
  <c r="WH329" i="4"/>
  <c r="WI329" i="4" s="1"/>
  <c r="WP329" i="4"/>
  <c r="WQ329" i="4" s="1"/>
  <c r="WV329" i="4"/>
  <c r="WW329" i="4" s="1"/>
  <c r="WF329" i="4"/>
  <c r="WG329" i="4" s="1"/>
  <c r="WT329" i="4"/>
  <c r="WU329" i="4" s="1"/>
  <c r="WX329" i="4"/>
  <c r="WY329" i="4" s="1"/>
  <c r="WL166" i="4"/>
  <c r="WM166" i="4" s="1"/>
  <c r="WJ166" i="4"/>
  <c r="WK166" i="4" s="1"/>
  <c r="WT166" i="4"/>
  <c r="WU166" i="4" s="1"/>
  <c r="WR166" i="4"/>
  <c r="WS166" i="4" s="1"/>
  <c r="WN166" i="4"/>
  <c r="WO166" i="4" s="1"/>
  <c r="WH166" i="4"/>
  <c r="WI166" i="4" s="1"/>
  <c r="WP166" i="4"/>
  <c r="WQ166" i="4" s="1"/>
  <c r="WX166" i="4"/>
  <c r="WY166" i="4" s="1"/>
  <c r="WF166" i="4"/>
  <c r="WG166" i="4" s="1"/>
  <c r="WV166" i="4"/>
  <c r="WW166" i="4" s="1"/>
  <c r="WP74" i="4"/>
  <c r="WQ74" i="4" s="1"/>
  <c r="WR74" i="4"/>
  <c r="WS74" i="4" s="1"/>
  <c r="WV74" i="4"/>
  <c r="WW74" i="4" s="1"/>
  <c r="WX74" i="4"/>
  <c r="WY74" i="4" s="1"/>
  <c r="WH74" i="4"/>
  <c r="WI74" i="4" s="1"/>
  <c r="WL74" i="4"/>
  <c r="WM74" i="4" s="1"/>
  <c r="WT74" i="4"/>
  <c r="WU74" i="4" s="1"/>
  <c r="WF74" i="4"/>
  <c r="WG74" i="4" s="1"/>
  <c r="WN74" i="4"/>
  <c r="WO74" i="4" s="1"/>
  <c r="WJ74" i="4"/>
  <c r="WK74" i="4" s="1"/>
  <c r="WN10" i="4"/>
  <c r="WO10" i="4" s="1"/>
  <c r="WP10" i="4"/>
  <c r="WQ10" i="4" s="1"/>
  <c r="WV10" i="4"/>
  <c r="WW10" i="4" s="1"/>
  <c r="WF10" i="4"/>
  <c r="WG10" i="4" s="1"/>
  <c r="WJ10" i="4"/>
  <c r="WK10" i="4" s="1"/>
  <c r="WR10" i="4"/>
  <c r="WS10" i="4" s="1"/>
  <c r="WX10" i="4"/>
  <c r="WY10" i="4" s="1"/>
  <c r="WH10" i="4"/>
  <c r="WI10" i="4" s="1"/>
  <c r="WT10" i="4"/>
  <c r="WU10" i="4" s="1"/>
  <c r="WF78" i="4"/>
  <c r="WG78" i="4" s="1"/>
  <c r="WH78" i="4"/>
  <c r="WI78" i="4" s="1"/>
  <c r="WL78" i="4"/>
  <c r="WM78" i="4" s="1"/>
  <c r="WR78" i="4"/>
  <c r="WS78" i="4" s="1"/>
  <c r="WT78" i="4"/>
  <c r="WU78" i="4" s="1"/>
  <c r="WV78" i="4"/>
  <c r="WW78" i="4" s="1"/>
  <c r="WN78" i="4"/>
  <c r="WO78" i="4" s="1"/>
  <c r="WJ78" i="4"/>
  <c r="WK78" i="4" s="1"/>
  <c r="WP78" i="4"/>
  <c r="WQ78" i="4" s="1"/>
  <c r="WX78" i="4"/>
  <c r="WY78" i="4" s="1"/>
  <c r="WN162" i="4"/>
  <c r="WO162" i="4" s="1"/>
  <c r="WR162" i="4"/>
  <c r="WS162" i="4" s="1"/>
  <c r="WH162" i="4"/>
  <c r="WI162" i="4" s="1"/>
  <c r="WJ162" i="4"/>
  <c r="WK162" i="4" s="1"/>
  <c r="WT162" i="4"/>
  <c r="WU162" i="4" s="1"/>
  <c r="WX162" i="4"/>
  <c r="WY162" i="4" s="1"/>
  <c r="WL162" i="4"/>
  <c r="WM162" i="4" s="1"/>
  <c r="WP162" i="4"/>
  <c r="WQ162" i="4" s="1"/>
  <c r="WF162" i="4"/>
  <c r="WG162" i="4" s="1"/>
  <c r="WV162" i="4"/>
  <c r="WW162" i="4" s="1"/>
  <c r="WV79" i="4"/>
  <c r="WW79" i="4" s="1"/>
  <c r="WL79" i="4"/>
  <c r="WM79" i="4" s="1"/>
  <c r="WP79" i="4"/>
  <c r="WQ79" i="4" s="1"/>
  <c r="WH79" i="4"/>
  <c r="WI79" i="4" s="1"/>
  <c r="WT79" i="4"/>
  <c r="WU79" i="4" s="1"/>
  <c r="WN79" i="4"/>
  <c r="WO79" i="4" s="1"/>
  <c r="WF79" i="4"/>
  <c r="WG79" i="4" s="1"/>
  <c r="WJ79" i="4"/>
  <c r="WK79" i="4" s="1"/>
  <c r="WX79" i="4"/>
  <c r="WY79" i="4" s="1"/>
  <c r="WR79" i="4"/>
  <c r="WS79" i="4" s="1"/>
  <c r="WJ112" i="4"/>
  <c r="WK112" i="4" s="1"/>
  <c r="WF112" i="4"/>
  <c r="WG112" i="4" s="1"/>
  <c r="WP112" i="4"/>
  <c r="WQ112" i="4" s="1"/>
  <c r="WV112" i="4"/>
  <c r="WW112" i="4" s="1"/>
  <c r="WT112" i="4"/>
  <c r="WU112" i="4" s="1"/>
  <c r="WL112" i="4"/>
  <c r="WM112" i="4" s="1"/>
  <c r="WR112" i="4"/>
  <c r="WS112" i="4" s="1"/>
  <c r="WH112" i="4"/>
  <c r="WI112" i="4" s="1"/>
  <c r="WN112" i="4"/>
  <c r="WO112" i="4" s="1"/>
  <c r="WX112" i="4"/>
  <c r="WY112" i="4" s="1"/>
  <c r="WR164" i="4"/>
  <c r="WS164" i="4" s="1"/>
  <c r="WP164" i="4"/>
  <c r="WQ164" i="4" s="1"/>
  <c r="WJ164" i="4"/>
  <c r="WK164" i="4" s="1"/>
  <c r="WN164" i="4"/>
  <c r="WO164" i="4" s="1"/>
  <c r="WL164" i="4"/>
  <c r="WM164" i="4" s="1"/>
  <c r="WV164" i="4"/>
  <c r="WW164" i="4" s="1"/>
  <c r="WT164" i="4"/>
  <c r="WU164" i="4" s="1"/>
  <c r="WX164" i="4"/>
  <c r="WY164" i="4" s="1"/>
  <c r="WF164" i="4"/>
  <c r="WG164" i="4" s="1"/>
  <c r="WT207" i="4"/>
  <c r="WU207" i="4" s="1"/>
  <c r="WX207" i="4"/>
  <c r="WY207" i="4" s="1"/>
  <c r="WH207" i="4"/>
  <c r="WI207" i="4" s="1"/>
  <c r="WN207" i="4"/>
  <c r="WO207" i="4" s="1"/>
  <c r="WR207" i="4"/>
  <c r="WS207" i="4" s="1"/>
  <c r="WP207" i="4"/>
  <c r="WQ207" i="4" s="1"/>
  <c r="WF207" i="4"/>
  <c r="WG207" i="4" s="1"/>
  <c r="WV207" i="4"/>
  <c r="WW207" i="4" s="1"/>
  <c r="WJ207" i="4"/>
  <c r="WK207" i="4" s="1"/>
  <c r="WN12" i="4"/>
  <c r="WO12" i="4" s="1"/>
  <c r="WR12" i="4"/>
  <c r="WS12" i="4" s="1"/>
  <c r="WX12" i="4"/>
  <c r="WY12" i="4" s="1"/>
  <c r="WJ12" i="4"/>
  <c r="WK12" i="4" s="1"/>
  <c r="WH12" i="4"/>
  <c r="WI12" i="4" s="1"/>
  <c r="WP12" i="4"/>
  <c r="WQ12" i="4" s="1"/>
  <c r="WV12" i="4"/>
  <c r="WW12" i="4" s="1"/>
  <c r="WF12" i="4"/>
  <c r="WG12" i="4" s="1"/>
  <c r="WL12" i="4"/>
  <c r="WM12" i="4" s="1"/>
  <c r="WT12" i="4"/>
  <c r="WU12" i="4" s="1"/>
  <c r="WF145" i="4"/>
  <c r="WG145" i="4" s="1"/>
  <c r="WX145" i="4"/>
  <c r="WY145" i="4" s="1"/>
  <c r="WH145" i="4"/>
  <c r="WI145" i="4" s="1"/>
  <c r="WL145" i="4"/>
  <c r="WM145" i="4" s="1"/>
  <c r="WN145" i="4"/>
  <c r="WO145" i="4" s="1"/>
  <c r="WT145" i="4"/>
  <c r="WU145" i="4" s="1"/>
  <c r="WR145" i="4"/>
  <c r="WS145" i="4" s="1"/>
  <c r="WV145" i="4"/>
  <c r="WW145" i="4" s="1"/>
  <c r="WP145" i="4"/>
  <c r="WQ145" i="4" s="1"/>
  <c r="WF91" i="4"/>
  <c r="WG91" i="4" s="1"/>
  <c r="WP91" i="4"/>
  <c r="WQ91" i="4" s="1"/>
  <c r="WN91" i="4"/>
  <c r="WO91" i="4" s="1"/>
  <c r="WT91" i="4"/>
  <c r="WU91" i="4" s="1"/>
  <c r="WX91" i="4"/>
  <c r="WY91" i="4" s="1"/>
  <c r="WR91" i="4"/>
  <c r="WS91" i="4" s="1"/>
  <c r="WL91" i="4"/>
  <c r="WM91" i="4" s="1"/>
  <c r="WJ91" i="4"/>
  <c r="WK91" i="4" s="1"/>
  <c r="WV91" i="4"/>
  <c r="WW91" i="4" s="1"/>
  <c r="WH91" i="4"/>
  <c r="WI91" i="4" s="1"/>
  <c r="WR315" i="4"/>
  <c r="WS315" i="4" s="1"/>
  <c r="WV315" i="4"/>
  <c r="WW315" i="4" s="1"/>
  <c r="WF315" i="4"/>
  <c r="WG315" i="4" s="1"/>
  <c r="WX315" i="4"/>
  <c r="WY315" i="4" s="1"/>
  <c r="WH315" i="4"/>
  <c r="WI315" i="4" s="1"/>
  <c r="WJ315" i="4"/>
  <c r="WK315" i="4" s="1"/>
  <c r="WP315" i="4"/>
  <c r="WQ315" i="4" s="1"/>
  <c r="WL315" i="4"/>
  <c r="WM315" i="4" s="1"/>
  <c r="WT315" i="4"/>
  <c r="WU315" i="4" s="1"/>
  <c r="WN315" i="4"/>
  <c r="WO315" i="4" s="1"/>
  <c r="WN95" i="4"/>
  <c r="WO95" i="4" s="1"/>
  <c r="WH95" i="4"/>
  <c r="WI95" i="4" s="1"/>
  <c r="WL95" i="4"/>
  <c r="WM95" i="4" s="1"/>
  <c r="WF95" i="4"/>
  <c r="WG95" i="4" s="1"/>
  <c r="WX95" i="4"/>
  <c r="WY95" i="4" s="1"/>
  <c r="WJ95" i="4"/>
  <c r="WK95" i="4" s="1"/>
  <c r="WP95" i="4"/>
  <c r="WQ95" i="4" s="1"/>
  <c r="WR95" i="4"/>
  <c r="WS95" i="4" s="1"/>
  <c r="WV95" i="4"/>
  <c r="WW95" i="4" s="1"/>
  <c r="WT95" i="4"/>
  <c r="WU95" i="4" s="1"/>
  <c r="WJ4" i="4"/>
  <c r="WK4" i="4" s="1"/>
  <c r="WL4" i="4"/>
  <c r="WM4" i="4" s="1"/>
  <c r="WP4" i="4"/>
  <c r="WQ4" i="4" s="1"/>
  <c r="WX4" i="4"/>
  <c r="WY4" i="4" s="1"/>
  <c r="WH4" i="4"/>
  <c r="WI4" i="4" s="1"/>
  <c r="WV4" i="4"/>
  <c r="WW4" i="4" s="1"/>
  <c r="WR4" i="4"/>
  <c r="WS4" i="4" s="1"/>
  <c r="WF4" i="4"/>
  <c r="WG4" i="4" s="1"/>
  <c r="WN4" i="4"/>
  <c r="WO4" i="4" s="1"/>
  <c r="WT4" i="4"/>
  <c r="WU4" i="4" s="1"/>
  <c r="WX212" i="4"/>
  <c r="WY212" i="4" s="1"/>
  <c r="WJ212" i="4"/>
  <c r="WK212" i="4" s="1"/>
  <c r="WN212" i="4"/>
  <c r="WO212" i="4" s="1"/>
  <c r="WL212" i="4"/>
  <c r="WM212" i="4" s="1"/>
  <c r="WR212" i="4"/>
  <c r="WS212" i="4" s="1"/>
  <c r="WT212" i="4"/>
  <c r="WU212" i="4" s="1"/>
  <c r="WF212" i="4"/>
  <c r="WG212" i="4" s="1"/>
  <c r="WV212" i="4"/>
  <c r="WW212" i="4" s="1"/>
  <c r="WP212" i="4"/>
  <c r="WQ212" i="4" s="1"/>
  <c r="WV73" i="4"/>
  <c r="WW73" i="4" s="1"/>
  <c r="WP73" i="4"/>
  <c r="WQ73" i="4" s="1"/>
  <c r="WT73" i="4"/>
  <c r="WU73" i="4" s="1"/>
  <c r="WX73" i="4"/>
  <c r="WY73" i="4" s="1"/>
  <c r="WR73" i="4"/>
  <c r="WS73" i="4" s="1"/>
  <c r="WJ73" i="4"/>
  <c r="WK73" i="4" s="1"/>
  <c r="WH73" i="4"/>
  <c r="WI73" i="4" s="1"/>
  <c r="WF73" i="4"/>
  <c r="WG73" i="4" s="1"/>
  <c r="WN73" i="4"/>
  <c r="WO73" i="4" s="1"/>
  <c r="WL73" i="4"/>
  <c r="WM73" i="4" s="1"/>
  <c r="WP20" i="4"/>
  <c r="WQ20" i="4" s="1"/>
  <c r="WX20" i="4"/>
  <c r="WY20" i="4" s="1"/>
  <c r="WR20" i="4"/>
  <c r="WS20" i="4" s="1"/>
  <c r="WT20" i="4"/>
  <c r="WU20" i="4" s="1"/>
  <c r="WF20" i="4"/>
  <c r="WG20" i="4" s="1"/>
  <c r="WN20" i="4"/>
  <c r="WO20" i="4" s="1"/>
  <c r="WH20" i="4"/>
  <c r="WI20" i="4" s="1"/>
  <c r="WV20" i="4"/>
  <c r="WW20" i="4" s="1"/>
  <c r="WL20" i="4"/>
  <c r="WM20" i="4" s="1"/>
  <c r="WJ20" i="4"/>
  <c r="WK20" i="4" s="1"/>
  <c r="WH340" i="4"/>
  <c r="WI340" i="4" s="1"/>
  <c r="WJ340" i="4"/>
  <c r="WK340" i="4" s="1"/>
  <c r="WR340" i="4"/>
  <c r="WS340" i="4" s="1"/>
  <c r="WT340" i="4"/>
  <c r="WU340" i="4" s="1"/>
  <c r="WF340" i="4"/>
  <c r="WG340" i="4" s="1"/>
  <c r="WX340" i="4"/>
  <c r="WY340" i="4" s="1"/>
  <c r="WN340" i="4"/>
  <c r="WO340" i="4" s="1"/>
  <c r="WL340" i="4"/>
  <c r="WM340" i="4" s="1"/>
  <c r="WV340" i="4"/>
  <c r="WW340" i="4" s="1"/>
  <c r="WP340" i="4"/>
  <c r="WQ340" i="4" s="1"/>
  <c r="WR210" i="4"/>
  <c r="WS210" i="4" s="1"/>
  <c r="WH210" i="4"/>
  <c r="WI210" i="4" s="1"/>
  <c r="WL210" i="4"/>
  <c r="WM210" i="4" s="1"/>
  <c r="WX210" i="4"/>
  <c r="WY210" i="4" s="1"/>
  <c r="WV210" i="4"/>
  <c r="WW210" i="4" s="1"/>
  <c r="WF210" i="4"/>
  <c r="WG210" i="4" s="1"/>
  <c r="WT210" i="4"/>
  <c r="WU210" i="4" s="1"/>
  <c r="WP210" i="4"/>
  <c r="WQ210" i="4" s="1"/>
  <c r="WN210" i="4"/>
  <c r="WO210" i="4" s="1"/>
  <c r="WN54" i="4"/>
  <c r="WO54" i="4" s="1"/>
  <c r="WX54" i="4"/>
  <c r="WY54" i="4" s="1"/>
  <c r="WT54" i="4"/>
  <c r="WU54" i="4" s="1"/>
  <c r="WH54" i="4"/>
  <c r="WI54" i="4" s="1"/>
  <c r="WR54" i="4"/>
  <c r="WS54" i="4" s="1"/>
  <c r="WV54" i="4"/>
  <c r="WW54" i="4" s="1"/>
  <c r="WP54" i="4"/>
  <c r="WQ54" i="4" s="1"/>
  <c r="WL54" i="4"/>
  <c r="WM54" i="4" s="1"/>
  <c r="WF54" i="4"/>
  <c r="WG54" i="4" s="1"/>
  <c r="WV132" i="4"/>
  <c r="WW132" i="4" s="1"/>
  <c r="WF132" i="4"/>
  <c r="WG132" i="4" s="1"/>
  <c r="WL132" i="4"/>
  <c r="WM132" i="4" s="1"/>
  <c r="WP132" i="4"/>
  <c r="WQ132" i="4" s="1"/>
  <c r="WX132" i="4"/>
  <c r="WY132" i="4" s="1"/>
  <c r="WJ132" i="4"/>
  <c r="WK132" i="4" s="1"/>
  <c r="WH132" i="4"/>
  <c r="WI132" i="4" s="1"/>
  <c r="WT132" i="4"/>
  <c r="WU132" i="4" s="1"/>
  <c r="WN132" i="4"/>
  <c r="WO132" i="4" s="1"/>
  <c r="WR132" i="4"/>
  <c r="WS132" i="4" s="1"/>
  <c r="WP11" i="4"/>
  <c r="WQ11" i="4" s="1"/>
  <c r="WT11" i="4"/>
  <c r="WU11" i="4" s="1"/>
  <c r="WF11" i="4"/>
  <c r="WG11" i="4" s="1"/>
  <c r="WV11" i="4"/>
  <c r="WW11" i="4" s="1"/>
  <c r="WL11" i="4"/>
  <c r="WM11" i="4" s="1"/>
  <c r="WH11" i="4"/>
  <c r="WI11" i="4" s="1"/>
  <c r="WN11" i="4"/>
  <c r="WO11" i="4" s="1"/>
  <c r="WR11" i="4"/>
  <c r="WS11" i="4" s="1"/>
  <c r="WX11" i="4"/>
  <c r="WY11" i="4" s="1"/>
  <c r="WJ11" i="4"/>
  <c r="WK11" i="4" s="1"/>
  <c r="WX320" i="4"/>
  <c r="WY320" i="4" s="1"/>
  <c r="WL320" i="4"/>
  <c r="WM320" i="4" s="1"/>
  <c r="WP320" i="4"/>
  <c r="WQ320" i="4" s="1"/>
  <c r="WT320" i="4"/>
  <c r="WU320" i="4" s="1"/>
  <c r="WF320" i="4"/>
  <c r="WG320" i="4" s="1"/>
  <c r="WN320" i="4"/>
  <c r="WO320" i="4" s="1"/>
  <c r="WR320" i="4"/>
  <c r="WS320" i="4" s="1"/>
  <c r="WH320" i="4"/>
  <c r="WI320" i="4" s="1"/>
  <c r="WV320" i="4"/>
  <c r="WW320" i="4" s="1"/>
  <c r="WF85" i="4"/>
  <c r="WG85" i="4" s="1"/>
  <c r="WP85" i="4"/>
  <c r="WQ85" i="4" s="1"/>
  <c r="WL85" i="4"/>
  <c r="WM85" i="4" s="1"/>
  <c r="WR85" i="4"/>
  <c r="WS85" i="4" s="1"/>
  <c r="WH85" i="4"/>
  <c r="WI85" i="4" s="1"/>
  <c r="WN85" i="4"/>
  <c r="WO85" i="4" s="1"/>
  <c r="WX85" i="4"/>
  <c r="WY85" i="4" s="1"/>
  <c r="WT85" i="4"/>
  <c r="WU85" i="4" s="1"/>
  <c r="WV85" i="4"/>
  <c r="WW85" i="4" s="1"/>
  <c r="WF293" i="4"/>
  <c r="WG293" i="4" s="1"/>
  <c r="WX293" i="4"/>
  <c r="WY293" i="4" s="1"/>
  <c r="WT293" i="4"/>
  <c r="WU293" i="4" s="1"/>
  <c r="WV293" i="4"/>
  <c r="WW293" i="4" s="1"/>
  <c r="WP293" i="4"/>
  <c r="WQ293" i="4" s="1"/>
  <c r="WJ293" i="4"/>
  <c r="WK293" i="4" s="1"/>
  <c r="WN293" i="4"/>
  <c r="WO293" i="4" s="1"/>
  <c r="WH293" i="4"/>
  <c r="WI293" i="4" s="1"/>
  <c r="WR293" i="4"/>
  <c r="WS293" i="4" s="1"/>
  <c r="WF310" i="4"/>
  <c r="WG310" i="4" s="1"/>
  <c r="WR310" i="4"/>
  <c r="WS310" i="4" s="1"/>
  <c r="WP310" i="4"/>
  <c r="WQ310" i="4" s="1"/>
  <c r="WJ310" i="4"/>
  <c r="WK310" i="4" s="1"/>
  <c r="WV310" i="4"/>
  <c r="WW310" i="4" s="1"/>
  <c r="WN310" i="4"/>
  <c r="WO310" i="4" s="1"/>
  <c r="WX310" i="4"/>
  <c r="WY310" i="4" s="1"/>
  <c r="WT310" i="4"/>
  <c r="WU310" i="4" s="1"/>
  <c r="WH310" i="4"/>
  <c r="WI310" i="4" s="1"/>
  <c r="WL310" i="4"/>
  <c r="WM310" i="4" s="1"/>
  <c r="WF47" i="4"/>
  <c r="WG47" i="4" s="1"/>
  <c r="WV47" i="4"/>
  <c r="WW47" i="4" s="1"/>
  <c r="WX47" i="4"/>
  <c r="WY47" i="4" s="1"/>
  <c r="WJ47" i="4"/>
  <c r="WK47" i="4" s="1"/>
  <c r="WN47" i="4"/>
  <c r="WO47" i="4" s="1"/>
  <c r="WT47" i="4"/>
  <c r="WU47" i="4" s="1"/>
  <c r="WL47" i="4"/>
  <c r="WM47" i="4" s="1"/>
  <c r="WR47" i="4"/>
  <c r="WS47" i="4" s="1"/>
  <c r="WP47" i="4"/>
  <c r="WQ47" i="4" s="1"/>
  <c r="WJ187" i="4"/>
  <c r="WK187" i="4" s="1"/>
  <c r="WL187" i="4"/>
  <c r="WM187" i="4" s="1"/>
  <c r="WR187" i="4"/>
  <c r="WS187" i="4" s="1"/>
  <c r="WH187" i="4"/>
  <c r="WI187" i="4" s="1"/>
  <c r="WT187" i="4"/>
  <c r="WU187" i="4" s="1"/>
  <c r="WV187" i="4"/>
  <c r="WW187" i="4" s="1"/>
  <c r="WN187" i="4"/>
  <c r="WO187" i="4" s="1"/>
  <c r="WP187" i="4"/>
  <c r="WQ187" i="4" s="1"/>
  <c r="WF187" i="4"/>
  <c r="WG187" i="4" s="1"/>
  <c r="WX187" i="4"/>
  <c r="WY187" i="4" s="1"/>
  <c r="WP19" i="4"/>
  <c r="WQ19" i="4" s="1"/>
  <c r="WV19" i="4"/>
  <c r="WW19" i="4" s="1"/>
  <c r="WH19" i="4"/>
  <c r="WI19" i="4" s="1"/>
  <c r="WL19" i="4"/>
  <c r="WM19" i="4" s="1"/>
  <c r="WX19" i="4"/>
  <c r="WY19" i="4" s="1"/>
  <c r="WR19" i="4"/>
  <c r="WS19" i="4" s="1"/>
  <c r="WT19" i="4"/>
  <c r="WU19" i="4" s="1"/>
  <c r="WN19" i="4"/>
  <c r="WO19" i="4" s="1"/>
  <c r="WF19" i="4"/>
  <c r="WG19" i="4" s="1"/>
  <c r="WJ19" i="4"/>
  <c r="WK19" i="4" s="1"/>
  <c r="WH183" i="4"/>
  <c r="WI183" i="4" s="1"/>
  <c r="WJ183" i="4"/>
  <c r="WK183" i="4" s="1"/>
  <c r="WL183" i="4"/>
  <c r="WM183" i="4" s="1"/>
  <c r="WX183" i="4"/>
  <c r="WY183" i="4" s="1"/>
  <c r="WT183" i="4"/>
  <c r="WU183" i="4" s="1"/>
  <c r="WF183" i="4"/>
  <c r="WG183" i="4" s="1"/>
  <c r="WV183" i="4"/>
  <c r="WW183" i="4" s="1"/>
  <c r="WR183" i="4"/>
  <c r="WS183" i="4" s="1"/>
  <c r="WP183" i="4"/>
  <c r="WQ183" i="4" s="1"/>
  <c r="WN183" i="4"/>
  <c r="WO183" i="4" s="1"/>
  <c r="WN193" i="4"/>
  <c r="WO193" i="4" s="1"/>
  <c r="WJ193" i="4"/>
  <c r="WK193" i="4" s="1"/>
  <c r="WV193" i="4"/>
  <c r="WW193" i="4" s="1"/>
  <c r="WT193" i="4"/>
  <c r="WU193" i="4" s="1"/>
  <c r="WP193" i="4"/>
  <c r="WQ193" i="4" s="1"/>
  <c r="WR193" i="4"/>
  <c r="WS193" i="4" s="1"/>
  <c r="WH193" i="4"/>
  <c r="WI193" i="4" s="1"/>
  <c r="WF193" i="4"/>
  <c r="WG193" i="4" s="1"/>
  <c r="WL193" i="4"/>
  <c r="WM193" i="4" s="1"/>
  <c r="WX193" i="4"/>
  <c r="WY193" i="4" s="1"/>
  <c r="WX26" i="4"/>
  <c r="WY26" i="4" s="1"/>
  <c r="WR26" i="4"/>
  <c r="WS26" i="4" s="1"/>
  <c r="WN26" i="4"/>
  <c r="WO26" i="4" s="1"/>
  <c r="WT26" i="4"/>
  <c r="WU26" i="4" s="1"/>
  <c r="WV26" i="4"/>
  <c r="WW26" i="4" s="1"/>
  <c r="WP26" i="4"/>
  <c r="WQ26" i="4" s="1"/>
  <c r="WJ26" i="4"/>
  <c r="WK26" i="4" s="1"/>
  <c r="WF26" i="4"/>
  <c r="WG26" i="4" s="1"/>
  <c r="WL26" i="4"/>
  <c r="WM26" i="4" s="1"/>
  <c r="WF273" i="4"/>
  <c r="WG273" i="4" s="1"/>
  <c r="WT273" i="4"/>
  <c r="WU273" i="4" s="1"/>
  <c r="WP273" i="4"/>
  <c r="WQ273" i="4" s="1"/>
  <c r="WX273" i="4"/>
  <c r="WY273" i="4" s="1"/>
  <c r="WV273" i="4"/>
  <c r="WW273" i="4" s="1"/>
  <c r="WJ273" i="4"/>
  <c r="WK273" i="4" s="1"/>
  <c r="WR273" i="4"/>
  <c r="WS273" i="4" s="1"/>
  <c r="WH273" i="4"/>
  <c r="WI273" i="4" s="1"/>
  <c r="WN273" i="4"/>
  <c r="WO273" i="4" s="1"/>
  <c r="WL273" i="4"/>
  <c r="WM273" i="4" s="1"/>
  <c r="WH189" i="4"/>
  <c r="WI189" i="4" s="1"/>
  <c r="WX189" i="4"/>
  <c r="WY189" i="4" s="1"/>
  <c r="WF189" i="4"/>
  <c r="WG189" i="4" s="1"/>
  <c r="WJ189" i="4"/>
  <c r="WK189" i="4" s="1"/>
  <c r="WR189" i="4"/>
  <c r="WS189" i="4" s="1"/>
  <c r="WV189" i="4"/>
  <c r="WW189" i="4" s="1"/>
  <c r="WN189" i="4"/>
  <c r="WO189" i="4" s="1"/>
  <c r="WP189" i="4"/>
  <c r="WQ189" i="4" s="1"/>
  <c r="WT189" i="4"/>
  <c r="WU189" i="4" s="1"/>
  <c r="WX8" i="4"/>
  <c r="WY8" i="4" s="1"/>
  <c r="WF8" i="4"/>
  <c r="WG8" i="4" s="1"/>
  <c r="WJ8" i="4"/>
  <c r="WK8" i="4" s="1"/>
  <c r="WT8" i="4"/>
  <c r="WU8" i="4" s="1"/>
  <c r="WN8" i="4"/>
  <c r="WO8" i="4" s="1"/>
  <c r="WP8" i="4"/>
  <c r="WQ8" i="4" s="1"/>
  <c r="WR8" i="4"/>
  <c r="WS8" i="4" s="1"/>
  <c r="WL8" i="4"/>
  <c r="WM8" i="4" s="1"/>
  <c r="WV8" i="4"/>
  <c r="WW8" i="4" s="1"/>
  <c r="WH8" i="4"/>
  <c r="WI8" i="4" s="1"/>
  <c r="WV185" i="4"/>
  <c r="WW185" i="4" s="1"/>
  <c r="WR185" i="4"/>
  <c r="WS185" i="4" s="1"/>
  <c r="WH185" i="4"/>
  <c r="WI185" i="4" s="1"/>
  <c r="WN185" i="4"/>
  <c r="WO185" i="4" s="1"/>
  <c r="WP185" i="4"/>
  <c r="WQ185" i="4" s="1"/>
  <c r="WX185" i="4"/>
  <c r="WY185" i="4" s="1"/>
  <c r="WL185" i="4"/>
  <c r="WM185" i="4" s="1"/>
  <c r="WF185" i="4"/>
  <c r="WG185" i="4" s="1"/>
  <c r="WT185" i="4"/>
  <c r="WU185" i="4" s="1"/>
  <c r="WN99" i="4"/>
  <c r="WO99" i="4" s="1"/>
  <c r="WP99" i="4"/>
  <c r="WQ99" i="4" s="1"/>
  <c r="WR99" i="4"/>
  <c r="WS99" i="4" s="1"/>
  <c r="WT99" i="4"/>
  <c r="WU99" i="4" s="1"/>
  <c r="WH99" i="4"/>
  <c r="WI99" i="4" s="1"/>
  <c r="WF99" i="4"/>
  <c r="WG99" i="4" s="1"/>
  <c r="WX99" i="4"/>
  <c r="WY99" i="4" s="1"/>
  <c r="WL99" i="4"/>
  <c r="WM99" i="4" s="1"/>
  <c r="WV99" i="4"/>
  <c r="WW99" i="4" s="1"/>
  <c r="WP325" i="4"/>
  <c r="WQ325" i="4" s="1"/>
  <c r="WV325" i="4"/>
  <c r="WW325" i="4" s="1"/>
  <c r="WX325" i="4"/>
  <c r="WY325" i="4" s="1"/>
  <c r="WN325" i="4"/>
  <c r="WO325" i="4" s="1"/>
  <c r="WL325" i="4"/>
  <c r="WM325" i="4" s="1"/>
  <c r="WF325" i="4"/>
  <c r="WG325" i="4" s="1"/>
  <c r="WR325" i="4"/>
  <c r="WS325" i="4" s="1"/>
  <c r="WT325" i="4"/>
  <c r="WU325" i="4" s="1"/>
  <c r="WJ325" i="4"/>
  <c r="WK325" i="4" s="1"/>
  <c r="WX197" i="4"/>
  <c r="WY197" i="4" s="1"/>
  <c r="WN197" i="4"/>
  <c r="WO197" i="4" s="1"/>
  <c r="WV197" i="4"/>
  <c r="WW197" i="4" s="1"/>
  <c r="WR197" i="4"/>
  <c r="WS197" i="4" s="1"/>
  <c r="WP197" i="4"/>
  <c r="WQ197" i="4" s="1"/>
  <c r="WT197" i="4"/>
  <c r="WU197" i="4" s="1"/>
  <c r="WL197" i="4"/>
  <c r="WM197" i="4" s="1"/>
  <c r="WH197" i="4"/>
  <c r="WI197" i="4" s="1"/>
  <c r="WF197" i="4"/>
  <c r="WG197" i="4" s="1"/>
  <c r="WT213" i="4"/>
  <c r="WU213" i="4" s="1"/>
  <c r="WN213" i="4"/>
  <c r="WO213" i="4" s="1"/>
  <c r="WV213" i="4"/>
  <c r="WW213" i="4" s="1"/>
  <c r="WH213" i="4"/>
  <c r="WI213" i="4" s="1"/>
  <c r="WR213" i="4"/>
  <c r="WS213" i="4" s="1"/>
  <c r="WL213" i="4"/>
  <c r="WM213" i="4" s="1"/>
  <c r="WP213" i="4"/>
  <c r="WQ213" i="4" s="1"/>
  <c r="WJ213" i="4"/>
  <c r="WK213" i="4" s="1"/>
  <c r="WX213" i="4"/>
  <c r="WY213" i="4" s="1"/>
  <c r="WF45" i="4"/>
  <c r="WG45" i="4" s="1"/>
  <c r="WN45" i="4"/>
  <c r="WO45" i="4" s="1"/>
  <c r="WL45" i="4"/>
  <c r="WM45" i="4" s="1"/>
  <c r="WV45" i="4"/>
  <c r="WW45" i="4" s="1"/>
  <c r="WX45" i="4"/>
  <c r="WY45" i="4" s="1"/>
  <c r="WR45" i="4"/>
  <c r="WS45" i="4" s="1"/>
  <c r="WH45" i="4"/>
  <c r="WI45" i="4" s="1"/>
  <c r="WT45" i="4"/>
  <c r="WU45" i="4" s="1"/>
  <c r="WP45" i="4"/>
  <c r="WQ45" i="4" s="1"/>
  <c r="WJ45" i="4"/>
  <c r="WK45" i="4" s="1"/>
  <c r="WF104" i="4"/>
  <c r="WG104" i="4" s="1"/>
  <c r="WH104" i="4"/>
  <c r="WI104" i="4" s="1"/>
  <c r="WR104" i="4"/>
  <c r="WS104" i="4" s="1"/>
  <c r="WJ104" i="4"/>
  <c r="WK104" i="4" s="1"/>
  <c r="WT104" i="4"/>
  <c r="WU104" i="4" s="1"/>
  <c r="WP104" i="4"/>
  <c r="WQ104" i="4" s="1"/>
  <c r="WN104" i="4"/>
  <c r="WO104" i="4" s="1"/>
  <c r="WV104" i="4"/>
  <c r="WW104" i="4" s="1"/>
  <c r="WX104" i="4"/>
  <c r="WY104" i="4" s="1"/>
  <c r="WH231" i="4"/>
  <c r="WI231" i="4" s="1"/>
  <c r="WV231" i="4"/>
  <c r="WW231" i="4" s="1"/>
  <c r="WP231" i="4"/>
  <c r="WQ231" i="4" s="1"/>
  <c r="WX231" i="4"/>
  <c r="WY231" i="4" s="1"/>
  <c r="WJ231" i="4"/>
  <c r="WK231" i="4" s="1"/>
  <c r="WR231" i="4"/>
  <c r="WS231" i="4" s="1"/>
  <c r="WT231" i="4"/>
  <c r="WU231" i="4" s="1"/>
  <c r="WN231" i="4"/>
  <c r="WO231" i="4" s="1"/>
  <c r="WL231" i="4"/>
  <c r="WM231" i="4" s="1"/>
  <c r="WH200" i="4"/>
  <c r="WI200" i="4" s="1"/>
  <c r="WJ200" i="4"/>
  <c r="WK200" i="4" s="1"/>
  <c r="WP200" i="4"/>
  <c r="WQ200" i="4" s="1"/>
  <c r="WX200" i="4"/>
  <c r="WY200" i="4" s="1"/>
  <c r="WV200" i="4"/>
  <c r="WW200" i="4" s="1"/>
  <c r="WF200" i="4"/>
  <c r="WG200" i="4" s="1"/>
  <c r="WR200" i="4"/>
  <c r="WS200" i="4" s="1"/>
  <c r="WN200" i="4"/>
  <c r="WO200" i="4" s="1"/>
  <c r="WT200" i="4"/>
  <c r="WU200" i="4" s="1"/>
  <c r="WL200" i="4"/>
  <c r="WM200" i="4" s="1"/>
  <c r="WL291" i="4"/>
  <c r="WM291" i="4" s="1"/>
  <c r="WT291" i="4"/>
  <c r="WU291" i="4" s="1"/>
  <c r="WX291" i="4"/>
  <c r="WY291" i="4" s="1"/>
  <c r="WV291" i="4"/>
  <c r="WW291" i="4" s="1"/>
  <c r="WF291" i="4"/>
  <c r="WG291" i="4" s="1"/>
  <c r="WR291" i="4"/>
  <c r="WS291" i="4" s="1"/>
  <c r="WP291" i="4"/>
  <c r="WQ291" i="4" s="1"/>
  <c r="WH291" i="4"/>
  <c r="WI291" i="4" s="1"/>
  <c r="WN291" i="4"/>
  <c r="WO291" i="4" s="1"/>
  <c r="WJ150" i="4"/>
  <c r="WK150" i="4" s="1"/>
  <c r="WP150" i="4"/>
  <c r="WQ150" i="4" s="1"/>
  <c r="WX150" i="4"/>
  <c r="WY150" i="4" s="1"/>
  <c r="WT150" i="4"/>
  <c r="WU150" i="4" s="1"/>
  <c r="WV150" i="4"/>
  <c r="WW150" i="4" s="1"/>
  <c r="WR150" i="4"/>
  <c r="WS150" i="4" s="1"/>
  <c r="WL150" i="4"/>
  <c r="WM150" i="4" s="1"/>
  <c r="WH150" i="4"/>
  <c r="WI150" i="4" s="1"/>
  <c r="WF150" i="4"/>
  <c r="WG150" i="4" s="1"/>
  <c r="WN150" i="4"/>
  <c r="WO150" i="4" s="1"/>
  <c r="WX211" i="4"/>
  <c r="WY211" i="4" s="1"/>
  <c r="WV211" i="4"/>
  <c r="WW211" i="4" s="1"/>
  <c r="WL211" i="4"/>
  <c r="WM211" i="4" s="1"/>
  <c r="WN211" i="4"/>
  <c r="WO211" i="4" s="1"/>
  <c r="WP211" i="4"/>
  <c r="WQ211" i="4" s="1"/>
  <c r="WR211" i="4"/>
  <c r="WS211" i="4" s="1"/>
  <c r="WF211" i="4"/>
  <c r="WG211" i="4" s="1"/>
  <c r="WT211" i="4"/>
  <c r="WU211" i="4" s="1"/>
  <c r="WJ211" i="4"/>
  <c r="WK211" i="4" s="1"/>
  <c r="WV153" i="4"/>
  <c r="WW153" i="4" s="1"/>
  <c r="WR153" i="4"/>
  <c r="WS153" i="4" s="1"/>
  <c r="WL153" i="4"/>
  <c r="WM153" i="4" s="1"/>
  <c r="WJ153" i="4"/>
  <c r="WK153" i="4" s="1"/>
  <c r="WN153" i="4"/>
  <c r="WO153" i="4" s="1"/>
  <c r="WX153" i="4"/>
  <c r="WY153" i="4" s="1"/>
  <c r="WP153" i="4"/>
  <c r="WQ153" i="4" s="1"/>
  <c r="WT153" i="4"/>
  <c r="WU153" i="4" s="1"/>
  <c r="WH153" i="4"/>
  <c r="WI153" i="4" s="1"/>
  <c r="WP136" i="4"/>
  <c r="WQ136" i="4" s="1"/>
  <c r="WF136" i="4"/>
  <c r="WG136" i="4" s="1"/>
  <c r="WV136" i="4"/>
  <c r="WW136" i="4" s="1"/>
  <c r="WX136" i="4"/>
  <c r="WY136" i="4" s="1"/>
  <c r="WT136" i="4"/>
  <c r="WU136" i="4" s="1"/>
  <c r="WL136" i="4"/>
  <c r="WM136" i="4" s="1"/>
  <c r="WR136" i="4"/>
  <c r="WS136" i="4" s="1"/>
  <c r="WN136" i="4"/>
  <c r="WO136" i="4" s="1"/>
  <c r="WH136" i="4"/>
  <c r="WI136" i="4" s="1"/>
  <c r="WJ136" i="4"/>
  <c r="WK136" i="4" s="1"/>
  <c r="WF260" i="4"/>
  <c r="WG260" i="4" s="1"/>
  <c r="WT260" i="4"/>
  <c r="WU260" i="4" s="1"/>
  <c r="WP260" i="4"/>
  <c r="WQ260" i="4" s="1"/>
  <c r="WJ260" i="4"/>
  <c r="WK260" i="4" s="1"/>
  <c r="WN260" i="4"/>
  <c r="WO260" i="4" s="1"/>
  <c r="WR260" i="4"/>
  <c r="WS260" i="4" s="1"/>
  <c r="WX260" i="4"/>
  <c r="WY260" i="4" s="1"/>
  <c r="WH260" i="4"/>
  <c r="WI260" i="4" s="1"/>
  <c r="WV260" i="4"/>
  <c r="WW260" i="4" s="1"/>
  <c r="WL260" i="4"/>
  <c r="WM260" i="4" s="1"/>
  <c r="WP35" i="4"/>
  <c r="WQ35" i="4" s="1"/>
  <c r="WT35" i="4"/>
  <c r="WU35" i="4" s="1"/>
  <c r="WX35" i="4"/>
  <c r="WY35" i="4" s="1"/>
  <c r="WL35" i="4"/>
  <c r="WM35" i="4" s="1"/>
  <c r="WH35" i="4"/>
  <c r="WI35" i="4" s="1"/>
  <c r="WN35" i="4"/>
  <c r="WO35" i="4" s="1"/>
  <c r="WR35" i="4"/>
  <c r="WS35" i="4" s="1"/>
  <c r="WJ35" i="4"/>
  <c r="WK35" i="4" s="1"/>
  <c r="WV35" i="4"/>
  <c r="WW35" i="4" s="1"/>
  <c r="WL268" i="4"/>
  <c r="WM268" i="4" s="1"/>
  <c r="WT268" i="4"/>
  <c r="WU268" i="4" s="1"/>
  <c r="WN268" i="4"/>
  <c r="WO268" i="4" s="1"/>
  <c r="WF268" i="4"/>
  <c r="WG268" i="4" s="1"/>
  <c r="WV268" i="4"/>
  <c r="WW268" i="4" s="1"/>
  <c r="WJ268" i="4"/>
  <c r="WK268" i="4" s="1"/>
  <c r="WP268" i="4"/>
  <c r="WQ268" i="4" s="1"/>
  <c r="WH268" i="4"/>
  <c r="WI268" i="4" s="1"/>
  <c r="WR268" i="4"/>
  <c r="WS268" i="4" s="1"/>
  <c r="WX268" i="4"/>
  <c r="WY268" i="4" s="1"/>
  <c r="WR168" i="4"/>
  <c r="WS168" i="4" s="1"/>
  <c r="WH168" i="4"/>
  <c r="WI168" i="4" s="1"/>
  <c r="WN168" i="4"/>
  <c r="WO168" i="4" s="1"/>
  <c r="WX168" i="4"/>
  <c r="WY168" i="4" s="1"/>
  <c r="WL168" i="4"/>
  <c r="WM168" i="4" s="1"/>
  <c r="WF168" i="4"/>
  <c r="WG168" i="4" s="1"/>
  <c r="WV168" i="4"/>
  <c r="WW168" i="4" s="1"/>
  <c r="WT168" i="4"/>
  <c r="WU168" i="4" s="1"/>
  <c r="WJ168" i="4"/>
  <c r="WK168" i="4" s="1"/>
  <c r="WP168" i="4"/>
  <c r="WQ168" i="4" s="1"/>
  <c r="WJ234" i="4"/>
  <c r="WK234" i="4" s="1"/>
  <c r="WF234" i="4"/>
  <c r="WG234" i="4" s="1"/>
  <c r="WV234" i="4"/>
  <c r="WW234" i="4" s="1"/>
  <c r="WX234" i="4"/>
  <c r="WY234" i="4" s="1"/>
  <c r="WR234" i="4"/>
  <c r="WS234" i="4" s="1"/>
  <c r="WH234" i="4"/>
  <c r="WI234" i="4" s="1"/>
  <c r="WL234" i="4"/>
  <c r="WM234" i="4" s="1"/>
  <c r="WT234" i="4"/>
  <c r="WU234" i="4" s="1"/>
  <c r="WP234" i="4"/>
  <c r="WQ234" i="4" s="1"/>
  <c r="WN234" i="4"/>
  <c r="WO234" i="4" s="1"/>
  <c r="WJ184" i="4"/>
  <c r="WK184" i="4" s="1"/>
  <c r="WL184" i="4"/>
  <c r="WM184" i="4" s="1"/>
  <c r="WF184" i="4"/>
  <c r="WG184" i="4" s="1"/>
  <c r="WT184" i="4"/>
  <c r="WU184" i="4" s="1"/>
  <c r="WP184" i="4"/>
  <c r="WQ184" i="4" s="1"/>
  <c r="WN184" i="4"/>
  <c r="WO184" i="4" s="1"/>
  <c r="WV184" i="4"/>
  <c r="WW184" i="4" s="1"/>
  <c r="WH184" i="4"/>
  <c r="WI184" i="4" s="1"/>
  <c r="WX184" i="4"/>
  <c r="WY184" i="4" s="1"/>
  <c r="WR184" i="4"/>
  <c r="WS184" i="4" s="1"/>
  <c r="WH208" i="4"/>
  <c r="WI208" i="4" s="1"/>
  <c r="WP208" i="4"/>
  <c r="WQ208" i="4" s="1"/>
  <c r="WV208" i="4"/>
  <c r="WW208" i="4" s="1"/>
  <c r="WJ208" i="4"/>
  <c r="WK208" i="4" s="1"/>
  <c r="WX208" i="4"/>
  <c r="WY208" i="4" s="1"/>
  <c r="WT208" i="4"/>
  <c r="WU208" i="4" s="1"/>
  <c r="WF208" i="4"/>
  <c r="WG208" i="4" s="1"/>
  <c r="WL208" i="4"/>
  <c r="WM208" i="4" s="1"/>
  <c r="WR208" i="4"/>
  <c r="WS208" i="4" s="1"/>
  <c r="WN208" i="4"/>
  <c r="WO208" i="4" s="1"/>
  <c r="WT118" i="4"/>
  <c r="WU118" i="4" s="1"/>
  <c r="WP118" i="4"/>
  <c r="WQ118" i="4" s="1"/>
  <c r="WN118" i="4"/>
  <c r="WO118" i="4" s="1"/>
  <c r="WH118" i="4"/>
  <c r="WI118" i="4" s="1"/>
  <c r="WX118" i="4"/>
  <c r="WY118" i="4" s="1"/>
  <c r="WR118" i="4"/>
  <c r="WS118" i="4" s="1"/>
  <c r="WL118" i="4"/>
  <c r="WM118" i="4" s="1"/>
  <c r="WV118" i="4"/>
  <c r="WW118" i="4" s="1"/>
  <c r="WJ118" i="4"/>
  <c r="WK118" i="4" s="1"/>
  <c r="WF118" i="4"/>
  <c r="WG118" i="4" s="1"/>
  <c r="WN61" i="4"/>
  <c r="WO61" i="4" s="1"/>
  <c r="WV61" i="4"/>
  <c r="WW61" i="4" s="1"/>
  <c r="WP61" i="4"/>
  <c r="WQ61" i="4" s="1"/>
  <c r="WL61" i="4"/>
  <c r="WM61" i="4" s="1"/>
  <c r="WR61" i="4"/>
  <c r="WS61" i="4" s="1"/>
  <c r="WX61" i="4"/>
  <c r="WY61" i="4" s="1"/>
  <c r="WJ61" i="4"/>
  <c r="WK61" i="4" s="1"/>
  <c r="WF61" i="4"/>
  <c r="WG61" i="4" s="1"/>
  <c r="WT61" i="4"/>
  <c r="WU61" i="4" s="1"/>
  <c r="WL165" i="4"/>
  <c r="WM165" i="4" s="1"/>
  <c r="WX165" i="4"/>
  <c r="WY165" i="4" s="1"/>
  <c r="WT165" i="4"/>
  <c r="WU165" i="4" s="1"/>
  <c r="WR165" i="4"/>
  <c r="WS165" i="4" s="1"/>
  <c r="WH165" i="4"/>
  <c r="WI165" i="4" s="1"/>
  <c r="WV165" i="4"/>
  <c r="WW165" i="4" s="1"/>
  <c r="WF165" i="4"/>
  <c r="WG165" i="4" s="1"/>
  <c r="WP165" i="4"/>
  <c r="WQ165" i="4" s="1"/>
  <c r="WJ165" i="4"/>
  <c r="WK165" i="4" s="1"/>
  <c r="WV156" i="4"/>
  <c r="WW156" i="4" s="1"/>
  <c r="WF156" i="4"/>
  <c r="WG156" i="4" s="1"/>
  <c r="WJ156" i="4"/>
  <c r="WK156" i="4" s="1"/>
  <c r="WP156" i="4"/>
  <c r="WQ156" i="4" s="1"/>
  <c r="WT156" i="4"/>
  <c r="WU156" i="4" s="1"/>
  <c r="WL156" i="4"/>
  <c r="WM156" i="4" s="1"/>
  <c r="WN156" i="4"/>
  <c r="WO156" i="4" s="1"/>
  <c r="WX156" i="4"/>
  <c r="WY156" i="4" s="1"/>
  <c r="WR156" i="4"/>
  <c r="WS156" i="4" s="1"/>
  <c r="WH156" i="4"/>
  <c r="WI156" i="4" s="1"/>
  <c r="KU84" i="4"/>
  <c r="WV281" i="4"/>
  <c r="WW281" i="4" s="1"/>
  <c r="WH281" i="4"/>
  <c r="WI281" i="4" s="1"/>
  <c r="WL281" i="4"/>
  <c r="WM281" i="4" s="1"/>
  <c r="WX281" i="4"/>
  <c r="WY281" i="4" s="1"/>
  <c r="WP281" i="4"/>
  <c r="WQ281" i="4" s="1"/>
  <c r="WT281" i="4"/>
  <c r="WU281" i="4" s="1"/>
  <c r="WJ281" i="4"/>
  <c r="WK281" i="4" s="1"/>
  <c r="WR281" i="4"/>
  <c r="WS281" i="4" s="1"/>
  <c r="WN281" i="4"/>
  <c r="WO281" i="4" s="1"/>
  <c r="WJ169" i="4"/>
  <c r="WK169" i="4" s="1"/>
  <c r="WP169" i="4"/>
  <c r="WQ169" i="4" s="1"/>
  <c r="WT169" i="4"/>
  <c r="WU169" i="4" s="1"/>
  <c r="WV169" i="4"/>
  <c r="WW169" i="4" s="1"/>
  <c r="WN169" i="4"/>
  <c r="WO169" i="4" s="1"/>
  <c r="WH169" i="4"/>
  <c r="WI169" i="4" s="1"/>
  <c r="WX169" i="4"/>
  <c r="WY169" i="4" s="1"/>
  <c r="WR169" i="4"/>
  <c r="WS169" i="4" s="1"/>
  <c r="WL169" i="4"/>
  <c r="WM169" i="4" s="1"/>
  <c r="WR175" i="4"/>
  <c r="WS175" i="4" s="1"/>
  <c r="WF175" i="4"/>
  <c r="WG175" i="4" s="1"/>
  <c r="WN175" i="4"/>
  <c r="WO175" i="4" s="1"/>
  <c r="WL175" i="4"/>
  <c r="WM175" i="4" s="1"/>
  <c r="WH175" i="4"/>
  <c r="WI175" i="4" s="1"/>
  <c r="WX175" i="4"/>
  <c r="WY175" i="4" s="1"/>
  <c r="WV175" i="4"/>
  <c r="WW175" i="4" s="1"/>
  <c r="WJ175" i="4"/>
  <c r="WK175" i="4" s="1"/>
  <c r="WP175" i="4"/>
  <c r="WQ175" i="4" s="1"/>
  <c r="WT175" i="4"/>
  <c r="WU175" i="4" s="1"/>
  <c r="WH106" i="4"/>
  <c r="WI106" i="4" s="1"/>
  <c r="WV106" i="4"/>
  <c r="WW106" i="4" s="1"/>
  <c r="WL106" i="4"/>
  <c r="WM106" i="4" s="1"/>
  <c r="WX106" i="4"/>
  <c r="WY106" i="4" s="1"/>
  <c r="WT106" i="4"/>
  <c r="WU106" i="4" s="1"/>
  <c r="WN106" i="4"/>
  <c r="WO106" i="4" s="1"/>
  <c r="WF106" i="4"/>
  <c r="WG106" i="4" s="1"/>
  <c r="WR106" i="4"/>
  <c r="WS106" i="4" s="1"/>
  <c r="WP106" i="4"/>
  <c r="WQ106" i="4" s="1"/>
  <c r="WJ106" i="4"/>
  <c r="WK106" i="4" s="1"/>
  <c r="WT167" i="4"/>
  <c r="WU167" i="4" s="1"/>
  <c r="WP167" i="4"/>
  <c r="WQ167" i="4" s="1"/>
  <c r="WF167" i="4"/>
  <c r="WG167" i="4" s="1"/>
  <c r="WN167" i="4"/>
  <c r="WO167" i="4" s="1"/>
  <c r="WV167" i="4"/>
  <c r="WW167" i="4" s="1"/>
  <c r="WR167" i="4"/>
  <c r="WS167" i="4" s="1"/>
  <c r="WH167" i="4"/>
  <c r="WI167" i="4" s="1"/>
  <c r="WX167" i="4"/>
  <c r="WY167" i="4" s="1"/>
  <c r="WJ167" i="4"/>
  <c r="WK167" i="4" s="1"/>
  <c r="WL167" i="4"/>
  <c r="WM167" i="4" s="1"/>
  <c r="WF253" i="4"/>
  <c r="WG253" i="4" s="1"/>
  <c r="WT253" i="4"/>
  <c r="WU253" i="4" s="1"/>
  <c r="WJ253" i="4"/>
  <c r="WK253" i="4" s="1"/>
  <c r="WP253" i="4"/>
  <c r="WQ253" i="4" s="1"/>
  <c r="WX253" i="4"/>
  <c r="WY253" i="4" s="1"/>
  <c r="WN253" i="4"/>
  <c r="WO253" i="4" s="1"/>
  <c r="WR253" i="4"/>
  <c r="WS253" i="4" s="1"/>
  <c r="WL253" i="4"/>
  <c r="WM253" i="4" s="1"/>
  <c r="WH253" i="4"/>
  <c r="WI253" i="4" s="1"/>
  <c r="WV253" i="4"/>
  <c r="WW253" i="4" s="1"/>
  <c r="WX149" i="4"/>
  <c r="WY149" i="4" s="1"/>
  <c r="WL149" i="4"/>
  <c r="WM149" i="4" s="1"/>
  <c r="WJ149" i="4"/>
  <c r="WK149" i="4" s="1"/>
  <c r="WT149" i="4"/>
  <c r="WU149" i="4" s="1"/>
  <c r="WH149" i="4"/>
  <c r="WI149" i="4" s="1"/>
  <c r="WF149" i="4"/>
  <c r="WG149" i="4" s="1"/>
  <c r="WN149" i="4"/>
  <c r="WO149" i="4" s="1"/>
  <c r="WV149" i="4"/>
  <c r="WW149" i="4" s="1"/>
  <c r="WR149" i="4"/>
  <c r="WS149" i="4" s="1"/>
  <c r="WP149" i="4"/>
  <c r="WQ149" i="4" s="1"/>
  <c r="WR286" i="4"/>
  <c r="WS286" i="4" s="1"/>
  <c r="WN286" i="4"/>
  <c r="WO286" i="4" s="1"/>
  <c r="WL286" i="4"/>
  <c r="WM286" i="4" s="1"/>
  <c r="WP286" i="4"/>
  <c r="WQ286" i="4" s="1"/>
  <c r="WV286" i="4"/>
  <c r="WW286" i="4" s="1"/>
  <c r="WJ286" i="4"/>
  <c r="WK286" i="4" s="1"/>
  <c r="WH286" i="4"/>
  <c r="WI286" i="4" s="1"/>
  <c r="WT286" i="4"/>
  <c r="WU286" i="4" s="1"/>
  <c r="WX286" i="4"/>
  <c r="WY286" i="4" s="1"/>
  <c r="WF225" i="4"/>
  <c r="WG225" i="4" s="1"/>
  <c r="WT225" i="4"/>
  <c r="WU225" i="4" s="1"/>
  <c r="WX225" i="4"/>
  <c r="WY225" i="4" s="1"/>
  <c r="WJ225" i="4"/>
  <c r="WK225" i="4" s="1"/>
  <c r="WL225" i="4"/>
  <c r="WM225" i="4" s="1"/>
  <c r="WH225" i="4"/>
  <c r="WI225" i="4" s="1"/>
  <c r="WP225" i="4"/>
  <c r="WQ225" i="4" s="1"/>
  <c r="WV225" i="4"/>
  <c r="WW225" i="4" s="1"/>
  <c r="WR225" i="4"/>
  <c r="WS225" i="4" s="1"/>
  <c r="WN225" i="4"/>
  <c r="WO225" i="4" s="1"/>
  <c r="WN30" i="4"/>
  <c r="WO30" i="4" s="1"/>
  <c r="WV30" i="4"/>
  <c r="WW30" i="4" s="1"/>
  <c r="WX30" i="4"/>
  <c r="WY30" i="4" s="1"/>
  <c r="WF30" i="4"/>
  <c r="WG30" i="4" s="1"/>
  <c r="WT30" i="4"/>
  <c r="WU30" i="4" s="1"/>
  <c r="WL30" i="4"/>
  <c r="WM30" i="4" s="1"/>
  <c r="WJ30" i="4"/>
  <c r="WK30" i="4" s="1"/>
  <c r="WH30" i="4"/>
  <c r="WI30" i="4" s="1"/>
  <c r="WP30" i="4"/>
  <c r="WQ30" i="4" s="1"/>
  <c r="WR30" i="4"/>
  <c r="WS30" i="4" s="1"/>
  <c r="WJ13" i="4"/>
  <c r="WK13" i="4" s="1"/>
  <c r="WR13" i="4"/>
  <c r="WS13" i="4" s="1"/>
  <c r="WP13" i="4"/>
  <c r="WQ13" i="4" s="1"/>
  <c r="WN13" i="4"/>
  <c r="WO13" i="4" s="1"/>
  <c r="WV13" i="4"/>
  <c r="WW13" i="4" s="1"/>
  <c r="WT13" i="4"/>
  <c r="WU13" i="4" s="1"/>
  <c r="WL13" i="4"/>
  <c r="WM13" i="4" s="1"/>
  <c r="WF13" i="4"/>
  <c r="WG13" i="4" s="1"/>
  <c r="WX13" i="4"/>
  <c r="WY13" i="4" s="1"/>
  <c r="WH13" i="4"/>
  <c r="WI13" i="4" s="1"/>
  <c r="WF221" i="4"/>
  <c r="WG221" i="4" s="1"/>
  <c r="WL221" i="4"/>
  <c r="WM221" i="4" s="1"/>
  <c r="WN221" i="4"/>
  <c r="WO221" i="4" s="1"/>
  <c r="WR221" i="4"/>
  <c r="WS221" i="4" s="1"/>
  <c r="WV221" i="4"/>
  <c r="WW221" i="4" s="1"/>
  <c r="WX221" i="4"/>
  <c r="WY221" i="4" s="1"/>
  <c r="WT221" i="4"/>
  <c r="WU221" i="4" s="1"/>
  <c r="WP221" i="4"/>
  <c r="WQ221" i="4" s="1"/>
  <c r="WH221" i="4"/>
  <c r="WI221" i="4" s="1"/>
  <c r="WJ221" i="4"/>
  <c r="WK221" i="4" s="1"/>
  <c r="WF67" i="4"/>
  <c r="WG67" i="4" s="1"/>
  <c r="WH67" i="4"/>
  <c r="WI67" i="4" s="1"/>
  <c r="WT67" i="4"/>
  <c r="WU67" i="4" s="1"/>
  <c r="WR67" i="4"/>
  <c r="WS67" i="4" s="1"/>
  <c r="WP67" i="4"/>
  <c r="WQ67" i="4" s="1"/>
  <c r="WL67" i="4"/>
  <c r="WM67" i="4" s="1"/>
  <c r="WJ67" i="4"/>
  <c r="WK67" i="4" s="1"/>
  <c r="WV67" i="4"/>
  <c r="WW67" i="4" s="1"/>
  <c r="WX67" i="4"/>
  <c r="WY67" i="4" s="1"/>
  <c r="WN67" i="4"/>
  <c r="WO67" i="4" s="1"/>
  <c r="WV144" i="4"/>
  <c r="WW144" i="4" s="1"/>
  <c r="WT144" i="4"/>
  <c r="WU144" i="4" s="1"/>
  <c r="WX144" i="4"/>
  <c r="WY144" i="4" s="1"/>
  <c r="WN144" i="4"/>
  <c r="WO144" i="4" s="1"/>
  <c r="WH144" i="4"/>
  <c r="WI144" i="4" s="1"/>
  <c r="WR144" i="4"/>
  <c r="WS144" i="4" s="1"/>
  <c r="WP144" i="4"/>
  <c r="WQ144" i="4" s="1"/>
  <c r="WJ144" i="4"/>
  <c r="WK144" i="4" s="1"/>
  <c r="WF144" i="4"/>
  <c r="WG144" i="4" s="1"/>
  <c r="WL144" i="4"/>
  <c r="WM144" i="4" s="1"/>
  <c r="WR71" i="4"/>
  <c r="WS71" i="4" s="1"/>
  <c r="WH71" i="4"/>
  <c r="WI71" i="4" s="1"/>
  <c r="WV71" i="4"/>
  <c r="WW71" i="4" s="1"/>
  <c r="WN71" i="4"/>
  <c r="WO71" i="4" s="1"/>
  <c r="WL71" i="4"/>
  <c r="WM71" i="4" s="1"/>
  <c r="WP71" i="4"/>
  <c r="WQ71" i="4" s="1"/>
  <c r="WT71" i="4"/>
  <c r="WU71" i="4" s="1"/>
  <c r="WJ71" i="4"/>
  <c r="WK71" i="4" s="1"/>
  <c r="WX71" i="4"/>
  <c r="WY71" i="4" s="1"/>
  <c r="WF71" i="4"/>
  <c r="WG71" i="4" s="1"/>
  <c r="WP29" i="4"/>
  <c r="WQ29" i="4" s="1"/>
  <c r="WF29" i="4"/>
  <c r="WG29" i="4" s="1"/>
  <c r="WN29" i="4"/>
  <c r="WO29" i="4" s="1"/>
  <c r="WX29" i="4"/>
  <c r="WY29" i="4" s="1"/>
  <c r="WJ29" i="4"/>
  <c r="WK29" i="4" s="1"/>
  <c r="WV29" i="4"/>
  <c r="WW29" i="4" s="1"/>
  <c r="WR29" i="4"/>
  <c r="WS29" i="4" s="1"/>
  <c r="WL29" i="4"/>
  <c r="WM29" i="4" s="1"/>
  <c r="WT29" i="4"/>
  <c r="WU29" i="4" s="1"/>
  <c r="WH29" i="4"/>
  <c r="WI29" i="4" s="1"/>
  <c r="WJ323" i="4"/>
  <c r="WK323" i="4" s="1"/>
  <c r="WF323" i="4"/>
  <c r="WG323" i="4" s="1"/>
  <c r="WV323" i="4"/>
  <c r="WW323" i="4" s="1"/>
  <c r="WR323" i="4"/>
  <c r="WS323" i="4" s="1"/>
  <c r="WT323" i="4"/>
  <c r="WU323" i="4" s="1"/>
  <c r="WX323" i="4"/>
  <c r="WY323" i="4" s="1"/>
  <c r="WH323" i="4"/>
  <c r="WI323" i="4" s="1"/>
  <c r="WN323" i="4"/>
  <c r="WO323" i="4" s="1"/>
  <c r="WL323" i="4"/>
  <c r="WM323" i="4" s="1"/>
  <c r="WP323" i="4"/>
  <c r="WQ323" i="4" s="1"/>
  <c r="WT90" i="4"/>
  <c r="WU90" i="4" s="1"/>
  <c r="WN90" i="4"/>
  <c r="WO90" i="4" s="1"/>
  <c r="WV90" i="4"/>
  <c r="WW90" i="4" s="1"/>
  <c r="WL90" i="4"/>
  <c r="WM90" i="4" s="1"/>
  <c r="WF90" i="4"/>
  <c r="WG90" i="4" s="1"/>
  <c r="WR90" i="4"/>
  <c r="WS90" i="4" s="1"/>
  <c r="WX90" i="4"/>
  <c r="WY90" i="4" s="1"/>
  <c r="WH90" i="4"/>
  <c r="WI90" i="4" s="1"/>
  <c r="WP90" i="4"/>
  <c r="WQ90" i="4" s="1"/>
  <c r="WJ5" i="4"/>
  <c r="WK5" i="4" s="1"/>
  <c r="WR5" i="4"/>
  <c r="WS5" i="4" s="1"/>
  <c r="WF5" i="4"/>
  <c r="WG5" i="4" s="1"/>
  <c r="WX5" i="4"/>
  <c r="WY5" i="4" s="1"/>
  <c r="WV5" i="4"/>
  <c r="WW5" i="4" s="1"/>
  <c r="WL5" i="4"/>
  <c r="WM5" i="4" s="1"/>
  <c r="WT5" i="4"/>
  <c r="WU5" i="4" s="1"/>
  <c r="WP5" i="4"/>
  <c r="WQ5" i="4" s="1"/>
  <c r="WN5" i="4"/>
  <c r="WO5" i="4" s="1"/>
  <c r="WX163" i="4"/>
  <c r="WY163" i="4" s="1"/>
  <c r="WT163" i="4"/>
  <c r="WU163" i="4" s="1"/>
  <c r="WF163" i="4"/>
  <c r="WG163" i="4" s="1"/>
  <c r="WJ163" i="4"/>
  <c r="WK163" i="4" s="1"/>
  <c r="WN163" i="4"/>
  <c r="WO163" i="4" s="1"/>
  <c r="WR163" i="4"/>
  <c r="WS163" i="4" s="1"/>
  <c r="WH163" i="4"/>
  <c r="WI163" i="4" s="1"/>
  <c r="WL163" i="4"/>
  <c r="WM163" i="4" s="1"/>
  <c r="WV163" i="4"/>
  <c r="WW163" i="4" s="1"/>
  <c r="WP163" i="4"/>
  <c r="WQ163" i="4" s="1"/>
  <c r="WX124" i="4"/>
  <c r="WY124" i="4" s="1"/>
  <c r="WJ124" i="4"/>
  <c r="WK124" i="4" s="1"/>
  <c r="WF124" i="4"/>
  <c r="WG124" i="4" s="1"/>
  <c r="WT124" i="4"/>
  <c r="WU124" i="4" s="1"/>
  <c r="WL124" i="4"/>
  <c r="WM124" i="4" s="1"/>
  <c r="WR124" i="4"/>
  <c r="WS124" i="4" s="1"/>
  <c r="WP124" i="4"/>
  <c r="WQ124" i="4" s="1"/>
  <c r="WV124" i="4"/>
  <c r="WW124" i="4" s="1"/>
  <c r="WH124" i="4"/>
  <c r="WI124" i="4" s="1"/>
  <c r="WH285" i="4"/>
  <c r="WI285" i="4" s="1"/>
  <c r="WV285" i="4"/>
  <c r="WW285" i="4" s="1"/>
  <c r="WN285" i="4"/>
  <c r="WO285" i="4" s="1"/>
  <c r="WF285" i="4"/>
  <c r="WG285" i="4" s="1"/>
  <c r="WL285" i="4"/>
  <c r="WM285" i="4" s="1"/>
  <c r="WX285" i="4"/>
  <c r="WY285" i="4" s="1"/>
  <c r="WR285" i="4"/>
  <c r="WS285" i="4" s="1"/>
  <c r="WP285" i="4"/>
  <c r="WQ285" i="4" s="1"/>
  <c r="WT285" i="4"/>
  <c r="WU285" i="4" s="1"/>
  <c r="WF134" i="4"/>
  <c r="WG134" i="4" s="1"/>
  <c r="WV134" i="4"/>
  <c r="WW134" i="4" s="1"/>
  <c r="WR134" i="4"/>
  <c r="WS134" i="4" s="1"/>
  <c r="WX134" i="4"/>
  <c r="WY134" i="4" s="1"/>
  <c r="WP134" i="4"/>
  <c r="WQ134" i="4" s="1"/>
  <c r="WT134" i="4"/>
  <c r="WU134" i="4" s="1"/>
  <c r="WJ134" i="4"/>
  <c r="WK134" i="4" s="1"/>
  <c r="WL134" i="4"/>
  <c r="WM134" i="4" s="1"/>
  <c r="WN134" i="4"/>
  <c r="WO134" i="4" s="1"/>
  <c r="WX240" i="4"/>
  <c r="WY240" i="4" s="1"/>
  <c r="WR240" i="4"/>
  <c r="WS240" i="4" s="1"/>
  <c r="WH240" i="4"/>
  <c r="WI240" i="4" s="1"/>
  <c r="WJ240" i="4"/>
  <c r="WK240" i="4" s="1"/>
  <c r="WT240" i="4"/>
  <c r="WU240" i="4" s="1"/>
  <c r="WF240" i="4"/>
  <c r="WG240" i="4" s="1"/>
  <c r="WV240" i="4"/>
  <c r="WW240" i="4" s="1"/>
  <c r="WP240" i="4"/>
  <c r="WQ240" i="4" s="1"/>
  <c r="WL240" i="4"/>
  <c r="WM240" i="4" s="1"/>
  <c r="WX294" i="4"/>
  <c r="WY294" i="4" s="1"/>
  <c r="WH294" i="4"/>
  <c r="WI294" i="4" s="1"/>
  <c r="WR294" i="4"/>
  <c r="WS294" i="4" s="1"/>
  <c r="WJ294" i="4"/>
  <c r="WK294" i="4" s="1"/>
  <c r="WL294" i="4"/>
  <c r="WM294" i="4" s="1"/>
  <c r="WT294" i="4"/>
  <c r="WU294" i="4" s="1"/>
  <c r="WN294" i="4"/>
  <c r="WO294" i="4" s="1"/>
  <c r="WP294" i="4"/>
  <c r="WQ294" i="4" s="1"/>
  <c r="WV294" i="4"/>
  <c r="WW294" i="4" s="1"/>
  <c r="WF294" i="4"/>
  <c r="WG294" i="4" s="1"/>
  <c r="WR277" i="4"/>
  <c r="WS277" i="4" s="1"/>
  <c r="WJ277" i="4"/>
  <c r="WK277" i="4" s="1"/>
  <c r="WP277" i="4"/>
  <c r="WQ277" i="4" s="1"/>
  <c r="WF277" i="4"/>
  <c r="WG277" i="4" s="1"/>
  <c r="WN277" i="4"/>
  <c r="WO277" i="4" s="1"/>
  <c r="WT277" i="4"/>
  <c r="WU277" i="4" s="1"/>
  <c r="WX277" i="4"/>
  <c r="WY277" i="4" s="1"/>
  <c r="WV277" i="4"/>
  <c r="WW277" i="4" s="1"/>
  <c r="WL277" i="4"/>
  <c r="WM277" i="4" s="1"/>
  <c r="WN303" i="4"/>
  <c r="WO303" i="4" s="1"/>
  <c r="WX303" i="4"/>
  <c r="WY303" i="4" s="1"/>
  <c r="WR303" i="4"/>
  <c r="WS303" i="4" s="1"/>
  <c r="WT303" i="4"/>
  <c r="WU303" i="4" s="1"/>
  <c r="WH303" i="4"/>
  <c r="WI303" i="4" s="1"/>
  <c r="WP303" i="4"/>
  <c r="WQ303" i="4" s="1"/>
  <c r="WL303" i="4"/>
  <c r="WM303" i="4" s="1"/>
  <c r="WF303" i="4"/>
  <c r="WG303" i="4" s="1"/>
  <c r="WJ303" i="4"/>
  <c r="WK303" i="4" s="1"/>
  <c r="WV303" i="4"/>
  <c r="WW303" i="4" s="1"/>
  <c r="WN75" i="4"/>
  <c r="WO75" i="4" s="1"/>
  <c r="WF75" i="4"/>
  <c r="WG75" i="4" s="1"/>
  <c r="WT75" i="4"/>
  <c r="WU75" i="4" s="1"/>
  <c r="WL75" i="4"/>
  <c r="WM75" i="4" s="1"/>
  <c r="WR75" i="4"/>
  <c r="WS75" i="4" s="1"/>
  <c r="WX75" i="4"/>
  <c r="WY75" i="4" s="1"/>
  <c r="WJ75" i="4"/>
  <c r="WK75" i="4" s="1"/>
  <c r="WP75" i="4"/>
  <c r="WQ75" i="4" s="1"/>
  <c r="WV75" i="4"/>
  <c r="WW75" i="4" s="1"/>
  <c r="WH75" i="4"/>
  <c r="WI75" i="4" s="1"/>
  <c r="WV140" i="4"/>
  <c r="WW140" i="4" s="1"/>
  <c r="WT140" i="4"/>
  <c r="WU140" i="4" s="1"/>
  <c r="WF140" i="4"/>
  <c r="WG140" i="4" s="1"/>
  <c r="WP140" i="4"/>
  <c r="WQ140" i="4" s="1"/>
  <c r="WL140" i="4"/>
  <c r="WM140" i="4" s="1"/>
  <c r="WX140" i="4"/>
  <c r="WY140" i="4" s="1"/>
  <c r="WH140" i="4"/>
  <c r="WI140" i="4" s="1"/>
  <c r="WR140" i="4"/>
  <c r="WS140" i="4" s="1"/>
  <c r="WJ140" i="4"/>
  <c r="WK140" i="4" s="1"/>
  <c r="WT245" i="4"/>
  <c r="WU245" i="4" s="1"/>
  <c r="WF245" i="4"/>
  <c r="WG245" i="4" s="1"/>
  <c r="WH245" i="4"/>
  <c r="WI245" i="4" s="1"/>
  <c r="WR245" i="4"/>
  <c r="WS245" i="4" s="1"/>
  <c r="WX245" i="4"/>
  <c r="WY245" i="4" s="1"/>
  <c r="WJ245" i="4"/>
  <c r="WK245" i="4" s="1"/>
  <c r="WP245" i="4"/>
  <c r="WQ245" i="4" s="1"/>
  <c r="WL245" i="4"/>
  <c r="WM245" i="4" s="1"/>
  <c r="WN245" i="4"/>
  <c r="WO245" i="4" s="1"/>
  <c r="WV245" i="4"/>
  <c r="WW245" i="4" s="1"/>
  <c r="WV348" i="4"/>
  <c r="WW348" i="4" s="1"/>
  <c r="WL348" i="4"/>
  <c r="WM348" i="4" s="1"/>
  <c r="WX348" i="4"/>
  <c r="WY348" i="4" s="1"/>
  <c r="WR348" i="4"/>
  <c r="WS348" i="4" s="1"/>
  <c r="WH348" i="4"/>
  <c r="WI348" i="4" s="1"/>
  <c r="WP348" i="4"/>
  <c r="WQ348" i="4" s="1"/>
  <c r="WJ348" i="4"/>
  <c r="WK348" i="4" s="1"/>
  <c r="WT348" i="4"/>
  <c r="WU348" i="4" s="1"/>
  <c r="WF348" i="4"/>
  <c r="WG348" i="4" s="1"/>
  <c r="WN322" i="4"/>
  <c r="WO322" i="4" s="1"/>
  <c r="WR322" i="4"/>
  <c r="WS322" i="4" s="1"/>
  <c r="WX322" i="4"/>
  <c r="WY322" i="4" s="1"/>
  <c r="WL322" i="4"/>
  <c r="WM322" i="4" s="1"/>
  <c r="WF322" i="4"/>
  <c r="WG322" i="4" s="1"/>
  <c r="WJ322" i="4"/>
  <c r="WK322" i="4" s="1"/>
  <c r="WP322" i="4"/>
  <c r="WQ322" i="4" s="1"/>
  <c r="WH322" i="4"/>
  <c r="WI322" i="4" s="1"/>
  <c r="WT322" i="4"/>
  <c r="WU322" i="4" s="1"/>
  <c r="WV322" i="4"/>
  <c r="WW322" i="4" s="1"/>
  <c r="WL264" i="4"/>
  <c r="WM264" i="4" s="1"/>
  <c r="WR264" i="4"/>
  <c r="WS264" i="4" s="1"/>
  <c r="WJ264" i="4"/>
  <c r="WK264" i="4" s="1"/>
  <c r="WN264" i="4"/>
  <c r="WO264" i="4" s="1"/>
  <c r="WH264" i="4"/>
  <c r="WI264" i="4" s="1"/>
  <c r="WF264" i="4"/>
  <c r="WG264" i="4" s="1"/>
  <c r="WP264" i="4"/>
  <c r="WQ264" i="4" s="1"/>
  <c r="WV264" i="4"/>
  <c r="WW264" i="4" s="1"/>
  <c r="WX264" i="4"/>
  <c r="WY264" i="4" s="1"/>
  <c r="WT264" i="4"/>
  <c r="WU264" i="4" s="1"/>
  <c r="WL226" i="4"/>
  <c r="WM226" i="4" s="1"/>
  <c r="WP226" i="4"/>
  <c r="WQ226" i="4" s="1"/>
  <c r="WT226" i="4"/>
  <c r="WU226" i="4" s="1"/>
  <c r="WN226" i="4"/>
  <c r="WO226" i="4" s="1"/>
  <c r="WV226" i="4"/>
  <c r="WW226" i="4" s="1"/>
  <c r="WH226" i="4"/>
  <c r="WI226" i="4" s="1"/>
  <c r="WR226" i="4"/>
  <c r="WS226" i="4" s="1"/>
  <c r="WX226" i="4"/>
  <c r="WY226" i="4" s="1"/>
  <c r="WF226" i="4"/>
  <c r="WG226" i="4" s="1"/>
  <c r="WP359" i="4"/>
  <c r="WQ359" i="4" s="1"/>
  <c r="WH359" i="4"/>
  <c r="WI359" i="4" s="1"/>
  <c r="WN359" i="4"/>
  <c r="WO359" i="4" s="1"/>
  <c r="WF359" i="4"/>
  <c r="WG359" i="4" s="1"/>
  <c r="WX359" i="4"/>
  <c r="WY359" i="4" s="1"/>
  <c r="WL359" i="4"/>
  <c r="WM359" i="4" s="1"/>
  <c r="WT359" i="4"/>
  <c r="WU359" i="4" s="1"/>
  <c r="WV359" i="4"/>
  <c r="WW359" i="4" s="1"/>
  <c r="WJ359" i="4"/>
  <c r="WK359" i="4" s="1"/>
  <c r="WR359" i="4"/>
  <c r="WS359" i="4" s="1"/>
  <c r="WF279" i="4"/>
  <c r="WG279" i="4" s="1"/>
  <c r="WT279" i="4"/>
  <c r="WU279" i="4" s="1"/>
  <c r="WN279" i="4"/>
  <c r="WO279" i="4" s="1"/>
  <c r="WH279" i="4"/>
  <c r="WI279" i="4" s="1"/>
  <c r="WV279" i="4"/>
  <c r="WW279" i="4" s="1"/>
  <c r="WL279" i="4"/>
  <c r="WM279" i="4" s="1"/>
  <c r="WX279" i="4"/>
  <c r="WY279" i="4" s="1"/>
  <c r="WJ279" i="4"/>
  <c r="WK279" i="4" s="1"/>
  <c r="WR279" i="4"/>
  <c r="WS279" i="4" s="1"/>
  <c r="WP279" i="4"/>
  <c r="WQ279" i="4" s="1"/>
  <c r="WV44" i="4"/>
  <c r="WW44" i="4" s="1"/>
  <c r="WL44" i="4"/>
  <c r="WM44" i="4" s="1"/>
  <c r="WF44" i="4"/>
  <c r="WG44" i="4" s="1"/>
  <c r="WR44" i="4"/>
  <c r="WS44" i="4" s="1"/>
  <c r="WN44" i="4"/>
  <c r="WO44" i="4" s="1"/>
  <c r="WT44" i="4"/>
  <c r="WU44" i="4" s="1"/>
  <c r="WP44" i="4"/>
  <c r="WQ44" i="4" s="1"/>
  <c r="WX44" i="4"/>
  <c r="WY44" i="4" s="1"/>
  <c r="WH44" i="4"/>
  <c r="WI44" i="4" s="1"/>
  <c r="WJ44" i="4"/>
  <c r="WK44" i="4" s="1"/>
  <c r="WL121" i="4"/>
  <c r="WM121" i="4" s="1"/>
  <c r="WP121" i="4"/>
  <c r="WQ121" i="4" s="1"/>
  <c r="WN121" i="4"/>
  <c r="WO121" i="4" s="1"/>
  <c r="WR121" i="4"/>
  <c r="WS121" i="4" s="1"/>
  <c r="WF121" i="4"/>
  <c r="WG121" i="4" s="1"/>
  <c r="WJ121" i="4"/>
  <c r="WK121" i="4" s="1"/>
  <c r="WT121" i="4"/>
  <c r="WU121" i="4" s="1"/>
  <c r="WH121" i="4"/>
  <c r="WI121" i="4" s="1"/>
  <c r="WX121" i="4"/>
  <c r="WY121" i="4" s="1"/>
  <c r="WV121" i="4"/>
  <c r="WW121" i="4" s="1"/>
  <c r="WP114" i="4"/>
  <c r="WQ114" i="4" s="1"/>
  <c r="WT114" i="4"/>
  <c r="WU114" i="4" s="1"/>
  <c r="WX114" i="4"/>
  <c r="WY114" i="4" s="1"/>
  <c r="WR114" i="4"/>
  <c r="WS114" i="4" s="1"/>
  <c r="WF114" i="4"/>
  <c r="WG114" i="4" s="1"/>
  <c r="WL114" i="4"/>
  <c r="WM114" i="4" s="1"/>
  <c r="WV114" i="4"/>
  <c r="WW114" i="4" s="1"/>
  <c r="WN114" i="4"/>
  <c r="WO114" i="4" s="1"/>
  <c r="WH114" i="4"/>
  <c r="WI114" i="4" s="1"/>
  <c r="WJ114" i="4"/>
  <c r="WK114" i="4" s="1"/>
  <c r="WN218" i="4"/>
  <c r="WO218" i="4" s="1"/>
  <c r="WR218" i="4"/>
  <c r="WS218" i="4" s="1"/>
  <c r="WP218" i="4"/>
  <c r="WQ218" i="4" s="1"/>
  <c r="WT218" i="4"/>
  <c r="WU218" i="4" s="1"/>
  <c r="WV218" i="4"/>
  <c r="WW218" i="4" s="1"/>
  <c r="WF218" i="4"/>
  <c r="WG218" i="4" s="1"/>
  <c r="WH218" i="4"/>
  <c r="WI218" i="4" s="1"/>
  <c r="WL218" i="4"/>
  <c r="WM218" i="4" s="1"/>
  <c r="WX218" i="4"/>
  <c r="WY218" i="4" s="1"/>
  <c r="WN22" i="4"/>
  <c r="WO22" i="4" s="1"/>
  <c r="WH22" i="4"/>
  <c r="WI22" i="4" s="1"/>
  <c r="WF22" i="4"/>
  <c r="WG22" i="4" s="1"/>
  <c r="WR22" i="4"/>
  <c r="WS22" i="4" s="1"/>
  <c r="WL22" i="4"/>
  <c r="WM22" i="4" s="1"/>
  <c r="WP22" i="4"/>
  <c r="WQ22" i="4" s="1"/>
  <c r="WJ22" i="4"/>
  <c r="WK22" i="4" s="1"/>
  <c r="WX22" i="4"/>
  <c r="WY22" i="4" s="1"/>
  <c r="WT22" i="4"/>
  <c r="WU22" i="4" s="1"/>
  <c r="WV22" i="4"/>
  <c r="WW22" i="4" s="1"/>
  <c r="WN92" i="4"/>
  <c r="WO92" i="4" s="1"/>
  <c r="WL92" i="4"/>
  <c r="WM92" i="4" s="1"/>
  <c r="WX92" i="4"/>
  <c r="WY92" i="4" s="1"/>
  <c r="WP92" i="4"/>
  <c r="WQ92" i="4" s="1"/>
  <c r="WH92" i="4"/>
  <c r="WI92" i="4" s="1"/>
  <c r="WR92" i="4"/>
  <c r="WS92" i="4" s="1"/>
  <c r="WF92" i="4"/>
  <c r="WG92" i="4" s="1"/>
  <c r="WT92" i="4"/>
  <c r="WU92" i="4" s="1"/>
  <c r="WV92" i="4"/>
  <c r="WW92" i="4" s="1"/>
  <c r="WJ92" i="4"/>
  <c r="WK92" i="4" s="1"/>
  <c r="WN81" i="4"/>
  <c r="WO81" i="4" s="1"/>
  <c r="WF81" i="4"/>
  <c r="WG81" i="4" s="1"/>
  <c r="WX81" i="4"/>
  <c r="WY81" i="4" s="1"/>
  <c r="WR81" i="4"/>
  <c r="WS81" i="4" s="1"/>
  <c r="WJ81" i="4"/>
  <c r="WK81" i="4" s="1"/>
  <c r="WV81" i="4"/>
  <c r="WW81" i="4" s="1"/>
  <c r="WH81" i="4"/>
  <c r="WI81" i="4" s="1"/>
  <c r="WL81" i="4"/>
  <c r="WM81" i="4" s="1"/>
  <c r="WP81" i="4"/>
  <c r="WQ81" i="4" s="1"/>
  <c r="WT81" i="4"/>
  <c r="WU81" i="4" s="1"/>
  <c r="WL60" i="4"/>
  <c r="WM60" i="4" s="1"/>
  <c r="WV60" i="4"/>
  <c r="WW60" i="4" s="1"/>
  <c r="WT60" i="4"/>
  <c r="WU60" i="4" s="1"/>
  <c r="WR60" i="4"/>
  <c r="WS60" i="4" s="1"/>
  <c r="WJ60" i="4"/>
  <c r="WK60" i="4" s="1"/>
  <c r="WP60" i="4"/>
  <c r="WQ60" i="4" s="1"/>
  <c r="WF60" i="4"/>
  <c r="WG60" i="4" s="1"/>
  <c r="WN60" i="4"/>
  <c r="WO60" i="4" s="1"/>
  <c r="WX60" i="4"/>
  <c r="WY60" i="4" s="1"/>
  <c r="WH60" i="4"/>
  <c r="WI60" i="4" s="1"/>
  <c r="WL23" i="4"/>
  <c r="WM23" i="4" s="1"/>
  <c r="WV23" i="4"/>
  <c r="WW23" i="4" s="1"/>
  <c r="WH23" i="4"/>
  <c r="WI23" i="4" s="1"/>
  <c r="WR23" i="4"/>
  <c r="WS23" i="4" s="1"/>
  <c r="WF23" i="4"/>
  <c r="WG23" i="4" s="1"/>
  <c r="WX23" i="4"/>
  <c r="WY23" i="4" s="1"/>
  <c r="WJ23" i="4"/>
  <c r="WK23" i="4" s="1"/>
  <c r="WT23" i="4"/>
  <c r="WU23" i="4" s="1"/>
  <c r="WN23" i="4"/>
  <c r="WO23" i="4" s="1"/>
  <c r="WP23" i="4"/>
  <c r="WQ23" i="4" s="1"/>
  <c r="WX38" i="4"/>
  <c r="WY38" i="4" s="1"/>
  <c r="WJ38" i="4"/>
  <c r="WK38" i="4" s="1"/>
  <c r="WF38" i="4"/>
  <c r="WG38" i="4" s="1"/>
  <c r="WP38" i="4"/>
  <c r="WQ38" i="4" s="1"/>
  <c r="WN38" i="4"/>
  <c r="WO38" i="4" s="1"/>
  <c r="WR38" i="4"/>
  <c r="WS38" i="4" s="1"/>
  <c r="WH38" i="4"/>
  <c r="WI38" i="4" s="1"/>
  <c r="WT38" i="4"/>
  <c r="WU38" i="4" s="1"/>
  <c r="WV38" i="4"/>
  <c r="WW38" i="4" s="1"/>
  <c r="WL38" i="4"/>
  <c r="WM38" i="4" s="1"/>
  <c r="WL135" i="4"/>
  <c r="WM135" i="4" s="1"/>
  <c r="WT135" i="4"/>
  <c r="WU135" i="4" s="1"/>
  <c r="WV135" i="4"/>
  <c r="WW135" i="4" s="1"/>
  <c r="WH135" i="4"/>
  <c r="WI135" i="4" s="1"/>
  <c r="WX135" i="4"/>
  <c r="WY135" i="4" s="1"/>
  <c r="WP135" i="4"/>
  <c r="WQ135" i="4" s="1"/>
  <c r="WJ135" i="4"/>
  <c r="WK135" i="4" s="1"/>
  <c r="WN135" i="4"/>
  <c r="WO135" i="4" s="1"/>
  <c r="WF135" i="4"/>
  <c r="WG135" i="4" s="1"/>
  <c r="WR135" i="4"/>
  <c r="WS135" i="4" s="1"/>
  <c r="WV28" i="4"/>
  <c r="WW28" i="4" s="1"/>
  <c r="WF28" i="4"/>
  <c r="WG28" i="4" s="1"/>
  <c r="WL28" i="4"/>
  <c r="WM28" i="4" s="1"/>
  <c r="WR28" i="4"/>
  <c r="WS28" i="4" s="1"/>
  <c r="WT28" i="4"/>
  <c r="WU28" i="4" s="1"/>
  <c r="WJ28" i="4"/>
  <c r="WK28" i="4" s="1"/>
  <c r="WP28" i="4"/>
  <c r="WQ28" i="4" s="1"/>
  <c r="WX28" i="4"/>
  <c r="WY28" i="4" s="1"/>
  <c r="WH28" i="4"/>
  <c r="WI28" i="4" s="1"/>
  <c r="KU128" i="4"/>
  <c r="QB45" i="4" s="1"/>
  <c r="WJ125" i="4"/>
  <c r="WK125" i="4" s="1"/>
  <c r="WX125" i="4"/>
  <c r="WY125" i="4" s="1"/>
  <c r="WR125" i="4"/>
  <c r="WS125" i="4" s="1"/>
  <c r="WL125" i="4"/>
  <c r="WM125" i="4" s="1"/>
  <c r="WF125" i="4"/>
  <c r="WG125" i="4" s="1"/>
  <c r="WN125" i="4"/>
  <c r="WO125" i="4" s="1"/>
  <c r="WV125" i="4"/>
  <c r="WW125" i="4" s="1"/>
  <c r="WT125" i="4"/>
  <c r="WU125" i="4" s="1"/>
  <c r="WP125" i="4"/>
  <c r="WQ125" i="4" s="1"/>
  <c r="WX176" i="4"/>
  <c r="WY176" i="4" s="1"/>
  <c r="WR176" i="4"/>
  <c r="WS176" i="4" s="1"/>
  <c r="WN176" i="4"/>
  <c r="WO176" i="4" s="1"/>
  <c r="WJ176" i="4"/>
  <c r="WK176" i="4" s="1"/>
  <c r="WP176" i="4"/>
  <c r="WQ176" i="4" s="1"/>
  <c r="WH176" i="4"/>
  <c r="WI176" i="4" s="1"/>
  <c r="WV176" i="4"/>
  <c r="WW176" i="4" s="1"/>
  <c r="WT176" i="4"/>
  <c r="WU176" i="4" s="1"/>
  <c r="WF176" i="4"/>
  <c r="WG176" i="4" s="1"/>
  <c r="WH255" i="4"/>
  <c r="WI255" i="4" s="1"/>
  <c r="WR255" i="4"/>
  <c r="WS255" i="4" s="1"/>
  <c r="WF255" i="4"/>
  <c r="WG255" i="4" s="1"/>
  <c r="WT255" i="4"/>
  <c r="WU255" i="4" s="1"/>
  <c r="WV255" i="4"/>
  <c r="WW255" i="4" s="1"/>
  <c r="WX255" i="4"/>
  <c r="WY255" i="4" s="1"/>
  <c r="WJ255" i="4"/>
  <c r="WK255" i="4" s="1"/>
  <c r="WL255" i="4"/>
  <c r="WM255" i="4" s="1"/>
  <c r="WP255" i="4"/>
  <c r="WQ255" i="4" s="1"/>
  <c r="WN255" i="4"/>
  <c r="WO255" i="4" s="1"/>
  <c r="WF41" i="4"/>
  <c r="WG41" i="4" s="1"/>
  <c r="WR41" i="4"/>
  <c r="WS41" i="4" s="1"/>
  <c r="WV41" i="4"/>
  <c r="WW41" i="4" s="1"/>
  <c r="WP41" i="4"/>
  <c r="WQ41" i="4" s="1"/>
  <c r="WN41" i="4"/>
  <c r="WO41" i="4" s="1"/>
  <c r="WT41" i="4"/>
  <c r="WU41" i="4" s="1"/>
  <c r="WL41" i="4"/>
  <c r="WM41" i="4" s="1"/>
  <c r="WX41" i="4"/>
  <c r="WY41" i="4" s="1"/>
  <c r="WH41" i="4"/>
  <c r="WI41" i="4" s="1"/>
  <c r="WL326" i="4"/>
  <c r="WM326" i="4" s="1"/>
  <c r="WX326" i="4"/>
  <c r="WY326" i="4" s="1"/>
  <c r="WF326" i="4"/>
  <c r="WG326" i="4" s="1"/>
  <c r="WH326" i="4"/>
  <c r="WI326" i="4" s="1"/>
  <c r="WV326" i="4"/>
  <c r="WW326" i="4" s="1"/>
  <c r="WP326" i="4"/>
  <c r="WQ326" i="4" s="1"/>
  <c r="WJ326" i="4"/>
  <c r="WK326" i="4" s="1"/>
  <c r="WN326" i="4"/>
  <c r="WO326" i="4" s="1"/>
  <c r="WT326" i="4"/>
  <c r="WU326" i="4" s="1"/>
  <c r="WR326" i="4"/>
  <c r="WS326" i="4" s="1"/>
  <c r="WV242" i="4"/>
  <c r="WW242" i="4" s="1"/>
  <c r="WT242" i="4"/>
  <c r="WU242" i="4" s="1"/>
  <c r="WH242" i="4"/>
  <c r="WI242" i="4" s="1"/>
  <c r="WJ242" i="4"/>
  <c r="WK242" i="4" s="1"/>
  <c r="WN242" i="4"/>
  <c r="WO242" i="4" s="1"/>
  <c r="WL242" i="4"/>
  <c r="WM242" i="4" s="1"/>
  <c r="WP242" i="4"/>
  <c r="WQ242" i="4" s="1"/>
  <c r="WF242" i="4"/>
  <c r="WG242" i="4" s="1"/>
  <c r="WX242" i="4"/>
  <c r="WY242" i="4" s="1"/>
  <c r="WR242" i="4"/>
  <c r="WS242" i="4" s="1"/>
  <c r="WV160" i="4"/>
  <c r="WW160" i="4" s="1"/>
  <c r="WX160" i="4"/>
  <c r="WY160" i="4" s="1"/>
  <c r="WJ160" i="4"/>
  <c r="WK160" i="4" s="1"/>
  <c r="WN160" i="4"/>
  <c r="WO160" i="4" s="1"/>
  <c r="WP160" i="4"/>
  <c r="WQ160" i="4" s="1"/>
  <c r="WL160" i="4"/>
  <c r="WM160" i="4" s="1"/>
  <c r="WF160" i="4"/>
  <c r="WG160" i="4" s="1"/>
  <c r="WT160" i="4"/>
  <c r="WU160" i="4" s="1"/>
  <c r="WR160" i="4"/>
  <c r="WS160" i="4" s="1"/>
  <c r="WH160" i="4"/>
  <c r="WI160" i="4" s="1"/>
  <c r="WL356" i="4"/>
  <c r="WM356" i="4" s="1"/>
  <c r="WX356" i="4"/>
  <c r="WY356" i="4" s="1"/>
  <c r="WH356" i="4"/>
  <c r="WI356" i="4" s="1"/>
  <c r="WV356" i="4"/>
  <c r="WW356" i="4" s="1"/>
  <c r="WT356" i="4"/>
  <c r="WU356" i="4" s="1"/>
  <c r="WP356" i="4"/>
  <c r="WQ356" i="4" s="1"/>
  <c r="WR356" i="4"/>
  <c r="WS356" i="4" s="1"/>
  <c r="WF356" i="4"/>
  <c r="WG356" i="4" s="1"/>
  <c r="WN356" i="4"/>
  <c r="WO356" i="4" s="1"/>
  <c r="WN311" i="4"/>
  <c r="WO311" i="4" s="1"/>
  <c r="WT311" i="4"/>
  <c r="WU311" i="4" s="1"/>
  <c r="WP311" i="4"/>
  <c r="WQ311" i="4" s="1"/>
  <c r="WF311" i="4"/>
  <c r="WG311" i="4" s="1"/>
  <c r="WL311" i="4"/>
  <c r="WM311" i="4" s="1"/>
  <c r="WX311" i="4"/>
  <c r="WY311" i="4" s="1"/>
  <c r="WV311" i="4"/>
  <c r="WW311" i="4" s="1"/>
  <c r="WH311" i="4"/>
  <c r="WI311" i="4" s="1"/>
  <c r="WR311" i="4"/>
  <c r="WS311" i="4" s="1"/>
  <c r="CE25" i="1"/>
  <c r="CE39" i="1"/>
  <c r="CE45" i="1"/>
  <c r="CE37" i="1"/>
  <c r="CE27" i="1"/>
  <c r="CE53" i="1"/>
  <c r="CE51" i="1"/>
  <c r="CE29" i="1"/>
  <c r="CE23" i="1"/>
  <c r="CE19" i="1"/>
  <c r="CE21" i="1"/>
  <c r="CE35" i="1"/>
  <c r="CE47" i="1"/>
  <c r="CE31" i="1"/>
  <c r="CE43" i="1"/>
  <c r="CE49" i="1"/>
  <c r="CE41" i="1"/>
  <c r="CE33" i="1"/>
  <c r="AS25" i="6" l="1"/>
  <c r="AR26" i="6"/>
  <c r="AR27" i="6" s="1"/>
  <c r="AS27" i="6" s="1"/>
  <c r="FW19" i="4"/>
  <c r="FW20" i="4" s="1"/>
  <c r="FW21" i="4" s="1"/>
  <c r="BP8" i="4"/>
  <c r="BK10" i="4"/>
  <c r="ZM10" i="4"/>
  <c r="ZM11" i="4" s="1"/>
  <c r="BE158" i="1"/>
  <c r="AU5" i="6"/>
  <c r="ZK8" i="4"/>
  <c r="ZK9" i="4" s="1"/>
  <c r="ZK10" i="4" s="1"/>
  <c r="ZK11" i="4" s="1"/>
  <c r="KB5" i="4"/>
  <c r="UB182" i="4"/>
  <c r="WN182" i="4" s="1"/>
  <c r="WO182" i="4" s="1"/>
  <c r="BP146" i="1"/>
  <c r="N19" i="1"/>
  <c r="BP151" i="1"/>
  <c r="BE145" i="1"/>
  <c r="BP156" i="1"/>
  <c r="CR15" i="4"/>
  <c r="BV14" i="4"/>
  <c r="AM35" i="1"/>
  <c r="CB146" i="6"/>
  <c r="V138" i="1" s="1"/>
  <c r="CB147" i="6"/>
  <c r="AB138" i="1" s="1"/>
  <c r="KB6" i="4"/>
  <c r="CC27" i="9"/>
  <c r="PU63" i="4"/>
  <c r="DP20" i="4"/>
  <c r="AO10" i="4"/>
  <c r="AP9" i="4"/>
  <c r="TW1" i="4"/>
  <c r="AG90" i="8"/>
  <c r="AG52" i="8"/>
  <c r="AG130" i="8"/>
  <c r="DC29" i="8"/>
  <c r="AG168" i="8"/>
  <c r="AG54" i="8"/>
  <c r="AG124" i="8"/>
  <c r="AG58" i="8"/>
  <c r="AG176" i="8"/>
  <c r="AG84" i="8"/>
  <c r="DC25" i="8"/>
  <c r="AG56" i="8"/>
  <c r="AG174" i="8"/>
  <c r="AG164" i="8"/>
  <c r="AG170" i="8"/>
  <c r="AG132" i="8"/>
  <c r="AG82" i="8"/>
  <c r="AG94" i="8"/>
  <c r="AG128" i="8"/>
  <c r="AG88" i="8"/>
  <c r="AG78" i="8"/>
  <c r="AG96" i="8"/>
  <c r="DC23" i="8"/>
  <c r="AG120" i="8"/>
  <c r="AG76" i="8"/>
  <c r="AG126" i="8"/>
  <c r="AG134" i="8"/>
  <c r="DC31" i="8"/>
  <c r="AG60" i="8"/>
  <c r="DC27" i="8"/>
  <c r="AG80" i="8"/>
  <c r="AG166" i="8"/>
  <c r="AG92" i="8"/>
  <c r="AG172" i="8"/>
  <c r="AG86" i="8"/>
  <c r="AG122" i="8"/>
  <c r="JC5" i="4"/>
  <c r="JG4" i="4" s="1"/>
  <c r="XM37" i="4"/>
  <c r="XR2" i="4"/>
  <c r="F25" i="9" s="1"/>
  <c r="L24" i="8" s="1"/>
  <c r="XS3" i="4"/>
  <c r="XR5" i="4"/>
  <c r="XR6" i="4"/>
  <c r="DX2" i="4"/>
  <c r="ZF8" i="4"/>
  <c r="ZF9" i="4" s="1"/>
  <c r="ZF10" i="4" s="1"/>
  <c r="RP18" i="4"/>
  <c r="RP31" i="4" s="1"/>
  <c r="SN18" i="4"/>
  <c r="SN31" i="4" s="1"/>
  <c r="RX18" i="4"/>
  <c r="RX31" i="4" s="1"/>
  <c r="BT151" i="6" s="1"/>
  <c r="J130" i="1" s="1"/>
  <c r="SF18" i="4"/>
  <c r="SF31" i="4" s="1"/>
  <c r="RH18" i="4"/>
  <c r="QZ18" i="4"/>
  <c r="QZ31" i="4" s="1"/>
  <c r="RP30" i="4"/>
  <c r="RP28" i="4"/>
  <c r="IH11" i="4"/>
  <c r="IM5" i="4"/>
  <c r="XN8" i="4"/>
  <c r="XO8" i="4"/>
  <c r="XM9" i="4"/>
  <c r="XQ8" i="4"/>
  <c r="XP8" i="4"/>
  <c r="XR8" i="4"/>
  <c r="XS8" i="4"/>
  <c r="CQ27" i="9"/>
  <c r="RP24" i="4"/>
  <c r="RH30" i="4"/>
  <c r="RH22" i="4"/>
  <c r="IM4" i="4"/>
  <c r="BY33" i="1"/>
  <c r="BY27" i="1"/>
  <c r="BY45" i="1"/>
  <c r="BY43" i="1"/>
  <c r="I27" i="1"/>
  <c r="O27" i="1" s="1"/>
  <c r="UB33" i="4"/>
  <c r="BA91" i="6"/>
  <c r="AM39" i="1"/>
  <c r="Q76" i="1"/>
  <c r="L76" i="1" s="1"/>
  <c r="KB4" i="4"/>
  <c r="KB3" i="4"/>
  <c r="DO13" i="4"/>
  <c r="DO11" i="4"/>
  <c r="CN14" i="4"/>
  <c r="BY29" i="1"/>
  <c r="BY35" i="1"/>
  <c r="BY23" i="1"/>
  <c r="BY39" i="1"/>
  <c r="BY47" i="1"/>
  <c r="GG3" i="4"/>
  <c r="AC78" i="6" s="1"/>
  <c r="UB238" i="4"/>
  <c r="BY31" i="1"/>
  <c r="BY37" i="1"/>
  <c r="BY41" i="1"/>
  <c r="BY21" i="1"/>
  <c r="BY53" i="1"/>
  <c r="DO9" i="4"/>
  <c r="X8" i="4"/>
  <c r="X9" i="4" s="1"/>
  <c r="AU7" i="6"/>
  <c r="GJ2" i="4"/>
  <c r="DQ14" i="4" s="1"/>
  <c r="FO12" i="4"/>
  <c r="ZL7" i="4"/>
  <c r="ZL8" i="4" s="1"/>
  <c r="ZL9" i="4" s="1"/>
  <c r="ZH6" i="4"/>
  <c r="ZH7" i="4" s="1"/>
  <c r="ZJ7" i="4"/>
  <c r="ZJ8" i="4" s="1"/>
  <c r="ZJ9" i="4" s="1"/>
  <c r="ZO7" i="4"/>
  <c r="ZO8" i="4" s="1"/>
  <c r="ZG6" i="4"/>
  <c r="ZG7" i="4" s="1"/>
  <c r="ZI6" i="4"/>
  <c r="BY25" i="1"/>
  <c r="Y143" i="6"/>
  <c r="ZD8" i="4"/>
  <c r="ZD9" i="4" s="1"/>
  <c r="ZN8" i="4"/>
  <c r="AM19" i="1"/>
  <c r="ZE9" i="4"/>
  <c r="WD35" i="4"/>
  <c r="WE35" i="4" s="1"/>
  <c r="BY19" i="1"/>
  <c r="BY49" i="1"/>
  <c r="BY51" i="1"/>
  <c r="SV7" i="4"/>
  <c r="AM23" i="1"/>
  <c r="Q82" i="1"/>
  <c r="L82" i="1" s="1"/>
  <c r="SV12" i="4"/>
  <c r="SV10" i="4"/>
  <c r="SV5" i="4"/>
  <c r="SV11" i="4"/>
  <c r="SV6" i="4"/>
  <c r="SV8" i="4"/>
  <c r="SV17" i="4"/>
  <c r="Y145" i="6" s="1"/>
  <c r="UB233" i="4"/>
  <c r="TE5" i="4"/>
  <c r="SV9" i="4"/>
  <c r="TE4" i="4"/>
  <c r="SV4" i="4"/>
  <c r="QZ7" i="4"/>
  <c r="PU84" i="4"/>
  <c r="PV84" i="4" s="1"/>
  <c r="PU85" i="4"/>
  <c r="PV85" i="4" s="1"/>
  <c r="TC5" i="4"/>
  <c r="TI5" i="4" s="1"/>
  <c r="BD146" i="6"/>
  <c r="V102" i="1" s="1"/>
  <c r="AV146" i="6"/>
  <c r="FO15" i="4" l="1"/>
  <c r="FX9" i="4"/>
  <c r="WP33" i="4"/>
  <c r="WQ33" i="4" s="1"/>
  <c r="WJ33" i="4"/>
  <c r="WK33" i="4" s="1"/>
  <c r="FX13" i="4"/>
  <c r="AS26" i="6"/>
  <c r="BN3" i="4"/>
  <c r="BN5" i="4"/>
  <c r="CQ5" i="4" s="1"/>
  <c r="BN4" i="4"/>
  <c r="FX11" i="4"/>
  <c r="FX8" i="4"/>
  <c r="FX10" i="4"/>
  <c r="WT182" i="4"/>
  <c r="WU182" i="4" s="1"/>
  <c r="BP10" i="4"/>
  <c r="BM10" i="4"/>
  <c r="WV182" i="4"/>
  <c r="WW182" i="4" s="1"/>
  <c r="ZM12" i="4"/>
  <c r="ZM13" i="4" s="1"/>
  <c r="WH182" i="4"/>
  <c r="WI182" i="4" s="1"/>
  <c r="FX12" i="4"/>
  <c r="WL182" i="4"/>
  <c r="WM182" i="4" s="1"/>
  <c r="WJ182" i="4"/>
  <c r="WK182" i="4" s="1"/>
  <c r="WP182" i="4"/>
  <c r="WQ182" i="4" s="1"/>
  <c r="WF182" i="4"/>
  <c r="WG182" i="4" s="1"/>
  <c r="WX182" i="4"/>
  <c r="WY182" i="4" s="1"/>
  <c r="WR182" i="4"/>
  <c r="WS182" i="4" s="1"/>
  <c r="BV11" i="4"/>
  <c r="SF30" i="4"/>
  <c r="SF20" i="4"/>
  <c r="CB151" i="6" s="1"/>
  <c r="J142" i="1" s="1"/>
  <c r="QZ30" i="4"/>
  <c r="V90" i="1"/>
  <c r="V21" i="4"/>
  <c r="AU3" i="9"/>
  <c r="WD48" i="4"/>
  <c r="WD88" i="4" s="1"/>
  <c r="WE88" i="4" s="1"/>
  <c r="PU64" i="4"/>
  <c r="WL33" i="4"/>
  <c r="WM33" i="4" s="1"/>
  <c r="WT33" i="4"/>
  <c r="WU33" i="4" s="1"/>
  <c r="WF33" i="4"/>
  <c r="WG33" i="4" s="1"/>
  <c r="WR33" i="4"/>
  <c r="WS33" i="4" s="1"/>
  <c r="WN33" i="4"/>
  <c r="WO33" i="4" s="1"/>
  <c r="AV147" i="6"/>
  <c r="AB90" i="1" s="1"/>
  <c r="V25" i="4"/>
  <c r="AM27" i="1"/>
  <c r="IH13" i="4"/>
  <c r="IM7" i="4" s="1"/>
  <c r="DY2" i="4"/>
  <c r="V20" i="4"/>
  <c r="V16" i="4"/>
  <c r="RH31" i="4"/>
  <c r="RH24" i="4"/>
  <c r="BD151" i="6" s="1"/>
  <c r="J106" i="1" s="1"/>
  <c r="XT3" i="4"/>
  <c r="XS5" i="4"/>
  <c r="XS6" i="4"/>
  <c r="XS2" i="4"/>
  <c r="F28" i="9" s="1"/>
  <c r="BH20" i="8" s="1"/>
  <c r="XS7" i="4"/>
  <c r="TX1" i="4"/>
  <c r="TY1" i="4" s="1"/>
  <c r="TZ1" i="4" s="1"/>
  <c r="DJ27" i="8"/>
  <c r="DJ29" i="8"/>
  <c r="AN90" i="8"/>
  <c r="AN170" i="8"/>
  <c r="AN164" i="8"/>
  <c r="AN60" i="8"/>
  <c r="AN126" i="8"/>
  <c r="AN122" i="8"/>
  <c r="AN56" i="8"/>
  <c r="DJ25" i="8"/>
  <c r="AN132" i="8"/>
  <c r="DJ23" i="8"/>
  <c r="AN174" i="8"/>
  <c r="AN120" i="8"/>
  <c r="AN92" i="8"/>
  <c r="AN54" i="8"/>
  <c r="AN130" i="8"/>
  <c r="AN166" i="8"/>
  <c r="AN88" i="8"/>
  <c r="AN82" i="8"/>
  <c r="AN134" i="8"/>
  <c r="AN84" i="8"/>
  <c r="AN172" i="8"/>
  <c r="DJ31" i="8"/>
  <c r="AN168" i="8"/>
  <c r="AN58" i="8"/>
  <c r="AN86" i="8"/>
  <c r="AN96" i="8"/>
  <c r="AN76" i="8"/>
  <c r="AN124" i="8"/>
  <c r="AN176" i="8"/>
  <c r="AN128" i="8"/>
  <c r="AN80" i="8"/>
  <c r="AN52" i="8"/>
  <c r="AN94" i="8"/>
  <c r="AN78" i="8"/>
  <c r="RP22" i="4"/>
  <c r="V19" i="4"/>
  <c r="V17" i="4"/>
  <c r="XN9" i="4"/>
  <c r="XP9" i="4"/>
  <c r="XO9" i="4"/>
  <c r="XQ9" i="4"/>
  <c r="XS9" i="4"/>
  <c r="XM10" i="4"/>
  <c r="XT9" i="4"/>
  <c r="XR9" i="4"/>
  <c r="V24" i="4"/>
  <c r="JC6" i="4"/>
  <c r="JG5" i="4" s="1"/>
  <c r="IM6" i="4"/>
  <c r="V18" i="4"/>
  <c r="QZ20" i="4"/>
  <c r="AV151" i="6" s="1"/>
  <c r="J94" i="1" s="1"/>
  <c r="V23" i="4"/>
  <c r="V22" i="4"/>
  <c r="XM38" i="4"/>
  <c r="XM41" i="4" s="1"/>
  <c r="AO11" i="4"/>
  <c r="AP10" i="4"/>
  <c r="WV33" i="4"/>
  <c r="WW33" i="4" s="1"/>
  <c r="WH33" i="4"/>
  <c r="WI33" i="4" s="1"/>
  <c r="WX33" i="4"/>
  <c r="WY33" i="4" s="1"/>
  <c r="YJ37" i="4"/>
  <c r="WJ238" i="4"/>
  <c r="WK238" i="4" s="1"/>
  <c r="WV238" i="4"/>
  <c r="WW238" i="4" s="1"/>
  <c r="WX238" i="4"/>
  <c r="WY238" i="4" s="1"/>
  <c r="WT238" i="4"/>
  <c r="WU238" i="4" s="1"/>
  <c r="WP238" i="4"/>
  <c r="WQ238" i="4" s="1"/>
  <c r="WH238" i="4"/>
  <c r="WI238" i="4" s="1"/>
  <c r="WR238" i="4"/>
  <c r="WS238" i="4" s="1"/>
  <c r="WL238" i="4"/>
  <c r="WM238" i="4" s="1"/>
  <c r="WF238" i="4"/>
  <c r="WG238" i="4" s="1"/>
  <c r="X10" i="4"/>
  <c r="AA4" i="4" s="1"/>
  <c r="AA13" i="4"/>
  <c r="ZO9" i="4"/>
  <c r="ZO10" i="4" s="1"/>
  <c r="ZO11" i="4" s="1"/>
  <c r="ZD10" i="4"/>
  <c r="ZD11" i="4" s="1"/>
  <c r="ZD12" i="4" s="1"/>
  <c r="ZK12" i="4"/>
  <c r="ZK13" i="4" s="1"/>
  <c r="ZI7" i="4"/>
  <c r="ZG8" i="4"/>
  <c r="ZG9" i="4" s="1"/>
  <c r="ZH8" i="4"/>
  <c r="ZH9" i="4" s="1"/>
  <c r="ZL10" i="4"/>
  <c r="ZF11" i="4"/>
  <c r="ZF12" i="4" s="1"/>
  <c r="ZN9" i="4"/>
  <c r="ZN10" i="4" s="1"/>
  <c r="ZN11" i="4" s="1"/>
  <c r="ZE10" i="4"/>
  <c r="ZJ10" i="4"/>
  <c r="WX233" i="4"/>
  <c r="WL233" i="4"/>
  <c r="WM233" i="4" s="1"/>
  <c r="WV233" i="4"/>
  <c r="WH233" i="4"/>
  <c r="WI233" i="4" s="1"/>
  <c r="WP233" i="4"/>
  <c r="WF233" i="4"/>
  <c r="WG233" i="4" s="1"/>
  <c r="WN233" i="4"/>
  <c r="WO233" i="4" s="1"/>
  <c r="WR233" i="4"/>
  <c r="WS233" i="4" s="1"/>
  <c r="WT233" i="4"/>
  <c r="WU233" i="4" s="1"/>
  <c r="AG59" i="1"/>
  <c r="X51" i="1"/>
  <c r="PU127" i="4"/>
  <c r="PV127" i="4" s="1"/>
  <c r="PU124" i="4"/>
  <c r="BL147" i="6"/>
  <c r="AB114" i="1" s="1"/>
  <c r="PU103" i="4"/>
  <c r="PV103" i="4" s="1"/>
  <c r="PU119" i="4"/>
  <c r="PV119" i="4" s="1"/>
  <c r="PU105" i="4"/>
  <c r="PV105" i="4" s="1"/>
  <c r="PU111" i="4"/>
  <c r="PV111" i="4" s="1"/>
  <c r="PU106" i="4"/>
  <c r="PV106" i="4" s="1"/>
  <c r="PU107" i="4"/>
  <c r="PV107" i="4" s="1"/>
  <c r="PU110" i="4"/>
  <c r="PV110" i="4" s="1"/>
  <c r="BD147" i="6"/>
  <c r="AB102" i="1" s="1"/>
  <c r="PU117" i="4"/>
  <c r="PV117" i="4" s="1"/>
  <c r="PU121" i="4"/>
  <c r="PV121" i="4" s="1"/>
  <c r="PU123" i="4"/>
  <c r="PV123" i="4" s="1"/>
  <c r="PU109" i="4"/>
  <c r="PV109" i="4" s="1"/>
  <c r="PU128" i="4"/>
  <c r="PV128" i="4" s="1"/>
  <c r="PU126" i="4"/>
  <c r="PV126" i="4" s="1"/>
  <c r="PU125" i="4"/>
  <c r="PV125" i="4" s="1"/>
  <c r="PU120" i="4"/>
  <c r="PV120" i="4" s="1"/>
  <c r="PU115" i="4"/>
  <c r="PU118" i="4"/>
  <c r="PU101" i="4"/>
  <c r="PU102" i="4"/>
  <c r="PV102" i="4" s="1"/>
  <c r="PU116" i="4"/>
  <c r="PV116" i="4" s="1"/>
  <c r="PU104" i="4"/>
  <c r="PV104" i="4" s="1"/>
  <c r="FO18" i="4" l="1"/>
  <c r="FR5" i="4" s="1"/>
  <c r="DD5" i="4"/>
  <c r="CU5" i="4"/>
  <c r="DC5" i="4"/>
  <c r="BQ4" i="4"/>
  <c r="DN4" i="4" s="1"/>
  <c r="FX3" i="4"/>
  <c r="FW3" i="4" s="1"/>
  <c r="BZ4" i="4"/>
  <c r="CD4" i="4"/>
  <c r="BO4" i="4"/>
  <c r="FF5" i="4"/>
  <c r="FE11" i="4" s="1"/>
  <c r="FF11" i="4" s="1"/>
  <c r="BN2" i="4"/>
  <c r="BV4" i="4"/>
  <c r="CH4" i="4"/>
  <c r="BW4" i="4"/>
  <c r="CJ4" i="4"/>
  <c r="DA4" i="4"/>
  <c r="BY4" i="4"/>
  <c r="CW4" i="4"/>
  <c r="DH4" i="4"/>
  <c r="CT4" i="4"/>
  <c r="DB4" i="4"/>
  <c r="BP4" i="4"/>
  <c r="N12" i="9" s="1"/>
  <c r="CP4" i="4"/>
  <c r="CV4" i="4"/>
  <c r="CS4" i="4"/>
  <c r="CU4" i="4"/>
  <c r="CE4" i="4"/>
  <c r="CB4" i="4"/>
  <c r="DG4" i="4" s="1"/>
  <c r="BI4" i="4"/>
  <c r="DM4" i="4"/>
  <c r="DE4" i="4"/>
  <c r="CX4" i="4"/>
  <c r="CY4" i="4"/>
  <c r="BL4" i="4"/>
  <c r="DF4" i="4" s="1"/>
  <c r="DC4" i="4"/>
  <c r="CQ4" i="4"/>
  <c r="CI4" i="4"/>
  <c r="BX4" i="4"/>
  <c r="CR4" i="4"/>
  <c r="CZ4" i="4"/>
  <c r="CO4" i="4"/>
  <c r="DD4" i="4"/>
  <c r="BQ5" i="4"/>
  <c r="DN5" i="4" s="1"/>
  <c r="BO5" i="4"/>
  <c r="L13" i="9" s="1"/>
  <c r="BZ5" i="4"/>
  <c r="DG5" i="4" s="1"/>
  <c r="BX5" i="4"/>
  <c r="CE5" i="4"/>
  <c r="BY5" i="4"/>
  <c r="DM5" i="4"/>
  <c r="BW5" i="4"/>
  <c r="FX4" i="4"/>
  <c r="FW4" i="4" s="1"/>
  <c r="BP5" i="4"/>
  <c r="N13" i="9" s="1"/>
  <c r="FJ5" i="4"/>
  <c r="FI25" i="4" s="1"/>
  <c r="FJ25" i="4" s="1"/>
  <c r="BV5" i="4"/>
  <c r="CI5" i="4"/>
  <c r="DH5" i="4" s="1"/>
  <c r="CD5" i="4"/>
  <c r="CH5" i="4"/>
  <c r="BL5" i="4"/>
  <c r="CR5" i="4" s="1"/>
  <c r="CB5" i="4"/>
  <c r="CM5" i="4"/>
  <c r="CW5" i="4"/>
  <c r="CV5" i="4"/>
  <c r="CT5" i="4"/>
  <c r="CX5" i="4"/>
  <c r="BI5" i="4"/>
  <c r="DF5" i="4"/>
  <c r="CS5" i="4"/>
  <c r="CZ5" i="4"/>
  <c r="DE5" i="4"/>
  <c r="DA5" i="4"/>
  <c r="CY5" i="4"/>
  <c r="DB5" i="4"/>
  <c r="CO5" i="4"/>
  <c r="CP5" i="4"/>
  <c r="CJ5" i="4"/>
  <c r="AN43" i="6"/>
  <c r="I46" i="1" s="1"/>
  <c r="BZ3" i="4"/>
  <c r="MG90" i="4"/>
  <c r="MD60" i="4"/>
  <c r="MF91" i="4"/>
  <c r="ME92" i="4"/>
  <c r="MB114" i="4"/>
  <c r="MB98" i="4"/>
  <c r="ME99" i="4"/>
  <c r="CE3" i="4"/>
  <c r="MJ87" i="4"/>
  <c r="MG97" i="4"/>
  <c r="MB88" i="4"/>
  <c r="MB86" i="4"/>
  <c r="MG99" i="4"/>
  <c r="MG87" i="4"/>
  <c r="LZ100" i="4"/>
  <c r="BY3" i="4"/>
  <c r="MG80" i="4"/>
  <c r="MG95" i="4"/>
  <c r="MC96" i="4"/>
  <c r="ME108" i="4"/>
  <c r="MB95" i="4"/>
  <c r="BV3" i="4"/>
  <c r="BW3" i="4"/>
  <c r="MA62" i="4"/>
  <c r="ME86" i="4"/>
  <c r="ME91" i="4"/>
  <c r="MB112" i="4"/>
  <c r="LZ95" i="4"/>
  <c r="MD72" i="4"/>
  <c r="KU72" i="4" s="1"/>
  <c r="ST12" i="4" s="1"/>
  <c r="SZ12" i="4" s="1"/>
  <c r="MG93" i="4"/>
  <c r="ME90" i="4"/>
  <c r="LZ94" i="4"/>
  <c r="MC87" i="4"/>
  <c r="DM3" i="4"/>
  <c r="ME95" i="4"/>
  <c r="MJ96" i="4"/>
  <c r="LZ80" i="4"/>
  <c r="ME80" i="4"/>
  <c r="MH76" i="4"/>
  <c r="MB90" i="4"/>
  <c r="MF87" i="4"/>
  <c r="ME98" i="4"/>
  <c r="MF92" i="4"/>
  <c r="LZ92" i="4"/>
  <c r="MG89" i="4"/>
  <c r="MF86" i="4"/>
  <c r="ME114" i="4"/>
  <c r="MG114" i="4"/>
  <c r="LZ86" i="4"/>
  <c r="MA73" i="4"/>
  <c r="MH75" i="4"/>
  <c r="MB87" i="4"/>
  <c r="BQ3" i="4"/>
  <c r="MJ100" i="4"/>
  <c r="BX3" i="4"/>
  <c r="MB108" i="4"/>
  <c r="LZ98" i="4"/>
  <c r="MB92" i="4"/>
  <c r="MB91" i="4"/>
  <c r="MF100" i="4"/>
  <c r="ME122" i="4"/>
  <c r="MB89" i="4"/>
  <c r="MF113" i="4"/>
  <c r="MD67" i="4"/>
  <c r="KU67" i="4" s="1"/>
  <c r="ST7" i="4" s="1"/>
  <c r="SZ7" i="4" s="1"/>
  <c r="MA77" i="4"/>
  <c r="LZ89" i="4"/>
  <c r="MG96" i="4"/>
  <c r="MJ92" i="4"/>
  <c r="MC92" i="4"/>
  <c r="MB97" i="4"/>
  <c r="MH74" i="4"/>
  <c r="MB99" i="4"/>
  <c r="MD61" i="4"/>
  <c r="MB83" i="4"/>
  <c r="FB5" i="4"/>
  <c r="MD66" i="4"/>
  <c r="KU66" i="4" s="1"/>
  <c r="ST6" i="4" s="1"/>
  <c r="SZ6" i="4" s="1"/>
  <c r="MD65" i="4"/>
  <c r="KU65" i="4" s="1"/>
  <c r="ST5" i="4" s="1"/>
  <c r="SZ5" i="4" s="1"/>
  <c r="MH73" i="4"/>
  <c r="MJ97" i="4"/>
  <c r="CB3" i="4"/>
  <c r="ME88" i="4"/>
  <c r="ME112" i="4"/>
  <c r="BL3" i="4"/>
  <c r="CS3" i="4" s="1"/>
  <c r="BP3" i="4"/>
  <c r="N11" i="9" s="1"/>
  <c r="ME97" i="4"/>
  <c r="MA75" i="4"/>
  <c r="MG98" i="4"/>
  <c r="LZ82" i="4"/>
  <c r="MB122" i="4"/>
  <c r="LZ93" i="4"/>
  <c r="LZ91" i="4"/>
  <c r="MD68" i="4"/>
  <c r="KU68" i="4" s="1"/>
  <c r="ST8" i="4" s="1"/>
  <c r="SZ8" i="4" s="1"/>
  <c r="LZ90" i="4"/>
  <c r="MB94" i="4"/>
  <c r="LZ96" i="4"/>
  <c r="MF93" i="4"/>
  <c r="MG94" i="4"/>
  <c r="MB80" i="4"/>
  <c r="MB96" i="4"/>
  <c r="CH3" i="4"/>
  <c r="MC97" i="4"/>
  <c r="LZ88" i="4"/>
  <c r="MB100" i="4"/>
  <c r="MH77" i="4"/>
  <c r="MB93" i="4"/>
  <c r="LZ99" i="4"/>
  <c r="MA76" i="4"/>
  <c r="LZ83" i="4"/>
  <c r="MD69" i="4"/>
  <c r="KU69" i="4" s="1"/>
  <c r="ST9" i="4" s="1"/>
  <c r="SZ9" i="4" s="1"/>
  <c r="MG92" i="4"/>
  <c r="ME94" i="4"/>
  <c r="ME87" i="4"/>
  <c r="MD71" i="4"/>
  <c r="KU71" i="4" s="1"/>
  <c r="ST11" i="4" s="1"/>
  <c r="SZ11" i="4" s="1"/>
  <c r="LZ97" i="4"/>
  <c r="MG100" i="4"/>
  <c r="ME89" i="4"/>
  <c r="MH62" i="4"/>
  <c r="MC100" i="4"/>
  <c r="BO3" i="4"/>
  <c r="ME100" i="4"/>
  <c r="ME93" i="4"/>
  <c r="MG88" i="4"/>
  <c r="MD70" i="4"/>
  <c r="KU70" i="4" s="1"/>
  <c r="ST10" i="4" s="1"/>
  <c r="SZ10" i="4" s="1"/>
  <c r="CI3" i="4"/>
  <c r="DH3" i="4" s="1"/>
  <c r="MF97" i="4"/>
  <c r="FX2" i="4"/>
  <c r="FW2" i="4" s="1"/>
  <c r="MG86" i="4"/>
  <c r="ME96" i="4"/>
  <c r="CD3" i="4"/>
  <c r="MG91" i="4"/>
  <c r="MB82" i="4"/>
  <c r="LZ87" i="4"/>
  <c r="MF98" i="4"/>
  <c r="MF94" i="4"/>
  <c r="MA74" i="4"/>
  <c r="KU74" i="4" s="1"/>
  <c r="ST14" i="4" s="1"/>
  <c r="SZ14" i="4" s="1"/>
  <c r="AC2" i="4"/>
  <c r="PV64" i="4"/>
  <c r="CN4" i="4"/>
  <c r="YV61" i="4"/>
  <c r="ZH10" i="4"/>
  <c r="ZH11" i="4" s="1"/>
  <c r="ZK14" i="4"/>
  <c r="ZK15" i="4" s="1"/>
  <c r="BL151" i="6"/>
  <c r="J118" i="1" s="1"/>
  <c r="WE48" i="4"/>
  <c r="XM42" i="4"/>
  <c r="XM43" i="4" s="1"/>
  <c r="XT6" i="4"/>
  <c r="XU3" i="4"/>
  <c r="XT5" i="4"/>
  <c r="XT2" i="4"/>
  <c r="I25" i="9" s="1"/>
  <c r="XT7" i="4"/>
  <c r="XT8" i="4"/>
  <c r="JC7" i="4"/>
  <c r="AA22" i="4"/>
  <c r="DZ2" i="4"/>
  <c r="WN15" i="4"/>
  <c r="WO15" i="4" s="1"/>
  <c r="UA1" i="4"/>
  <c r="UB1" i="4" s="1"/>
  <c r="AS126" i="8"/>
  <c r="AS120" i="8"/>
  <c r="AS130" i="8"/>
  <c r="DO29" i="8"/>
  <c r="AS172" i="8"/>
  <c r="AS124" i="8"/>
  <c r="AS94" i="8"/>
  <c r="DO23" i="8"/>
  <c r="AS56" i="8"/>
  <c r="AS168" i="8"/>
  <c r="AS134" i="8"/>
  <c r="AS132" i="8"/>
  <c r="AS92" i="8"/>
  <c r="AS52" i="8"/>
  <c r="AS60" i="8"/>
  <c r="AS86" i="8"/>
  <c r="AS166" i="8"/>
  <c r="DO25" i="8"/>
  <c r="AS164" i="8"/>
  <c r="AS84" i="8"/>
  <c r="AS80" i="8"/>
  <c r="DO31" i="8"/>
  <c r="AS82" i="8"/>
  <c r="AS90" i="8"/>
  <c r="AS54" i="8"/>
  <c r="AS170" i="8"/>
  <c r="AS96" i="8"/>
  <c r="AS78" i="8"/>
  <c r="AS76" i="8"/>
  <c r="DO27" i="8"/>
  <c r="AS88" i="8"/>
  <c r="AS58" i="8"/>
  <c r="AS174" i="8"/>
  <c r="AS176" i="8"/>
  <c r="AS128" i="8"/>
  <c r="AS122" i="8"/>
  <c r="XP10" i="4"/>
  <c r="XM11" i="4"/>
  <c r="XO10" i="4"/>
  <c r="XN10" i="4"/>
  <c r="XS10" i="4"/>
  <c r="XT10" i="4"/>
  <c r="XU10" i="4"/>
  <c r="XR10" i="4"/>
  <c r="XQ10" i="4"/>
  <c r="AO12" i="4"/>
  <c r="AP11" i="4"/>
  <c r="WJ6" i="4"/>
  <c r="WK6" i="4" s="1"/>
  <c r="WL10" i="4"/>
  <c r="IH15" i="4"/>
  <c r="IH16" i="4" s="1"/>
  <c r="AA21" i="4"/>
  <c r="AA23" i="4"/>
  <c r="AA19" i="4"/>
  <c r="AA11" i="4"/>
  <c r="AA14" i="4"/>
  <c r="AA9" i="4"/>
  <c r="AA16" i="4"/>
  <c r="AA15" i="4"/>
  <c r="AA20" i="4"/>
  <c r="AA6" i="4"/>
  <c r="AA17" i="4"/>
  <c r="AA10" i="4"/>
  <c r="AA7" i="4"/>
  <c r="AA18" i="4"/>
  <c r="AA12" i="4"/>
  <c r="AA8" i="4"/>
  <c r="AA5" i="4"/>
  <c r="ZG10" i="4"/>
  <c r="ZG11" i="4" s="1"/>
  <c r="ZI8" i="4"/>
  <c r="ZD13" i="4"/>
  <c r="ZJ11" i="4"/>
  <c r="ZJ12" i="4" s="1"/>
  <c r="ZO12" i="4"/>
  <c r="ZO13" i="4" s="1"/>
  <c r="ZF13" i="4"/>
  <c r="ZF14" i="4" s="1"/>
  <c r="ZF15" i="4" s="1"/>
  <c r="ZL11" i="4"/>
  <c r="ZL12" i="4" s="1"/>
  <c r="ZM14" i="4"/>
  <c r="YV62" i="4"/>
  <c r="ZE11" i="4"/>
  <c r="ZE12" i="4" s="1"/>
  <c r="ZN12" i="4"/>
  <c r="WD139" i="4"/>
  <c r="WW233" i="4"/>
  <c r="WQ233" i="4"/>
  <c r="WY233" i="4"/>
  <c r="PV124" i="4"/>
  <c r="CY3" i="4" l="1"/>
  <c r="CZ3" i="4"/>
  <c r="CT3" i="4"/>
  <c r="BI3" i="4"/>
  <c r="BI2" i="4" s="1"/>
  <c r="AC46" i="6" s="1"/>
  <c r="B6" i="1" s="1"/>
  <c r="CJ3" i="4"/>
  <c r="CJ1" i="4" s="1"/>
  <c r="B81" i="6" s="1"/>
  <c r="KU82" i="4"/>
  <c r="CV3" i="4"/>
  <c r="DE3" i="4"/>
  <c r="CM17" i="4"/>
  <c r="DA3" i="4"/>
  <c r="KU75" i="4"/>
  <c r="ST15" i="4" s="1"/>
  <c r="SZ15" i="4" s="1"/>
  <c r="DC3" i="4"/>
  <c r="CU3" i="4"/>
  <c r="CP3" i="4"/>
  <c r="DF3" i="4"/>
  <c r="CX3" i="4"/>
  <c r="DB3" i="4"/>
  <c r="CQ3" i="4"/>
  <c r="DD3" i="4"/>
  <c r="FI23" i="4"/>
  <c r="FJ23" i="4" s="1"/>
  <c r="CW3" i="4"/>
  <c r="CO3" i="4"/>
  <c r="KU83" i="4"/>
  <c r="FR4" i="4"/>
  <c r="FR18" i="4"/>
  <c r="FR12" i="4"/>
  <c r="FR17" i="4"/>
  <c r="FR8" i="4"/>
  <c r="FR6" i="4"/>
  <c r="FR20" i="4"/>
  <c r="FR10" i="4"/>
  <c r="FR16" i="4"/>
  <c r="FR14" i="4"/>
  <c r="FR15" i="4"/>
  <c r="FR9" i="4"/>
  <c r="FR11" i="4"/>
  <c r="FR22" i="4"/>
  <c r="FR19" i="4"/>
  <c r="FR21" i="4"/>
  <c r="FR13" i="4"/>
  <c r="FR7" i="4"/>
  <c r="FE12" i="4"/>
  <c r="FF12" i="4" s="1"/>
  <c r="BV2" i="4"/>
  <c r="N51" i="1" s="1"/>
  <c r="I51" i="1" s="1"/>
  <c r="BW2" i="4"/>
  <c r="C3" i="4" s="1"/>
  <c r="K23" i="6" s="1"/>
  <c r="FI24" i="4"/>
  <c r="FJ24" i="4" s="1"/>
  <c r="CO9" i="4"/>
  <c r="ZK16" i="4"/>
  <c r="ZK17" i="4" s="1"/>
  <c r="ZK18" i="4" s="1"/>
  <c r="ZK19" i="4" s="1"/>
  <c r="ZK20" i="4" s="1"/>
  <c r="FI22" i="4"/>
  <c r="FJ22" i="4" s="1"/>
  <c r="FE10" i="4"/>
  <c r="FF10" i="4" s="1"/>
  <c r="DG3" i="4"/>
  <c r="CO11" i="4"/>
  <c r="KU96" i="4"/>
  <c r="QB10" i="4" s="1"/>
  <c r="CM18" i="4"/>
  <c r="FZ4" i="4"/>
  <c r="AC59" i="6" s="1"/>
  <c r="KU88" i="4"/>
  <c r="QB16" i="4" s="1"/>
  <c r="CN13" i="4"/>
  <c r="CO15" i="4"/>
  <c r="AD4" i="4"/>
  <c r="UB3" i="4" s="1"/>
  <c r="AD5" i="4"/>
  <c r="AD7" i="4"/>
  <c r="UB46" i="4" s="1"/>
  <c r="AD8" i="4"/>
  <c r="UB55" i="4" s="1"/>
  <c r="AD6" i="4"/>
  <c r="BR3" i="4"/>
  <c r="JX11" i="4"/>
  <c r="JX9" i="4"/>
  <c r="K11" i="9"/>
  <c r="BU3" i="4"/>
  <c r="JX7" i="4"/>
  <c r="L11" i="9"/>
  <c r="KU113" i="4"/>
  <c r="QB32" i="4" s="1"/>
  <c r="PU113" i="4"/>
  <c r="PV113" i="4" s="1"/>
  <c r="BE143" i="1"/>
  <c r="EC5" i="4"/>
  <c r="DW5" i="4"/>
  <c r="DS5" i="4"/>
  <c r="EX5" i="4"/>
  <c r="EL5" i="4"/>
  <c r="EM5" i="4" s="1"/>
  <c r="DX5" i="4"/>
  <c r="EP5" i="4"/>
  <c r="EQ5" i="4" s="1"/>
  <c r="DZ5" i="4"/>
  <c r="DV5" i="4"/>
  <c r="EJ5" i="4"/>
  <c r="EK5" i="4" s="1"/>
  <c r="EG5" i="4"/>
  <c r="ET5" i="4"/>
  <c r="EU5" i="4"/>
  <c r="DT5" i="4"/>
  <c r="ED5" i="4"/>
  <c r="EF5" i="4"/>
  <c r="EB5" i="4"/>
  <c r="DU5" i="4"/>
  <c r="EE5" i="4"/>
  <c r="DY5" i="4"/>
  <c r="DO5" i="4"/>
  <c r="EH5" i="4"/>
  <c r="EA5" i="4"/>
  <c r="EI5" i="4"/>
  <c r="EV5" i="4"/>
  <c r="EW5" i="4"/>
  <c r="ER5" i="4"/>
  <c r="ES5" i="4" s="1"/>
  <c r="EN5" i="4"/>
  <c r="EO5" i="4" s="1"/>
  <c r="DP5" i="4"/>
  <c r="DR5" i="4"/>
  <c r="DQ5" i="4"/>
  <c r="EY5" i="4"/>
  <c r="AC48" i="6"/>
  <c r="BJ2" i="4"/>
  <c r="DN3" i="4"/>
  <c r="DZ3" i="4" s="1"/>
  <c r="PU80" i="4"/>
  <c r="KU80" i="4"/>
  <c r="L12" i="9"/>
  <c r="BR4" i="4"/>
  <c r="BU4" i="4"/>
  <c r="K12" i="9"/>
  <c r="K13" i="9" s="1"/>
  <c r="KU87" i="4"/>
  <c r="QB11" i="4" s="1"/>
  <c r="BL145" i="6" s="1"/>
  <c r="DH2" i="4"/>
  <c r="C82" i="6" s="1"/>
  <c r="KU92" i="4"/>
  <c r="QB30" i="4" s="1"/>
  <c r="KU95" i="4"/>
  <c r="QB39" i="4" s="1"/>
  <c r="CO12" i="4"/>
  <c r="BY2" i="4"/>
  <c r="AV39" i="6" s="1"/>
  <c r="KU76" i="4"/>
  <c r="ST16" i="4" s="1"/>
  <c r="SZ16" i="4" s="1"/>
  <c r="KU91" i="4"/>
  <c r="QB25" i="4" s="1"/>
  <c r="FA39" i="4"/>
  <c r="FB39" i="4" s="1"/>
  <c r="FA44" i="4"/>
  <c r="FB44" i="4" s="1"/>
  <c r="FA40" i="4"/>
  <c r="FB40" i="4" s="1"/>
  <c r="FA32" i="4"/>
  <c r="FB32" i="4" s="1"/>
  <c r="FA30" i="4"/>
  <c r="FB30" i="4" s="1"/>
  <c r="FA46" i="4"/>
  <c r="FB46" i="4" s="1"/>
  <c r="FC4" i="4"/>
  <c r="FA35" i="4"/>
  <c r="FB35" i="4" s="1"/>
  <c r="FA43" i="4"/>
  <c r="FB43" i="4" s="1"/>
  <c r="FA37" i="4"/>
  <c r="FB37" i="4" s="1"/>
  <c r="FA38" i="4"/>
  <c r="FB38" i="4" s="1"/>
  <c r="FA28" i="4"/>
  <c r="FB28" i="4" s="1"/>
  <c r="FC5" i="4"/>
  <c r="FA17" i="4"/>
  <c r="FB17" i="4" s="1"/>
  <c r="FA33" i="4"/>
  <c r="FB33" i="4" s="1"/>
  <c r="FA31" i="4"/>
  <c r="FB31" i="4" s="1"/>
  <c r="FA45" i="4"/>
  <c r="FB45" i="4" s="1"/>
  <c r="FA7" i="4"/>
  <c r="FB7" i="4" s="1"/>
  <c r="FA36" i="4"/>
  <c r="FB36" i="4" s="1"/>
  <c r="FA19" i="4"/>
  <c r="FB19" i="4" s="1"/>
  <c r="FA34" i="4"/>
  <c r="FB34" i="4" s="1"/>
  <c r="FA18" i="4"/>
  <c r="FB18" i="4" s="1"/>
  <c r="FA41" i="4"/>
  <c r="FB41" i="4" s="1"/>
  <c r="FD5" i="4"/>
  <c r="FA29" i="4"/>
  <c r="FB29" i="4" s="1"/>
  <c r="FA42" i="4"/>
  <c r="FB42" i="4" s="1"/>
  <c r="KU112" i="4"/>
  <c r="QB31" i="4" s="1"/>
  <c r="PU112" i="4"/>
  <c r="PV112" i="4" s="1"/>
  <c r="KT3" i="4"/>
  <c r="AV84" i="6" s="1"/>
  <c r="FZ2" i="4"/>
  <c r="FZ5" i="4"/>
  <c r="AC60" i="6" s="1"/>
  <c r="FZ3" i="4"/>
  <c r="AC58" i="6" s="1"/>
  <c r="FE43" i="4"/>
  <c r="FF43" i="4" s="1"/>
  <c r="FE29" i="4"/>
  <c r="FF29" i="4" s="1"/>
  <c r="FE37" i="4"/>
  <c r="FF37" i="4" s="1"/>
  <c r="FE31" i="4"/>
  <c r="FF31" i="4" s="1"/>
  <c r="FE39" i="4"/>
  <c r="FF39" i="4" s="1"/>
  <c r="FE32" i="4"/>
  <c r="FF32" i="4" s="1"/>
  <c r="FE8" i="4"/>
  <c r="FF8" i="4" s="1"/>
  <c r="FE17" i="4"/>
  <c r="FF17" i="4" s="1"/>
  <c r="FE34" i="4"/>
  <c r="FF34" i="4" s="1"/>
  <c r="FE7" i="4"/>
  <c r="FF7" i="4" s="1"/>
  <c r="FE15" i="4"/>
  <c r="FF15" i="4" s="1"/>
  <c r="FE33" i="4"/>
  <c r="FF33" i="4" s="1"/>
  <c r="FH5" i="4"/>
  <c r="FE40" i="4"/>
  <c r="FF40" i="4" s="1"/>
  <c r="FE35" i="4"/>
  <c r="FF35" i="4" s="1"/>
  <c r="FE44" i="4"/>
  <c r="FF44" i="4" s="1"/>
  <c r="FE46" i="4"/>
  <c r="FF46" i="4" s="1"/>
  <c r="FG4" i="4"/>
  <c r="FE4" i="4" s="1"/>
  <c r="BS4" i="4" s="1"/>
  <c r="AC50" i="6" s="1"/>
  <c r="FE36" i="4"/>
  <c r="FF36" i="4" s="1"/>
  <c r="FE41" i="4"/>
  <c r="FF41" i="4" s="1"/>
  <c r="FE30" i="4"/>
  <c r="FF30" i="4" s="1"/>
  <c r="FE28" i="4"/>
  <c r="FF28" i="4" s="1"/>
  <c r="FE42" i="4"/>
  <c r="FF42" i="4" s="1"/>
  <c r="FG5" i="4"/>
  <c r="FE18" i="4"/>
  <c r="FF18" i="4" s="1"/>
  <c r="FE19" i="4"/>
  <c r="FF19" i="4" s="1"/>
  <c r="FE16" i="4"/>
  <c r="FF16" i="4" s="1"/>
  <c r="FE45" i="4"/>
  <c r="FF45" i="4" s="1"/>
  <c r="FE14" i="4"/>
  <c r="FF14" i="4" s="1"/>
  <c r="FE38" i="4"/>
  <c r="FF38" i="4" s="1"/>
  <c r="FE9" i="4"/>
  <c r="FF9" i="4" s="1"/>
  <c r="KU90" i="4"/>
  <c r="QB22" i="4" s="1"/>
  <c r="KU114" i="4"/>
  <c r="QB33" i="4" s="1"/>
  <c r="BD145" i="6" s="1"/>
  <c r="RH7" i="4" s="1"/>
  <c r="RH20" i="4" s="1"/>
  <c r="PU114" i="4"/>
  <c r="PV114" i="4" s="1"/>
  <c r="CW14" i="4"/>
  <c r="KU97" i="4"/>
  <c r="QB12" i="4" s="1"/>
  <c r="KU99" i="4"/>
  <c r="QB34" i="4" s="1"/>
  <c r="KU93" i="4"/>
  <c r="QB35" i="4" s="1"/>
  <c r="KU89" i="4"/>
  <c r="QB19" i="4" s="1"/>
  <c r="KU73" i="4"/>
  <c r="ST13" i="4" s="1"/>
  <c r="SZ13" i="4" s="1"/>
  <c r="CS15" i="4"/>
  <c r="CR17" i="4"/>
  <c r="CR11" i="4"/>
  <c r="CR14" i="4"/>
  <c r="CR13" i="4"/>
  <c r="CV18" i="4"/>
  <c r="CR12" i="4"/>
  <c r="CV11" i="4"/>
  <c r="CU9" i="4"/>
  <c r="CR18" i="4"/>
  <c r="CS16" i="4"/>
  <c r="CV13" i="4"/>
  <c r="PU60" i="4"/>
  <c r="KU60" i="4"/>
  <c r="CO16" i="4"/>
  <c r="BX2" i="4"/>
  <c r="AU38" i="6" s="1"/>
  <c r="CW16" i="4"/>
  <c r="KU122" i="4"/>
  <c r="QB8" i="4" s="1"/>
  <c r="PU122" i="4"/>
  <c r="KU61" i="4"/>
  <c r="PU61" i="4"/>
  <c r="KU77" i="4"/>
  <c r="ST17" i="4" s="1"/>
  <c r="SZ17" i="4" s="1"/>
  <c r="Y149" i="6" s="1"/>
  <c r="J63" i="1" s="1"/>
  <c r="KU98" i="4"/>
  <c r="QB20" i="4" s="1"/>
  <c r="KU86" i="4"/>
  <c r="QB7" i="4" s="1"/>
  <c r="FI34" i="4"/>
  <c r="FJ34" i="4" s="1"/>
  <c r="FI45" i="4"/>
  <c r="FJ45" i="4" s="1"/>
  <c r="FI33" i="4"/>
  <c r="FJ33" i="4" s="1"/>
  <c r="FI18" i="4"/>
  <c r="FJ18" i="4" s="1"/>
  <c r="FI32" i="4"/>
  <c r="FJ32" i="4" s="1"/>
  <c r="FI11" i="4"/>
  <c r="FJ11" i="4" s="1"/>
  <c r="FI28" i="4"/>
  <c r="FJ28" i="4" s="1"/>
  <c r="FI38" i="4"/>
  <c r="FJ38" i="4" s="1"/>
  <c r="FI15" i="4"/>
  <c r="FJ15" i="4" s="1"/>
  <c r="FI42" i="4"/>
  <c r="FJ42" i="4" s="1"/>
  <c r="FI8" i="4"/>
  <c r="FJ8" i="4" s="1"/>
  <c r="FI7" i="4"/>
  <c r="FJ7" i="4" s="1"/>
  <c r="FL5" i="4"/>
  <c r="FI29" i="4"/>
  <c r="FJ29" i="4" s="1"/>
  <c r="FI41" i="4"/>
  <c r="FJ41" i="4" s="1"/>
  <c r="FI31" i="4"/>
  <c r="FJ31" i="4" s="1"/>
  <c r="FI13" i="4"/>
  <c r="FJ13" i="4" s="1"/>
  <c r="FI10" i="4"/>
  <c r="FJ10" i="4" s="1"/>
  <c r="FI40" i="4"/>
  <c r="FJ40" i="4" s="1"/>
  <c r="FK4" i="4"/>
  <c r="FI4" i="4" s="1"/>
  <c r="BS5" i="4" s="1"/>
  <c r="AC51" i="6" s="1"/>
  <c r="FI43" i="4"/>
  <c r="FJ43" i="4" s="1"/>
  <c r="FI46" i="4"/>
  <c r="FJ46" i="4" s="1"/>
  <c r="FI30" i="4"/>
  <c r="FJ30" i="4" s="1"/>
  <c r="FI9" i="4"/>
  <c r="FJ9" i="4" s="1"/>
  <c r="FI20" i="4"/>
  <c r="FJ20" i="4" s="1"/>
  <c r="FI21" i="4"/>
  <c r="FJ21" i="4" s="1"/>
  <c r="FI44" i="4"/>
  <c r="FJ44" i="4" s="1"/>
  <c r="FI14" i="4"/>
  <c r="FJ14" i="4" s="1"/>
  <c r="FI37" i="4"/>
  <c r="FJ37" i="4" s="1"/>
  <c r="FI36" i="4"/>
  <c r="FJ36" i="4" s="1"/>
  <c r="FI19" i="4"/>
  <c r="FJ19" i="4" s="1"/>
  <c r="FI17" i="4"/>
  <c r="FJ17" i="4" s="1"/>
  <c r="FK5" i="4"/>
  <c r="FI39" i="4"/>
  <c r="FJ39" i="4" s="1"/>
  <c r="FI16" i="4"/>
  <c r="FJ16" i="4" s="1"/>
  <c r="FI35" i="4"/>
  <c r="FJ35" i="4" s="1"/>
  <c r="FI12" i="4"/>
  <c r="FJ12" i="4" s="1"/>
  <c r="EY4" i="4"/>
  <c r="DZ4" i="4"/>
  <c r="DY4" i="4"/>
  <c r="DR4" i="4"/>
  <c r="EA4" i="4"/>
  <c r="EL4" i="4"/>
  <c r="EM4" i="4" s="1"/>
  <c r="DP4" i="4"/>
  <c r="EV4" i="4"/>
  <c r="DO4" i="4"/>
  <c r="EC4" i="4"/>
  <c r="DW4" i="4"/>
  <c r="DQ4" i="4"/>
  <c r="EJ4" i="4"/>
  <c r="EK4" i="4" s="1"/>
  <c r="ET4" i="4"/>
  <c r="ED4" i="4"/>
  <c r="EE4" i="4"/>
  <c r="EP4" i="4"/>
  <c r="EQ4" i="4" s="1"/>
  <c r="DU4" i="4"/>
  <c r="EU4" i="4"/>
  <c r="EX4" i="4"/>
  <c r="DS4" i="4"/>
  <c r="EN4" i="4"/>
  <c r="EO4" i="4" s="1"/>
  <c r="DV4" i="4"/>
  <c r="ER4" i="4"/>
  <c r="ES4" i="4" s="1"/>
  <c r="EH4" i="4"/>
  <c r="EI4" i="4"/>
  <c r="DT4" i="4"/>
  <c r="EG4" i="4"/>
  <c r="EF4" i="4"/>
  <c r="DX4" i="4"/>
  <c r="EW4" i="4"/>
  <c r="EB4" i="4"/>
  <c r="KU100" i="4"/>
  <c r="QB36" i="4" s="1"/>
  <c r="KU108" i="4"/>
  <c r="QB23" i="4" s="1"/>
  <c r="PU108" i="4"/>
  <c r="KU94" i="4"/>
  <c r="QB37" i="4" s="1"/>
  <c r="KU62" i="4"/>
  <c r="PU62" i="4"/>
  <c r="CE1" i="4"/>
  <c r="AU83" i="6" s="1"/>
  <c r="CO14" i="4"/>
  <c r="ZB7" i="4"/>
  <c r="FE13" i="4"/>
  <c r="FI26" i="4"/>
  <c r="IM9" i="4"/>
  <c r="IH17" i="4"/>
  <c r="IH19" i="4" s="1"/>
  <c r="IH23" i="4" s="1"/>
  <c r="WM10" i="4"/>
  <c r="WL32" i="4"/>
  <c r="AX120" i="8"/>
  <c r="DT27" i="8"/>
  <c r="DT31" i="8"/>
  <c r="AX54" i="8"/>
  <c r="AX134" i="8"/>
  <c r="AX130" i="8"/>
  <c r="AX92" i="8"/>
  <c r="AX176" i="8"/>
  <c r="AX94" i="8"/>
  <c r="AX90" i="8"/>
  <c r="AX86" i="8"/>
  <c r="AX78" i="8"/>
  <c r="DT23" i="8"/>
  <c r="AX122" i="8"/>
  <c r="AX172" i="8"/>
  <c r="AX164" i="8"/>
  <c r="AX174" i="8"/>
  <c r="AX84" i="8"/>
  <c r="AX128" i="8"/>
  <c r="DT29" i="8"/>
  <c r="AX126" i="8"/>
  <c r="AX56" i="8"/>
  <c r="AX168" i="8"/>
  <c r="AX52" i="8"/>
  <c r="AX80" i="8"/>
  <c r="AX96" i="8"/>
  <c r="AX132" i="8"/>
  <c r="AX170" i="8"/>
  <c r="DT25" i="8"/>
  <c r="AX88" i="8"/>
  <c r="AX60" i="8"/>
  <c r="AX76" i="8"/>
  <c r="AX124" i="8"/>
  <c r="AX82" i="8"/>
  <c r="AX58" i="8"/>
  <c r="ZJ13" i="4"/>
  <c r="IM8" i="4"/>
  <c r="JC8" i="4"/>
  <c r="JC9" i="4" s="1"/>
  <c r="JC10" i="4" s="1"/>
  <c r="WN28" i="4"/>
  <c r="WO28" i="4" s="1"/>
  <c r="AP12" i="4"/>
  <c r="AO13" i="4"/>
  <c r="J25" i="9"/>
  <c r="V24" i="8"/>
  <c r="Z24" i="8" s="1"/>
  <c r="XM12" i="4"/>
  <c r="XV11" i="4"/>
  <c r="XT11" i="4"/>
  <c r="XP11" i="4"/>
  <c r="XO11" i="4"/>
  <c r="XS11" i="4"/>
  <c r="XU11" i="4"/>
  <c r="XN11" i="4"/>
  <c r="XQ11" i="4"/>
  <c r="XR11" i="4"/>
  <c r="EA2" i="4"/>
  <c r="XM44" i="4"/>
  <c r="XM45" i="4" s="1"/>
  <c r="JG6" i="4"/>
  <c r="XU2" i="4"/>
  <c r="K25" i="9" s="1"/>
  <c r="XV3" i="4"/>
  <c r="XU6" i="4"/>
  <c r="XU5" i="4"/>
  <c r="XU7" i="4"/>
  <c r="XU8" i="4"/>
  <c r="XU9" i="4"/>
  <c r="WJ17" i="4"/>
  <c r="ZG12" i="4"/>
  <c r="ZG13" i="4" s="1"/>
  <c r="ZI9" i="4"/>
  <c r="ZI10" i="4" s="1"/>
  <c r="ZH12" i="4"/>
  <c r="ZH13" i="4" s="1"/>
  <c r="ZL13" i="4"/>
  <c r="ZL14" i="4" s="1"/>
  <c r="ZL15" i="4" s="1"/>
  <c r="ZL16" i="4" s="1"/>
  <c r="ZD14" i="4"/>
  <c r="ZD15" i="4" s="1"/>
  <c r="ZD16" i="4" s="1"/>
  <c r="ZD17" i="4" s="1"/>
  <c r="ZD18" i="4" s="1"/>
  <c r="ZD19" i="4" s="1"/>
  <c r="ZD20" i="4" s="1"/>
  <c r="ZD21" i="4" s="1"/>
  <c r="ZD22" i="4" s="1"/>
  <c r="ZD23" i="4" s="1"/>
  <c r="ZE13" i="4"/>
  <c r="ZE14" i="4" s="1"/>
  <c r="ZE15" i="4" s="1"/>
  <c r="ZB13" i="4"/>
  <c r="ZA13" i="4" s="1"/>
  <c r="ZB20" i="4"/>
  <c r="ZA20" i="4" s="1"/>
  <c r="ZB5" i="4"/>
  <c r="ZA5" i="4" s="1"/>
  <c r="ZB21" i="4"/>
  <c r="ZA21" i="4" s="1"/>
  <c r="ZB15" i="4"/>
  <c r="ZA15" i="4" s="1"/>
  <c r="ZB4" i="4"/>
  <c r="ZA4" i="4" s="1"/>
  <c r="ZB8" i="4"/>
  <c r="ZB14" i="4"/>
  <c r="ZA14" i="4" s="1"/>
  <c r="ZB17" i="4"/>
  <c r="ZA17" i="4" s="1"/>
  <c r="ZB6" i="4"/>
  <c r="ZA6" i="4" s="1"/>
  <c r="ZB12" i="4"/>
  <c r="ZA12" i="4" s="1"/>
  <c r="ZB10" i="4"/>
  <c r="ZB23" i="4"/>
  <c r="ZA23" i="4" s="1"/>
  <c r="ZB18" i="4"/>
  <c r="ZA18" i="4" s="1"/>
  <c r="ZB9" i="4"/>
  <c r="ZB16" i="4"/>
  <c r="ZA16" i="4" s="1"/>
  <c r="ZB22" i="4"/>
  <c r="ZA22" i="4" s="1"/>
  <c r="ZB19" i="4"/>
  <c r="ZA19" i="4" s="1"/>
  <c r="ZB11" i="4"/>
  <c r="ZN13" i="4"/>
  <c r="ZF16" i="4"/>
  <c r="ZF17" i="4" s="1"/>
  <c r="ZF18" i="4" s="1"/>
  <c r="ZM15" i="4"/>
  <c r="ZM16" i="4" s="1"/>
  <c r="ZO14" i="4"/>
  <c r="WE139" i="4"/>
  <c r="WD153" i="4"/>
  <c r="WD169" i="4" s="1"/>
  <c r="WE169" i="4" s="1"/>
  <c r="FA8" i="4" l="1"/>
  <c r="FA9" i="4"/>
  <c r="FB9" i="4" s="1"/>
  <c r="PV122" i="4"/>
  <c r="PV118" i="4"/>
  <c r="PV115" i="4"/>
  <c r="EB42" i="4"/>
  <c r="AJ76" i="1"/>
  <c r="PV108" i="4"/>
  <c r="PV101" i="4"/>
  <c r="EZ4" i="4"/>
  <c r="PU82" i="4"/>
  <c r="PU83" i="4"/>
  <c r="PV83" i="4" s="1"/>
  <c r="BR5" i="4"/>
  <c r="BQ2" i="4" s="1"/>
  <c r="FA20" i="4"/>
  <c r="FB20" i="4" s="1"/>
  <c r="PU75" i="4"/>
  <c r="PV75" i="4" s="1"/>
  <c r="PU76" i="4"/>
  <c r="PV76" i="4" s="1"/>
  <c r="PU77" i="4"/>
  <c r="PU72" i="4"/>
  <c r="PV72" i="4" s="1"/>
  <c r="PU73" i="4"/>
  <c r="PV73" i="4" s="1"/>
  <c r="PU70" i="4"/>
  <c r="PV70" i="4" s="1"/>
  <c r="PU69" i="4"/>
  <c r="PV69" i="4" s="1"/>
  <c r="PU71" i="4"/>
  <c r="PV71" i="4" s="1"/>
  <c r="PU74" i="4"/>
  <c r="PV74" i="4" s="1"/>
  <c r="EZ5" i="4"/>
  <c r="UB93" i="4"/>
  <c r="UB229" i="4"/>
  <c r="UB194" i="4"/>
  <c r="UB142" i="4"/>
  <c r="UB141" i="4"/>
  <c r="PU68" i="4"/>
  <c r="PV68" i="4" s="1"/>
  <c r="PU66" i="4"/>
  <c r="PV66" i="4" s="1"/>
  <c r="PU65" i="4"/>
  <c r="PV62" i="4" s="1"/>
  <c r="PU67" i="4"/>
  <c r="PV67" i="4" s="1"/>
  <c r="FA4" i="4"/>
  <c r="BS3" i="4" s="1"/>
  <c r="D11" i="9"/>
  <c r="G11" i="9"/>
  <c r="D13" i="9"/>
  <c r="G13" i="9"/>
  <c r="P13" i="9" s="1"/>
  <c r="D12" i="9"/>
  <c r="G12" i="9"/>
  <c r="WJ3" i="4"/>
  <c r="WX3" i="4"/>
  <c r="WY3" i="4" s="1"/>
  <c r="WF3" i="4"/>
  <c r="WP3" i="4"/>
  <c r="WQ3" i="4" s="1"/>
  <c r="WR3" i="4"/>
  <c r="WS3" i="4" s="1"/>
  <c r="WN3" i="4"/>
  <c r="WO3" i="4" s="1"/>
  <c r="WV3" i="4"/>
  <c r="WW3" i="4" s="1"/>
  <c r="WL3" i="4"/>
  <c r="WM3" i="4" s="1"/>
  <c r="WT3" i="4"/>
  <c r="WU3" i="4" s="1"/>
  <c r="WH3" i="4"/>
  <c r="BL146" i="6"/>
  <c r="V114" i="1" s="1"/>
  <c r="RP7" i="4"/>
  <c r="RP20" i="4" s="1"/>
  <c r="AB52" i="6"/>
  <c r="DV3" i="4"/>
  <c r="CT7" i="4" s="1"/>
  <c r="DQ3" i="4"/>
  <c r="CO8" i="4" s="1"/>
  <c r="DO3" i="4"/>
  <c r="CM7" i="4" s="1"/>
  <c r="CM4" i="4" s="1"/>
  <c r="DI4" i="4" s="1"/>
  <c r="DJ4" i="4" s="1"/>
  <c r="AB53" i="6"/>
  <c r="DX3" i="4"/>
  <c r="DR3" i="4"/>
  <c r="DT3" i="4"/>
  <c r="DP3" i="4"/>
  <c r="CN10" i="4" s="1"/>
  <c r="DW3" i="4"/>
  <c r="DS3" i="4"/>
  <c r="DU3" i="4"/>
  <c r="CS8" i="4" s="1"/>
  <c r="DY3" i="4"/>
  <c r="WR55" i="4"/>
  <c r="WS55" i="4" s="1"/>
  <c r="WX55" i="4"/>
  <c r="WY55" i="4" s="1"/>
  <c r="WV55" i="4"/>
  <c r="WW55" i="4" s="1"/>
  <c r="WN55" i="4"/>
  <c r="WO55" i="4" s="1"/>
  <c r="WF55" i="4"/>
  <c r="WG55" i="4" s="1"/>
  <c r="WL55" i="4"/>
  <c r="WM55" i="4" s="1"/>
  <c r="WH55" i="4"/>
  <c r="WI55" i="4" s="1"/>
  <c r="WJ55" i="4"/>
  <c r="WK55" i="4" s="1"/>
  <c r="WT55" i="4"/>
  <c r="WU55" i="4" s="1"/>
  <c r="WP55" i="4"/>
  <c r="WQ55" i="4" s="1"/>
  <c r="WF46" i="4"/>
  <c r="WG46" i="4" s="1"/>
  <c r="WN46" i="4"/>
  <c r="WO46" i="4" s="1"/>
  <c r="WV46" i="4"/>
  <c r="WW46" i="4" s="1"/>
  <c r="WJ46" i="4"/>
  <c r="WK46" i="4" s="1"/>
  <c r="WP46" i="4"/>
  <c r="WQ46" i="4" s="1"/>
  <c r="WL46" i="4"/>
  <c r="WM46" i="4" s="1"/>
  <c r="WX46" i="4"/>
  <c r="WY46" i="4" s="1"/>
  <c r="WR46" i="4"/>
  <c r="WS46" i="4" s="1"/>
  <c r="WT46" i="4"/>
  <c r="WU46" i="4" s="1"/>
  <c r="WH46" i="4"/>
  <c r="WI46" i="4" s="1"/>
  <c r="BU5" i="4"/>
  <c r="BO2" i="4" s="1"/>
  <c r="B6" i="8" s="1"/>
  <c r="BG11" i="8" s="1"/>
  <c r="UB190" i="4"/>
  <c r="UB63" i="4"/>
  <c r="BT4" i="4"/>
  <c r="BT5" i="4" s="1"/>
  <c r="AC57" i="6"/>
  <c r="CM8" i="4"/>
  <c r="DX15" i="4"/>
  <c r="CN15" i="4"/>
  <c r="CN16" i="4"/>
  <c r="JP3" i="4"/>
  <c r="JS3" i="4"/>
  <c r="JS4" i="4"/>
  <c r="JT12" i="4"/>
  <c r="JN16" i="4"/>
  <c r="JV13" i="4"/>
  <c r="JP12" i="4"/>
  <c r="JP11" i="4"/>
  <c r="JW3" i="4"/>
  <c r="JN17" i="4"/>
  <c r="JV22" i="4"/>
  <c r="JU15" i="4"/>
  <c r="JN3" i="4"/>
  <c r="JO7" i="4"/>
  <c r="JW22" i="4"/>
  <c r="JU17" i="4"/>
  <c r="JO3" i="4"/>
  <c r="JN13" i="4"/>
  <c r="JO12" i="4"/>
  <c r="JO4" i="4"/>
  <c r="JP7" i="4"/>
  <c r="JR12" i="4"/>
  <c r="JV5" i="4"/>
  <c r="JQ16" i="4"/>
  <c r="JV18" i="4"/>
  <c r="JT19" i="4"/>
  <c r="JW6" i="4"/>
  <c r="JR5" i="4"/>
  <c r="JV9" i="4"/>
  <c r="JT8" i="4"/>
  <c r="JN7" i="4"/>
  <c r="JN6" i="4"/>
  <c r="JQ9" i="4"/>
  <c r="JV17" i="4"/>
  <c r="JV11" i="4"/>
  <c r="JW14" i="4"/>
  <c r="JN21" i="4"/>
  <c r="JW18" i="4"/>
  <c r="JU16" i="4"/>
  <c r="JP6" i="4"/>
  <c r="JV21" i="4"/>
  <c r="JP9" i="4"/>
  <c r="JO11" i="4"/>
  <c r="JN19" i="4"/>
  <c r="JR6" i="4"/>
  <c r="JS10" i="4"/>
  <c r="JQ19" i="4"/>
  <c r="JV7" i="4"/>
  <c r="JS6" i="4"/>
  <c r="JR8" i="4"/>
  <c r="JP8" i="4"/>
  <c r="JW13" i="4"/>
  <c r="JQ20" i="4"/>
  <c r="JU7" i="4"/>
  <c r="JO8" i="4"/>
  <c r="JS19" i="4"/>
  <c r="JV16" i="4"/>
  <c r="JV4" i="4"/>
  <c r="JS8" i="4"/>
  <c r="JR9" i="4"/>
  <c r="JR19" i="4"/>
  <c r="JT7" i="4"/>
  <c r="JN12" i="4"/>
  <c r="JV19" i="4"/>
  <c r="JN5" i="4"/>
  <c r="JR16" i="4"/>
  <c r="JR20" i="4"/>
  <c r="JO15" i="4"/>
  <c r="JN15" i="4"/>
  <c r="JN10" i="4"/>
  <c r="JT17" i="4"/>
  <c r="JO5" i="4"/>
  <c r="JS16" i="4"/>
  <c r="JR18" i="4"/>
  <c r="JW16" i="4"/>
  <c r="JU5" i="4"/>
  <c r="JN22" i="4"/>
  <c r="JR15" i="4"/>
  <c r="JW21" i="4"/>
  <c r="JQ11" i="4"/>
  <c r="JW17" i="4"/>
  <c r="JU9" i="4"/>
  <c r="JN11" i="4"/>
  <c r="JR14" i="4"/>
  <c r="JS17" i="4"/>
  <c r="JP21" i="4"/>
  <c r="JR4" i="4"/>
  <c r="JN4" i="4"/>
  <c r="JT3" i="4"/>
  <c r="JO16" i="4"/>
  <c r="JU3" i="4"/>
  <c r="JS22" i="4"/>
  <c r="JR11" i="4"/>
  <c r="JR21" i="4"/>
  <c r="JR22" i="4"/>
  <c r="JS13" i="4"/>
  <c r="JQ12" i="4"/>
  <c r="JO9" i="4"/>
  <c r="JS7" i="4"/>
  <c r="JQ7" i="4"/>
  <c r="JV6" i="4"/>
  <c r="JU6" i="4"/>
  <c r="JQ14" i="4"/>
  <c r="JS11" i="4"/>
  <c r="JR7" i="4"/>
  <c r="JS9" i="4"/>
  <c r="JQ4" i="4"/>
  <c r="JU21" i="4"/>
  <c r="JV20" i="4"/>
  <c r="JO19" i="4"/>
  <c r="JU8" i="4"/>
  <c r="JN8" i="4"/>
  <c r="JT13" i="4"/>
  <c r="JT21" i="4"/>
  <c r="JW8" i="4"/>
  <c r="JT4" i="4"/>
  <c r="JV15" i="4"/>
  <c r="JU12" i="4"/>
  <c r="JQ3" i="4"/>
  <c r="JQ18" i="4"/>
  <c r="JQ10" i="4"/>
  <c r="JR17" i="4"/>
  <c r="JO22" i="4"/>
  <c r="JN14" i="4"/>
  <c r="JO13" i="4"/>
  <c r="JN9" i="4"/>
  <c r="JP18" i="4"/>
  <c r="JT15" i="4"/>
  <c r="JR3" i="4"/>
  <c r="JQ17" i="4"/>
  <c r="JS20" i="4"/>
  <c r="JO21" i="4"/>
  <c r="JT5" i="4"/>
  <c r="JR10" i="4"/>
  <c r="JP14" i="4"/>
  <c r="JS15" i="4"/>
  <c r="JU18" i="4"/>
  <c r="JT11" i="4"/>
  <c r="JU13" i="4"/>
  <c r="JT10" i="4"/>
  <c r="JW11" i="4"/>
  <c r="JN18" i="4"/>
  <c r="JW9" i="4"/>
  <c r="JX3" i="4"/>
  <c r="J4" i="9" s="1"/>
  <c r="JP13" i="4"/>
  <c r="JW5" i="4"/>
  <c r="JU4" i="4"/>
  <c r="JP22" i="4"/>
  <c r="JQ5" i="4"/>
  <c r="JW19" i="4"/>
  <c r="JW4" i="4"/>
  <c r="JP17" i="4"/>
  <c r="JT9" i="4"/>
  <c r="JU20" i="4"/>
  <c r="JW7" i="4"/>
  <c r="JT18" i="4"/>
  <c r="JV14" i="4"/>
  <c r="JO18" i="4"/>
  <c r="JU14" i="4"/>
  <c r="JQ21" i="4"/>
  <c r="JV12" i="4"/>
  <c r="JU19" i="4"/>
  <c r="JS18" i="4"/>
  <c r="JO17" i="4"/>
  <c r="JV3" i="4"/>
  <c r="JP16" i="4"/>
  <c r="JT22" i="4"/>
  <c r="JP19" i="4"/>
  <c r="JS5" i="4"/>
  <c r="JS21" i="4"/>
  <c r="JS14" i="4"/>
  <c r="JP4" i="4"/>
  <c r="JT16" i="4"/>
  <c r="JP10" i="4"/>
  <c r="JQ15" i="4"/>
  <c r="JT6" i="4"/>
  <c r="JQ22" i="4"/>
  <c r="JV10" i="4"/>
  <c r="JO14" i="4"/>
  <c r="JQ8" i="4"/>
  <c r="JO6" i="4"/>
  <c r="JO20" i="4"/>
  <c r="JP20" i="4"/>
  <c r="JN20" i="4"/>
  <c r="JQ6" i="4"/>
  <c r="JV8" i="4"/>
  <c r="JW15" i="4"/>
  <c r="JW10" i="4"/>
  <c r="JS12" i="4"/>
  <c r="JT20" i="4"/>
  <c r="JP15" i="4"/>
  <c r="JU22" i="4"/>
  <c r="JU10" i="4"/>
  <c r="JW20" i="4"/>
  <c r="JQ13" i="4"/>
  <c r="JW12" i="4"/>
  <c r="JT14" i="4"/>
  <c r="JR13" i="4"/>
  <c r="JU11" i="4"/>
  <c r="JP5" i="4"/>
  <c r="JO10" i="4"/>
  <c r="FE21" i="4"/>
  <c r="FF21" i="4" s="1"/>
  <c r="FF13" i="4"/>
  <c r="FE22" i="4"/>
  <c r="FF22" i="4" s="1"/>
  <c r="FE20" i="4"/>
  <c r="FF20" i="4" s="1"/>
  <c r="FJ26" i="4"/>
  <c r="FI27" i="4"/>
  <c r="FL9" i="4" s="1"/>
  <c r="IM10" i="4"/>
  <c r="ZG14" i="4"/>
  <c r="ZG15" i="4" s="1"/>
  <c r="IM11" i="4"/>
  <c r="XV5" i="4"/>
  <c r="XW3" i="4"/>
  <c r="XW12" i="4" s="1"/>
  <c r="XV2" i="4"/>
  <c r="M25" i="9" s="1"/>
  <c r="XV6" i="4"/>
  <c r="XV7" i="4"/>
  <c r="XV8" i="4"/>
  <c r="XV9" i="4"/>
  <c r="XV10" i="4"/>
  <c r="CY9" i="4"/>
  <c r="EB2" i="4"/>
  <c r="EA3" i="4"/>
  <c r="WN37" i="4"/>
  <c r="WM32" i="4"/>
  <c r="WL40" i="4"/>
  <c r="L25" i="9"/>
  <c r="AE24" i="8"/>
  <c r="AI24" i="8" s="1"/>
  <c r="ZJ14" i="4"/>
  <c r="ZJ15" i="4" s="1"/>
  <c r="WK17" i="4"/>
  <c r="WJ39" i="4"/>
  <c r="WK39" i="4" s="1"/>
  <c r="XM13" i="4"/>
  <c r="XP12" i="4"/>
  <c r="XT12" i="4"/>
  <c r="XQ12" i="4"/>
  <c r="XN12" i="4"/>
  <c r="XU12" i="4"/>
  <c r="XR12" i="4"/>
  <c r="XS12" i="4"/>
  <c r="XV12" i="4"/>
  <c r="XO12" i="4"/>
  <c r="ZK21" i="4"/>
  <c r="ZK22" i="4" s="1"/>
  <c r="ZK23" i="4" s="1"/>
  <c r="AO14" i="4"/>
  <c r="AO15" i="4" s="1"/>
  <c r="AO16" i="4" s="1"/>
  <c r="AP13" i="4"/>
  <c r="JG7" i="4"/>
  <c r="JC11" i="4"/>
  <c r="JC13" i="4" s="1"/>
  <c r="JC14" i="4" s="1"/>
  <c r="JG9" i="4"/>
  <c r="JG8" i="4"/>
  <c r="ZH14" i="4"/>
  <c r="ZH15" i="4" s="1"/>
  <c r="ZH16" i="4" s="1"/>
  <c r="ZI11" i="4"/>
  <c r="ZI12" i="4" s="1"/>
  <c r="ZI13" i="4" s="1"/>
  <c r="ZE16" i="4"/>
  <c r="ZE17" i="4" s="1"/>
  <c r="ZE18" i="4" s="1"/>
  <c r="ZE19" i="4" s="1"/>
  <c r="ZE20" i="4" s="1"/>
  <c r="ZE21" i="4" s="1"/>
  <c r="ZE22" i="4" s="1"/>
  <c r="ZE23" i="4" s="1"/>
  <c r="ZO15" i="4"/>
  <c r="ZO16" i="4" s="1"/>
  <c r="ZO17" i="4" s="1"/>
  <c r="ZO18" i="4" s="1"/>
  <c r="ZO19" i="4" s="1"/>
  <c r="ZO20" i="4" s="1"/>
  <c r="ZO21" i="4" s="1"/>
  <c r="ZO22" i="4" s="1"/>
  <c r="ZO23" i="4" s="1"/>
  <c r="ZF19" i="4"/>
  <c r="ZF20" i="4" s="1"/>
  <c r="ZF21" i="4" s="1"/>
  <c r="ZF22" i="4" s="1"/>
  <c r="ZF23" i="4" s="1"/>
  <c r="ZL17" i="4"/>
  <c r="ZL18" i="4" s="1"/>
  <c r="ZL19" i="4" s="1"/>
  <c r="ZL20" i="4" s="1"/>
  <c r="ZL21" i="4" s="1"/>
  <c r="ZL22" i="4" s="1"/>
  <c r="ZL23" i="4" s="1"/>
  <c r="ZA7" i="4"/>
  <c r="ZN14" i="4"/>
  <c r="ZN15" i="4" s="1"/>
  <c r="ZN16" i="4" s="1"/>
  <c r="ZM17" i="4"/>
  <c r="ZM18" i="4" s="1"/>
  <c r="ZM19" i="4" s="1"/>
  <c r="ZM20" i="4" s="1"/>
  <c r="ZM21" i="4" s="1"/>
  <c r="ZM22" i="4" s="1"/>
  <c r="ZM23" i="4" s="1"/>
  <c r="IH26" i="4"/>
  <c r="WE153" i="4"/>
  <c r="WD205" i="4"/>
  <c r="XM46" i="4"/>
  <c r="P12" i="9"/>
  <c r="I12" i="9"/>
  <c r="I11" i="9"/>
  <c r="P11" i="9"/>
  <c r="CV10" i="4" l="1"/>
  <c r="CV8" i="4"/>
  <c r="PV82" i="4"/>
  <c r="FA10" i="4"/>
  <c r="FB10" i="4" s="1"/>
  <c r="FA11" i="4"/>
  <c r="FB11" i="4" s="1"/>
  <c r="WH26" i="4"/>
  <c r="WI26" i="4" s="1"/>
  <c r="WH36" i="4"/>
  <c r="WI36" i="4" s="1"/>
  <c r="PV65" i="4"/>
  <c r="PV63" i="4"/>
  <c r="CR10" i="4"/>
  <c r="CR3" i="4" s="1"/>
  <c r="CR7" i="4"/>
  <c r="FB8" i="4"/>
  <c r="FA12" i="4"/>
  <c r="FB12" i="4" s="1"/>
  <c r="CM3" i="4"/>
  <c r="CN7" i="4"/>
  <c r="PU93" i="4"/>
  <c r="PV93" i="4" s="1"/>
  <c r="PU86" i="4"/>
  <c r="PV86" i="4" s="1"/>
  <c r="PU88" i="4"/>
  <c r="PV88" i="4" s="1"/>
  <c r="PU95" i="4"/>
  <c r="PV95" i="4" s="1"/>
  <c r="PU91" i="4"/>
  <c r="PV91" i="4" s="1"/>
  <c r="PU89" i="4"/>
  <c r="PU99" i="4"/>
  <c r="PV99" i="4" s="1"/>
  <c r="PU97" i="4"/>
  <c r="PV97" i="4" s="1"/>
  <c r="PU87" i="4"/>
  <c r="PU92" i="4"/>
  <c r="WD213" i="4"/>
  <c r="WE213" i="4" s="1"/>
  <c r="PU96" i="4"/>
  <c r="PV96" i="4" s="1"/>
  <c r="PU98" i="4"/>
  <c r="PV98" i="4" s="1"/>
  <c r="PU100" i="4"/>
  <c r="PV100" i="4" s="1"/>
  <c r="FA21" i="4"/>
  <c r="FA22" i="4" s="1"/>
  <c r="PV60" i="4"/>
  <c r="WG3" i="4"/>
  <c r="WF35" i="4"/>
  <c r="WF48" i="4" s="1"/>
  <c r="WG48" i="4" s="1"/>
  <c r="D6" i="9"/>
  <c r="R11" i="9"/>
  <c r="S11" i="9"/>
  <c r="Q11" i="9"/>
  <c r="WF141" i="4"/>
  <c r="WG141" i="4" s="1"/>
  <c r="WV141" i="4"/>
  <c r="WW141" i="4" s="1"/>
  <c r="WJ141" i="4"/>
  <c r="WK141" i="4" s="1"/>
  <c r="WH141" i="4"/>
  <c r="WI141" i="4" s="1"/>
  <c r="WR141" i="4"/>
  <c r="WS141" i="4" s="1"/>
  <c r="WP141" i="4"/>
  <c r="WQ141" i="4" s="1"/>
  <c r="WT141" i="4"/>
  <c r="WU141" i="4" s="1"/>
  <c r="WN141" i="4"/>
  <c r="WO141" i="4" s="1"/>
  <c r="WL141" i="4"/>
  <c r="WM141" i="4" s="1"/>
  <c r="WX141" i="4"/>
  <c r="WY141" i="4" s="1"/>
  <c r="WV63" i="4"/>
  <c r="WW63" i="4" s="1"/>
  <c r="WN63" i="4"/>
  <c r="WO63" i="4" s="1"/>
  <c r="WF63" i="4"/>
  <c r="WG63" i="4" s="1"/>
  <c r="WJ63" i="4"/>
  <c r="WK63" i="4" s="1"/>
  <c r="WL63" i="4"/>
  <c r="WM63" i="4" s="1"/>
  <c r="WX63" i="4"/>
  <c r="WY63" i="4" s="1"/>
  <c r="WT63" i="4"/>
  <c r="WU63" i="4" s="1"/>
  <c r="WH63" i="4"/>
  <c r="WI63" i="4" s="1"/>
  <c r="WR63" i="4"/>
  <c r="WS63" i="4" s="1"/>
  <c r="WP63" i="4"/>
  <c r="WQ63" i="4" s="1"/>
  <c r="WH5" i="4"/>
  <c r="WI3" i="4"/>
  <c r="BT3" i="4"/>
  <c r="BT2" i="4" s="1"/>
  <c r="AN6" i="8" s="1"/>
  <c r="AC49" i="6"/>
  <c r="WH142" i="4"/>
  <c r="WI142" i="4" s="1"/>
  <c r="WT142" i="4"/>
  <c r="WU142" i="4" s="1"/>
  <c r="WF142" i="4"/>
  <c r="WG142" i="4" s="1"/>
  <c r="WV142" i="4"/>
  <c r="WW142" i="4" s="1"/>
  <c r="WR142" i="4"/>
  <c r="WS142" i="4" s="1"/>
  <c r="WX142" i="4"/>
  <c r="WY142" i="4" s="1"/>
  <c r="WJ142" i="4"/>
  <c r="WK142" i="4" s="1"/>
  <c r="WP142" i="4"/>
  <c r="WQ142" i="4" s="1"/>
  <c r="AX166" i="8"/>
  <c r="WN142" i="4"/>
  <c r="WO142" i="4" s="1"/>
  <c r="PU90" i="4"/>
  <c r="PV90" i="4" s="1"/>
  <c r="PU94" i="4"/>
  <c r="PV94" i="4" s="1"/>
  <c r="WK3" i="4"/>
  <c r="B11" i="8"/>
  <c r="JO25" i="4"/>
  <c r="JO27" i="4" s="1"/>
  <c r="E17" i="9" s="1"/>
  <c r="DF8" i="8" s="1"/>
  <c r="JR25" i="4"/>
  <c r="JR27" i="4" s="1"/>
  <c r="K17" i="9" s="1"/>
  <c r="DU8" i="8" s="1"/>
  <c r="JQ25" i="4"/>
  <c r="JQ27" i="4" s="1"/>
  <c r="I17" i="9" s="1"/>
  <c r="DP8" i="8" s="1"/>
  <c r="AK5" i="9"/>
  <c r="JN25" i="4"/>
  <c r="JN27" i="4" s="1"/>
  <c r="C17" i="9" s="1"/>
  <c r="DA8" i="8" s="1"/>
  <c r="JV25" i="4"/>
  <c r="JV27" i="4" s="1"/>
  <c r="S17" i="9" s="1"/>
  <c r="EO8" i="8" s="1"/>
  <c r="CL15" i="8"/>
  <c r="JU25" i="4"/>
  <c r="JU27" i="4" s="1"/>
  <c r="Q17" i="9" s="1"/>
  <c r="EJ8" i="8" s="1"/>
  <c r="DK15" i="8"/>
  <c r="DF15" i="8"/>
  <c r="DS18" i="8"/>
  <c r="AI5" i="9"/>
  <c r="DA15" i="8"/>
  <c r="JS25" i="4"/>
  <c r="JS27" i="4" s="1"/>
  <c r="M17" i="9" s="1"/>
  <c r="DZ8" i="8" s="1"/>
  <c r="AC5" i="9"/>
  <c r="JT25" i="4"/>
  <c r="JT27" i="4" s="1"/>
  <c r="O17" i="9" s="1"/>
  <c r="EE8" i="8" s="1"/>
  <c r="EL18" i="8"/>
  <c r="CL18" i="8"/>
  <c r="DP15" i="8"/>
  <c r="DE18" i="8"/>
  <c r="JP25" i="4"/>
  <c r="JP27" i="4" s="1"/>
  <c r="G17" i="9" s="1"/>
  <c r="DK8" i="8" s="1"/>
  <c r="D7" i="9"/>
  <c r="R12" i="9"/>
  <c r="Q12" i="9"/>
  <c r="S12" i="9"/>
  <c r="WX93" i="4"/>
  <c r="WY93" i="4" s="1"/>
  <c r="WV93" i="4"/>
  <c r="WW93" i="4" s="1"/>
  <c r="WN93" i="4"/>
  <c r="WO93" i="4" s="1"/>
  <c r="WJ93" i="4"/>
  <c r="WK93" i="4" s="1"/>
  <c r="WR93" i="4"/>
  <c r="WS93" i="4" s="1"/>
  <c r="WL93" i="4"/>
  <c r="WM93" i="4" s="1"/>
  <c r="WF93" i="4"/>
  <c r="WG93" i="4" s="1"/>
  <c r="WH93" i="4"/>
  <c r="WI93" i="4" s="1"/>
  <c r="WP93" i="4"/>
  <c r="WQ93" i="4" s="1"/>
  <c r="WT93" i="4"/>
  <c r="WU93" i="4" s="1"/>
  <c r="CN5" i="4"/>
  <c r="DI5" i="4" s="1"/>
  <c r="DJ5" i="4" s="1"/>
  <c r="CN3" i="4"/>
  <c r="WP190" i="4"/>
  <c r="WQ190" i="4" s="1"/>
  <c r="WR190" i="4"/>
  <c r="WS190" i="4" s="1"/>
  <c r="WX190" i="4"/>
  <c r="WY190" i="4" s="1"/>
  <c r="WL190" i="4"/>
  <c r="WM190" i="4" s="1"/>
  <c r="WV190" i="4"/>
  <c r="WW190" i="4" s="1"/>
  <c r="WH190" i="4"/>
  <c r="WI190" i="4" s="1"/>
  <c r="WF190" i="4"/>
  <c r="WG190" i="4" s="1"/>
  <c r="WJ190" i="4"/>
  <c r="WK190" i="4" s="1"/>
  <c r="WT190" i="4"/>
  <c r="WU190" i="4" s="1"/>
  <c r="WF194" i="4"/>
  <c r="WG194" i="4" s="1"/>
  <c r="WL194" i="4"/>
  <c r="WM194" i="4" s="1"/>
  <c r="WX194" i="4"/>
  <c r="WY194" i="4" s="1"/>
  <c r="WV194" i="4"/>
  <c r="WW194" i="4" s="1"/>
  <c r="WR194" i="4"/>
  <c r="WS194" i="4" s="1"/>
  <c r="WT194" i="4"/>
  <c r="WU194" i="4" s="1"/>
  <c r="WP194" i="4"/>
  <c r="WQ194" i="4" s="1"/>
  <c r="WN194" i="4"/>
  <c r="WO194" i="4" s="1"/>
  <c r="WJ194" i="4"/>
  <c r="WK194" i="4" s="1"/>
  <c r="WH194" i="4"/>
  <c r="WI194" i="4" s="1"/>
  <c r="PU78" i="4"/>
  <c r="PV78" i="4" s="1"/>
  <c r="WL229" i="4"/>
  <c r="WM229" i="4" s="1"/>
  <c r="WN229" i="4"/>
  <c r="WO229" i="4" s="1"/>
  <c r="WH229" i="4"/>
  <c r="WI229" i="4" s="1"/>
  <c r="WR229" i="4"/>
  <c r="WS229" i="4" s="1"/>
  <c r="WJ229" i="4"/>
  <c r="WK229" i="4" s="1"/>
  <c r="WF229" i="4"/>
  <c r="WG229" i="4" s="1"/>
  <c r="WV229" i="4"/>
  <c r="WW229" i="4" s="1"/>
  <c r="WT229" i="4"/>
  <c r="WU229" i="4" s="1"/>
  <c r="WX229" i="4"/>
  <c r="WY229" i="4" s="1"/>
  <c r="WP229" i="4"/>
  <c r="WQ229" i="4" s="1"/>
  <c r="D8" i="9"/>
  <c r="R13" i="9"/>
  <c r="S13" i="9"/>
  <c r="I13" i="9"/>
  <c r="Q13" i="9"/>
  <c r="PV61" i="4"/>
  <c r="FL13" i="4"/>
  <c r="FE23" i="4"/>
  <c r="FF23" i="4" s="1"/>
  <c r="FL7" i="4"/>
  <c r="FL11" i="4"/>
  <c r="FL8" i="4"/>
  <c r="FL10" i="4"/>
  <c r="FL12" i="4"/>
  <c r="FJ27" i="4"/>
  <c r="FL14" i="4"/>
  <c r="FL15" i="4"/>
  <c r="ZA8" i="4"/>
  <c r="WJ41" i="4"/>
  <c r="WJ54" i="4" s="1"/>
  <c r="WK54" i="4" s="1"/>
  <c r="ZG16" i="4"/>
  <c r="ZG17" i="4" s="1"/>
  <c r="ZJ16" i="4"/>
  <c r="ZJ17" i="4" s="1"/>
  <c r="ZJ18" i="4" s="1"/>
  <c r="ZJ19" i="4" s="1"/>
  <c r="ZJ20" i="4" s="1"/>
  <c r="ZJ21" i="4" s="1"/>
  <c r="ZJ22" i="4" s="1"/>
  <c r="ZJ23" i="4" s="1"/>
  <c r="AP16" i="4"/>
  <c r="AO17" i="4"/>
  <c r="WL52" i="4"/>
  <c r="WM52" i="4" s="1"/>
  <c r="WM40" i="4"/>
  <c r="WO37" i="4"/>
  <c r="WN64" i="4"/>
  <c r="N25" i="9"/>
  <c r="AN24" i="8"/>
  <c r="AR24" i="8" s="1"/>
  <c r="XM14" i="4"/>
  <c r="XR13" i="4"/>
  <c r="XU13" i="4"/>
  <c r="XQ13" i="4"/>
  <c r="XP13" i="4"/>
  <c r="XN13" i="4"/>
  <c r="XV13" i="4"/>
  <c r="XO13" i="4"/>
  <c r="XT13" i="4"/>
  <c r="XW13" i="4"/>
  <c r="XX13" i="4"/>
  <c r="XS13" i="4"/>
  <c r="EC2" i="4"/>
  <c r="CZ12" i="4"/>
  <c r="CZ18" i="4"/>
  <c r="CZ11" i="4"/>
  <c r="CZ17" i="4"/>
  <c r="CZ13" i="4"/>
  <c r="EB3" i="4"/>
  <c r="CZ10" i="4" s="1"/>
  <c r="XW6" i="4"/>
  <c r="XX3" i="4"/>
  <c r="XW2" i="4"/>
  <c r="O25" i="9" s="1"/>
  <c r="XW5" i="4"/>
  <c r="XW7" i="4"/>
  <c r="XW8" i="4"/>
  <c r="XW9" i="4"/>
  <c r="XW10" i="4"/>
  <c r="XW11" i="4"/>
  <c r="ZN17" i="4"/>
  <c r="ZN18" i="4" s="1"/>
  <c r="ZH17" i="4"/>
  <c r="ZH18" i="4" s="1"/>
  <c r="ZH19" i="4" s="1"/>
  <c r="ZI14" i="4"/>
  <c r="ZI15" i="4" s="1"/>
  <c r="ZI16" i="4" s="1"/>
  <c r="IH29" i="4"/>
  <c r="IM32" i="4" s="1"/>
  <c r="JC15" i="4"/>
  <c r="JC16" i="4" s="1"/>
  <c r="JC17" i="4" s="1"/>
  <c r="JC18" i="4" s="1"/>
  <c r="JC19" i="4" s="1"/>
  <c r="JC20" i="4" s="1"/>
  <c r="WD227" i="4"/>
  <c r="WE227" i="4" s="1"/>
  <c r="XM48" i="4"/>
  <c r="WE205" i="4"/>
  <c r="DI3" i="4" l="1"/>
  <c r="DJ3" i="4" s="1"/>
  <c r="PV81" i="4"/>
  <c r="PV80" i="4"/>
  <c r="FA13" i="4"/>
  <c r="PV89" i="4"/>
  <c r="PV77" i="4"/>
  <c r="FB21" i="4"/>
  <c r="DJ2" i="4"/>
  <c r="BI5" i="6" s="1"/>
  <c r="KW3" i="4"/>
  <c r="BK68" i="1" s="1"/>
  <c r="PV87" i="4"/>
  <c r="S10" i="9"/>
  <c r="BU11" i="8" s="1"/>
  <c r="H7" i="9"/>
  <c r="G7" i="9"/>
  <c r="R7" i="9" s="1"/>
  <c r="WI5" i="4"/>
  <c r="WH43" i="4"/>
  <c r="DL2" i="4"/>
  <c r="R10" i="9"/>
  <c r="AC11" i="8" s="1"/>
  <c r="Z6" i="1"/>
  <c r="G6" i="9"/>
  <c r="H6" i="9"/>
  <c r="PV92" i="4"/>
  <c r="WG35" i="4"/>
  <c r="WF88" i="4"/>
  <c r="WG88" i="4" s="1"/>
  <c r="R8" i="9"/>
  <c r="G8" i="9"/>
  <c r="H8" i="9"/>
  <c r="Q10" i="9"/>
  <c r="AR11" i="8" s="1"/>
  <c r="FB22" i="4"/>
  <c r="FA23" i="4"/>
  <c r="FE24" i="4"/>
  <c r="IM26" i="4"/>
  <c r="IM25" i="4"/>
  <c r="IM21" i="4"/>
  <c r="ZA9" i="4"/>
  <c r="JG15" i="4"/>
  <c r="WJ76" i="4"/>
  <c r="WK41" i="4"/>
  <c r="XM15" i="4"/>
  <c r="XQ14" i="4"/>
  <c r="XW14" i="4"/>
  <c r="XP14" i="4"/>
  <c r="XR14" i="4"/>
  <c r="XX14" i="4"/>
  <c r="XY14" i="4"/>
  <c r="XS14" i="4"/>
  <c r="XO14" i="4"/>
  <c r="XT14" i="4"/>
  <c r="XU14" i="4"/>
  <c r="XN14" i="4"/>
  <c r="XV14" i="4"/>
  <c r="AP17" i="4"/>
  <c r="AO18" i="4"/>
  <c r="IM24" i="4"/>
  <c r="ZN19" i="4"/>
  <c r="ZN20" i="4" s="1"/>
  <c r="ZN21" i="4" s="1"/>
  <c r="ZN22" i="4" s="1"/>
  <c r="ZN23" i="4" s="1"/>
  <c r="WN70" i="4"/>
  <c r="WO70" i="4" s="1"/>
  <c r="WO64" i="4"/>
  <c r="P25" i="9"/>
  <c r="AW24" i="8"/>
  <c r="BA24" i="8" s="1"/>
  <c r="XY3" i="4"/>
  <c r="XX5" i="4"/>
  <c r="XX2" i="4"/>
  <c r="Q25" i="9" s="1"/>
  <c r="XX6" i="4"/>
  <c r="XX7" i="4"/>
  <c r="XX8" i="4"/>
  <c r="XX9" i="4"/>
  <c r="XX10" i="4"/>
  <c r="XX11" i="4"/>
  <c r="XX12" i="4"/>
  <c r="ED2" i="4"/>
  <c r="DA16" i="4"/>
  <c r="DA15" i="4"/>
  <c r="EC3" i="4"/>
  <c r="DA8" i="4" s="1"/>
  <c r="WL80" i="4"/>
  <c r="ZG18" i="4"/>
  <c r="ZG19" i="4" s="1"/>
  <c r="ZG20" i="4" s="1"/>
  <c r="ZG21" i="4" s="1"/>
  <c r="ZG22" i="4" s="1"/>
  <c r="ZG23" i="4" s="1"/>
  <c r="ZH20" i="4"/>
  <c r="ZH21" i="4" s="1"/>
  <c r="ZH22" i="4" s="1"/>
  <c r="ZH23" i="4" s="1"/>
  <c r="ZI17" i="4"/>
  <c r="ZI18" i="4" s="1"/>
  <c r="ZI19" i="4" s="1"/>
  <c r="ZI20" i="4" s="1"/>
  <c r="ZI21" i="4" s="1"/>
  <c r="ZI22" i="4" s="1"/>
  <c r="ZI23" i="4" s="1"/>
  <c r="YJ4" i="4"/>
  <c r="IM15" i="4"/>
  <c r="IM20" i="4"/>
  <c r="IM18" i="4"/>
  <c r="IM19" i="4"/>
  <c r="IM29" i="4"/>
  <c r="IM12" i="4"/>
  <c r="IM33" i="4"/>
  <c r="IM30" i="4"/>
  <c r="IM22" i="4"/>
  <c r="IM34" i="4"/>
  <c r="IM27" i="4"/>
  <c r="IM31" i="4"/>
  <c r="IM23" i="4"/>
  <c r="UB116" i="4" s="1"/>
  <c r="IM17" i="4"/>
  <c r="IM13" i="4"/>
  <c r="IM14" i="4"/>
  <c r="IM16" i="4"/>
  <c r="JG10" i="4"/>
  <c r="JG19" i="4"/>
  <c r="JG11" i="4"/>
  <c r="JG12" i="4"/>
  <c r="JG20" i="4"/>
  <c r="JG18" i="4"/>
  <c r="JG13" i="4"/>
  <c r="JG16" i="4"/>
  <c r="JG17" i="4"/>
  <c r="JG14" i="4"/>
  <c r="JG21" i="4"/>
  <c r="IM28" i="4"/>
  <c r="WD228" i="4"/>
  <c r="FB13" i="4" l="1"/>
  <c r="FA14" i="4"/>
  <c r="FB14" i="4" s="1"/>
  <c r="KW2" i="4"/>
  <c r="BK63" i="1" s="1"/>
  <c r="WE228" i="4"/>
  <c r="WJ85" i="4"/>
  <c r="WI43" i="4"/>
  <c r="WH47" i="4"/>
  <c r="R6" i="9"/>
  <c r="R5" i="9" s="1"/>
  <c r="N11" i="8" s="1"/>
  <c r="AW3" i="9"/>
  <c r="FA24" i="4"/>
  <c r="FB23" i="4"/>
  <c r="FA25" i="4"/>
  <c r="FB25" i="4" s="1"/>
  <c r="FE25" i="4"/>
  <c r="FF24" i="4"/>
  <c r="FE26" i="4"/>
  <c r="FF26" i="4" s="1"/>
  <c r="WK76" i="4"/>
  <c r="ZA10" i="4"/>
  <c r="XZ3" i="4"/>
  <c r="XY5" i="4"/>
  <c r="XY6" i="4"/>
  <c r="XY2" i="4"/>
  <c r="S25" i="9" s="1"/>
  <c r="XY7" i="4"/>
  <c r="XY8" i="4"/>
  <c r="XY9" i="4"/>
  <c r="XY10" i="4"/>
  <c r="XY11" i="4"/>
  <c r="XY12" i="4"/>
  <c r="XY13" i="4"/>
  <c r="WL104" i="4"/>
  <c r="WM80" i="4"/>
  <c r="AO19" i="4"/>
  <c r="AP18" i="4"/>
  <c r="BF24" i="8"/>
  <c r="BJ24" i="8" s="1"/>
  <c r="R25" i="9"/>
  <c r="WN77" i="4"/>
  <c r="XM16" i="4"/>
  <c r="XO15" i="4"/>
  <c r="XX15" i="4"/>
  <c r="XW15" i="4"/>
  <c r="XU15" i="4"/>
  <c r="XZ15" i="4"/>
  <c r="XT15" i="4"/>
  <c r="XP15" i="4"/>
  <c r="XQ15" i="4"/>
  <c r="XR15" i="4"/>
  <c r="XS15" i="4"/>
  <c r="XV15" i="4"/>
  <c r="XY15" i="4"/>
  <c r="XN15" i="4"/>
  <c r="EE2" i="4"/>
  <c r="ED3" i="4"/>
  <c r="WR116" i="4"/>
  <c r="WP116" i="4"/>
  <c r="WV116" i="4"/>
  <c r="WF116" i="4"/>
  <c r="WL116" i="4"/>
  <c r="WN116" i="4"/>
  <c r="WX116" i="4"/>
  <c r="WH116" i="4"/>
  <c r="WI116" i="4" s="1"/>
  <c r="WJ116" i="4"/>
  <c r="WK116" i="4" s="1"/>
  <c r="WT116" i="4"/>
  <c r="WD231" i="4"/>
  <c r="WE231" i="4" s="1"/>
  <c r="WJ89" i="4"/>
  <c r="FA15" i="4" l="1"/>
  <c r="WK85" i="4"/>
  <c r="WI47" i="4"/>
  <c r="WH49" i="4"/>
  <c r="FB24" i="4"/>
  <c r="FA26" i="4"/>
  <c r="FF25" i="4"/>
  <c r="FE27" i="4"/>
  <c r="FH13" i="4" s="1"/>
  <c r="WM104" i="4"/>
  <c r="ZA11" i="4"/>
  <c r="YE3" i="4" s="1"/>
  <c r="WO77" i="4"/>
  <c r="YJ3" i="4"/>
  <c r="YJ1" i="4" s="1"/>
  <c r="BI6" i="6" s="1"/>
  <c r="WN100" i="4"/>
  <c r="T25" i="9"/>
  <c r="BO24" i="8"/>
  <c r="BS24" i="8" s="1"/>
  <c r="EF2" i="4"/>
  <c r="DC9" i="4"/>
  <c r="DC7" i="4"/>
  <c r="DC14" i="4"/>
  <c r="EE3" i="4"/>
  <c r="XM17" i="4"/>
  <c r="XP16" i="4"/>
  <c r="XX16" i="4"/>
  <c r="XO16" i="4"/>
  <c r="XQ16" i="4"/>
  <c r="XY16" i="4"/>
  <c r="XU16" i="4"/>
  <c r="XN16" i="4"/>
  <c r="XT16" i="4"/>
  <c r="XV16" i="4"/>
  <c r="XS16" i="4"/>
  <c r="XW16" i="4"/>
  <c r="XZ16" i="4"/>
  <c r="XR16" i="4"/>
  <c r="AP19" i="4"/>
  <c r="AO20" i="4"/>
  <c r="XZ6" i="4"/>
  <c r="XZ5" i="4"/>
  <c r="XZ2" i="4"/>
  <c r="F29" i="9" s="1"/>
  <c r="AA29" i="8" s="1"/>
  <c r="YA3" i="4"/>
  <c r="YA16" i="4" s="1"/>
  <c r="XZ7" i="4"/>
  <c r="XZ8" i="4"/>
  <c r="XZ9" i="4"/>
  <c r="XZ10" i="4"/>
  <c r="XZ11" i="4"/>
  <c r="XZ12" i="4"/>
  <c r="XZ13" i="4"/>
  <c r="XZ14" i="4"/>
  <c r="WU116" i="4"/>
  <c r="XI38" i="4"/>
  <c r="XI7" i="4"/>
  <c r="XI31" i="4"/>
  <c r="XI11" i="4"/>
  <c r="XI43" i="4"/>
  <c r="XI37" i="4"/>
  <c r="XI6" i="4"/>
  <c r="XI13" i="4"/>
  <c r="XI27" i="4"/>
  <c r="XI21" i="4"/>
  <c r="XI36" i="4"/>
  <c r="XI48" i="4"/>
  <c r="XI33" i="4"/>
  <c r="XI8" i="4"/>
  <c r="XI30" i="4"/>
  <c r="XI4" i="4"/>
  <c r="XI40" i="4"/>
  <c r="XI16" i="4"/>
  <c r="XI10" i="4"/>
  <c r="XI12" i="4"/>
  <c r="XI35" i="4"/>
  <c r="XI39" i="4"/>
  <c r="XI14" i="4"/>
  <c r="XI45" i="4"/>
  <c r="XI17" i="4"/>
  <c r="XI46" i="4"/>
  <c r="XI24" i="4"/>
  <c r="XI19" i="4"/>
  <c r="XI41" i="4"/>
  <c r="XI47" i="4"/>
  <c r="XI51" i="4"/>
  <c r="XI32" i="4"/>
  <c r="XI9" i="4"/>
  <c r="XI3" i="4"/>
  <c r="XI18" i="4"/>
  <c r="XI22" i="4"/>
  <c r="XI23" i="4"/>
  <c r="XI49" i="4"/>
  <c r="XI25" i="4"/>
  <c r="XI20" i="4"/>
  <c r="XI15" i="4"/>
  <c r="XI26" i="4"/>
  <c r="XI42" i="4"/>
  <c r="XI34" i="4"/>
  <c r="XI44" i="4"/>
  <c r="XI29" i="4"/>
  <c r="XI50" i="4"/>
  <c r="XI5" i="4"/>
  <c r="XI28" i="4"/>
  <c r="WM116" i="4"/>
  <c r="WL130" i="4"/>
  <c r="WL133" i="4" s="1"/>
  <c r="WS116" i="4"/>
  <c r="XH24" i="4"/>
  <c r="XH45" i="4"/>
  <c r="XH4" i="4"/>
  <c r="XH33" i="4"/>
  <c r="XH17" i="4"/>
  <c r="XH23" i="4"/>
  <c r="XH21" i="4"/>
  <c r="XH11" i="4"/>
  <c r="XH7" i="4"/>
  <c r="XH5" i="4"/>
  <c r="XH10" i="4"/>
  <c r="XH27" i="4"/>
  <c r="XH30" i="4"/>
  <c r="XH49" i="4"/>
  <c r="XH12" i="4"/>
  <c r="XH25" i="4"/>
  <c r="XH22" i="4"/>
  <c r="XH13" i="4"/>
  <c r="XH19" i="4"/>
  <c r="XH20" i="4"/>
  <c r="XH29" i="4"/>
  <c r="XH15" i="4"/>
  <c r="XH38" i="4"/>
  <c r="XH37" i="4"/>
  <c r="XH43" i="4"/>
  <c r="XH14" i="4"/>
  <c r="XH50" i="4"/>
  <c r="XH26" i="4"/>
  <c r="XH39" i="4"/>
  <c r="XH16" i="4"/>
  <c r="XH34" i="4"/>
  <c r="XH47" i="4"/>
  <c r="XH18" i="4"/>
  <c r="XH31" i="4"/>
  <c r="XH40" i="4"/>
  <c r="XH9" i="4"/>
  <c r="XH8" i="4"/>
  <c r="XH46" i="4"/>
  <c r="XH3" i="4"/>
  <c r="XH28" i="4"/>
  <c r="XH32" i="4"/>
  <c r="XH6" i="4"/>
  <c r="XH48" i="4"/>
  <c r="XH42" i="4"/>
  <c r="XH51" i="4"/>
  <c r="XH41" i="4"/>
  <c r="XH36" i="4"/>
  <c r="XH44" i="4"/>
  <c r="XH35" i="4"/>
  <c r="WQ116" i="4"/>
  <c r="XG35" i="4"/>
  <c r="XG37" i="4"/>
  <c r="XG20" i="4"/>
  <c r="XG3" i="4"/>
  <c r="XG34" i="4"/>
  <c r="XG23" i="4"/>
  <c r="XG14" i="4"/>
  <c r="XG33" i="4"/>
  <c r="XG43" i="4"/>
  <c r="XG29" i="4"/>
  <c r="XG41" i="4"/>
  <c r="XG24" i="4"/>
  <c r="XG38" i="4"/>
  <c r="XG48" i="4"/>
  <c r="XG19" i="4"/>
  <c r="XG44" i="4"/>
  <c r="XG31" i="4"/>
  <c r="XG28" i="4"/>
  <c r="XG8" i="4"/>
  <c r="XG21" i="4"/>
  <c r="XG47" i="4"/>
  <c r="XG7" i="4"/>
  <c r="XG6" i="4"/>
  <c r="XG32" i="4"/>
  <c r="XG11" i="4"/>
  <c r="XG22" i="4"/>
  <c r="XG17" i="4"/>
  <c r="XG40" i="4"/>
  <c r="XG9" i="4"/>
  <c r="XG4" i="4"/>
  <c r="XG49" i="4"/>
  <c r="XG18" i="4"/>
  <c r="XG39" i="4"/>
  <c r="XG51" i="4"/>
  <c r="XG27" i="4"/>
  <c r="XG30" i="4"/>
  <c r="XG13" i="4"/>
  <c r="XG50" i="4"/>
  <c r="XG25" i="4"/>
  <c r="XG5" i="4"/>
  <c r="XG45" i="4"/>
  <c r="XG26" i="4"/>
  <c r="XG15" i="4"/>
  <c r="XG42" i="4"/>
  <c r="XG46" i="4"/>
  <c r="XG12" i="4"/>
  <c r="XG36" i="4"/>
  <c r="XG16" i="4"/>
  <c r="XG10" i="4"/>
  <c r="WG116" i="4"/>
  <c r="WF139" i="4"/>
  <c r="WO116" i="4"/>
  <c r="WN124" i="4"/>
  <c r="WO124" i="4" s="1"/>
  <c r="WY116" i="4"/>
  <c r="XK32" i="4"/>
  <c r="XK41" i="4"/>
  <c r="XK6" i="4"/>
  <c r="XK27" i="4"/>
  <c r="XK39" i="4"/>
  <c r="XK21" i="4"/>
  <c r="XK38" i="4"/>
  <c r="XK46" i="4"/>
  <c r="XK45" i="4"/>
  <c r="XK8" i="4"/>
  <c r="XK33" i="4"/>
  <c r="XK47" i="4"/>
  <c r="XK29" i="4"/>
  <c r="XK51" i="4"/>
  <c r="XK50" i="4"/>
  <c r="XK13" i="4"/>
  <c r="XK10" i="4"/>
  <c r="XK23" i="4"/>
  <c r="XK48" i="4"/>
  <c r="XK9" i="4"/>
  <c r="XK24" i="4"/>
  <c r="XK3" i="4"/>
  <c r="XK14" i="4"/>
  <c r="XK19" i="4"/>
  <c r="XK17" i="4"/>
  <c r="XK18" i="4"/>
  <c r="XK43" i="4"/>
  <c r="XK26" i="4"/>
  <c r="XK20" i="4"/>
  <c r="XK15" i="4"/>
  <c r="XK22" i="4"/>
  <c r="XK30" i="4"/>
  <c r="XK49" i="4"/>
  <c r="XK25" i="4"/>
  <c r="XK11" i="4"/>
  <c r="XK16" i="4"/>
  <c r="XK40" i="4"/>
  <c r="XK37" i="4"/>
  <c r="XK12" i="4"/>
  <c r="XK31" i="4"/>
  <c r="XK5" i="4"/>
  <c r="XK34" i="4"/>
  <c r="XK42" i="4"/>
  <c r="XK7" i="4"/>
  <c r="XK4" i="4"/>
  <c r="XK35" i="4"/>
  <c r="XK44" i="4"/>
  <c r="XK36" i="4"/>
  <c r="XK28" i="4"/>
  <c r="WW116" i="4"/>
  <c r="XJ26" i="4"/>
  <c r="XJ50" i="4"/>
  <c r="XJ38" i="4"/>
  <c r="XJ23" i="4"/>
  <c r="XJ49" i="4"/>
  <c r="XJ33" i="4"/>
  <c r="XJ12" i="4"/>
  <c r="XJ31" i="4"/>
  <c r="XJ16" i="4"/>
  <c r="XJ28" i="4"/>
  <c r="XJ30" i="4"/>
  <c r="XJ24" i="4"/>
  <c r="XJ9" i="4"/>
  <c r="XJ11" i="4"/>
  <c r="XJ25" i="4"/>
  <c r="XJ17" i="4"/>
  <c r="XJ46" i="4"/>
  <c r="XJ37" i="4"/>
  <c r="XJ13" i="4"/>
  <c r="XJ5" i="4"/>
  <c r="XJ15" i="4"/>
  <c r="XJ14" i="4"/>
  <c r="XJ39" i="4"/>
  <c r="XJ43" i="4"/>
  <c r="XJ29" i="4"/>
  <c r="XJ27" i="4"/>
  <c r="XJ10" i="4"/>
  <c r="XJ6" i="4"/>
  <c r="XJ4" i="4"/>
  <c r="XJ42" i="4"/>
  <c r="XJ48" i="4"/>
  <c r="XJ19" i="4"/>
  <c r="XJ8" i="4"/>
  <c r="XJ41" i="4"/>
  <c r="XJ35" i="4"/>
  <c r="XJ18" i="4"/>
  <c r="XJ32" i="4"/>
  <c r="XJ3" i="4"/>
  <c r="XJ45" i="4"/>
  <c r="XJ20" i="4"/>
  <c r="XJ47" i="4"/>
  <c r="XJ7" i="4"/>
  <c r="XJ44" i="4"/>
  <c r="XJ22" i="4"/>
  <c r="XJ36" i="4"/>
  <c r="XJ40" i="4"/>
  <c r="XJ51" i="4"/>
  <c r="XJ21" i="4"/>
  <c r="XJ34" i="4"/>
  <c r="WD257" i="4"/>
  <c r="WK89" i="4"/>
  <c r="WJ90" i="4"/>
  <c r="FB15" i="4" l="1"/>
  <c r="FA16" i="4"/>
  <c r="FB16" i="4" s="1"/>
  <c r="YE10" i="4"/>
  <c r="YS10" i="4" s="1"/>
  <c r="FH10" i="4"/>
  <c r="WE257" i="4"/>
  <c r="FH12" i="4"/>
  <c r="WH56" i="4"/>
  <c r="WH57" i="4" s="1"/>
  <c r="WI57" i="4" s="1"/>
  <c r="WI49" i="4"/>
  <c r="WH61" i="4"/>
  <c r="WI61" i="4" s="1"/>
  <c r="YG10" i="4"/>
  <c r="C120" i="6" s="1"/>
  <c r="B120" i="6" s="1"/>
  <c r="FB26" i="4"/>
  <c r="FA27" i="4"/>
  <c r="FB27" i="4" s="1"/>
  <c r="FD11" i="4" s="1"/>
  <c r="YE6" i="4"/>
  <c r="YS6" i="4" s="1"/>
  <c r="FF27" i="4"/>
  <c r="FH9" i="4"/>
  <c r="FH7" i="4"/>
  <c r="FH8" i="4"/>
  <c r="FH11" i="4"/>
  <c r="YE5" i="4"/>
  <c r="YS5" i="4" s="1"/>
  <c r="FH15" i="4"/>
  <c r="YE7" i="4"/>
  <c r="YS7" i="4" s="1"/>
  <c r="FH14" i="4"/>
  <c r="YE4" i="4"/>
  <c r="YS4" i="4" s="1"/>
  <c r="YG6" i="4"/>
  <c r="C116" i="6" s="1"/>
  <c r="B116" i="6" s="1"/>
  <c r="YS3" i="4"/>
  <c r="ZU2" i="4"/>
  <c r="YG5" i="4"/>
  <c r="C115" i="6" s="1"/>
  <c r="B115" i="6" s="1"/>
  <c r="YG4" i="4"/>
  <c r="C114" i="6" s="1"/>
  <c r="B114" i="6" s="1"/>
  <c r="YG3" i="4"/>
  <c r="C113" i="6" s="1"/>
  <c r="B113" i="6" s="1"/>
  <c r="YG8" i="4"/>
  <c r="C118" i="6" s="1"/>
  <c r="B118" i="6" s="1"/>
  <c r="YE9" i="4"/>
  <c r="YS9" i="4" s="1"/>
  <c r="YE8" i="4"/>
  <c r="YS8" i="4" s="1"/>
  <c r="YG9" i="4"/>
  <c r="C119" i="6" s="1"/>
  <c r="B119" i="6" s="1"/>
  <c r="YG7" i="4"/>
  <c r="C117" i="6" s="1"/>
  <c r="B117" i="6" s="1"/>
  <c r="WO100" i="4"/>
  <c r="EG2" i="4"/>
  <c r="DD17" i="4"/>
  <c r="EF3" i="4"/>
  <c r="DD8" i="4" s="1"/>
  <c r="AP20" i="4"/>
  <c r="AO21" i="4"/>
  <c r="YA6" i="4"/>
  <c r="YB3" i="4"/>
  <c r="YA5" i="4"/>
  <c r="YA2" i="4"/>
  <c r="F30" i="9" s="1"/>
  <c r="B29" i="8" s="1"/>
  <c r="YA7" i="4"/>
  <c r="YA8" i="4"/>
  <c r="YA9" i="4"/>
  <c r="YA10" i="4"/>
  <c r="YA11" i="4"/>
  <c r="YA12" i="4"/>
  <c r="YA13" i="4"/>
  <c r="YA14" i="4"/>
  <c r="YA15" i="4"/>
  <c r="XM18" i="4"/>
  <c r="XW17" i="4"/>
  <c r="XS17" i="4"/>
  <c r="XY17" i="4"/>
  <c r="XV17" i="4"/>
  <c r="XN17" i="4"/>
  <c r="XQ17" i="4"/>
  <c r="YB17" i="4"/>
  <c r="XR17" i="4"/>
  <c r="XP17" i="4"/>
  <c r="XU17" i="4"/>
  <c r="XZ17" i="4"/>
  <c r="XX17" i="4"/>
  <c r="XO17" i="4"/>
  <c r="YA17" i="4"/>
  <c r="XT17" i="4"/>
  <c r="WL142" i="4"/>
  <c r="WM142" i="4" s="1"/>
  <c r="WM133" i="4"/>
  <c r="WN127" i="4"/>
  <c r="WF153" i="4"/>
  <c r="WG139" i="4"/>
  <c r="WM130" i="4"/>
  <c r="WD263" i="4"/>
  <c r="WD276" i="4" s="1"/>
  <c r="WK90" i="4"/>
  <c r="WJ99" i="4"/>
  <c r="FD9" i="4" l="1"/>
  <c r="WH82" i="4"/>
  <c r="WH87" i="4"/>
  <c r="WI87" i="4" s="1"/>
  <c r="WH96" i="4"/>
  <c r="WI96" i="4" s="1"/>
  <c r="FD12" i="4"/>
  <c r="FD7" i="4"/>
  <c r="FD13" i="4"/>
  <c r="FD8" i="4"/>
  <c r="WF169" i="4"/>
  <c r="WG169" i="4" s="1"/>
  <c r="WI56" i="4"/>
  <c r="FD10" i="4"/>
  <c r="FD14" i="4"/>
  <c r="WH97" i="4"/>
  <c r="FD15" i="4"/>
  <c r="AJ12" i="6"/>
  <c r="ZX2" i="4"/>
  <c r="ZX8" i="4" s="1"/>
  <c r="AH12" i="6"/>
  <c r="AAM2" i="4"/>
  <c r="AAM4" i="4" s="1"/>
  <c r="AM12" i="6"/>
  <c r="AAG2" i="4"/>
  <c r="AAG5" i="4" s="1"/>
  <c r="T12" i="6"/>
  <c r="AAE2" i="4"/>
  <c r="AAE8" i="4" s="1"/>
  <c r="X12" i="6"/>
  <c r="AAH2" i="4"/>
  <c r="AAH8" i="4" s="1"/>
  <c r="AA11" i="6"/>
  <c r="AE12" i="6"/>
  <c r="AG12" i="6"/>
  <c r="AAL2" i="4"/>
  <c r="AAL4" i="4" s="1"/>
  <c r="AAK2" i="4"/>
  <c r="AAK7" i="4" s="1"/>
  <c r="AJ11" i="6"/>
  <c r="U11" i="6"/>
  <c r="AK12" i="6"/>
  <c r="AAJ2" i="4"/>
  <c r="AAJ8" i="4" s="1"/>
  <c r="AK11" i="6"/>
  <c r="U12" i="6"/>
  <c r="AAF2" i="4"/>
  <c r="AAF4" i="4" s="1"/>
  <c r="AH11" i="6"/>
  <c r="T11" i="6"/>
  <c r="AF12" i="6"/>
  <c r="AAI2" i="4"/>
  <c r="AAI5" i="4" s="1"/>
  <c r="AAN2" i="4"/>
  <c r="AD11" i="6"/>
  <c r="WE276" i="4"/>
  <c r="WD281" i="4"/>
  <c r="V11" i="6"/>
  <c r="AB12" i="6"/>
  <c r="AA12" i="6"/>
  <c r="AAC2" i="4"/>
  <c r="AAC6" i="4" s="1"/>
  <c r="Y12" i="6"/>
  <c r="AF11" i="6"/>
  <c r="AL11" i="6"/>
  <c r="AI12" i="6"/>
  <c r="ZY2" i="4"/>
  <c r="W12" i="6"/>
  <c r="AL12" i="6"/>
  <c r="ZV2" i="4"/>
  <c r="AD12" i="6"/>
  <c r="X11" i="6"/>
  <c r="Y11" i="6"/>
  <c r="Z11" i="6"/>
  <c r="AAD2" i="4"/>
  <c r="AAB2" i="4"/>
  <c r="W11" i="6"/>
  <c r="AC11" i="6"/>
  <c r="AAP2" i="4"/>
  <c r="AC12" i="6"/>
  <c r="AB11" i="6"/>
  <c r="V12" i="6"/>
  <c r="AAA2" i="4"/>
  <c r="AE11" i="6"/>
  <c r="AAO2" i="4"/>
  <c r="ZW2" i="4"/>
  <c r="AM11" i="6"/>
  <c r="ZZ2" i="4"/>
  <c r="AG11" i="6"/>
  <c r="Z12" i="6"/>
  <c r="AI11" i="6"/>
  <c r="AP21" i="4"/>
  <c r="AO22" i="4"/>
  <c r="XM19" i="4"/>
  <c r="XR18" i="4"/>
  <c r="XY18" i="4"/>
  <c r="XQ18" i="4"/>
  <c r="XP18" i="4"/>
  <c r="YB18" i="4"/>
  <c r="XS18" i="4"/>
  <c r="YA18" i="4"/>
  <c r="XX18" i="4"/>
  <c r="XW18" i="4"/>
  <c r="XV18" i="4"/>
  <c r="XT18" i="4"/>
  <c r="XZ18" i="4"/>
  <c r="XN18" i="4"/>
  <c r="XO18" i="4"/>
  <c r="XU18" i="4"/>
  <c r="EH2" i="4"/>
  <c r="EG3" i="4"/>
  <c r="YB2" i="4"/>
  <c r="F31" i="9" s="1"/>
  <c r="AX29" i="8" s="1"/>
  <c r="YC3" i="4"/>
  <c r="YC18" i="4" s="1"/>
  <c r="YB6" i="4"/>
  <c r="YB5" i="4"/>
  <c r="YB7" i="4"/>
  <c r="YB8" i="4"/>
  <c r="YB9" i="4"/>
  <c r="YB10" i="4"/>
  <c r="YB11" i="4"/>
  <c r="YB12" i="4"/>
  <c r="YB13" i="4"/>
  <c r="YB14" i="4"/>
  <c r="YB15" i="4"/>
  <c r="YB16" i="4"/>
  <c r="WL147" i="4"/>
  <c r="WG153" i="4"/>
  <c r="WO127" i="4"/>
  <c r="WN140" i="4"/>
  <c r="WE263" i="4"/>
  <c r="WK99" i="4"/>
  <c r="WJ119" i="4"/>
  <c r="WF205" i="4" l="1"/>
  <c r="WG205" i="4" s="1"/>
  <c r="WI82" i="4"/>
  <c r="WH98" i="4"/>
  <c r="WI98" i="4" s="1"/>
  <c r="AAK6" i="4"/>
  <c r="WI97" i="4"/>
  <c r="AAM5" i="4"/>
  <c r="AAM6" i="4"/>
  <c r="AAL9" i="4"/>
  <c r="ZX9" i="4"/>
  <c r="WH101" i="4"/>
  <c r="AAH9" i="4"/>
  <c r="AAK8" i="4"/>
  <c r="ZX4" i="4"/>
  <c r="AAE5" i="4"/>
  <c r="AAK4" i="4"/>
  <c r="AAE9" i="4"/>
  <c r="AAH7" i="4"/>
  <c r="ZX6" i="4"/>
  <c r="AAL8" i="4"/>
  <c r="ZX5" i="4"/>
  <c r="AAG4" i="4"/>
  <c r="AAH5" i="4"/>
  <c r="AAH6" i="4"/>
  <c r="AAL5" i="4"/>
  <c r="ZX7" i="4"/>
  <c r="AAH4" i="4"/>
  <c r="AAG7" i="4"/>
  <c r="AAI4" i="4"/>
  <c r="AAE4" i="4"/>
  <c r="AAK9" i="4"/>
  <c r="AAG6" i="4"/>
  <c r="AAM9" i="4"/>
  <c r="AAM8" i="4"/>
  <c r="AAM7" i="4"/>
  <c r="AAG8" i="4"/>
  <c r="AAE6" i="4"/>
  <c r="AAE7" i="4"/>
  <c r="AAG9" i="4"/>
  <c r="AAK5" i="4"/>
  <c r="AAC9" i="4"/>
  <c r="AAF7" i="4"/>
  <c r="AAN5" i="4"/>
  <c r="AAN8" i="4"/>
  <c r="AAN6" i="4"/>
  <c r="AAN7" i="4"/>
  <c r="AAF6" i="4"/>
  <c r="AAI7" i="4"/>
  <c r="AAI9" i="4"/>
  <c r="AAN9" i="4"/>
  <c r="AAI6" i="4"/>
  <c r="AAJ9" i="4"/>
  <c r="AAJ5" i="4"/>
  <c r="AAJ4" i="4"/>
  <c r="AAJ6" i="4"/>
  <c r="AAJ7" i="4"/>
  <c r="AAL7" i="4"/>
  <c r="AAL6" i="4"/>
  <c r="WE281" i="4"/>
  <c r="WD286" i="4"/>
  <c r="AAF5" i="4"/>
  <c r="AAI8" i="4"/>
  <c r="WH129" i="4"/>
  <c r="WI129" i="4" s="1"/>
  <c r="AAC8" i="4"/>
  <c r="AAC7" i="4"/>
  <c r="AAC5" i="4"/>
  <c r="AAC4" i="4"/>
  <c r="AAN4" i="4"/>
  <c r="AAF9" i="4"/>
  <c r="AAF8" i="4"/>
  <c r="AAA7" i="4"/>
  <c r="AAA5" i="4"/>
  <c r="AAA8" i="4"/>
  <c r="AAA6" i="4"/>
  <c r="AAA4" i="4"/>
  <c r="AAA9" i="4"/>
  <c r="ZY7" i="4"/>
  <c r="ZY6" i="4"/>
  <c r="ZY5" i="4"/>
  <c r="ZY4" i="4"/>
  <c r="ZY9" i="4"/>
  <c r="ZY8" i="4"/>
  <c r="ZZ4" i="4"/>
  <c r="ZZ7" i="4"/>
  <c r="ZZ8" i="4"/>
  <c r="ZZ5" i="4"/>
  <c r="ZZ9" i="4"/>
  <c r="ZZ6" i="4"/>
  <c r="ZW4" i="4"/>
  <c r="ZW9" i="4"/>
  <c r="ZW7" i="4"/>
  <c r="ZW8" i="4"/>
  <c r="ZW6" i="4"/>
  <c r="ZW5" i="4"/>
  <c r="AAB4" i="4"/>
  <c r="AAB9" i="4"/>
  <c r="AAB5" i="4"/>
  <c r="AAB6" i="4"/>
  <c r="AAB7" i="4"/>
  <c r="AAB8" i="4"/>
  <c r="AAO5" i="4"/>
  <c r="AAO9" i="4"/>
  <c r="AAO8" i="4"/>
  <c r="AAO7" i="4"/>
  <c r="AAO4" i="4"/>
  <c r="AAO6" i="4"/>
  <c r="AAD8" i="4"/>
  <c r="AAD9" i="4"/>
  <c r="AAD4" i="4"/>
  <c r="AAD5" i="4"/>
  <c r="AAD6" i="4"/>
  <c r="AAD7" i="4"/>
  <c r="ZV5" i="4"/>
  <c r="ZV7" i="4"/>
  <c r="ZV9" i="4"/>
  <c r="ZV4" i="4"/>
  <c r="ZV6" i="4"/>
  <c r="ZV8" i="4"/>
  <c r="YC2" i="4"/>
  <c r="C34" i="9" s="1"/>
  <c r="B36" i="8" s="1"/>
  <c r="YC5" i="4"/>
  <c r="YC6" i="4"/>
  <c r="YC7" i="4"/>
  <c r="YC8" i="4"/>
  <c r="YC9" i="4"/>
  <c r="YC10" i="4"/>
  <c r="YC11" i="4"/>
  <c r="YC12" i="4"/>
  <c r="YC13" i="4"/>
  <c r="YC14" i="4"/>
  <c r="YC15" i="4"/>
  <c r="YC16" i="4"/>
  <c r="YC17" i="4"/>
  <c r="DF15" i="4"/>
  <c r="EI2" i="4"/>
  <c r="EH3" i="4"/>
  <c r="EZ3" i="4" s="1"/>
  <c r="XM20" i="4"/>
  <c r="XV19" i="4"/>
  <c r="XR19" i="4"/>
  <c r="XU19" i="4"/>
  <c r="XT19" i="4"/>
  <c r="XW19" i="4"/>
  <c r="XY19" i="4"/>
  <c r="XQ19" i="4"/>
  <c r="XN19" i="4"/>
  <c r="YB19" i="4"/>
  <c r="XX19" i="4"/>
  <c r="XZ19" i="4"/>
  <c r="XP19" i="4"/>
  <c r="XS19" i="4"/>
  <c r="YA19" i="4"/>
  <c r="YC19" i="4"/>
  <c r="XO19" i="4"/>
  <c r="AO23" i="4"/>
  <c r="AO24" i="4" s="1"/>
  <c r="AO25" i="4" s="1"/>
  <c r="AP22" i="4"/>
  <c r="WM147" i="4"/>
  <c r="WL154" i="4"/>
  <c r="WO140" i="4"/>
  <c r="WN165" i="4"/>
  <c r="WF213" i="4"/>
  <c r="WK119" i="4"/>
  <c r="WJ145" i="4"/>
  <c r="WF227" i="4" l="1"/>
  <c r="WH125" i="4"/>
  <c r="WI125" i="4" s="1"/>
  <c r="WI101" i="4"/>
  <c r="WH131" i="4"/>
  <c r="WI131" i="4" s="1"/>
  <c r="AAP7" i="4"/>
  <c r="BG6" i="4" s="1"/>
  <c r="AS31" i="1" s="1"/>
  <c r="AG31" i="1" s="1"/>
  <c r="WE286" i="4"/>
  <c r="WD300" i="4"/>
  <c r="AAP5" i="4"/>
  <c r="BG4" i="4" s="1"/>
  <c r="AS23" i="1" s="1"/>
  <c r="AG23" i="1" s="1"/>
  <c r="AAP4" i="4"/>
  <c r="BG3" i="4" s="1"/>
  <c r="AS19" i="1" s="1"/>
  <c r="AG19" i="1" s="1"/>
  <c r="WH134" i="4"/>
  <c r="WI134" i="4" s="1"/>
  <c r="AAP8" i="4"/>
  <c r="BG7" i="4" s="1"/>
  <c r="AAP9" i="4"/>
  <c r="BG8" i="4" s="1"/>
  <c r="BH8" i="4" s="1"/>
  <c r="AAP6" i="4"/>
  <c r="BG5" i="4" s="1"/>
  <c r="WM154" i="4"/>
  <c r="AO26" i="4"/>
  <c r="AP25" i="4"/>
  <c r="XM21" i="4"/>
  <c r="XS20" i="4"/>
  <c r="XN20" i="4"/>
  <c r="XV20" i="4"/>
  <c r="YB20" i="4"/>
  <c r="YA20" i="4"/>
  <c r="XX20" i="4"/>
  <c r="XP20" i="4"/>
  <c r="XW20" i="4"/>
  <c r="XO20" i="4"/>
  <c r="XY20" i="4"/>
  <c r="XQ20" i="4"/>
  <c r="XR20" i="4"/>
  <c r="YC20" i="4"/>
  <c r="XZ20" i="4"/>
  <c r="XT20" i="4"/>
  <c r="XU20" i="4"/>
  <c r="EJ2" i="4"/>
  <c r="EI3" i="4"/>
  <c r="WL161" i="4"/>
  <c r="WM161" i="4" s="1"/>
  <c r="WF228" i="4"/>
  <c r="WG213" i="4"/>
  <c r="WO165" i="4"/>
  <c r="WN174" i="4"/>
  <c r="WK145" i="4"/>
  <c r="WJ157" i="4"/>
  <c r="WG227" i="4" l="1"/>
  <c r="BH4" i="4"/>
  <c r="WH148" i="4"/>
  <c r="WH178" i="4" s="1"/>
  <c r="WI178" i="4" s="1"/>
  <c r="BH6" i="4"/>
  <c r="WH164" i="4"/>
  <c r="WH170" i="4" s="1"/>
  <c r="BH3" i="4"/>
  <c r="BH7" i="4"/>
  <c r="AS35" i="1"/>
  <c r="AG35" i="1" s="1"/>
  <c r="AS39" i="1"/>
  <c r="AG39" i="1" s="1"/>
  <c r="WE300" i="4"/>
  <c r="WD307" i="4"/>
  <c r="BH5" i="4"/>
  <c r="AS27" i="1"/>
  <c r="AG27" i="1" s="1"/>
  <c r="XM22" i="4"/>
  <c r="XW21" i="4"/>
  <c r="XV21" i="4"/>
  <c r="YA21" i="4"/>
  <c r="XS21" i="4"/>
  <c r="XR21" i="4"/>
  <c r="XX21" i="4"/>
  <c r="XT21" i="4"/>
  <c r="XP21" i="4"/>
  <c r="XN21" i="4"/>
  <c r="YB21" i="4"/>
  <c r="XQ21" i="4"/>
  <c r="XY21" i="4"/>
  <c r="XO21" i="4"/>
  <c r="XU21" i="4"/>
  <c r="YC21" i="4"/>
  <c r="XZ21" i="4"/>
  <c r="EK2" i="4"/>
  <c r="EL2" i="4" s="1"/>
  <c r="EJ3" i="4"/>
  <c r="AP26" i="4"/>
  <c r="AO27" i="4"/>
  <c r="WL176" i="4"/>
  <c r="WL189" i="4" s="1"/>
  <c r="WM189" i="4" s="1"/>
  <c r="WO174" i="4"/>
  <c r="WN190" i="4"/>
  <c r="WG228" i="4"/>
  <c r="WF231" i="4"/>
  <c r="WF257" i="4" s="1"/>
  <c r="WG257" i="4" s="1"/>
  <c r="WK157" i="4"/>
  <c r="WJ171" i="4"/>
  <c r="WI148" i="4" l="1"/>
  <c r="BF2" i="4"/>
  <c r="CB59" i="1" s="1"/>
  <c r="WH191" i="4"/>
  <c r="WH192" i="4" s="1"/>
  <c r="WH195" i="4" s="1"/>
  <c r="WI195" i="4" s="1"/>
  <c r="WI170" i="4"/>
  <c r="WI164" i="4"/>
  <c r="WE307" i="4"/>
  <c r="WD331" i="4"/>
  <c r="AP27" i="4"/>
  <c r="AO28" i="4"/>
  <c r="EK3" i="4"/>
  <c r="EK6" i="4" s="1"/>
  <c r="BA26" i="9" s="1"/>
  <c r="AQ26" i="9" s="1"/>
  <c r="EJ6" i="4"/>
  <c r="AP27" i="9" s="1"/>
  <c r="EM2" i="4"/>
  <c r="EN2" i="4" s="1"/>
  <c r="EL3" i="4"/>
  <c r="XM23" i="4"/>
  <c r="XY22" i="4"/>
  <c r="XS22" i="4"/>
  <c r="XP22" i="4"/>
  <c r="XT22" i="4"/>
  <c r="XR22" i="4"/>
  <c r="XX22" i="4"/>
  <c r="XN22" i="4"/>
  <c r="YA22" i="4"/>
  <c r="XU22" i="4"/>
  <c r="XO22" i="4"/>
  <c r="XW22" i="4"/>
  <c r="XQ22" i="4"/>
  <c r="XV22" i="4"/>
  <c r="YB22" i="4"/>
  <c r="XZ22" i="4"/>
  <c r="YC22" i="4"/>
  <c r="WL202" i="4"/>
  <c r="WM202" i="4" s="1"/>
  <c r="WM176" i="4"/>
  <c r="WO190" i="4"/>
  <c r="WN201" i="4"/>
  <c r="WG231" i="4"/>
  <c r="WF263" i="4"/>
  <c r="WK171" i="4"/>
  <c r="WJ185" i="4"/>
  <c r="WI191" i="4" l="1"/>
  <c r="WD343" i="4"/>
  <c r="XA16" i="4" s="1"/>
  <c r="WE331" i="4"/>
  <c r="EO2" i="4"/>
  <c r="EP2" i="4" s="1"/>
  <c r="EN3" i="4"/>
  <c r="XM24" i="4"/>
  <c r="YC23" i="4"/>
  <c r="XR23" i="4"/>
  <c r="XW23" i="4"/>
  <c r="XV23" i="4"/>
  <c r="XX23" i="4"/>
  <c r="XT23" i="4"/>
  <c r="XZ23" i="4"/>
  <c r="XO23" i="4"/>
  <c r="XU23" i="4"/>
  <c r="XS23" i="4"/>
  <c r="XP23" i="4"/>
  <c r="XQ23" i="4"/>
  <c r="YB23" i="4"/>
  <c r="XY23" i="4"/>
  <c r="YA23" i="4"/>
  <c r="XN23" i="4"/>
  <c r="EM3" i="4"/>
  <c r="EM6" i="4" s="1"/>
  <c r="BO26" i="9" s="1"/>
  <c r="BE26" i="9" s="1"/>
  <c r="EL6" i="4"/>
  <c r="BD27" i="9" s="1"/>
  <c r="AO29" i="4"/>
  <c r="AP28" i="4"/>
  <c r="WL207" i="4"/>
  <c r="WM207" i="4" s="1"/>
  <c r="WO201" i="4"/>
  <c r="WN209" i="4"/>
  <c r="WG263" i="4"/>
  <c r="WF276" i="4"/>
  <c r="WF281" i="4" s="1"/>
  <c r="WK185" i="4"/>
  <c r="WJ197" i="4"/>
  <c r="WI192" i="4"/>
  <c r="WH198" i="4"/>
  <c r="XA13" i="4" l="1"/>
  <c r="XA25" i="4"/>
  <c r="XA17" i="4"/>
  <c r="XA29" i="4"/>
  <c r="XA43" i="4"/>
  <c r="XA39" i="4"/>
  <c r="XA37" i="4"/>
  <c r="XA31" i="4"/>
  <c r="XA51" i="4"/>
  <c r="XA35" i="4"/>
  <c r="XA20" i="4"/>
  <c r="XA24" i="4"/>
  <c r="WE343" i="4"/>
  <c r="XA28" i="4"/>
  <c r="XA27" i="4"/>
  <c r="XA26" i="4"/>
  <c r="XA30" i="4"/>
  <c r="XA47" i="4"/>
  <c r="XA40" i="4"/>
  <c r="XA19" i="4"/>
  <c r="XA49" i="4"/>
  <c r="XA45" i="4"/>
  <c r="XA42" i="4"/>
  <c r="XA48" i="4"/>
  <c r="XA50" i="4"/>
  <c r="XA34" i="4"/>
  <c r="XA32" i="4"/>
  <c r="XA22" i="4"/>
  <c r="XA36" i="4"/>
  <c r="XA46" i="4"/>
  <c r="XA38" i="4"/>
  <c r="XA41" i="4"/>
  <c r="XA33" i="4"/>
  <c r="XA21" i="4"/>
  <c r="XA44" i="4"/>
  <c r="WG281" i="4"/>
  <c r="WF286" i="4"/>
  <c r="WG286" i="4" s="1"/>
  <c r="XA23" i="4"/>
  <c r="AP29" i="4"/>
  <c r="AO30" i="4"/>
  <c r="XV24" i="4"/>
  <c r="YA24" i="4"/>
  <c r="XS24" i="4"/>
  <c r="XU24" i="4"/>
  <c r="XW24" i="4"/>
  <c r="XN24" i="4"/>
  <c r="XQ24" i="4"/>
  <c r="XZ24" i="4"/>
  <c r="XT24" i="4"/>
  <c r="YB24" i="4"/>
  <c r="YC24" i="4"/>
  <c r="XP24" i="4"/>
  <c r="XR24" i="4"/>
  <c r="XX24" i="4"/>
  <c r="XO24" i="4"/>
  <c r="XY24" i="4"/>
  <c r="EO3" i="4"/>
  <c r="EO6" i="4" s="1"/>
  <c r="CC26" i="9" s="1"/>
  <c r="BS26" i="9" s="1"/>
  <c r="EN6" i="4"/>
  <c r="BR27" i="9" s="1"/>
  <c r="EQ2" i="4"/>
  <c r="ER2" i="4" s="1"/>
  <c r="EP3" i="4"/>
  <c r="WL214" i="4"/>
  <c r="WM214" i="4" s="1"/>
  <c r="WG276" i="4"/>
  <c r="WO209" i="4"/>
  <c r="WN238" i="4"/>
  <c r="WI198" i="4"/>
  <c r="WH211" i="4"/>
  <c r="WK197" i="4"/>
  <c r="WJ199" i="4"/>
  <c r="XA18" i="4" l="1"/>
  <c r="XA6" i="4"/>
  <c r="XA3" i="4"/>
  <c r="XA4" i="4"/>
  <c r="XA7" i="4"/>
  <c r="XA5" i="4"/>
  <c r="XA8" i="4"/>
  <c r="XA11" i="4"/>
  <c r="XA10" i="4"/>
  <c r="XA9" i="4"/>
  <c r="XA12" i="4"/>
  <c r="XA15" i="4"/>
  <c r="XA14" i="4"/>
  <c r="WF300" i="4"/>
  <c r="EQ3" i="4"/>
  <c r="EQ6" i="4" s="1"/>
  <c r="CQ26" i="9" s="1"/>
  <c r="CG26" i="9" s="1"/>
  <c r="EP6" i="4"/>
  <c r="CF27" i="9" s="1"/>
  <c r="ES2" i="4"/>
  <c r="ET2" i="4" s="1"/>
  <c r="ER3" i="4"/>
  <c r="AO31" i="4"/>
  <c r="AP30" i="4"/>
  <c r="WL219" i="4"/>
  <c r="WM219" i="4" s="1"/>
  <c r="WN240" i="4"/>
  <c r="WO238" i="4"/>
  <c r="WI211" i="4"/>
  <c r="WH212" i="4"/>
  <c r="WK199" i="4"/>
  <c r="WJ204" i="4"/>
  <c r="WF307" i="4" l="1"/>
  <c r="WF331" i="4" s="1"/>
  <c r="WG331" i="4" s="1"/>
  <c r="WG300" i="4"/>
  <c r="WF343" i="4"/>
  <c r="WG343" i="4" s="1"/>
  <c r="AP31" i="4"/>
  <c r="AO32" i="4"/>
  <c r="AO33" i="4" s="1"/>
  <c r="AO34" i="4" s="1"/>
  <c r="EU2" i="4"/>
  <c r="ET3" i="4"/>
  <c r="ET6" i="4" s="1"/>
  <c r="AV87" i="6" s="1"/>
  <c r="ES3" i="4"/>
  <c r="ES6" i="4" s="1"/>
  <c r="AM48" i="9" s="1"/>
  <c r="ER6" i="4"/>
  <c r="AB49" i="9" s="1"/>
  <c r="WL243" i="4"/>
  <c r="WL252" i="4" s="1"/>
  <c r="WN246" i="4"/>
  <c r="WO240" i="4"/>
  <c r="WK204" i="4"/>
  <c r="WJ210" i="4"/>
  <c r="WI212" i="4"/>
  <c r="WH216" i="4"/>
  <c r="XB13" i="4" l="1"/>
  <c r="XB38" i="4"/>
  <c r="XB30" i="4"/>
  <c r="XB24" i="4"/>
  <c r="XB28" i="4"/>
  <c r="XB43" i="4"/>
  <c r="XB51" i="4"/>
  <c r="XB44" i="4"/>
  <c r="XB23" i="4"/>
  <c r="XB19" i="4"/>
  <c r="XB25" i="4"/>
  <c r="XB42" i="4"/>
  <c r="XB47" i="4"/>
  <c r="XB17" i="4"/>
  <c r="XB22" i="4"/>
  <c r="XB14" i="4"/>
  <c r="XB26" i="4"/>
  <c r="XB15" i="4"/>
  <c r="XB3" i="4"/>
  <c r="XB4" i="4"/>
  <c r="XB6" i="4"/>
  <c r="XB5" i="4"/>
  <c r="XB7" i="4"/>
  <c r="XB8" i="4"/>
  <c r="XB10" i="4"/>
  <c r="XB12" i="4"/>
  <c r="XB9" i="4"/>
  <c r="XB45" i="4"/>
  <c r="XB32" i="4"/>
  <c r="WG307" i="4"/>
  <c r="XB11" i="4"/>
  <c r="XB16" i="4"/>
  <c r="XB34" i="4"/>
  <c r="XB31" i="4"/>
  <c r="XB20" i="4"/>
  <c r="XB46" i="4"/>
  <c r="XB36" i="4"/>
  <c r="AM51" i="9"/>
  <c r="AC48" i="9"/>
  <c r="EV2" i="4"/>
  <c r="EU3" i="4"/>
  <c r="EU6" i="4" s="1"/>
  <c r="AP34" i="4"/>
  <c r="AO35" i="4"/>
  <c r="WM243" i="4"/>
  <c r="WM252" i="4"/>
  <c r="WL269" i="4"/>
  <c r="WO246" i="4"/>
  <c r="WN251" i="4"/>
  <c r="XB33" i="4"/>
  <c r="XB41" i="4"/>
  <c r="XB27" i="4"/>
  <c r="XB39" i="4"/>
  <c r="XB50" i="4"/>
  <c r="XB37" i="4"/>
  <c r="XB49" i="4"/>
  <c r="XB35" i="4"/>
  <c r="XB21" i="4"/>
  <c r="XB18" i="4"/>
  <c r="XB40" i="4"/>
  <c r="XB48" i="4"/>
  <c r="XB29" i="4"/>
  <c r="WI216" i="4"/>
  <c r="WH270" i="4"/>
  <c r="WH272" i="4" s="1"/>
  <c r="WI272" i="4" s="1"/>
  <c r="WK210" i="4"/>
  <c r="WJ217" i="4"/>
  <c r="AO36" i="4" l="1"/>
  <c r="AP35" i="4"/>
  <c r="AU86" i="6"/>
  <c r="BF75" i="6"/>
  <c r="EW2" i="4"/>
  <c r="EV3" i="4"/>
  <c r="EV6" i="4" s="1"/>
  <c r="C91" i="6" s="1"/>
  <c r="WM269" i="4"/>
  <c r="WL280" i="4"/>
  <c r="WO251" i="4"/>
  <c r="WN258" i="4"/>
  <c r="WK217" i="4"/>
  <c r="WJ218" i="4"/>
  <c r="WI270" i="4"/>
  <c r="WH277" i="4"/>
  <c r="WH287" i="4" s="1"/>
  <c r="WI287" i="4" s="1"/>
  <c r="EX2" i="4" l="1"/>
  <c r="EW3" i="4"/>
  <c r="EW6" i="4" s="1"/>
  <c r="AO37" i="4"/>
  <c r="AP36" i="4"/>
  <c r="WM280" i="4"/>
  <c r="WL293" i="4"/>
  <c r="WO258" i="4"/>
  <c r="WN317" i="4"/>
  <c r="WI277" i="4"/>
  <c r="WH297" i="4"/>
  <c r="WH298" i="4" s="1"/>
  <c r="WI298" i="4" s="1"/>
  <c r="WK218" i="4"/>
  <c r="WJ226" i="4"/>
  <c r="B90" i="6" l="1"/>
  <c r="Y75" i="6"/>
  <c r="EY2" i="4"/>
  <c r="EY3" i="4" s="1"/>
  <c r="EY6" i="4" s="1"/>
  <c r="EX3" i="4"/>
  <c r="EX6" i="4" s="1"/>
  <c r="AV42" i="6" s="1"/>
  <c r="AP37" i="4"/>
  <c r="AO38" i="4"/>
  <c r="WM293" i="4"/>
  <c r="WL305" i="4"/>
  <c r="WO317" i="4"/>
  <c r="WN318" i="4"/>
  <c r="WK226" i="4"/>
  <c r="WJ233" i="4"/>
  <c r="WI297" i="4"/>
  <c r="WH302" i="4"/>
  <c r="AP38" i="4" l="1"/>
  <c r="AO39" i="4"/>
  <c r="AU41" i="6"/>
  <c r="BC33" i="6"/>
  <c r="WL306" i="4"/>
  <c r="WM305" i="4"/>
  <c r="WO318" i="4"/>
  <c r="WN348" i="4"/>
  <c r="WK233" i="4"/>
  <c r="WJ235" i="4"/>
  <c r="WI302" i="4"/>
  <c r="WH304" i="4"/>
  <c r="XF24" i="4" l="1"/>
  <c r="XF22" i="4"/>
  <c r="XF17" i="4"/>
  <c r="XF19" i="4"/>
  <c r="XF18" i="4"/>
  <c r="XF14" i="4"/>
  <c r="XF11" i="4"/>
  <c r="XF16" i="4"/>
  <c r="XF12" i="4"/>
  <c r="XF15" i="4"/>
  <c r="XF13" i="4"/>
  <c r="XF9" i="4"/>
  <c r="XF21" i="4"/>
  <c r="XF20" i="4"/>
  <c r="XF10" i="4"/>
  <c r="XF23" i="4"/>
  <c r="AO40" i="4"/>
  <c r="AP39" i="4"/>
  <c r="WM306" i="4"/>
  <c r="WL316" i="4"/>
  <c r="WO348" i="4"/>
  <c r="XF43" i="4"/>
  <c r="XF35" i="4"/>
  <c r="XF42" i="4"/>
  <c r="XF46" i="4"/>
  <c r="XF40" i="4"/>
  <c r="XF38" i="4"/>
  <c r="XF30" i="4"/>
  <c r="XF34" i="4"/>
  <c r="XF29" i="4"/>
  <c r="XF47" i="4"/>
  <c r="XF44" i="4"/>
  <c r="XF50" i="4"/>
  <c r="XF27" i="4"/>
  <c r="XF49" i="4"/>
  <c r="XF26" i="4"/>
  <c r="XF45" i="4"/>
  <c r="XF39" i="4"/>
  <c r="XF32" i="4"/>
  <c r="XF37" i="4"/>
  <c r="XF31" i="4"/>
  <c r="XF48" i="4"/>
  <c r="XF41" i="4"/>
  <c r="XF28" i="4"/>
  <c r="XF51" i="4"/>
  <c r="XF36" i="4"/>
  <c r="XF33" i="4"/>
  <c r="WI304" i="4"/>
  <c r="WH325" i="4"/>
  <c r="WK235" i="4"/>
  <c r="WJ244" i="4"/>
  <c r="XF25" i="4" l="1"/>
  <c r="XF4" i="4"/>
  <c r="XF3" i="4"/>
  <c r="XF5" i="4"/>
  <c r="XF8" i="4"/>
  <c r="XF6" i="4"/>
  <c r="XF7" i="4"/>
  <c r="AP40" i="4"/>
  <c r="AO41" i="4"/>
  <c r="WM316" i="4"/>
  <c r="WL336" i="4"/>
  <c r="WI325" i="4"/>
  <c r="WH330" i="4"/>
  <c r="WK244" i="4"/>
  <c r="WJ250" i="4"/>
  <c r="AO42" i="4" l="1"/>
  <c r="AP41" i="4"/>
  <c r="B27" i="6" s="1"/>
  <c r="BI4" i="6" s="1"/>
  <c r="BK2" i="6" s="1"/>
  <c r="BE4" i="7" s="1"/>
  <c r="WM336" i="4"/>
  <c r="WL346" i="4"/>
  <c r="WK250" i="4"/>
  <c r="WJ275" i="4"/>
  <c r="WI330" i="4"/>
  <c r="WH334" i="4"/>
  <c r="XE29" i="4" l="1"/>
  <c r="AP42" i="4"/>
  <c r="C27" i="6" s="1"/>
  <c r="AO43" i="4"/>
  <c r="WM346" i="4"/>
  <c r="WL354" i="4"/>
  <c r="XE11" i="4" s="1"/>
  <c r="WK275" i="4"/>
  <c r="WJ285" i="4"/>
  <c r="WI334" i="4"/>
  <c r="WH345" i="4"/>
  <c r="XE30" i="4" l="1"/>
  <c r="XE19" i="4"/>
  <c r="XE24" i="4"/>
  <c r="XE25" i="4"/>
  <c r="XE16" i="4"/>
  <c r="XE27" i="4"/>
  <c r="XE28" i="4"/>
  <c r="XE21" i="4"/>
  <c r="XE20" i="4"/>
  <c r="XE26" i="4"/>
  <c r="XE17" i="4"/>
  <c r="XE18" i="4"/>
  <c r="XE12" i="4"/>
  <c r="XE15" i="4"/>
  <c r="XE13" i="4"/>
  <c r="XE10" i="4"/>
  <c r="XE7" i="4"/>
  <c r="XE9" i="4"/>
  <c r="XE23" i="4"/>
  <c r="XE14" i="4"/>
  <c r="XE22" i="4"/>
  <c r="AO44" i="4"/>
  <c r="AP43" i="4"/>
  <c r="WM354" i="4"/>
  <c r="XE50" i="4"/>
  <c r="XE34" i="4"/>
  <c r="XE42" i="4"/>
  <c r="XE49" i="4"/>
  <c r="XE40" i="4"/>
  <c r="XE48" i="4"/>
  <c r="XE38" i="4"/>
  <c r="XE36" i="4"/>
  <c r="XE35" i="4"/>
  <c r="XE45" i="4"/>
  <c r="XE43" i="4"/>
  <c r="XE41" i="4"/>
  <c r="XE46" i="4"/>
  <c r="XE39" i="4"/>
  <c r="XE51" i="4"/>
  <c r="XE33" i="4"/>
  <c r="XE32" i="4"/>
  <c r="XE37" i="4"/>
  <c r="XE44" i="4"/>
  <c r="XE47" i="4"/>
  <c r="WI345" i="4"/>
  <c r="WH361" i="4"/>
  <c r="WI361" i="4" s="1"/>
  <c r="WK285" i="4"/>
  <c r="WJ288" i="4"/>
  <c r="XC3" i="4" l="1"/>
  <c r="XC4" i="4"/>
  <c r="XC8" i="4"/>
  <c r="XC7" i="4"/>
  <c r="XC5" i="4"/>
  <c r="XC9" i="4"/>
  <c r="XC6" i="4"/>
  <c r="XE31" i="4"/>
  <c r="XE4" i="4"/>
  <c r="XE3" i="4"/>
  <c r="XE5" i="4"/>
  <c r="XE6" i="4"/>
  <c r="XE8" i="4"/>
  <c r="AP44" i="4"/>
  <c r="AO45" i="4"/>
  <c r="WK288" i="4"/>
  <c r="WJ291" i="4"/>
  <c r="XC11" i="4"/>
  <c r="XC12" i="4"/>
  <c r="XC197" i="4"/>
  <c r="XC158" i="4"/>
  <c r="XC207" i="4"/>
  <c r="XC150" i="4"/>
  <c r="XC131" i="4"/>
  <c r="XC107" i="4"/>
  <c r="XC19" i="4"/>
  <c r="XC151" i="4"/>
  <c r="XC126" i="4"/>
  <c r="XC97" i="4"/>
  <c r="XC17" i="4"/>
  <c r="XC140" i="4"/>
  <c r="XC33" i="4"/>
  <c r="XC82" i="4"/>
  <c r="XC81" i="4"/>
  <c r="XC53" i="4"/>
  <c r="XC124" i="4"/>
  <c r="XC128" i="4"/>
  <c r="XC166" i="4"/>
  <c r="XC194" i="4"/>
  <c r="XC65" i="4"/>
  <c r="XC10" i="4"/>
  <c r="XC38" i="4"/>
  <c r="XC58" i="4"/>
  <c r="XC208" i="4"/>
  <c r="XC148" i="4"/>
  <c r="XC130" i="4"/>
  <c r="XC212" i="4"/>
  <c r="XC155" i="4"/>
  <c r="XC83" i="4"/>
  <c r="XC25" i="4"/>
  <c r="XC172" i="4"/>
  <c r="XC73" i="4"/>
  <c r="XC87" i="4"/>
  <c r="XC114" i="4"/>
  <c r="XC202" i="4"/>
  <c r="XC90" i="4"/>
  <c r="XC231" i="4"/>
  <c r="XC147" i="4"/>
  <c r="XC105" i="4"/>
  <c r="XC20" i="4"/>
  <c r="XC180" i="4"/>
  <c r="XC24" i="4"/>
  <c r="XC133" i="4"/>
  <c r="XC186" i="4"/>
  <c r="XC96" i="4"/>
  <c r="XC26" i="4"/>
  <c r="XC70" i="4"/>
  <c r="XC145" i="4"/>
  <c r="XC85" i="4"/>
  <c r="XC218" i="4"/>
  <c r="XC103" i="4"/>
  <c r="XC135" i="4"/>
  <c r="XC220" i="4"/>
  <c r="XC167" i="4"/>
  <c r="XC110" i="4"/>
  <c r="XC46" i="4"/>
  <c r="XC146" i="4"/>
  <c r="XC113" i="4"/>
  <c r="XC198" i="4"/>
  <c r="XC18" i="4"/>
  <c r="XC29" i="4"/>
  <c r="XC223" i="4"/>
  <c r="XC216" i="4"/>
  <c r="XC144" i="4"/>
  <c r="XC161" i="4"/>
  <c r="XC35" i="4"/>
  <c r="XC163" i="4"/>
  <c r="XC40" i="4"/>
  <c r="XC182" i="4"/>
  <c r="XC196" i="4"/>
  <c r="XC143" i="4"/>
  <c r="XC16" i="4"/>
  <c r="XC132" i="4"/>
  <c r="XC164" i="4"/>
  <c r="XC191" i="4"/>
  <c r="XC48" i="4"/>
  <c r="XC199" i="4"/>
  <c r="XC222" i="4"/>
  <c r="XC173" i="4"/>
  <c r="XC116" i="4"/>
  <c r="XC179" i="4"/>
  <c r="XC68" i="4"/>
  <c r="XC153" i="4"/>
  <c r="XC137" i="4"/>
  <c r="XC123" i="4"/>
  <c r="XC84" i="4"/>
  <c r="XC233" i="4"/>
  <c r="XC165" i="4"/>
  <c r="XC171" i="4"/>
  <c r="XC219" i="4"/>
  <c r="XC39" i="4"/>
  <c r="XC13" i="4"/>
  <c r="XC134" i="4"/>
  <c r="XC184" i="4"/>
  <c r="XC60" i="4"/>
  <c r="XC200" i="4"/>
  <c r="XC127" i="4"/>
  <c r="XC139" i="4"/>
  <c r="XC206" i="4"/>
  <c r="XC72" i="4"/>
  <c r="XC104" i="4"/>
  <c r="XC55" i="4"/>
  <c r="XC50" i="4"/>
  <c r="XC45" i="4"/>
  <c r="XC98" i="4"/>
  <c r="XC195" i="4"/>
  <c r="XC74" i="4"/>
  <c r="XC189" i="4"/>
  <c r="XC51" i="4"/>
  <c r="XC169" i="4"/>
  <c r="XC52" i="4"/>
  <c r="XC56" i="4"/>
  <c r="XC201" i="4"/>
  <c r="XC94" i="4"/>
  <c r="XC106" i="4"/>
  <c r="XC61" i="4"/>
  <c r="XC30" i="4"/>
  <c r="XC62" i="4"/>
  <c r="XC192" i="4"/>
  <c r="XC160" i="4"/>
  <c r="XC14" i="4"/>
  <c r="XC204" i="4"/>
  <c r="XC57" i="4"/>
  <c r="XC226" i="4"/>
  <c r="XC119" i="4"/>
  <c r="XC205" i="4"/>
  <c r="XC66" i="4"/>
  <c r="XC174" i="4"/>
  <c r="XC138" i="4"/>
  <c r="XC214" i="4"/>
  <c r="XC217" i="4"/>
  <c r="XC187" i="4"/>
  <c r="XC141" i="4"/>
  <c r="XC213" i="4"/>
  <c r="XC49" i="4"/>
  <c r="XC121" i="4"/>
  <c r="XC178" i="4"/>
  <c r="XC117" i="4"/>
  <c r="XC122" i="4"/>
  <c r="XC230" i="4"/>
  <c r="XC224" i="4"/>
  <c r="XC227" i="4"/>
  <c r="XC76" i="4"/>
  <c r="XC183" i="4"/>
  <c r="XC229" i="4"/>
  <c r="XC181" i="4"/>
  <c r="XC225" i="4"/>
  <c r="XC77" i="4"/>
  <c r="XC228" i="4"/>
  <c r="XC88" i="4"/>
  <c r="XC99" i="4"/>
  <c r="XC129" i="4"/>
  <c r="XC157" i="4"/>
  <c r="XC31" i="4"/>
  <c r="XC22" i="4"/>
  <c r="XC59" i="4"/>
  <c r="XC28" i="4"/>
  <c r="XC112" i="4"/>
  <c r="XC156" i="4"/>
  <c r="XC37" i="4"/>
  <c r="XC23" i="4"/>
  <c r="XC75" i="4"/>
  <c r="XC21" i="4"/>
  <c r="XC215" i="4"/>
  <c r="XC69" i="4"/>
  <c r="XC221" i="4"/>
  <c r="XC101" i="4"/>
  <c r="XC154" i="4"/>
  <c r="XC162" i="4"/>
  <c r="XC47" i="4"/>
  <c r="XC15" i="4"/>
  <c r="XC42" i="4"/>
  <c r="XC175" i="4"/>
  <c r="XC86" i="4"/>
  <c r="XC34" i="4"/>
  <c r="XC95" i="4"/>
  <c r="XC78" i="4"/>
  <c r="XC190" i="4"/>
  <c r="XC185" i="4"/>
  <c r="XC89" i="4"/>
  <c r="XC111" i="4"/>
  <c r="XC142" i="4"/>
  <c r="XC168" i="4"/>
  <c r="XC118" i="4"/>
  <c r="XC79" i="4"/>
  <c r="XC27" i="4"/>
  <c r="XC102" i="4"/>
  <c r="XC210" i="4"/>
  <c r="XC93" i="4"/>
  <c r="XC41" i="4"/>
  <c r="XC32" i="4"/>
  <c r="XC177" i="4"/>
  <c r="XC125" i="4"/>
  <c r="XC234" i="4"/>
  <c r="XC92" i="4"/>
  <c r="XC159" i="4"/>
  <c r="XC36" i="4"/>
  <c r="XC188" i="4"/>
  <c r="XC211" i="4"/>
  <c r="XC100" i="4"/>
  <c r="XC176" i="4"/>
  <c r="XC80" i="4"/>
  <c r="XC91" i="4"/>
  <c r="XC44" i="4"/>
  <c r="XC43" i="4"/>
  <c r="XC232" i="4"/>
  <c r="XC136" i="4"/>
  <c r="XC54" i="4"/>
  <c r="XC63" i="4"/>
  <c r="XC170" i="4"/>
  <c r="XC115" i="4"/>
  <c r="XC64" i="4"/>
  <c r="XC67" i="4"/>
  <c r="XC152" i="4"/>
  <c r="XC109" i="4"/>
  <c r="XC193" i="4"/>
  <c r="XC149" i="4"/>
  <c r="XC120" i="4"/>
  <c r="XC203" i="4"/>
  <c r="XC209" i="4"/>
  <c r="XC108" i="4"/>
  <c r="AP45" i="4" l="1"/>
  <c r="AO46" i="4"/>
  <c r="WK291" i="4"/>
  <c r="WJ296" i="4"/>
  <c r="AP46" i="4" l="1"/>
  <c r="AO47" i="4"/>
  <c r="WK296" i="4"/>
  <c r="WJ311" i="4"/>
  <c r="AO48" i="4" l="1"/>
  <c r="AP47" i="4"/>
  <c r="WK311" i="4"/>
  <c r="WJ320" i="4"/>
  <c r="AO49" i="4" l="1"/>
  <c r="AP48" i="4"/>
  <c r="WK320" i="4"/>
  <c r="WJ356" i="4"/>
  <c r="WK356" i="4" s="1"/>
  <c r="XD3" i="4" l="1"/>
  <c r="XD6" i="4"/>
  <c r="XD4" i="4"/>
  <c r="XD7" i="4"/>
  <c r="XD8" i="4"/>
  <c r="XD5" i="4"/>
  <c r="AP49" i="4"/>
  <c r="AO50" i="4"/>
  <c r="XD13" i="4"/>
  <c r="XD20" i="4"/>
  <c r="XD35" i="4"/>
  <c r="XD9" i="4"/>
  <c r="XD42" i="4"/>
  <c r="XD37" i="4"/>
  <c r="XD18" i="4"/>
  <c r="XD23" i="4"/>
  <c r="XD25" i="4"/>
  <c r="XD49" i="4"/>
  <c r="XD34" i="4"/>
  <c r="XD19" i="4"/>
  <c r="XD45" i="4"/>
  <c r="XD39" i="4"/>
  <c r="XD43" i="4"/>
  <c r="XD38" i="4"/>
  <c r="XD16" i="4"/>
  <c r="XD21" i="4"/>
  <c r="XD26" i="4"/>
  <c r="XD40" i="4"/>
  <c r="XD36" i="4"/>
  <c r="XD22" i="4"/>
  <c r="XD44" i="4"/>
  <c r="XD14" i="4"/>
  <c r="XD30" i="4"/>
  <c r="XD51" i="4"/>
  <c r="XD10" i="4"/>
  <c r="XD27" i="4"/>
  <c r="XD41" i="4"/>
  <c r="XD50" i="4"/>
  <c r="XD24" i="4"/>
  <c r="XD15" i="4"/>
  <c r="XD12" i="4"/>
  <c r="XD47" i="4"/>
  <c r="XD46" i="4"/>
  <c r="XD32" i="4"/>
  <c r="XD11" i="4"/>
  <c r="XD48" i="4"/>
  <c r="XD29" i="4"/>
  <c r="XD17" i="4"/>
  <c r="XD33" i="4"/>
  <c r="XD28" i="4"/>
  <c r="XD31" i="4"/>
  <c r="AP50" i="4" l="1"/>
  <c r="AO51" i="4"/>
  <c r="AO52" i="4" l="1"/>
  <c r="AP51" i="4"/>
  <c r="AO53" i="4" l="1"/>
  <c r="AP52" i="4"/>
  <c r="AP53" i="4" l="1"/>
  <c r="AO54" i="4"/>
  <c r="AP54" i="4" l="1"/>
  <c r="AO55" i="4"/>
  <c r="AO56" i="4" l="1"/>
  <c r="AP55" i="4"/>
  <c r="AO57" i="4" l="1"/>
  <c r="AP56" i="4"/>
  <c r="AP57" i="4" l="1"/>
  <c r="AO58" i="4"/>
  <c r="AP58" i="4" l="1"/>
  <c r="AO59" i="4"/>
  <c r="AO60" i="4" l="1"/>
  <c r="AP59" i="4"/>
  <c r="AO61" i="4" l="1"/>
  <c r="AP60" i="4"/>
  <c r="AP61" i="4" l="1"/>
  <c r="AO62" i="4"/>
  <c r="AP62" i="4" l="1"/>
  <c r="AO63" i="4"/>
  <c r="AP63" i="4" l="1"/>
  <c r="AO64" i="4"/>
</calcChain>
</file>

<file path=xl/sharedStrings.xml><?xml version="1.0" encoding="utf-8"?>
<sst xmlns="http://schemas.openxmlformats.org/spreadsheetml/2006/main" count="9164" uniqueCount="3687">
  <si>
    <t>CHARACTER NAME</t>
  </si>
  <si>
    <t>REGION</t>
  </si>
  <si>
    <t>CLASS</t>
  </si>
  <si>
    <t>RACE</t>
  </si>
  <si>
    <t>GENDER</t>
  </si>
  <si>
    <t>ALIGNMENT</t>
  </si>
  <si>
    <t>DEITY</t>
  </si>
  <si>
    <t>LEVEL</t>
  </si>
  <si>
    <t>SIZE</t>
  </si>
  <si>
    <t>TYPE</t>
  </si>
  <si>
    <t>AGE</t>
  </si>
  <si>
    <t>HEIGHT</t>
  </si>
  <si>
    <t>WEIGHT</t>
  </si>
  <si>
    <t>EYES</t>
  </si>
  <si>
    <t>HAIR</t>
  </si>
  <si>
    <t>ABILITY SCORE</t>
  </si>
  <si>
    <t>ABILITY MODIFIER</t>
  </si>
  <si>
    <t>TOTAL</t>
  </si>
  <si>
    <t>SPEED</t>
  </si>
  <si>
    <t>STR</t>
  </si>
  <si>
    <t>HP</t>
  </si>
  <si>
    <t>STRENGTH</t>
  </si>
  <si>
    <t>HIT POINTS</t>
  </si>
  <si>
    <t>DEX</t>
  </si>
  <si>
    <t>AC</t>
  </si>
  <si>
    <t>=</t>
  </si>
  <si>
    <t>+</t>
  </si>
  <si>
    <t>DEXTERITY</t>
  </si>
  <si>
    <t>ARMOR CLASS</t>
  </si>
  <si>
    <t>DEX MODIFIER</t>
  </si>
  <si>
    <t>DAMAGE REDUCTION</t>
  </si>
  <si>
    <t>CON</t>
  </si>
  <si>
    <t>CONSTITUTION</t>
  </si>
  <si>
    <t>SKILLS</t>
  </si>
  <si>
    <t>INT</t>
  </si>
  <si>
    <t>SKILL NAME</t>
  </si>
  <si>
    <t>KEY ABILITY</t>
  </si>
  <si>
    <t>SKILL MODIFIER</t>
  </si>
  <si>
    <t>INTELLIGENCE</t>
  </si>
  <si>
    <t>WIS</t>
  </si>
  <si>
    <t>WISDOM</t>
  </si>
  <si>
    <t>INITIATIVE</t>
  </si>
  <si>
    <t>CHA</t>
  </si>
  <si>
    <t>MODIFIER</t>
  </si>
  <si>
    <t>CHARISMA</t>
  </si>
  <si>
    <t>SAVING THROWS</t>
  </si>
  <si>
    <t>WEAPON</t>
  </si>
  <si>
    <t>DAMAGE</t>
  </si>
  <si>
    <t>RANGE</t>
  </si>
  <si>
    <t>AMMUNITION</t>
  </si>
  <si>
    <t>£</t>
  </si>
  <si>
    <t>CAMPAIGN</t>
  </si>
  <si>
    <t>GEAR</t>
  </si>
  <si>
    <t>ITEM</t>
  </si>
  <si>
    <t>TOTAL WEIGHT CARRIED</t>
  </si>
  <si>
    <t>LANGUAGES</t>
  </si>
  <si>
    <t>PLAYER NAME</t>
  </si>
  <si>
    <t>SUBRACE</t>
  </si>
  <si>
    <t>ABILITIES</t>
  </si>
  <si>
    <t>TEMPORARY
SCORE</t>
  </si>
  <si>
    <t>SAVING
THROW</t>
  </si>
  <si>
    <t>TEMPORARY
MODIFIER</t>
  </si>
  <si>
    <t>SUB CLASS</t>
  </si>
  <si>
    <t>ACROBATICS</t>
  </si>
  <si>
    <t>ANIMAL HANDLING</t>
  </si>
  <si>
    <t>DECEPTION</t>
  </si>
  <si>
    <t>INSIGHT</t>
  </si>
  <si>
    <t>INTIMIDATION</t>
  </si>
  <si>
    <t>MEDICINE</t>
  </si>
  <si>
    <t>PERSUASION</t>
  </si>
  <si>
    <t>PERFORMANCE</t>
  </si>
  <si>
    <t>SLEIGHT OF HAND</t>
  </si>
  <si>
    <t>SURVIVAL</t>
  </si>
  <si>
    <t>PROFICIENT</t>
  </si>
  <si>
    <t>PROFICIENCY
BONUS</t>
  </si>
  <si>
    <t>PROFICIENCIES</t>
  </si>
  <si>
    <t>PROFICIENCY BONUS</t>
  </si>
  <si>
    <t>WEAPONS</t>
  </si>
  <si>
    <t>ARMOR</t>
  </si>
  <si>
    <t>TOOLS</t>
  </si>
  <si>
    <t>ABILITY
NAME</t>
  </si>
  <si>
    <t>ATTACK 1</t>
  </si>
  <si>
    <t>ATTACK 2</t>
  </si>
  <si>
    <t>ATTACK 3</t>
  </si>
  <si>
    <t>ATTACK 4</t>
  </si>
  <si>
    <t>ATTACK 5</t>
  </si>
  <si>
    <t>Properties</t>
  </si>
  <si>
    <t>Martial Ranged</t>
  </si>
  <si>
    <t>1d8</t>
  </si>
  <si>
    <t>150/600</t>
  </si>
  <si>
    <t>Heavy</t>
  </si>
  <si>
    <t>Light</t>
  </si>
  <si>
    <t>Finesse</t>
  </si>
  <si>
    <t>Thrown</t>
  </si>
  <si>
    <t>Versatile</t>
  </si>
  <si>
    <t>Two-Handed</t>
  </si>
  <si>
    <t>Loading</t>
  </si>
  <si>
    <t>Mounted</t>
  </si>
  <si>
    <t>Reach</t>
  </si>
  <si>
    <t>Special</t>
  </si>
  <si>
    <t>Ammunition</t>
  </si>
  <si>
    <t>Blowgun</t>
  </si>
  <si>
    <t>Bolas</t>
  </si>
  <si>
    <t>Net</t>
  </si>
  <si>
    <t>1d6</t>
  </si>
  <si>
    <t>1d10</t>
  </si>
  <si>
    <t>piercing</t>
  </si>
  <si>
    <t>bludgeoning</t>
  </si>
  <si>
    <t>25/100</t>
  </si>
  <si>
    <t>30/120</t>
  </si>
  <si>
    <t>100/400</t>
  </si>
  <si>
    <t>PROPERTIES</t>
  </si>
  <si>
    <t>Battleaxe</t>
  </si>
  <si>
    <t>Flail</t>
  </si>
  <si>
    <t>Glaive</t>
  </si>
  <si>
    <t>Great axe</t>
  </si>
  <si>
    <t>Halberd</t>
  </si>
  <si>
    <t>Lance</t>
  </si>
  <si>
    <t>Long sword</t>
  </si>
  <si>
    <t>Maul</t>
  </si>
  <si>
    <t>Morningstar</t>
  </si>
  <si>
    <t>Pike</t>
  </si>
  <si>
    <t>Rapier</t>
  </si>
  <si>
    <t>Scimitar</t>
  </si>
  <si>
    <t>Short sword</t>
  </si>
  <si>
    <t>Trident</t>
  </si>
  <si>
    <t>War pick</t>
  </si>
  <si>
    <t>Warhammer</t>
  </si>
  <si>
    <t>Whip</t>
  </si>
  <si>
    <t>Martial Melee</t>
  </si>
  <si>
    <t>1d12</t>
  </si>
  <si>
    <t>2d6</t>
  </si>
  <si>
    <t>Great sword</t>
  </si>
  <si>
    <t>1d4</t>
  </si>
  <si>
    <t>slashing</t>
  </si>
  <si>
    <t>ammunition</t>
  </si>
  <si>
    <t>finesse</t>
  </si>
  <si>
    <t>heavy</t>
  </si>
  <si>
    <t>light</t>
  </si>
  <si>
    <t>loading</t>
  </si>
  <si>
    <t>-</t>
  </si>
  <si>
    <t>30/90</t>
  </si>
  <si>
    <t>20/60</t>
  </si>
  <si>
    <t>range</t>
  </si>
  <si>
    <t>reach</t>
  </si>
  <si>
    <t>versatile</t>
  </si>
  <si>
    <t>thrown</t>
  </si>
  <si>
    <t>two-handed</t>
  </si>
  <si>
    <t>name</t>
  </si>
  <si>
    <t>type</t>
  </si>
  <si>
    <t>damage</t>
  </si>
  <si>
    <t>weight</t>
  </si>
  <si>
    <t>group</t>
  </si>
  <si>
    <t>Club</t>
  </si>
  <si>
    <t>Dagger</t>
  </si>
  <si>
    <t>Great club</t>
  </si>
  <si>
    <t>Handaxe</t>
  </si>
  <si>
    <t>Light hammer</t>
  </si>
  <si>
    <t>Mace</t>
  </si>
  <si>
    <t>Quarterstaff</t>
  </si>
  <si>
    <t>Sickle</t>
  </si>
  <si>
    <t>Spear</t>
  </si>
  <si>
    <t>Unarmed strike</t>
  </si>
  <si>
    <t>Dart</t>
  </si>
  <si>
    <t>Javelin</t>
  </si>
  <si>
    <t>Shortbow</t>
  </si>
  <si>
    <t>Longbow</t>
  </si>
  <si>
    <t>Simple Melee</t>
  </si>
  <si>
    <t>Simple Ranged</t>
  </si>
  <si>
    <t>Sling</t>
  </si>
  <si>
    <t>80/320</t>
  </si>
  <si>
    <t>Select…</t>
  </si>
  <si>
    <t>Spell</t>
  </si>
  <si>
    <t>Attack 1_2</t>
  </si>
  <si>
    <t>Attack 1_3</t>
  </si>
  <si>
    <t>Attack 1_4</t>
  </si>
  <si>
    <t>Attack 1_5</t>
  </si>
  <si>
    <t>Attack 1_6</t>
  </si>
  <si>
    <t>versatile (1d10)</t>
  </si>
  <si>
    <t>versatile (1d8)</t>
  </si>
  <si>
    <t>ATTACK BONUS</t>
  </si>
  <si>
    <t>STEALTH</t>
  </si>
  <si>
    <t>PERCEPTION</t>
  </si>
  <si>
    <t>ARCANA</t>
  </si>
  <si>
    <t>HISTORY</t>
  </si>
  <si>
    <t>NATURE</t>
  </si>
  <si>
    <t>RELIGION</t>
  </si>
  <si>
    <t>none</t>
  </si>
  <si>
    <t>ATHLETICS</t>
  </si>
  <si>
    <t>ATTACK 6</t>
  </si>
  <si>
    <t>OVERRIDES</t>
  </si>
  <si>
    <t>Elf</t>
  </si>
  <si>
    <t>High</t>
  </si>
  <si>
    <t>Male</t>
  </si>
  <si>
    <t>Neutral Good</t>
  </si>
  <si>
    <t>Medium</t>
  </si>
  <si>
    <t>Lawful Good</t>
  </si>
  <si>
    <t>Chaotic Good</t>
  </si>
  <si>
    <t>Lawful Neutral</t>
  </si>
  <si>
    <t>Chaotic Neutral</t>
  </si>
  <si>
    <t>Lawful Evil</t>
  </si>
  <si>
    <t>Neutral Evil</t>
  </si>
  <si>
    <t>Chaotic Evil</t>
  </si>
  <si>
    <t>Neutral</t>
  </si>
  <si>
    <t xml:space="preserve">Lawful good creatures can be counted on to do the right thing, as expected by society. Gold dragons, paladins, and most dwarves are lawful good.  </t>
  </si>
  <si>
    <t xml:space="preserve">Chaotic good creatures act as their conscience directs, with little regard for what others expect. Copper dragons, many elves, and unicorns are chaotic good.  </t>
  </si>
  <si>
    <t xml:space="preserve">Neutral is the alignment of those that prefer to steer clear of moral questions and don’t take sides, doing what seems best at the time. Lizardfolk, most druids, and many humans are neutral.  </t>
  </si>
  <si>
    <t xml:space="preserve">Chaotic neutral creatures follow their whims, holding their personal freedom above all else. Many barbarians and rogues, and some bards, are chaotic neutral.  </t>
  </si>
  <si>
    <t xml:space="preserve">Lawful evil creatures methodically take what they want, within the limits of a code of tradition, loyalty, or order. Devils, blue dragons, and hobgoblins are lawful evil.  </t>
  </si>
  <si>
    <t>Dwarf</t>
  </si>
  <si>
    <t>Human</t>
  </si>
  <si>
    <t>Halfling</t>
  </si>
  <si>
    <t>Dragonborn</t>
  </si>
  <si>
    <t>Drow</t>
  </si>
  <si>
    <t>Gnome</t>
  </si>
  <si>
    <t>Half-Elf</t>
  </si>
  <si>
    <t>Half-Orc</t>
  </si>
  <si>
    <t>Tiefling</t>
  </si>
  <si>
    <t>Female</t>
  </si>
  <si>
    <t xml:space="preserve"> </t>
  </si>
  <si>
    <t>REMAINING</t>
  </si>
  <si>
    <t>HD</t>
  </si>
  <si>
    <t>HIT DICE</t>
  </si>
  <si>
    <t>NEXT LEVEL</t>
  </si>
  <si>
    <t>EXPERIENCE</t>
  </si>
  <si>
    <t>FEATS</t>
  </si>
  <si>
    <t>Cleric</t>
  </si>
  <si>
    <t>DEATH ROLLS</t>
  </si>
  <si>
    <t>VISION</t>
  </si>
  <si>
    <t>Hill</t>
  </si>
  <si>
    <t>Mountain</t>
  </si>
  <si>
    <t>Lightfoot</t>
  </si>
  <si>
    <t>Stout</t>
  </si>
  <si>
    <t>Wood</t>
  </si>
  <si>
    <t>Forest</t>
  </si>
  <si>
    <t>Rock</t>
  </si>
  <si>
    <t>Padded armor</t>
  </si>
  <si>
    <t>Leather armor</t>
  </si>
  <si>
    <t>Hide armor</t>
  </si>
  <si>
    <t>Studded leather</t>
  </si>
  <si>
    <t>dex mod</t>
  </si>
  <si>
    <t>stealth</t>
  </si>
  <si>
    <t>Scale mail</t>
  </si>
  <si>
    <t>Ring mail</t>
  </si>
  <si>
    <t>Chain mail</t>
  </si>
  <si>
    <t>Shield</t>
  </si>
  <si>
    <t>SHIELD</t>
  </si>
  <si>
    <t>Armor</t>
  </si>
  <si>
    <t>ATTACKS</t>
  </si>
  <si>
    <t>Disadvantage</t>
  </si>
  <si>
    <t>Splint mail</t>
  </si>
  <si>
    <t>Plate mail</t>
  </si>
  <si>
    <t>DEX MOD</t>
  </si>
  <si>
    <t>COINAGE</t>
  </si>
  <si>
    <t>PLATINUM (PP)</t>
  </si>
  <si>
    <t>GOLD (GP)</t>
  </si>
  <si>
    <t>ELECTRUM (EP)</t>
  </si>
  <si>
    <t>SILVER (SP)</t>
  </si>
  <si>
    <t>COPPER (CP)</t>
  </si>
  <si>
    <t>Undercommon</t>
  </si>
  <si>
    <t>Small</t>
  </si>
  <si>
    <t>Common</t>
  </si>
  <si>
    <t>Dwarvish</t>
  </si>
  <si>
    <t>Elvish</t>
  </si>
  <si>
    <t>Giant</t>
  </si>
  <si>
    <t>Gnomish</t>
  </si>
  <si>
    <t>Goblin</t>
  </si>
  <si>
    <t>Orc</t>
  </si>
  <si>
    <t>Abyssal</t>
  </si>
  <si>
    <t>Celestial</t>
  </si>
  <si>
    <t>Draconic</t>
  </si>
  <si>
    <t>Deep Speech</t>
  </si>
  <si>
    <t>Infernal</t>
  </si>
  <si>
    <t>Primordial</t>
  </si>
  <si>
    <t>Sylvan</t>
  </si>
  <si>
    <t>SUBCLASS</t>
  </si>
  <si>
    <t>Barbarian</t>
  </si>
  <si>
    <t>Totem Warrior</t>
  </si>
  <si>
    <t>Beserker</t>
  </si>
  <si>
    <t>Bard</t>
  </si>
  <si>
    <t>Valor</t>
  </si>
  <si>
    <t>Knowledge</t>
  </si>
  <si>
    <t>Life</t>
  </si>
  <si>
    <t>Nature</t>
  </si>
  <si>
    <t>War</t>
  </si>
  <si>
    <t>Moon</t>
  </si>
  <si>
    <t>Land</t>
  </si>
  <si>
    <t>Druid</t>
  </si>
  <si>
    <t>Fighter</t>
  </si>
  <si>
    <t>Abjuration</t>
  </si>
  <si>
    <t>Conjuration</t>
  </si>
  <si>
    <t>Divination</t>
  </si>
  <si>
    <t>Enchantment</t>
  </si>
  <si>
    <t>Evocation</t>
  </si>
  <si>
    <t>Illusion</t>
  </si>
  <si>
    <t>Necromancy</t>
  </si>
  <si>
    <t>Transmutation</t>
  </si>
  <si>
    <t>Platinum (PP)</t>
  </si>
  <si>
    <t>Gold (GP</t>
  </si>
  <si>
    <t>Electrum (EP)</t>
  </si>
  <si>
    <t>Silver (SP)</t>
  </si>
  <si>
    <t>Copper (CP)</t>
  </si>
  <si>
    <t>BACKGROUND</t>
  </si>
  <si>
    <t>Noble</t>
  </si>
  <si>
    <t>Sage</t>
  </si>
  <si>
    <t>Soldier</t>
  </si>
  <si>
    <t>Researcher</t>
  </si>
  <si>
    <t>Military Rank</t>
  </si>
  <si>
    <t>Monk</t>
  </si>
  <si>
    <t>Paladin</t>
  </si>
  <si>
    <t>Devotion</t>
  </si>
  <si>
    <t>Vengeance</t>
  </si>
  <si>
    <t>Ranger</t>
  </si>
  <si>
    <t>Colossus Slayer</t>
  </si>
  <si>
    <t>Horde Breaker</t>
  </si>
  <si>
    <t>Rogue</t>
  </si>
  <si>
    <t>LEVELS</t>
  </si>
  <si>
    <t>SPELLS</t>
  </si>
  <si>
    <t>Darkvision 60ft</t>
  </si>
  <si>
    <t>Normal</t>
  </si>
  <si>
    <t>1 PLATINUM = 10 GOLD</t>
  </si>
  <si>
    <t>1 SILVER = 10 COPPER</t>
  </si>
  <si>
    <t>ARMOR TYPE</t>
  </si>
  <si>
    <t>TRAITS</t>
  </si>
  <si>
    <t/>
  </si>
  <si>
    <t>MAGIC</t>
  </si>
  <si>
    <t>Wisdom, Charisma</t>
  </si>
  <si>
    <t>SPELLCASTING LEVEL</t>
  </si>
  <si>
    <t>SPELLS PER DAY</t>
  </si>
  <si>
    <t>SPELL CASTING</t>
  </si>
  <si>
    <t>SPELL SAVE DC</t>
  </si>
  <si>
    <t>SAVE PROFS</t>
  </si>
  <si>
    <t>Weapons</t>
  </si>
  <si>
    <t>Tools</t>
  </si>
  <si>
    <t>Attack 1_1</t>
  </si>
  <si>
    <t>Light &amp; medium armor, shields</t>
  </si>
  <si>
    <t>Simple &amp; martial weapons</t>
  </si>
  <si>
    <t>Strength, Constitution</t>
  </si>
  <si>
    <t>Light armor</t>
  </si>
  <si>
    <t>Three musical instruments of your choice</t>
  </si>
  <si>
    <t>Herbalism kit</t>
  </si>
  <si>
    <t>All armor, shields</t>
  </si>
  <si>
    <t>Thieves' tools</t>
  </si>
  <si>
    <t>Skills</t>
  </si>
  <si>
    <t>Shields</t>
  </si>
  <si>
    <t>Wooden shields</t>
  </si>
  <si>
    <t>All Simple</t>
  </si>
  <si>
    <t>All Martial</t>
  </si>
  <si>
    <t>Hand crossbow</t>
  </si>
  <si>
    <t>Heavy crossbow</t>
  </si>
  <si>
    <t>Light crossbow</t>
  </si>
  <si>
    <t>Disguise kit</t>
  </si>
  <si>
    <t>Vehicles (land)</t>
  </si>
  <si>
    <t>ABILITY
MODIFIER</t>
  </si>
  <si>
    <t>FINAL
SCORE</t>
  </si>
  <si>
    <t>Dwarvish, Common</t>
  </si>
  <si>
    <t>Draconic, Common</t>
  </si>
  <si>
    <t>Gnomish, Common</t>
  </si>
  <si>
    <t>Halfling, Common</t>
  </si>
  <si>
    <t>Orcish, Common</t>
  </si>
  <si>
    <t>Infernal, Common</t>
  </si>
  <si>
    <t>LANGUAGE</t>
  </si>
  <si>
    <t>proficiency</t>
  </si>
  <si>
    <t>CLASS 1</t>
  </si>
  <si>
    <t>CLASS 3</t>
  </si>
  <si>
    <t>CLASS 2</t>
  </si>
  <si>
    <t>SubClass</t>
  </si>
  <si>
    <t>Monastic Tradition</t>
  </si>
  <si>
    <t>Divine Domain</t>
  </si>
  <si>
    <t>TOTALS</t>
  </si>
  <si>
    <t>PROFICIENCY</t>
  </si>
  <si>
    <t>Throwing hammer</t>
  </si>
  <si>
    <t>OTHER
ARMOR</t>
  </si>
  <si>
    <t>OTHER MODIFIER</t>
  </si>
  <si>
    <t>LEVEL ADVANCEMENT CLASS ABILITIES</t>
  </si>
  <si>
    <t>Saves</t>
  </si>
  <si>
    <t>HEAD</t>
  </si>
  <si>
    <t>HEADBAND, HAT, HELMET, OR PHYLACTERY</t>
  </si>
  <si>
    <t>NECK</t>
  </si>
  <si>
    <t>EYE LENSES OR GOGGLES</t>
  </si>
  <si>
    <t>AMULET, BROOCH, MEDALLION, PERIAPT, OR SCARAB</t>
  </si>
  <si>
    <t>SHOUDLERS</t>
  </si>
  <si>
    <t>CLOAK, CAPE OR MANTLE</t>
  </si>
  <si>
    <t>LEFT HAND</t>
  </si>
  <si>
    <t>RIGHT HAND</t>
  </si>
  <si>
    <t>HANDS</t>
  </si>
  <si>
    <t>GLOVES OR GAUNTLETS</t>
  </si>
  <si>
    <t>ARMS / WRISTS</t>
  </si>
  <si>
    <t>BRACERS OR BRACLETS</t>
  </si>
  <si>
    <t>BODY</t>
  </si>
  <si>
    <t>ROBE OR SUIT OF ARMOR</t>
  </si>
  <si>
    <t>TORSO</t>
  </si>
  <si>
    <t>VEST, VESTMENT, OR SHIRT</t>
  </si>
  <si>
    <t>WAIST</t>
  </si>
  <si>
    <t>BELT OR GIRDLE</t>
  </si>
  <si>
    <t>FEET</t>
  </si>
  <si>
    <t>BOOTS, SHOES, OR SLIPPERS</t>
  </si>
  <si>
    <t>CARRYING CAPACITY</t>
  </si>
  <si>
    <t>PUSH, DRAG, LIFT</t>
  </si>
  <si>
    <t>ENCUMBERED</t>
  </si>
  <si>
    <t>SPEED -10 FEET</t>
  </si>
  <si>
    <t>POSSESIONS ON PERSON</t>
  </si>
  <si>
    <t>LOCATION</t>
  </si>
  <si>
    <t>POSSESIONS NOT ON PERSON</t>
  </si>
  <si>
    <t>TOTAL WEIGHT</t>
  </si>
  <si>
    <t>RACE, BACKGROUND, CLASS &amp; FEATS</t>
  </si>
  <si>
    <t>COLOR CODE</t>
  </si>
  <si>
    <t>CURRENT</t>
  </si>
  <si>
    <t>FIGHTING STYLE</t>
  </si>
  <si>
    <t>Archery</t>
  </si>
  <si>
    <t>Defense</t>
  </si>
  <si>
    <t>Great Weapon Fighting</t>
  </si>
  <si>
    <t>Protection</t>
  </si>
  <si>
    <t>Two-Weapon Fighting</t>
  </si>
  <si>
    <t>XP</t>
  </si>
  <si>
    <t>SUBCLASS1</t>
  </si>
  <si>
    <t>SUBCLASS2</t>
  </si>
  <si>
    <t>SUBCLASS3</t>
  </si>
  <si>
    <t>LEVEL ADVANCEMENT SUBCLASS ABILITIES</t>
  </si>
  <si>
    <t>Mindless Rage</t>
  </si>
  <si>
    <t>Avatar of Battle</t>
  </si>
  <si>
    <t>Corona of Light</t>
  </si>
  <si>
    <t>Supreme Healing</t>
  </si>
  <si>
    <t>Nature's Ward</t>
  </si>
  <si>
    <t>Instinctive Charm</t>
  </si>
  <si>
    <t>Split Enchantment</t>
  </si>
  <si>
    <t>Alter Memories</t>
  </si>
  <si>
    <t>Illusory Self</t>
  </si>
  <si>
    <t>Illusionary Reality</t>
  </si>
  <si>
    <t>Banishing Smite</t>
  </si>
  <si>
    <t>Steel Will</t>
  </si>
  <si>
    <t>Uncanny Dodge</t>
  </si>
  <si>
    <t>Whirlwind Attack</t>
  </si>
  <si>
    <t>Infiltration Expertise</t>
  </si>
  <si>
    <t>Imposter</t>
  </si>
  <si>
    <t>Death Strike</t>
  </si>
  <si>
    <t>Supreme Sneak</t>
  </si>
  <si>
    <t>Use Magic Device</t>
  </si>
  <si>
    <t>Thief's Reflexes</t>
  </si>
  <si>
    <t>Channel Divinity: Turn Undead, Radiance of the Dawn</t>
  </si>
  <si>
    <t>Simple weapons, hand crossbows, long swords, rapiers, short swords</t>
  </si>
  <si>
    <t>Channel Divinity: Turn Undead, Guided Strike</t>
  </si>
  <si>
    <t>Intelligence, Wisdom</t>
  </si>
  <si>
    <t>Overchannel</t>
  </si>
  <si>
    <t>Empowered Evocation</t>
  </si>
  <si>
    <t>SPELLCASTING CLASS</t>
  </si>
  <si>
    <t>SPELLCASTING SUBCLASS</t>
  </si>
  <si>
    <t>CANTRIPS</t>
  </si>
  <si>
    <t>LEVEL 1</t>
  </si>
  <si>
    <t>□</t>
  </si>
  <si>
    <t>■</t>
  </si>
  <si>
    <t>PREPARED</t>
  </si>
  <si>
    <t>CASTING TIME</t>
  </si>
  <si>
    <t>DURATION</t>
  </si>
  <si>
    <t>COMPONENTS</t>
  </si>
  <si>
    <t>PREP</t>
  </si>
  <si>
    <t>SPELL NAME</t>
  </si>
  <si>
    <t>DETAILS</t>
  </si>
  <si>
    <t>NOT PREPARED</t>
  </si>
  <si>
    <t>LEVEL 2</t>
  </si>
  <si>
    <t>LEVEL 3</t>
  </si>
  <si>
    <t>LEVEL 4</t>
  </si>
  <si>
    <t>LEVEL 5</t>
  </si>
  <si>
    <t>LEVEL 6</t>
  </si>
  <si>
    <t>LEVEL 7</t>
  </si>
  <si>
    <t>LEVEL 8</t>
  </si>
  <si>
    <t>LEVEL 9</t>
  </si>
  <si>
    <t>FAMILIAR OR ANIMAL COMPANION</t>
  </si>
  <si>
    <t>NAME</t>
  </si>
  <si>
    <t>SPELL LIST</t>
  </si>
  <si>
    <t>properties</t>
  </si>
  <si>
    <t>RITUAL</t>
  </si>
  <si>
    <t>ᴿ</t>
  </si>
  <si>
    <t>ᶜᵒᶰ</t>
  </si>
  <si>
    <t>CONCENTRATION</t>
  </si>
  <si>
    <t>1 react</t>
  </si>
  <si>
    <t>up to 1 hr</t>
  </si>
  <si>
    <t>ritual</t>
  </si>
  <si>
    <t>casting time</t>
  </si>
  <si>
    <t>duration</t>
  </si>
  <si>
    <t>components</t>
  </si>
  <si>
    <t>school</t>
  </si>
  <si>
    <t>description</t>
  </si>
  <si>
    <t>Aid</t>
  </si>
  <si>
    <t>1 act</t>
  </si>
  <si>
    <t>8 hrs</t>
  </si>
  <si>
    <t>VS</t>
  </si>
  <si>
    <t>abjuration</t>
  </si>
  <si>
    <t>abjur</t>
  </si>
  <si>
    <t>5 ft</t>
  </si>
  <si>
    <t>1 hr ᶜᵒᶰ</t>
  </si>
  <si>
    <t>transmutation</t>
  </si>
  <si>
    <t>trans</t>
  </si>
  <si>
    <t>Alarm</t>
  </si>
  <si>
    <t>1 min ᴿ</t>
  </si>
  <si>
    <t>VSM</t>
  </si>
  <si>
    <t>Animal Friendship</t>
  </si>
  <si>
    <t>24 hrs</t>
  </si>
  <si>
    <t>enchantment</t>
  </si>
  <si>
    <t>ench</t>
  </si>
  <si>
    <t>Animal Messenger</t>
  </si>
  <si>
    <t>1 act ᴿ</t>
  </si>
  <si>
    <t>Animate Dead</t>
  </si>
  <si>
    <t>1 min</t>
  </si>
  <si>
    <t>10 ft</t>
  </si>
  <si>
    <t>instant</t>
  </si>
  <si>
    <t>necromancy</t>
  </si>
  <si>
    <t>necro</t>
  </si>
  <si>
    <t>Antimagic Field</t>
  </si>
  <si>
    <t>self</t>
  </si>
  <si>
    <t>Arcane Eye</t>
  </si>
  <si>
    <t>divination</t>
  </si>
  <si>
    <t>divin</t>
  </si>
  <si>
    <t>Arcane Gate</t>
  </si>
  <si>
    <t>500 ft</t>
  </si>
  <si>
    <t>10 min ᶜᵒᶰ</t>
  </si>
  <si>
    <t>conjuration</t>
  </si>
  <si>
    <t>conjur</t>
  </si>
  <si>
    <t>Arcane Lock</t>
  </si>
  <si>
    <t>touch</t>
  </si>
  <si>
    <t>Astral Projection</t>
  </si>
  <si>
    <t>1 hr</t>
  </si>
  <si>
    <t>Augury</t>
  </si>
  <si>
    <t>illusion</t>
  </si>
  <si>
    <t>illus</t>
  </si>
  <si>
    <t>Aura of Life</t>
  </si>
  <si>
    <t>Aura of Purity</t>
  </si>
  <si>
    <t>Aura of Vitality</t>
  </si>
  <si>
    <t>Awaken</t>
  </si>
  <si>
    <t>Banishment</t>
  </si>
  <si>
    <t>Barkskin</t>
  </si>
  <si>
    <t>Beacon of Hope</t>
  </si>
  <si>
    <t>Blade Barrier</t>
  </si>
  <si>
    <t>100 ft</t>
  </si>
  <si>
    <t>evocation</t>
  </si>
  <si>
    <t>evoc</t>
  </si>
  <si>
    <t>Bless</t>
  </si>
  <si>
    <t>Blight</t>
  </si>
  <si>
    <t>Blink</t>
  </si>
  <si>
    <t>Blur</t>
  </si>
  <si>
    <t>Branding Smite</t>
  </si>
  <si>
    <t>V</t>
  </si>
  <si>
    <t>Burning Hands</t>
  </si>
  <si>
    <t>Call Lightning</t>
  </si>
  <si>
    <t>Chain Lightning</t>
  </si>
  <si>
    <t>Charm Person</t>
  </si>
  <si>
    <t>Chill Touch</t>
  </si>
  <si>
    <t>1 rnd</t>
  </si>
  <si>
    <t>Circle of Death</t>
  </si>
  <si>
    <t>Circle of Power</t>
  </si>
  <si>
    <t>Clone</t>
  </si>
  <si>
    <t>Cloudkill</t>
  </si>
  <si>
    <t>Color Spray</t>
  </si>
  <si>
    <t>Command</t>
  </si>
  <si>
    <t>Commune</t>
  </si>
  <si>
    <t>Comprehend Languages</t>
  </si>
  <si>
    <t>Cone of Cold</t>
  </si>
  <si>
    <t>Confusion</t>
  </si>
  <si>
    <t>1 min ᶜᵒᶰ</t>
  </si>
  <si>
    <t>Conjure Barrage</t>
  </si>
  <si>
    <t>Conjure Volley</t>
  </si>
  <si>
    <t>Contact Other Plane</t>
  </si>
  <si>
    <t>Cordon of Arrows</t>
  </si>
  <si>
    <t>Create Food and Water</t>
  </si>
  <si>
    <t>Create or Destroy Water</t>
  </si>
  <si>
    <t>Cure Wounds</t>
  </si>
  <si>
    <t>Dancing Lights</t>
  </si>
  <si>
    <t>Darkness</t>
  </si>
  <si>
    <t>Darkvision</t>
  </si>
  <si>
    <t>Daylight</t>
  </si>
  <si>
    <t>Death Ward</t>
  </si>
  <si>
    <t>Detect Magic</t>
  </si>
  <si>
    <t>Dimension Door</t>
  </si>
  <si>
    <t>Disguise Self</t>
  </si>
  <si>
    <t>Disintegrate</t>
  </si>
  <si>
    <t>Dispel Magic</t>
  </si>
  <si>
    <t>Divine Favor</t>
  </si>
  <si>
    <t>Dominate Beast</t>
  </si>
  <si>
    <t>Dominate Monster</t>
  </si>
  <si>
    <t>Dominate Person</t>
  </si>
  <si>
    <t>Druidcraft</t>
  </si>
  <si>
    <t>Earthquake</t>
  </si>
  <si>
    <t>10 min</t>
  </si>
  <si>
    <t>Elemental Weapon</t>
  </si>
  <si>
    <t>Entangle</t>
  </si>
  <si>
    <t>Etherealness</t>
  </si>
  <si>
    <t>Faerie Fire</t>
  </si>
  <si>
    <t>False Life</t>
  </si>
  <si>
    <t>Feather Fall</t>
  </si>
  <si>
    <t>Feeblemind</t>
  </si>
  <si>
    <t>Find Familiar</t>
  </si>
  <si>
    <t>Finger of Death</t>
  </si>
  <si>
    <t>Fire Storm</t>
  </si>
  <si>
    <t>Fireball</t>
  </si>
  <si>
    <t>Flame Blade</t>
  </si>
  <si>
    <t>Flame Strike</t>
  </si>
  <si>
    <t>Flaming Sphere</t>
  </si>
  <si>
    <t>Flesh to Stone</t>
  </si>
  <si>
    <t>Fly</t>
  </si>
  <si>
    <t>Fog Cloud</t>
  </si>
  <si>
    <t>Foresight</t>
  </si>
  <si>
    <t>Freedom of Movement</t>
  </si>
  <si>
    <t>Gate</t>
  </si>
  <si>
    <t>Gentle Repose</t>
  </si>
  <si>
    <t>Goodberry</t>
  </si>
  <si>
    <t>Grasping Vine</t>
  </si>
  <si>
    <t>Grease</t>
  </si>
  <si>
    <t>Greater Restoration</t>
  </si>
  <si>
    <t>Guardian of Faith</t>
  </si>
  <si>
    <t>Guidance</t>
  </si>
  <si>
    <t>Gust of Wind</t>
  </si>
  <si>
    <t>Harm</t>
  </si>
  <si>
    <t>Haste</t>
  </si>
  <si>
    <t>Heal</t>
  </si>
  <si>
    <t>Healing Word</t>
  </si>
  <si>
    <t>Heat Metal</t>
  </si>
  <si>
    <t>Hold Monster</t>
  </si>
  <si>
    <t>Hold Person</t>
  </si>
  <si>
    <t>Holy Aura</t>
  </si>
  <si>
    <t>Hunter's Mark</t>
  </si>
  <si>
    <t>Ice Storm</t>
  </si>
  <si>
    <t>Identify</t>
  </si>
  <si>
    <t>1 hr ᴿ</t>
  </si>
  <si>
    <t>Inflict Wounds</t>
  </si>
  <si>
    <t>Insect Plague</t>
  </si>
  <si>
    <t>Invisibility</t>
  </si>
  <si>
    <t>Knock</t>
  </si>
  <si>
    <t>Lesser Restoration</t>
  </si>
  <si>
    <t>Levitate</t>
  </si>
  <si>
    <t>Lightning Bolt</t>
  </si>
  <si>
    <t>Locate Animals or Plants</t>
  </si>
  <si>
    <t>Longstrider</t>
  </si>
  <si>
    <t>Mage Armor</t>
  </si>
  <si>
    <t>Mage Hand</t>
  </si>
  <si>
    <t>Magic Missile</t>
  </si>
  <si>
    <t>Magic Weapon</t>
  </si>
  <si>
    <t>Major Image</t>
  </si>
  <si>
    <t>Mass Cure Wounds</t>
  </si>
  <si>
    <t>Mass Heal</t>
  </si>
  <si>
    <t>Mass Healing Word</t>
  </si>
  <si>
    <t>Mass Suggestion</t>
  </si>
  <si>
    <t>1 day ᶜᵒᶰ</t>
  </si>
  <si>
    <t>Maze</t>
  </si>
  <si>
    <t>Meld into Stone</t>
  </si>
  <si>
    <t>Mending</t>
  </si>
  <si>
    <t>Touch an object that is no larger than a 5-foot cube, such as a broken chain link, two halves of a broken key, a torn cloak, or a leaking wineskin. A single break or tear in the object is mended, and any trace of the former damage is erased. An object with multiple breaks can be fixed with multiple applications of mending. This spell can physically repair a magic item or construct, but the spell cannot restore magic to such an object.</t>
  </si>
  <si>
    <t>Message</t>
  </si>
  <si>
    <t>Meteor Swarm</t>
  </si>
  <si>
    <t>1 mile</t>
  </si>
  <si>
    <t>Minor Illusion</t>
  </si>
  <si>
    <t>Mirror Image</t>
  </si>
  <si>
    <t>Moonbeam</t>
  </si>
  <si>
    <t>Move Earth</t>
  </si>
  <si>
    <t>2 hrs ᶜᵒᶰ</t>
  </si>
  <si>
    <t>Pass without Trace</t>
  </si>
  <si>
    <t>Passwall</t>
  </si>
  <si>
    <t>Phantasmal Force</t>
  </si>
  <si>
    <t>Planar Ally</t>
  </si>
  <si>
    <t>Plane Shift</t>
  </si>
  <si>
    <t>Plant Growth</t>
  </si>
  <si>
    <t>150 ft</t>
  </si>
  <si>
    <t>Polymorph</t>
  </si>
  <si>
    <t>Power Word Kill</t>
  </si>
  <si>
    <t>Power Word Stun</t>
  </si>
  <si>
    <t>Prayer of Healing</t>
  </si>
  <si>
    <t>Prestidigitation</t>
  </si>
  <si>
    <t>Prismatic Spray</t>
  </si>
  <si>
    <t>Protection from Energy</t>
  </si>
  <si>
    <t>Protection from Poison</t>
  </si>
  <si>
    <t>Purify Food and Drink</t>
  </si>
  <si>
    <t>Raise Dead</t>
  </si>
  <si>
    <t>Ray of Enfeeblement</t>
  </si>
  <si>
    <t>Ray of Frost</t>
  </si>
  <si>
    <t>Regenerate</t>
  </si>
  <si>
    <t>Remove Curse</t>
  </si>
  <si>
    <t>Resistance</t>
  </si>
  <si>
    <t>Resurrection</t>
  </si>
  <si>
    <t>Rope Trick</t>
  </si>
  <si>
    <t>Sacred Flame</t>
  </si>
  <si>
    <t>Sanctuary</t>
  </si>
  <si>
    <t>Scorching Ray</t>
  </si>
  <si>
    <t>Scrying</t>
  </si>
  <si>
    <t>Searing Smite</t>
  </si>
  <si>
    <t>Seeming</t>
  </si>
  <si>
    <t>12 hrs</t>
  </si>
  <si>
    <t>Shield of Faith</t>
  </si>
  <si>
    <t>VM</t>
  </si>
  <si>
    <t>Shillelagh</t>
  </si>
  <si>
    <t>Shocking Grasp</t>
  </si>
  <si>
    <t>Silence</t>
  </si>
  <si>
    <t>Sleep</t>
  </si>
  <si>
    <t>Sleet Storm</t>
  </si>
  <si>
    <t>Slow</t>
  </si>
  <si>
    <t>Spare the Dying</t>
  </si>
  <si>
    <t>Speak with Animals</t>
  </si>
  <si>
    <t>Speak with Dead</t>
  </si>
  <si>
    <t>Spider Climb</t>
  </si>
  <si>
    <t>Spike Growth</t>
  </si>
  <si>
    <t>Spiritual Weapon</t>
  </si>
  <si>
    <t>Stinking Cloud</t>
  </si>
  <si>
    <t>Stoneskin</t>
  </si>
  <si>
    <t>Storm of Vengeance</t>
  </si>
  <si>
    <t>sight</t>
  </si>
  <si>
    <t>Suggestion</t>
  </si>
  <si>
    <t>8 hrs ᶜᵒᶰ</t>
  </si>
  <si>
    <t>Sunbeam</t>
  </si>
  <si>
    <t>Sunburst</t>
  </si>
  <si>
    <t>Swift Quiver</t>
  </si>
  <si>
    <t>Telekinesis</t>
  </si>
  <si>
    <t>Teleport</t>
  </si>
  <si>
    <t>Teleportation Circle</t>
  </si>
  <si>
    <t>Thaumaturgy</t>
  </si>
  <si>
    <t>up to 1 min</t>
  </si>
  <si>
    <t>Thunderous Smite</t>
  </si>
  <si>
    <t>Thunderwave</t>
  </si>
  <si>
    <t>Time Stop</t>
  </si>
  <si>
    <t>True Resurrection</t>
  </si>
  <si>
    <t>True Seeing</t>
  </si>
  <si>
    <t>Wall of Fire</t>
  </si>
  <si>
    <t>Wall of Stone</t>
  </si>
  <si>
    <t>Wall of Thorns</t>
  </si>
  <si>
    <t>Water Breathing</t>
  </si>
  <si>
    <t>Water Walk</t>
  </si>
  <si>
    <t>Web</t>
  </si>
  <si>
    <t>Wind Walk</t>
  </si>
  <si>
    <t>Wish</t>
  </si>
  <si>
    <t>Wrathful Smite</t>
  </si>
  <si>
    <t>Zone of Truth</t>
  </si>
  <si>
    <t>C</t>
  </si>
  <si>
    <t>Hail of Thorns</t>
  </si>
  <si>
    <t>Land Druid</t>
  </si>
  <si>
    <t>Coast</t>
  </si>
  <si>
    <t>Desert</t>
  </si>
  <si>
    <t>Grassland</t>
  </si>
  <si>
    <t>Swamp</t>
  </si>
  <si>
    <t>EQUIPMENT WORN</t>
  </si>
  <si>
    <t>SHOULDERS</t>
  </si>
  <si>
    <t>AMULET, BROOCH, MEDALLION, PERIAPT</t>
  </si>
  <si>
    <t>SPELL LOOKUP</t>
  </si>
  <si>
    <t>SCHOOL</t>
  </si>
  <si>
    <t>DESCRIPTION</t>
  </si>
  <si>
    <t>desc</t>
  </si>
  <si>
    <t xml:space="preserve">3 creatures HP increase by 5 </t>
  </si>
  <si>
    <t>FAMILIAR</t>
  </si>
  <si>
    <t>Bat</t>
  </si>
  <si>
    <t>Cat</t>
  </si>
  <si>
    <t>Hawk</t>
  </si>
  <si>
    <t>Owl</t>
  </si>
  <si>
    <t>Rat</t>
  </si>
  <si>
    <t>Raven</t>
  </si>
  <si>
    <t>Snake</t>
  </si>
  <si>
    <t>20 ft</t>
  </si>
  <si>
    <t>SPELLCASTING</t>
  </si>
  <si>
    <t>Alert</t>
  </si>
  <si>
    <t>Athlete</t>
  </si>
  <si>
    <t>Charger</t>
  </si>
  <si>
    <t>Dual Wielder</t>
  </si>
  <si>
    <t>Great Weapon Master</t>
  </si>
  <si>
    <t>Healer</t>
  </si>
  <si>
    <t>Heavy Armor Master</t>
  </si>
  <si>
    <t>Lucky</t>
  </si>
  <si>
    <t>Mobile</t>
  </si>
  <si>
    <t>Polearm Master</t>
  </si>
  <si>
    <t>Shield Master</t>
  </si>
  <si>
    <t>Tough</t>
  </si>
  <si>
    <t>Ability Score Improvement</t>
  </si>
  <si>
    <t>FEAT LOOKUP</t>
  </si>
  <si>
    <t>Proficiency with medium armor</t>
  </si>
  <si>
    <t>You can increase one ability score of your choice by 2, or you can increase two ability scores of your choice by 1. 
You cannot increase an ability score above 20 using this feature.</t>
  </si>
  <si>
    <t>HIT</t>
  </si>
  <si>
    <t>POINTS</t>
  </si>
  <si>
    <t>DICE</t>
  </si>
  <si>
    <t>OpenHand</t>
  </si>
  <si>
    <t>FourElements</t>
  </si>
  <si>
    <t>TotemWarrior</t>
  </si>
  <si>
    <t>Berserker</t>
  </si>
  <si>
    <t>PREREQUISITE:</t>
  </si>
  <si>
    <t>ammo type</t>
  </si>
  <si>
    <t>Arrows</t>
  </si>
  <si>
    <t>Bolts</t>
  </si>
  <si>
    <t>Darts</t>
  </si>
  <si>
    <t>Stones</t>
  </si>
  <si>
    <t>STANDARD</t>
  </si>
  <si>
    <t>EXTRA
ATTACKS</t>
  </si>
  <si>
    <t>PER ATTACK ACTION</t>
  </si>
  <si>
    <t>QTY</t>
  </si>
  <si>
    <t>Choose 2 from History, Insight, Medicine, Persuasion, and Religion</t>
  </si>
  <si>
    <t>Channel Divinity: Turn Undead, Preserve Life</t>
  </si>
  <si>
    <t>Choose 2 from Acrobatics, Animal Handling, Athletics, History, Insight, Intimidation, Perception and Survival</t>
  </si>
  <si>
    <t>Martial Archetype</t>
  </si>
  <si>
    <t>Dueling</t>
  </si>
  <si>
    <t>Blessed Healer</t>
  </si>
  <si>
    <t>Champion</t>
  </si>
  <si>
    <t>Simple weapons, hand crossbows, long swords, rapiers, short swords</t>
  </si>
  <si>
    <t>Dexterity, Intelligence</t>
  </si>
  <si>
    <t>Choose 4 from Acrobatics, Athletics, Deception, Insight, Intimidation, Investigation, Perception, Performance, Persuasion, Slight of Hand, and Stealth</t>
  </si>
  <si>
    <t>Roguish Archetype</t>
  </si>
  <si>
    <t>INVESTIGATION</t>
  </si>
  <si>
    <t>Thief</t>
  </si>
  <si>
    <t>Assassin</t>
  </si>
  <si>
    <t>Fast Hands, Second Story Work</t>
  </si>
  <si>
    <t>Wizard</t>
  </si>
  <si>
    <t xml:space="preserve">Lawful neutral individuals act in accordance with law, tradition, or personal codes. Many monks and some wizards are lawful neutral.  </t>
  </si>
  <si>
    <t>Daggers, darts, slings, quarterstaffs, light crossbows</t>
  </si>
  <si>
    <t>Simple and martial weapons</t>
  </si>
  <si>
    <t>Choose 2 from Arcana, History, Insight, Investigation, Medicine and Religion</t>
  </si>
  <si>
    <t>Arcane Tradition</t>
  </si>
  <si>
    <t>RINGS</t>
  </si>
  <si>
    <t>2' 7'' + 2d4</t>
  </si>
  <si>
    <t>4' 8'' + 2d10</t>
  </si>
  <si>
    <t>110 lb. x 2d4</t>
  </si>
  <si>
    <t>ACTIONS</t>
  </si>
  <si>
    <t>INSPIRATION</t>
  </si>
  <si>
    <t>NORMAL</t>
  </si>
  <si>
    <t>SKIN</t>
  </si>
  <si>
    <t xml:space="preserve">Neutral good folk do the best they can to help others according to their needs. Many celestials, some cloud giants, and most gnomes are neutral good.  </t>
  </si>
  <si>
    <t xml:space="preserve">Neutral evil is the alignment of those that do whatever they can get away with, without compassion or qualms. Many drow, some cloud giants, and yugoloths are neutral evil.  </t>
  </si>
  <si>
    <t>Chaotic evil creatures act with arbitrary violence, spurred by their greed, hatred, or bloodlust. Demons, red dragons, and orcs are chaotic evil.</t>
  </si>
  <si>
    <t>Acolyte</t>
  </si>
  <si>
    <t>Insight, Religion</t>
  </si>
  <si>
    <t>Criminal</t>
  </si>
  <si>
    <t>Deception, Stealth</t>
  </si>
  <si>
    <t>One type of gaming set, thieves' tools</t>
  </si>
  <si>
    <t>Folk Hero</t>
  </si>
  <si>
    <t>Animal Handling, Survival</t>
  </si>
  <si>
    <t>One type of artisan’s tools, vehicles (land)</t>
  </si>
  <si>
    <t>Arcana, History</t>
  </si>
  <si>
    <t>FEATURE</t>
  </si>
  <si>
    <t>Shelter of the Faithful</t>
  </si>
  <si>
    <t>Criminal Contact</t>
  </si>
  <si>
    <t>Rustic Hospitality</t>
  </si>
  <si>
    <t>Atheletics, Intimidation</t>
  </si>
  <si>
    <t>One type of gaming set, vehicles (land)</t>
  </si>
  <si>
    <t>Dwarves mature at the same rate as humans, but they're considered young until they reach the age of 50. On average, they live about 350 years.</t>
  </si>
  <si>
    <t>Although elves reach physical maturity about the same age as humans, the elven understanding of adulthood goes beyond physical growth to encompass worldly experience. An elf typically claims adulthood and an adult name around the age of 100 and can live to be 750 years old.</t>
  </si>
  <si>
    <t>A halfling reaches adulthood at the age of 20 and generally lives into the middle of his or her second century.</t>
  </si>
  <si>
    <t>Humans reach adulthood in their late teens and live less than a century</t>
  </si>
  <si>
    <t>strength</t>
  </si>
  <si>
    <t>Chain shirt</t>
  </si>
  <si>
    <t>Half plate</t>
  </si>
  <si>
    <t>Breast plate</t>
  </si>
  <si>
    <t>special</t>
  </si>
  <si>
    <t>5/15</t>
  </si>
  <si>
    <t>PASSIVE</t>
  </si>
  <si>
    <t>SPEED -20 FEET</t>
  </si>
  <si>
    <t>DISADVANTAGE ON STR, DEX, CON CHECKS, ATTACKS &amp; SAVES</t>
  </si>
  <si>
    <t>PERSONALITY TRAITS</t>
  </si>
  <si>
    <t>Fire Bolt</t>
  </si>
  <si>
    <t>120 ft</t>
  </si>
  <si>
    <t>Acid Splash</t>
  </si>
  <si>
    <t>60 ft</t>
  </si>
  <si>
    <t>30 ft</t>
  </si>
  <si>
    <t>material</t>
  </si>
  <si>
    <t>a tiny strip of white cloth</t>
  </si>
  <si>
    <t>a pinch of powdered iron or iron filings</t>
  </si>
  <si>
    <t>a bit of bat fur</t>
  </si>
  <si>
    <t>gold dust worth at least 25 gp, which the spell consumes</t>
  </si>
  <si>
    <t>dispelled</t>
  </si>
  <si>
    <t xml:space="preserve">You touch a closed door, window, gate, chest, or other entryway, and it becomes locked for the duration. You and the creatures you designate when you cast this spell can open the object normally. You can also set a password that, when spoken within 5 feet of the object, suppresses this spell for 1 minute. Otherwise, it is impassable until it is broken or the spell is dispelled or suppressed. Casting knock on the object suppresses arcane lock for 10 minutes. 
While affected by this spell, the object is more difficult to break or force open; the DC to break it or pick any locks on it increases by 10. </t>
  </si>
  <si>
    <t>for each creature you affect with this spell, you must provide one jacinth worth at least 1,000 gp and one ornately carved bar of silver worth at least 100 gp, all of which the spell consumes</t>
  </si>
  <si>
    <t>You and up to eight willing creatures within range project your astral bodies into the Astral Plane (the spell fails and the casting is wasted if you are already on that plane). The material body you leave behind is unconscious and in a state of suspended animation; it doesn’t need food or air and doesn’t age. 
Your astral body resembles your mortal form in almost every way, replicating your game statistics and possessions. The principal difference is the addition of a silvery cord that extends from between your shoulder blades and trails behind you, fading to invisibility after 1 foot. This cord is your tether to your material body. As long as the tether remains intact, you can find your way home. If the cord is cut—something that can happen only when an effect specifically states that it does—your soul and body are separated, killing you instantly. 
Your astral form can freely travel through the Astral Plane and can pass through portals there leading to any other plane. If you enter a new plane or return to the plane you were on when casting this spell, your body and possessions are transported along the silver cord, allowing you to re-enter your body as you enter the new plane. Your astral form is a separate incarnation. Any damage or other effects that apply to it have no effect on your physical body, nor do they persist when you return to it. 
The spell ends for you and your companions when you use your action to dismiss it. When the spell ends, the affected creature returns to its physical body, and it awakens. 
The spell might also end early for you or one of your companions. A successful dispel magic spell used against an astral or physical body ends the spell for that creature. If a creature’s original body or its astral form drops to 0 hit points, the spell ends for that creature. If the spell ends and the silver cord is intact, the cord pulls the creature’s astral form back to its body, ending its state of suspended animation. 
If you are returned to your body prematurely, your companions remain in their astral forms and must find their own way back to their bodies, usually by dropping to 0 hit points.</t>
  </si>
  <si>
    <t>specially marked sticks, bones, or similar tokens worth at least 25 gp</t>
  </si>
  <si>
    <t xml:space="preserve">By casting gem-inlaid sticks, rolling dragon bones, laying out ornate cards, or employing some other divining tool, you receive an omen from an otherworldly entity about the results of a specific course of action that you plan to take within the next 30 minutes. The DM chooses from the following possible omens: 
• Weal, for good results 
• Woe, for bad results 
• Weal and woe, for both good and bad results 
• Nothing, for results that aren’t especially good or bad 
The spell doesn’t take into account any possible circumstances that might change the outcome, such as the casting of additional spells or the loss or gain of a companion. 
If you cast the spell two or more times before completing your next long rest, there is a cumulative 25 percent chance for each casting after the first that you get a random reading. The DM makes this roll in secret. </t>
  </si>
  <si>
    <t xml:space="preserve">This spell bestows hope and vitality. Choose any number of creatures within range. For the duration, each target has advantage on Wisdom saving throws and death saving throws, and regains the maximum number of hit points possible from any healing. </t>
  </si>
  <si>
    <t>90 ft</t>
  </si>
  <si>
    <t>a sprinkling of holy water</t>
  </si>
  <si>
    <t>Your body becomes blurred, shifting and wavering to all who can see you. For the duration, any creature has disadvantage on attack rolls against you. An attacker is immune to this effect if it doesn’t rely on sight, as with blindsight, or can see through illusions, as with truesight.</t>
  </si>
  <si>
    <t>a bit of fur; a piece of amber, glass, or a crystal rod; and three silver pins</t>
  </si>
  <si>
    <t>charm a humanoid, wis save</t>
  </si>
  <si>
    <t>incense and a vial of holy or unholy water</t>
  </si>
  <si>
    <t xml:space="preserve">You contact your deity or a divine proxy and ask up to three questions that can be answered with a yes or no. You must ask your questions before the spell ends. You receive a correct answer for each question. 
Divine beings aren’t necessarily omniscient, so you might receive “unclear” as an answer if a question pertains to information that lies beyond the deity’s knowledge. In a case where a one-word answer could be misleading or contrary to the deity’s interests, the DM might offer a short phrase as an answer instead. 
If you cast the spell two or more times before finishing your next long rest, there is a cumulative 25 percent chance for each casting after the first that you get no answer. The DM makes this roll in secret. </t>
  </si>
  <si>
    <t>For the duration, you understand the literal meaning of any spoken language that you hear. You also understand any written language that you see, but you must be touching the surface on which the words are written. It takes about 1 minute to read one page of text. 
This spell doesn’t decode secret messages in a text or a glyph, such as an arcane sigil, that isn’t part of a written language.</t>
  </si>
  <si>
    <t>a pinch of soot and salt</t>
  </si>
  <si>
    <t>a small crystal or glass cone</t>
  </si>
  <si>
    <t>Counterspell</t>
  </si>
  <si>
    <t>S</t>
  </si>
  <si>
    <t>&gt;3rd lvl spell DC = 10 + spell lvl</t>
  </si>
  <si>
    <t>SPELL ABILITY</t>
  </si>
  <si>
    <t>SPELL ABILITY BONUS</t>
  </si>
  <si>
    <t>Alignment</t>
  </si>
  <si>
    <t>Suggested Domains</t>
  </si>
  <si>
    <t>Details</t>
  </si>
  <si>
    <t>Symbol</t>
  </si>
  <si>
    <t>Nature, Tempest</t>
  </si>
  <si>
    <t>Six-pointed snowflake</t>
  </si>
  <si>
    <t>Left hand pointing upward, outlined in fire</t>
  </si>
  <si>
    <t>Bane</t>
  </si>
  <si>
    <t>Upright black right hand,  thumb and fingers together</t>
  </si>
  <si>
    <t>Trickery</t>
  </si>
  <si>
    <t>Black antlers</t>
  </si>
  <si>
    <t>Death</t>
  </si>
  <si>
    <t>Skull surrounded by a ring of blood droplets</t>
  </si>
  <si>
    <t>Sheaf of grain or a blooming rose over grain</t>
  </si>
  <si>
    <t>White jawless skull on black or purple sunburst</t>
  </si>
  <si>
    <t>Lit candle above an open eye</t>
  </si>
  <si>
    <t>Life, Nature</t>
  </si>
  <si>
    <t>Waterfall plunging into still pool</t>
  </si>
  <si>
    <t>Toothed cog with four spokes</t>
  </si>
  <si>
    <t>Life, Light</t>
  </si>
  <si>
    <t>Staring eye on upright left gauntlet</t>
  </si>
  <si>
    <t>Hands bound at the wrist with red cord</t>
  </si>
  <si>
    <t>Upright skeletal arm holding balanced scales</t>
  </si>
  <si>
    <t>Life,Light</t>
  </si>
  <si>
    <t>Road traveling into a sunrise</t>
  </si>
  <si>
    <t>Point-down triangle containing a swirl of mist</t>
  </si>
  <si>
    <t>Triangle of three six-pointed stars</t>
  </si>
  <si>
    <t>Nine-tailed barbed scourge</t>
  </si>
  <si>
    <t>Clawed paw</t>
  </si>
  <si>
    <t>Black mask</t>
  </si>
  <si>
    <t>Unicorn’s head</t>
  </si>
  <si>
    <t>Five-stringed harp made of leaves</t>
  </si>
  <si>
    <t>White human skull</t>
  </si>
  <si>
    <t>Circle of seven stars; or nine stars encircling a flowing red mist; or a single star</t>
  </si>
  <si>
    <t>Blank scroll</t>
  </si>
  <si>
    <t>Crystal ball containing many kinds of eyes</t>
  </si>
  <si>
    <t>Knowledge, Life</t>
  </si>
  <si>
    <t>Pair of eyes surrounded by seven stars</t>
  </si>
  <si>
    <t>Death, Trickery</t>
  </si>
  <si>
    <t>Black disk encircled with a border</t>
  </si>
  <si>
    <t>Oak leaf</t>
  </si>
  <si>
    <t>Face of a beautiful red-haired woman</t>
  </si>
  <si>
    <t>Three teardrops on a triangle</t>
  </si>
  <si>
    <t>Tempest</t>
  </si>
  <si>
    <t>Three lightning bolts radiating from a central point</t>
  </si>
  <si>
    <t>Upright flaming sword</t>
  </si>
  <si>
    <t>White right gauntlet</t>
  </si>
  <si>
    <t>Face-up coin</t>
  </si>
  <si>
    <t>Balanced scales resting on a warhammer</t>
  </si>
  <si>
    <t>Wave curling left and right</t>
  </si>
  <si>
    <t>Knowledge, Trickery</t>
  </si>
  <si>
    <t>Upright coin with Waukeen’s profile facing left</t>
  </si>
  <si>
    <t>Goddess of winter</t>
  </si>
  <si>
    <t>God of wizards</t>
  </si>
  <si>
    <t>God of tyranny</t>
  </si>
  <si>
    <t>Goddess of misfortune</t>
  </si>
  <si>
    <t>God of murder</t>
  </si>
  <si>
    <t>Goddess of agriculture</t>
  </si>
  <si>
    <t>God of lies</t>
  </si>
  <si>
    <t>God of writing</t>
  </si>
  <si>
    <t>Goddess of peace</t>
  </si>
  <si>
    <t>God of craft</t>
  </si>
  <si>
    <t>God of protection</t>
  </si>
  <si>
    <t>God of endurance</t>
  </si>
  <si>
    <t>God of the dead</t>
  </si>
  <si>
    <t>God of birth and renewal</t>
  </si>
  <si>
    <t>Goddess of illusion</t>
  </si>
  <si>
    <t>Goddess of joy</t>
  </si>
  <si>
    <t>Goddess of pain</t>
  </si>
  <si>
    <t>God of the hunt</t>
  </si>
  <si>
    <t>God of thieves</t>
  </si>
  <si>
    <t>Goddess of forests</t>
  </si>
  <si>
    <t>God of poetry and song</t>
  </si>
  <si>
    <t>God of death</t>
  </si>
  <si>
    <t>Goddess of magic</t>
  </si>
  <si>
    <t>God of knowledge</t>
  </si>
  <si>
    <t>God of divination and fate</t>
  </si>
  <si>
    <t>Goddess of the moon</t>
  </si>
  <si>
    <t>Goddess of darkness and loss</t>
  </si>
  <si>
    <t>God of wild nature</t>
  </si>
  <si>
    <t>Goddess of love and beauty</t>
  </si>
  <si>
    <t>Goddess of disease and poison</t>
  </si>
  <si>
    <t>God of storms</t>
  </si>
  <si>
    <t>God of war</t>
  </si>
  <si>
    <t>God of courage and self-sacrifice</t>
  </si>
  <si>
    <t>Goddess of good fortune</t>
  </si>
  <si>
    <t>God of justice</t>
  </si>
  <si>
    <t>Goddess of the sea</t>
  </si>
  <si>
    <t>Goddess of trade</t>
  </si>
  <si>
    <t>Proficiency</t>
  </si>
  <si>
    <t xml:space="preserve">You create up to four torch-sized lights within range, making them appear as torches, lanterns, or glowing orbs that hover in the air for the duration. You can also combine the four lights into one glowing vaguely humanoid form of Medium size. Whichever form you choose, each light sheds dim light in a 10-foot radius. 
As a bonus action on your turn, you can move the lights up to 60 feet to a new spot within range. A light must be within 20 feet of another light created by this spell, and a light winks out if it exceeds the spell’s range. </t>
  </si>
  <si>
    <t>a bit of phosphorus or wychwood, or a glowworm</t>
  </si>
  <si>
    <t>bat fur and a drop of pitch or piece of coal</t>
  </si>
  <si>
    <t>Delayed Blast Fireball</t>
  </si>
  <si>
    <t>a tiny ball of bat guano and sulfur</t>
  </si>
  <si>
    <t xml:space="preserve">For the duration, you sense the presence of magic within 30 feet of you. If you sense magic in this way, you can use your action to see a faint aura around any visible creature or object in the area that bears magic, and you learn its school of magic, if any. 
The spell can penetrate most barriers, but it is blocked by 1 foot of stone, 1 inch of common metal, a thin sheet of lead, or 3 feet of wood or dirt. </t>
  </si>
  <si>
    <t xml:space="preserve">You teleport yourself from your current location to any other spot within range. You arrive at exactly the spot desired. It can be a place you can see, one you can visualize, or one you can describe by stating distance and direction, such as “200 feet straight downward” or “upward to the northwest at a 45-degree angle, 300 feet.” 
You can bring along objects as long as their weight doesn’t exceed what you can carry. You can also bring one willing creature of your size or smaller who is carrying gear up to its carrying capacity. The creature must be within 5 feet of you when you cast this spell. 
If you would arrive in a place already occupied by an object or a creature, you and any creature traveling with you each take 4d6 force damage, and the spell fails to teleport you. </t>
  </si>
  <si>
    <t>You make yourself—including your clothing, armor, weapons, and other belongings on your person—look different until the spell ends or until you use your action to dismiss it. You can seem 1 foot shorter or taller and can appear thin, fat, or in between. You can’t change your body type, so you must adopt a form that has the same basic arrangement of limbs. Otherwise, the extent of the illusion is up to you. 
The changes wrought by this spell fail to hold up to physical inspection. For example, if you use this spell to add a hat to your outfit, objects pass through the hat, and anyone who touches it would feel nothing or would feel your head and hair. If you use this spell to appear thinner than you are, the hand of someone who reaches out to touch you would bump into you while it was seemingly still in midair. 
To discern that you are disguised, a creature can use its action to inspect your appearance and must succeed on an Intelligence (Investigation) check against your spell save DC.</t>
  </si>
  <si>
    <t>a lodestone and a pinch of dust</t>
  </si>
  <si>
    <t>incense and a sacrificial offering appropriate to your religion, together worth at least 25 gp, which the spell consumes</t>
  </si>
  <si>
    <t xml:space="preserve">Your magic and an offering put you in contact with a god or a god’s servants. You ask a single question concerning a specific goal, event, or activity to occur within 7 days. The DM offers a truthful reply. The reply might be a short phrase, a cryptic rhyme, or an omen. 
The spell doesn’t take into account any possible circumstances that might change the outcome, such as the casting of additional spells or the loss or gain of a companion. 
If you cast the spell two or more times before finishing your next long rest, there is a cumulative 25 percent chance for each casting after the first that you get a random reading. The DM makes this roll in secret. </t>
  </si>
  <si>
    <t>1 question on event within 7 days</t>
  </si>
  <si>
    <t>Dream</t>
  </si>
  <si>
    <t>a handful of sand, a dab of ink, and a writing quill plucked from a sleeping bird</t>
  </si>
  <si>
    <t>This spell shapes a creature’s dreams. Choose a creature known to you as the target of this spell. The target must be on the same plane of existence as you. Creatures that don’t sleep, such as elves, can’t be contacted by this spell. You, or a willing creature you touch, enters a trance state, acting as a messenger. While in the trance, the messenger is aware of his or her surroundings, but can’t take actions or move. 
If the target is asleep, the messenger appears in the target’s dreams and can converse with the target as long as it remains asleep, through the duration of the spell. The messenger can also shape the environment of the dream, creating landscapes, objects, and other images. The messenger can emerge from the trance at any time, ending the effect of the spell early. The target recalls the dream perfectly upon waking. If the target is awake when you cast the spell, the messenger knows it, and can either end the trance (and the spell) or wait for the target to fall asleep, at which point the messenger appears in the target’s dreams. 
You can make the messenger appear monstrous and terrifying to the target. If you do, the messenger can deliver a message of no more than ten words and then the target must make a Wisdom saving throw. On a failed save, echoes of the phantasmal monstrosity spawn a nightmare that lasts the duration of the target’s sleep and prevents the target from gaining any benefit from that rest. In addition, when the target wakes up, it takes 3d6 psychic damage. 
If you have a body part, lock of hair, clipping from a nail, or similar portion of the target’s body, the target makes its saving throw with disadvantage.</t>
  </si>
  <si>
    <t>shape a creature’s dreams, wis</t>
  </si>
  <si>
    <t>a pinch of dirt, a piece of rock, and a lump of clay</t>
  </si>
  <si>
    <t xml:space="preserve">You create a seismic disturbance at a point on the ground that you can see within range. For the duration, an intense tremor rips through the ground in a 100-foot-radius circle centered on that point and shakes creatures and structures in contact with the ground in that area. 
The ground in the area becomes difficult terrain. Each creature on the ground that is concentrating must make a Constitution saving throw. On a failed save, the creature’s concentration is broken. 
When you cast this spell and at the end of each turn you spend concentrating on it, each creature on the ground in the area must make a Dexterity saving throw. On a failed save, the creature is knocked prone. This spell can have additional effects depending on the terrain in the area, as determined by the DM. 
• Fissures. Fissures open throughout the spell’s area at the start of your next turn after you cast the spell. A total of 1d6 such fissures open in locations chosen by the DM. Each is 1d10 × 10 feet deep, 10 feet wide, and extends from one edge of the spell’s area to the opposite side. A creature standing on a spot where a fissure opens must succeed on a Dexterity saving throw or fall in. A creature that successfully saves moves with the fissure’s edge as it opens. 
A fissure that opens beneath a structure causes it to automatically collapse (see below). 
• Structures. The tremor deals 50 bludgeoning damage to any structure in contact with the ground in the area when you cast the spell and at the start of each of your turns until the spell ends. If a structure drops to 0 hit points, it collapses and potentially damages nearby creatures. A creature within half the distance of a structure’s height must make a Dexterity saving throw. On a failed save, the creature takes 5d6 bludgeoning damage, is knocked prone, and is buried in the rubble, requiring a DC 20 Strength (Athletics) check as an action to escape. The DM can adjust the DC higher or lower, depending on the nature of the rubble. On a successful save, the creature takes half as much damage and doesn’t fall prone or become buried. </t>
  </si>
  <si>
    <t>step into the Ethereal Plane</t>
  </si>
  <si>
    <t>You touch one willing creature. Once before the spell ends, the target can roll a d4 and add the number rolled to one ability check of its choice. It can roll the die before or after making the ability check. The spell then ends.</t>
  </si>
  <si>
    <t>d4 to 1 ability check of choice</t>
  </si>
  <si>
    <t>You touch one object that is no larger than 10 feet in any dimension. Until the spell ends, the object sheds bright light in a 20-foot radius and dim light for an additional 20 feet. The light can be colored as you like. Completely covering the object with something opaque blocks the light. The spell ends if you cast it again or dismiss it as an action. 
If you target an object held or worn by a hostile creature, that creature must succeed on a Dexterity saving throw to avoid the spell.</t>
  </si>
  <si>
    <t>a firefly or phosphorescent moss</t>
  </si>
  <si>
    <t xml:space="preserve">A spectral, floating hand appears at a point you choose within range. The hand lasts for the duration or until you dismiss it as an action. The hand vanishes if it is ever more than 30 feet away from you or if you cast this spell again. 
You can use your action to control the hand. You can use the hand to manipulate an object, open an unlocked door or container, stow or retrieve an item from an open container, or pour the contents out of a vial. You can move the hand up to 30 feet each time you use it. 
The hand can’t attack, activate magic items, or carry more than 10 pounds. </t>
  </si>
  <si>
    <t>spectral floating hand, 10lbs max</t>
  </si>
  <si>
    <t>SM</t>
  </si>
  <si>
    <t xml:space="preserve"> create a sound or image of object </t>
  </si>
  <si>
    <t>create a minor magical trick</t>
  </si>
  <si>
    <t>You touch one willing creature. Once before the spell ends, the target can roll a d4 and add the number rolled to one saving throw of its choice. It can roll the die before or after making the saving throw. The spell then ends.</t>
  </si>
  <si>
    <t>a miniature cloak</t>
  </si>
  <si>
    <t>You touch a living creature that has 0 hit points. The creature becomes stable. This spell has no effect on undead or constructs.</t>
  </si>
  <si>
    <t>stablize a living creature</t>
  </si>
  <si>
    <t xml:space="preserve">You manifest a minor wonder, a sign of supernatural power, within range. You create one of the following magical effects within range: 
• Your voice booms up to three times as loud as normal for 1 minute. 
• You cause flames to flicker, brighten, dim, or change color for 1 minute. 
• You cause harmless tremors in the ground for 1 minute. 
• You create an instantaneous sound that originates from a point of your choice within range, such as a rumble of thunder, the cry of a raven, or omi- nous whispers. 
• You instantaneously cause an unlocked door or win- dow to fly open or slam shut. 
• You alter the appearance of your eyes for 1 minute. 
If you cast this spell multiple times, you can have up to three of its 1-minute effects active at a time, and you can dismiss such an effect as an action. </t>
  </si>
  <si>
    <t>manifest minor wonder</t>
  </si>
  <si>
    <t>medium</t>
  </si>
  <si>
    <t>force</t>
  </si>
  <si>
    <t>Position of Privilege</t>
  </si>
  <si>
    <t>History, Persuasion</t>
  </si>
  <si>
    <t>One type of gaming set</t>
  </si>
  <si>
    <t>IDEAL</t>
  </si>
  <si>
    <t>BOND</t>
  </si>
  <si>
    <t>FLAW</t>
  </si>
  <si>
    <t>Personality Trait</t>
  </si>
  <si>
    <t>Ideal</t>
  </si>
  <si>
    <t>Bond</t>
  </si>
  <si>
    <t>Flaw</t>
  </si>
  <si>
    <t>I use polysyllabic words that convey the impression of great erudition</t>
  </si>
  <si>
    <t xml:space="preserve">I’ve read every book in the world’s greatest libraries - or I like to boast that I have. </t>
  </si>
  <si>
    <t xml:space="preserve">I’m used to helping out those who aren’t as smart as I am, and I patiently explain anything and everything to others. </t>
  </si>
  <si>
    <t xml:space="preserve">There’s nothing I like more than a good mystery. </t>
  </si>
  <si>
    <t xml:space="preserve">I’m willing to listen to every side of an argument before I make my own judgment. </t>
  </si>
  <si>
    <t>I . . . speak . . . slowly . . . when talking . . . to idiots, . . . which . . . almost . . . everyone . . . is . . . compared . . . to me</t>
  </si>
  <si>
    <t xml:space="preserve">I am horribly, horribly awkward in social situations. </t>
  </si>
  <si>
    <t xml:space="preserve">I’m convinced that people are always trying to steal my secrets.
</t>
  </si>
  <si>
    <t xml:space="preserve">Knowledge. The path to power and self-improvement is through knowledge. (Neutral) </t>
  </si>
  <si>
    <t>Beauty. What is beautiful points us beyond itself toward what is true. (Good)</t>
  </si>
  <si>
    <t>Logic. Emotions must not cloud our logical thinking. (Lawful)</t>
  </si>
  <si>
    <t xml:space="preserve">No Limits. Nothing should fetter the infinite possibility inherent in all existence. (Chaotic) </t>
  </si>
  <si>
    <t>Power. Knowledge is the path to power and domination. (Evil)</t>
  </si>
  <si>
    <t xml:space="preserve">Self-Improvement. The goal of a life of study is the betterment of oneself. (Any)
</t>
  </si>
  <si>
    <t>It is my duty to protect my students.</t>
  </si>
  <si>
    <t xml:space="preserve">I have an ancient text that holds terrible secrets that must not fall into the wrong hands. </t>
  </si>
  <si>
    <t xml:space="preserve">I work to preserve a library, university, scriptorium, or monastery. </t>
  </si>
  <si>
    <t xml:space="preserve">My life’s work is a series of tomes related to a specific field of lore. </t>
  </si>
  <si>
    <t xml:space="preserve">I’ve been searching my whole life for the answer to a certain question. </t>
  </si>
  <si>
    <t>I sold my soul for knowledge. I hope to do great deeds and win it back.</t>
  </si>
  <si>
    <t xml:space="preserve">I am easily distracted by the promise of information. </t>
  </si>
  <si>
    <t>Most people scream and run when they see a demon. I stop and take notes on its anatomy.</t>
  </si>
  <si>
    <t>Unlocking an ancient mystery is worth the price of a civilization.</t>
  </si>
  <si>
    <t xml:space="preserve">I overlook obvious solutions in favor of complicated ones. </t>
  </si>
  <si>
    <t xml:space="preserve">I speak without really thinking through my words, invariably insulting others. </t>
  </si>
  <si>
    <t>I can’t keep a secret to save my life, or anyone else’s.</t>
  </si>
  <si>
    <t>Alchemist</t>
  </si>
  <si>
    <t>Astronomer</t>
  </si>
  <si>
    <t>Discredited academic</t>
  </si>
  <si>
    <t>Librarian</t>
  </si>
  <si>
    <t>Professor</t>
  </si>
  <si>
    <t>Wizard's apprentice</t>
  </si>
  <si>
    <t>Scribe</t>
  </si>
  <si>
    <t xml:space="preserve">PASS  </t>
  </si>
  <si>
    <t xml:space="preserve">FAIL  </t>
  </si>
  <si>
    <t>1 GOLD = 2 ELECTRUM</t>
  </si>
  <si>
    <t>1 ELECTRUM = 5 SILVER</t>
  </si>
  <si>
    <t>I idolize a particular hero of my faith, and constantly refer to that person’s deeds and example.</t>
  </si>
  <si>
    <t>I can find common ground between the fiercest enemies, empathizing with them and always working toward peace.</t>
  </si>
  <si>
    <t>I see omens in every event and action. The gods try to speak to us, we just need to listen</t>
  </si>
  <si>
    <t>Nothing can shake my optimistic attitude.</t>
  </si>
  <si>
    <t>I quote (or misquote) sacred texts and proverbs in almost every situation.</t>
  </si>
  <si>
    <t>I am tolerant (or intolerant) of other faiths and respect (or condemn) the worship of other gods.</t>
  </si>
  <si>
    <t>I’ve enjoyed fine food, drink, and high society among my temple’s elite. Rough living grates on me.</t>
  </si>
  <si>
    <t>I’ve spent so long in the temple that I have little practical experience dealing with people in the outside world.</t>
  </si>
  <si>
    <t>Tradition. The ancient traditions of worship and sacrifice must be preserved and upheld. (Lawful)</t>
  </si>
  <si>
    <t>Charity. I always try to help those in need, no matter what the personal cost. (Good)</t>
  </si>
  <si>
    <t>Change. We must help bring about the changes the gods are constantly working in the world. (Chaotic)</t>
  </si>
  <si>
    <t>Power. I hope to one day rise to the top of my faith’s religious hierarchy. (Lawful)</t>
  </si>
  <si>
    <t>Faith. I trust that my deity will guide my actions. I have faith that if I work hard, things will go well. (Lawful)</t>
  </si>
  <si>
    <t>Aspiration. I seek to prove myself worthy of my god’s favor by matching my actions against his or her teachings. (Any)</t>
  </si>
  <si>
    <t xml:space="preserve">I would die to recover an ancient relic of my faith that was lost long ago. </t>
  </si>
  <si>
    <t>I will someday get revenge on the corrupt temple hierarchy who branded me a heretic.</t>
  </si>
  <si>
    <t>I owe my life to the priest who took me in when my parents died.</t>
  </si>
  <si>
    <t>Everything I do is for the common people.</t>
  </si>
  <si>
    <t>I will do anything to protect the temple where I served.</t>
  </si>
  <si>
    <t>I seek to preserve a sacred text that my enemies consider heretical and seek to destroy</t>
  </si>
  <si>
    <t>I judge others harshly, and myself even more severely.</t>
  </si>
  <si>
    <t>I put too much trust in those who wield power within my temple’s hierarchy.</t>
  </si>
  <si>
    <t>My piety sometimes leads me to blindly trust those that profess faith in my god.</t>
  </si>
  <si>
    <t>I am inflexible in my thinking.</t>
  </si>
  <si>
    <t>I am suspicious of strangers and expect the worst of them.</t>
  </si>
  <si>
    <t>Once I pick a goal, I become obsessed with it to the detriment of everything else in my life.</t>
  </si>
  <si>
    <t>I always have a plan for what to do when things go wrong.</t>
  </si>
  <si>
    <t>I am always calm, no matter what the situation. I never raise my voice or let my emotions control me.</t>
  </si>
  <si>
    <t>The first thing I do in a new place is note the locations of everything valuable - or where such things could be hidden.</t>
  </si>
  <si>
    <t>I would rather make a new friend than a new enemy.</t>
  </si>
  <si>
    <t>I am incredibly slow to trust. Those who seem the fairest often have the most to hide.</t>
  </si>
  <si>
    <t>I don’t pay attention to the risks in a situation. Never tell me the odds.</t>
  </si>
  <si>
    <t>The best way to get me to do something is to tell me I can’t do it.</t>
  </si>
  <si>
    <t>I blow up at the slightest insult.</t>
  </si>
  <si>
    <t>Honor. I don’t steal from others in the trade. (Lawful)</t>
  </si>
  <si>
    <t>Freedom. Chains are meant to be broken, as are those who would forge them. (Chaotic)</t>
  </si>
  <si>
    <t>Charity. I steal from the wealthy so that I can help people in need. (Good)</t>
  </si>
  <si>
    <t>Greed. I will do whatever it takes to become wealthy. (Evil)</t>
  </si>
  <si>
    <t>People. I’m loyal to my friends, not to any ideals, and everyone else can take a trip down the Styx for all I care. (Neutral)</t>
  </si>
  <si>
    <t>Redemption. There’s a spark of good in everyone. (Good)</t>
  </si>
  <si>
    <t>I’m trying to pay off an old debt I owe to a generous benefactor.</t>
  </si>
  <si>
    <t>My ill-gotten gains go to support my family.</t>
  </si>
  <si>
    <t>Something important was taken from me, and I aim to steal it back.</t>
  </si>
  <si>
    <t>I’m guilty of a terrible crime. I hope I can redeem myself for it.</t>
  </si>
  <si>
    <t>Someone I loved died because of I mistake I made. That will never happen again.</t>
  </si>
  <si>
    <t>I will become the greatest thief that ever lived.</t>
  </si>
  <si>
    <t>When I see something valuable, I can’t think about anything but how to steal it.</t>
  </si>
  <si>
    <t>When faced with a choice between money and my friends, I usually choose the money.</t>
  </si>
  <si>
    <t>If there’s a plan, I’ll forget it. If I don’t forget it, I’ll ignore it.</t>
  </si>
  <si>
    <t>I have a “tell” that reveals when I’m lying.</t>
  </si>
  <si>
    <t>I turn tail and run when things look bad.</t>
  </si>
  <si>
    <t>An innocent person is in prison for a crime that I committed. I’m okay with that.</t>
  </si>
  <si>
    <t>Blackmailer</t>
  </si>
  <si>
    <t>Burglar</t>
  </si>
  <si>
    <t>Enforcer</t>
  </si>
  <si>
    <t>Fence</t>
  </si>
  <si>
    <t>Hired killer</t>
  </si>
  <si>
    <t>Highway robber</t>
  </si>
  <si>
    <t>Pickpocket</t>
  </si>
  <si>
    <t>Smuggler</t>
  </si>
  <si>
    <t>I stood up to a tyrant’s agents.</t>
  </si>
  <si>
    <t>I saved people during a natural disaster.</t>
  </si>
  <si>
    <t>I stood alone against a terrible monster.</t>
  </si>
  <si>
    <t>I stole from a corrupt merchant to help the poor.</t>
  </si>
  <si>
    <t>I led a militia to fight off an invading army.</t>
  </si>
  <si>
    <t>I broke into a tyrant’s castle and stole weapons to arm the people.</t>
  </si>
  <si>
    <t>I trained the peasantry to use farm implements as weapons against a tyrant’s soldiers.</t>
  </si>
  <si>
    <t>A lord rescinded an unpopular decree after I led a symbolic act of protest against it.</t>
  </si>
  <si>
    <t>A celestial, fey, or similar creature gave me a blessing or revealed my secret origin.</t>
  </si>
  <si>
    <t>Recruited into a lord’s army, I rose to leadership and was commended for my heroism.</t>
  </si>
  <si>
    <t>I judge people by their actions, not their words.</t>
  </si>
  <si>
    <t>If someone is in trouble, I’m always ready to lend help.</t>
  </si>
  <si>
    <t>When I set my mind to something, I follow through no matter what gets in my way.</t>
  </si>
  <si>
    <t>I’m confident in my own abilities and do what I can to instill confidence in others.</t>
  </si>
  <si>
    <t>Thinking is for other people. I prefer action.</t>
  </si>
  <si>
    <t>I misuse long words in an attempt to sound smarter.</t>
  </si>
  <si>
    <t>I get bored easily. When am I going to get on with my destiny?</t>
  </si>
  <si>
    <t>Respect. People deserve to be treated with dignity and respect. (Good)</t>
  </si>
  <si>
    <t>Freedom. Tyrants must not be allowed to oppress the people. (Chaotic)</t>
  </si>
  <si>
    <t>Might. If I become strong, I can take what I want— what I deserve. (Evil)</t>
  </si>
  <si>
    <t>Sincerity. There’s no good in pretending to be something I’m not. (Neutral)</t>
  </si>
  <si>
    <t>Destiny. Nothing and no one can steer me away from my higher calling. (Any)</t>
  </si>
  <si>
    <t>I have a family, but I have no idea where they are. One day, I hope to see them again.</t>
  </si>
  <si>
    <t>I worked the land, I love the land, and I will protect the land.</t>
  </si>
  <si>
    <t>I protect those who cannot protect themselves.</t>
  </si>
  <si>
    <t>I wish my childhood sweetheart had come with me to pursue my destiny.</t>
  </si>
  <si>
    <t>The tyrant who rules my land will stop at nothing to see me killed.</t>
  </si>
  <si>
    <t>I have a weakness for the vices of the city, especially hard drink.</t>
  </si>
  <si>
    <t>Secretly, I believe that things would be better if I were a tyrant lording over the land.</t>
  </si>
  <si>
    <t>I have trouble trusting in my allies.</t>
  </si>
  <si>
    <t>I have a strong sense of fair play and always try to find the most equitable solution to arguments.</t>
  </si>
  <si>
    <t>Fairness. No one should get preferential treatment before the law, and no one is above the law. (Lawful)</t>
  </si>
  <si>
    <t>A proud noble once gave me a horrible beating, and I will take my revenge on any bully I encounter.</t>
  </si>
  <si>
    <t>My tools are symbols of my past life, and I carry them so that I will never forget my roots.</t>
  </si>
  <si>
    <t>I’m convinced of the significance of my destiny, and blind to my shortcomings and the risk of failure.</t>
  </si>
  <si>
    <t>The people who knew me when I was young know my shameful secret, so I can never go home again.</t>
  </si>
  <si>
    <t>My eloquent flattery makes everyone I talk to feel like the most wonderful and important person in the world.</t>
  </si>
  <si>
    <t>The common folk love me for my kindness and generosity.</t>
  </si>
  <si>
    <t>No one could doubt by looking at my regal bearing that I am a cut above the unwashed masses.</t>
  </si>
  <si>
    <t>I take great pains to always look my best and follow the latest fashions.</t>
  </si>
  <si>
    <t>I don’t like to get my hands dirty, and I won’t be caught dead in unsuitable accommodations.</t>
  </si>
  <si>
    <t>Despite my noble birth, I do not place myself above other folk. We all have the same blood.</t>
  </si>
  <si>
    <t>My favor, once lost, is lost forever.</t>
  </si>
  <si>
    <t>If you do me an injury, I will crush you, ruin your name, and salt your fields.</t>
  </si>
  <si>
    <t>Respect. Respect is due to me because of my position, but all people regardless of station deserve to be treated with dignity. (Good)</t>
  </si>
  <si>
    <t>Responsibility. It is my duty to respect the authority of those above me, just as those below me must respect mine. (Lawful)</t>
  </si>
  <si>
    <t>Independence. I must prove that I can handle myself without the coddling of my family. (Chaotic)</t>
  </si>
  <si>
    <t>Power. If I can attain more power, no one will tell me what to do. (Evil)</t>
  </si>
  <si>
    <t>Family. Blood runs thicker than water. (Any)</t>
  </si>
  <si>
    <t>Noble Obligation. It is my duty to protect and care for the people beneath me. (Good)</t>
  </si>
  <si>
    <t>I will face any challenge to win the approval of my family.</t>
  </si>
  <si>
    <t>My house’s alliance with another noble family must be sustained at all costs.</t>
  </si>
  <si>
    <t>Nothing is more important than the other members of my family.</t>
  </si>
  <si>
    <t>I am in love with the heir of a family that my family despises.</t>
  </si>
  <si>
    <t>My loyalty to my sovereign is unwavering.</t>
  </si>
  <si>
    <t>The common folk must see me as a hero of the people.</t>
  </si>
  <si>
    <t>I secretly believe that everyone is beneath me.</t>
  </si>
  <si>
    <t>I hide a truly scandalous secret that could ruin my family forever.</t>
  </si>
  <si>
    <t>I too often hear veiled insults and threats in every word addressed to me, and I’m quick to anger.</t>
  </si>
  <si>
    <t>I have an insatiable desire for carnal pleasures.</t>
  </si>
  <si>
    <t>In fact, the world does revolve around me.</t>
  </si>
  <si>
    <t>By my words and actions, I often bring shame to my family.</t>
  </si>
  <si>
    <t>I’m always polite and respectful.</t>
  </si>
  <si>
    <t>I’m haunted by memories of war. I can’t get the images of violence out of my mind.</t>
  </si>
  <si>
    <t>I’ve lost too many friends, and I’m slow to make new ones.</t>
  </si>
  <si>
    <t>I’m full of inspiring and cautionary tales from my military experience relevant to almost every combat situation.</t>
  </si>
  <si>
    <t>I can stare down a hell hound without flinching.</t>
  </si>
  <si>
    <t>I enjoy being strong and like breaking things.</t>
  </si>
  <si>
    <t>I have a crude sense of humor.</t>
  </si>
  <si>
    <t>I face problems head-on. A simple, direct solution is the best path to success.</t>
  </si>
  <si>
    <t>Greater Good. Our lot is to lay down our lives in defense of others. (Good)</t>
  </si>
  <si>
    <t>Responsibility. I do what I must and obey just authority. (Lawful)</t>
  </si>
  <si>
    <t>Independence. When people follow orders blindly, they embrace a kind of tyranny. (Chaotic)</t>
  </si>
  <si>
    <t>Might. In life as in war, the stronger force wins. (Evil)</t>
  </si>
  <si>
    <t>Live and Let Live. Ideals aren’t worth killing over or going to war for. (Neutral)</t>
  </si>
  <si>
    <t>Nation. My city, nation, or people are all that matter. (Any)</t>
  </si>
  <si>
    <t>I would still lay down my life for the people I served with.</t>
  </si>
  <si>
    <t>Someone saved my life on the battlefield. To this day, I will never leave a friend behind.</t>
  </si>
  <si>
    <t>My honor is my life.</t>
  </si>
  <si>
    <t>I’ll never forget the crushing defeat my company suffered or the enemies who dealt it.</t>
  </si>
  <si>
    <t>Those who fight beside me are those worth dying for.</t>
  </si>
  <si>
    <t>I fight for those who cannot fight for themselves.</t>
  </si>
  <si>
    <t>The monstrous enemy we faced in battle still leaves me quivering with fear.</t>
  </si>
  <si>
    <t>I have little respect for anyone who is not a proven warrior.</t>
  </si>
  <si>
    <t>I made a terrible mistake in battle that cost many lives—and I would do anything to keep that mistake secret.</t>
  </si>
  <si>
    <t>My hatred of my enemies is blind and unreasoning.</t>
  </si>
  <si>
    <t>I obey the law, even if the law causes misery.</t>
  </si>
  <si>
    <t>I’d rather eat my armor than admit when I’m wrong.</t>
  </si>
  <si>
    <t xml:space="preserve">Officer </t>
  </si>
  <si>
    <t xml:space="preserve">Scout </t>
  </si>
  <si>
    <t xml:space="preserve">Infantry </t>
  </si>
  <si>
    <t xml:space="preserve">Cavalry </t>
  </si>
  <si>
    <t xml:space="preserve">Quartermaster </t>
  </si>
  <si>
    <t xml:space="preserve">Standard bearer </t>
  </si>
  <si>
    <t>Support staff (cook, blacksmith, or the like)</t>
  </si>
  <si>
    <t>Chromatic Orb</t>
  </si>
  <si>
    <t>a diamond worth at least 50 gp</t>
  </si>
  <si>
    <t>Find the Path</t>
  </si>
  <si>
    <t>a set of divinatory tools - such as bones, ivory sticks, cards, teeth, or carved runes - worth 100 gp and an object from the location you wish to find</t>
  </si>
  <si>
    <t xml:space="preserve"> find shortest, most direct physical route</t>
  </si>
  <si>
    <t xml:space="preserve">Each object in a 20-foot cube within range is outlined in blue, green, or violet light (your choice). Any creature in the area when the spell is cast is also outlined in light if it fails a Dexterity saving throw. For the duration, objects and affected creatures shed dim light in a 10-foot radius. 
Any attack roll against an affected creature or object has advantage if the attacker can see it, and the affected creature or object can’t benefit from being invisible. </t>
  </si>
  <si>
    <t>Blade Ward</t>
  </si>
  <si>
    <t>Friends</t>
  </si>
  <si>
    <t>True Strike</t>
  </si>
  <si>
    <t>Illusory Script</t>
  </si>
  <si>
    <t>Jump</t>
  </si>
  <si>
    <t>Protection from Evil and Good</t>
  </si>
  <si>
    <t>Silent Image</t>
  </si>
  <si>
    <t>Witch Bolt</t>
  </si>
  <si>
    <t>Expeditious Retreat</t>
  </si>
  <si>
    <t>Ray of Sickness</t>
  </si>
  <si>
    <t>Alter Self</t>
  </si>
  <si>
    <t>Cloud of Daggers</t>
  </si>
  <si>
    <t>Continual Flame</t>
  </si>
  <si>
    <t>Crown of Madness</t>
  </si>
  <si>
    <t>Detect Thoughts</t>
  </si>
  <si>
    <t>Enlarge/Reduce</t>
  </si>
  <si>
    <t>Locate Object</t>
  </si>
  <si>
    <t>Magic Mouth</t>
  </si>
  <si>
    <t>Misty Step</t>
  </si>
  <si>
    <t>See Invisibility</t>
  </si>
  <si>
    <t>Shatter</t>
  </si>
  <si>
    <t>Bestow Curse</t>
  </si>
  <si>
    <t>Clairvoyance</t>
  </si>
  <si>
    <t>Fear</t>
  </si>
  <si>
    <t>Feign Death</t>
  </si>
  <si>
    <t>Gaseous Form</t>
  </si>
  <si>
    <t>Glyph of Warding</t>
  </si>
  <si>
    <t>Nondetection</t>
  </si>
  <si>
    <t>Phantom Steed</t>
  </si>
  <si>
    <t>Sending</t>
  </si>
  <si>
    <t>Tongues</t>
  </si>
  <si>
    <t>Vampiric Touch</t>
  </si>
  <si>
    <t>Hypnotic Pattern</t>
  </si>
  <si>
    <t>Conjure Minor Elementals</t>
  </si>
  <si>
    <t>Control Water</t>
  </si>
  <si>
    <t>Fabricate</t>
  </si>
  <si>
    <t>Greater Invisibility</t>
  </si>
  <si>
    <t>Fire Shield</t>
  </si>
  <si>
    <t>Hallucinatory Terrain</t>
  </si>
  <si>
    <t>Stone Shape</t>
  </si>
  <si>
    <t>Phantasmal Killer</t>
  </si>
  <si>
    <t>Locate Creature</t>
  </si>
  <si>
    <t>You extend your hand and trace a sigil of warding in the air. Until the end of your next turn, you have resistance against bludgeoning, piercing, and slashing damage dealt by weapon attacks.</t>
  </si>
  <si>
    <t>1 bon</t>
  </si>
  <si>
    <t>This spell allows you to move at an incredible pace. When you cast this spell, and then as a bonus action on each of your turns until the spell ends, you can take the Dash action.</t>
  </si>
  <si>
    <t>dash action as bonus action</t>
  </si>
  <si>
    <t>a small amount of makeup applied to the face as this spell is cast</t>
  </si>
  <si>
    <t>10 days</t>
  </si>
  <si>
    <t>a lead-based ink worth at least 10 gp, which the spell consumes</t>
  </si>
  <si>
    <t>You write on parchment, paper, or some other suitable writing material and imbue it with a potent illusion that lasts for the duration. 
To you and any creatures you designate when you cast the spell, the writing appears normal, written in your hand, and conveys whatever meaning you intended when you wrote the text. To all others, the writing appears as if it were written in an unknown or magical script that is unintelligible. Alternatively, you can cause the writing to appear to be an entirely different message, written in a different hand and language, though the language must be one you know. 
Should the spell be dispelled, the original script and the illusion both disappear. 
A creature with truesight can read the hidden message.</t>
  </si>
  <si>
    <t>potent illusion on parchement</t>
  </si>
  <si>
    <t>a grasshopper’s hind leg</t>
  </si>
  <si>
    <t>You touch a creature. The creature’s jump distance is tripled until the spell ends.</t>
  </si>
  <si>
    <t>jump distance x 3</t>
  </si>
  <si>
    <t>a sliver of glass</t>
  </si>
  <si>
    <t>ruby dust worth 50 gp, which the spell consumes</t>
  </si>
  <si>
    <t>A flame, equivalent in brightness to a torch, springs forth from an object that you touch. The effect looks like a regular flame, but it creates no heat and doesn’t use oxygen. A continual flame can be covered or hidden but not smothered or quenched.</t>
  </si>
  <si>
    <t>One humanoid of your choice that you can see within range must succeed on a Wisdom saving throw or become charmed by you for the duration. While the target is charmed in this way, a twisted crown of jagged iron appears on its head, and a madness glows in its eyes. 
The charmed target must use its action before moving on each of its turns to make a melee attack against a creature other than itself that you mentally choose.
The target can act normally on its turn if you choose no creature or if none are within its reach. 
On your subsequent turns, you must use your action to maintain control over the target, or the spell ends. Also, the target can make a Wisdom saving throw at the end of each of its turns. On a success, the spell ends.</t>
  </si>
  <si>
    <t>a copper piece</t>
  </si>
  <si>
    <t>For the duration, you can read the thoughts of certain creatures. When you cast the spell and as your action on each turn until the spell ends, you can focus your mind on any one creature that you can see within 30 feet of you. If the creature you choose has an Intelligence of 3 or lower or doesn’t speak any language, the creature is unaffected. 
You initially learn the surface thoughts of the creature—what is most on its mind in that moment. As an action, you can either shift your attention to another creature’s thoughts or attempt to probe deeper into the same creature’s mind. If you probe deeper, the target must make a Wisdom saving throw. If it fails, you gain insight into its reasoning (if any), its emotional state, and something that looms large in its mind (such as something it worries over, loves, or hates). If it succeeds, the spell ends. Either way, the target knows that you are probing into its mind, and unless you shift your attention to another creature’s thoughts, the creature can use its action on its turn to make an Intelligence check contested by your Intelligence check; if it succeeds, the spell ends. 
Questions verbally directed at the target creature naturally shape the course of its thoughts, so this spell is particularly effective as part of an interrogation. You can also use this spell to detect the presence of thinking creatures you can’t see. When you cast the spell or as your action during the duration, you can search for thoughts within 30 feet of you. The spell can penetrate barriers, but 2 feet of rock, 2 inches of any metal other than lead, or a thin sheet of lead blocks you. You can’t detect a creature with an Intelligence of 3 or lower or one that doesn’t speak any language. 
Once you detect the presence of a creature in this way, you can read its thoughts for the rest of the duration as described above, even if you can’t see it, but it must still be within range.</t>
  </si>
  <si>
    <t>a pinch of powdered iron</t>
  </si>
  <si>
    <t>You cause a creature or an object you can see within range to grow larger or smaller for the duration. Choose either a creature or an object that is neither worn nor carried. If the target is unwilling, it can make a Constitution saving throw. On a success, the spell has no effect. 
If the target is a creature, everything it is wearing and carrying changes size with it. Any item dropped by an affected creature returns to normal size at once. 
Enlarge. The target’s size doubles in all dimensions, and its weight is multiplied by eight. This growth increases its size by one category—from Medium to Large, for example. If there isn’t enough room for the target to double its size, the creature or object attains the maximum possible size in the space available. Until the spell ends, the target also has advantage on Strength checks and Strength saving throws. The target’s weapons also grow to match its new size. While these weapons are enlarged, the target’s attacks with them deal 1d4 extra damage. 
Reduce. The target’s size is halved in all dimensions, and its weight is reduced to one-eighth of normal. This reduction decreases its size by one category—from Medium to Small, for example. Until the spell ends, the target also has disadvantage on Strength checks and Strength saving throws. The target’s weapons also shrink to match its new size. While these weapons are reduced, the target’s attacks with them deal 1d4 less damage (this can’t reduce the damage below 1).</t>
  </si>
  <si>
    <t>1 rnd ᶜᵒᶰ</t>
  </si>
  <si>
    <t>You extend your hand and point a finger at a target in range. Your magic grants you a brief insight into the target’s defenses. On your next turn, you gain advantage on your first attack roll against the target, provided that this spell hasn’t ended.</t>
  </si>
  <si>
    <t>a short piece of copper wire</t>
  </si>
  <si>
    <t>whisper message to target</t>
  </si>
  <si>
    <t>a tiny bell and a piece of fine silver wire</t>
  </si>
  <si>
    <t>You set an alarm against unwanted intrusion. Choose a door, a window, or an area within range that is no larger than a 20-foot cube. Until the spell ends, an alarm alerts you whenever a Tiny or larger creature touches or enters the warded area. When you cast the spell, you can designate creatures that won’t set off the alarm. You also choose whether the alarm is mental or audible. 
A mental alarm alerts you with a ping in your mind if you are within 1 mile of the warded area. This ping awakens you if you are sleeping. 
An audible alarm produces the sound of a hand bell for 10 seconds within 60 feet.</t>
  </si>
  <si>
    <t>a morsel of food</t>
  </si>
  <si>
    <t>Animal Shapes</t>
  </si>
  <si>
    <t>24 hrs ᶜᵒᶰ</t>
  </si>
  <si>
    <t>Your magic turns others into beasts. Choose any number of willing creatures that you can see within range. You transform each target into the form of a Large or smaller beast with a challenge rating of 4 or lower. On subsequent turns, you can use your action to transform affected creatures into new forms. 
The transformation lasts for the duration for each target, or until the target drops to 0 hit points or dies. You can choose a different form for each target. A target’s game statistics are replaced by the statistics of the chosen beast, though the target retains its alignment and Intelligence, Wisdom, and Charisma scores. The target assumes the hit points of its new form, and when it reverts to its normal form, it returns to the number of hit points it had before it transformed. If it reverts as a result of dropping to 0 hit points, any excess damage carries over to its normal form. As long as the excess damage doesn’t reduce the creature’s normal form to 0 hit points, it isn’t knocked unconscious. The creature is limited in the actions it can perform by the nature of its new form, and it can’t speak or cast spells. 
The target’s gear melds into the new form. The target can’t activate, wield, or otherwise benefit from any of its equipment.</t>
  </si>
  <si>
    <t>a drop of blood, a piece of flesh, and a pinch of bone dust</t>
  </si>
  <si>
    <t>Animate Objects</t>
  </si>
  <si>
    <t>Antilife Shell</t>
  </si>
  <si>
    <t>A shimmering barrier extends out from you in a 10-foot radius and moves with you, remaining centered on you and hedging out creatures other than undead and constructs. The barrier lasts for the duration. 
The barrier prevents an affected creature from passing or reaching through. An affected creature can cast spells or make attacks with ranged or reach weapons through the barrier. 
If you move so that an affected creature is forced to pass through the barrier, the spell ends.</t>
  </si>
  <si>
    <t xml:space="preserve">You assume a different form. When you cast the spell, choose one of the following options, the effects of which last for the duration of the spell. While the spell lasts, you can end one option as an action to gain the benefits of a different one. 
Aquatic Adaptation. You adapt your body to an aquatic environment, sprouting gills and growing webbing between your fingers. You can breathe underwater and gain a swimming speed equal to your walking speed. 
Change Appearance. You transform your appearance. You decide what you look like, including your height, weight, facial features, sound of your voice, hair length, coloration, and distinguishing characteristics, if any. You can make yourself appear as a member of another race, though none of your statistics change. You also can’t appear as a creature of a different size than you, and your basic shape stays the same; if you're bipedal, you can’t use this spell to become quadrupedal, for instance. At any time for the duration of the spell, you can use your action to change your appearance in this way again. 
Natural Weapons. You grow claws, fangs, spines, horns, or a different natural weapon of your choice. Your unarmed strikes deal 1d6 bludgeoning, piercing, or slashing damage, as appropriate to the natural weapon you chose, and you are proficient with your unarmed strikes. Finally, the natural weapon is magic and you have a +1 bonus to the attack and damage rolls you make using it.
</t>
  </si>
  <si>
    <t>A 10-foot-radius invisible sphere of antimagic surrounds you. This area is divorced from the magical energy that suffuses the multiverse. Within the sphere, spells can’t be cast, summoned creatures disappear, and even magic items become mundane. Until the spell ends, the sphere moves with you, centered on you. 
Spells and other magical effects, except those created by an artifact or a deity, are suppressed in the sphere and can’t protrude into it. A slot expended to cast a suppressed spell is consumed. While an effect is suppressed, it doesn’t function, but the time it spends suppressed counts against its duration. 
Targeted Effects. Spells and other magical effects, such as magic missile and charm person, that target a creature or an object in the sphere have no effect on that target.
Areas of Magic. The area of another spell or magical effect, such as fireball, can’t extend into the sphere. If the sphere overlaps an area of magic, the part of the area that is covered by the sphere is suppressed. For example, the flames created by a wall of fire are suppressed within the sphere, creating a gap in the wall if the overlap is large enough. 
Spells. Any active spell or other magical effect on a creature or an object in the sphere is suppressed while the creature or object is in it. 
Magic Items. The properties and powers of magic items are suppressed in the sphere. For example, a +1 longsword in the sphere functions as a nonmagical longsword. A magic weapon’s properties and powers are suppressed if it is used against a target in the sphere or wielded by an attacker in the sphere. If a magic weapon or a piece of magic ammunition fully leaves the sphere (for example, if you fire a magic arrow or throw a magic spear at a target outside the sphere), the magic of the item ceases to be suppressed as soon as it exits. 
Magical Travel. Teleportation and planar travel fail to work in the sphere, whether the sphere is the destination or the departure point for such magical travel. A portal to another location, world, or plane of existence, as well as an opening to an extradimensional space such as that created by the rope trick spell, temporarily closes while in the sphere. 
Creatures and Objects. A creature or object summoned or created by magic temporarily winks out of existence in the sphere. Such a creature instantly reappears once the space the creature occupied is no longer within the sphere. Dispel Magic. Spells and magical effects such as dispel magic have no effect on the sphere. Likewise, the spheres created by different antimagic field spells don’t nullify each other.</t>
  </si>
  <si>
    <t>Antipathy/Sympathy</t>
  </si>
  <si>
    <t>either a lump of alum soaked in vinegar for the antipathy effect or a drop of honey for the sympathy effect</t>
  </si>
  <si>
    <t>You create an invisible, magical eye within range that hovers in the air for the duration. 
You mentally receive visual information from the eye, which has normal vision and darkvision out to 30 feet. The eye can look in every direction. 
As an action, you can move the eye up to 30 feet in any direction. There is no limit to how far away from you the eye can move, but it can’t enter another plane of existence. A solid barrier blocks the eye’s movement, but the eye can pass through an opening as small as 1 inch in diameter.</t>
  </si>
  <si>
    <t>You create linked teleportation portals that remain open for the duration. Choose two points on the ground that you can see, one point within 10 feet of you and one point within 500 feet of you. A circular portal, 10 feet in diameter, opens over each point. If the portal would open in the space occupied by a creature, the spell fails, and the casting is lost. 
The portals are two-dimensional glowing rings filled with mist, hovering inches from the ground and perpendicular to it at the points you choose. A ring is visible only from one side (your choice), which is the side that functions as a portal. 
Any creature or object entering the portal exits from the other portal as if the two were adjacent to each other; passing through a portal from the nonportal side has no effect. The mist that fills each portal is opaque and blocks vision through it. On your turn, you can rotate the rings as a bonus action so that the active side faces in a different direction.</t>
  </si>
  <si>
    <t>Armor of Agathys</t>
  </si>
  <si>
    <t>Arms of Hadar</t>
  </si>
  <si>
    <t>a cup of water</t>
  </si>
  <si>
    <t>create linked teleport portals</t>
  </si>
  <si>
    <t>Life-preserving energy radiates from you in an aura with a 30-foot radius. Until the spell ends, the aura moves with you, centered on you. Each nonhostile creature in the aura (including you) has resistance to necrotic damage, and its hit point maximum can't be reduced. In addition, a nonhostile, living creature regains 1 hit point when it starts its turn in the aura with 0 hit points.</t>
  </si>
  <si>
    <t>Healing energy radiates from you in an aura with a 30-foot radius. Until the spell ends, the aura moves with you, centered on you. You can use a bonus action to cause one creature in the aura (including you) to regain 2d6 hit points.</t>
  </si>
  <si>
    <t>an agate worth at least 1,000 gp, which the spell consumes</t>
  </si>
  <si>
    <t>After spending the casting time tracing magical pathways within a precious gemstone, you touch a Huge or smaller beast or plant. The target must have either no Intelligence score or an Intelligence of 3 or less. The target gains an Intelligence of 10. The target also gains the ability to speak one language you know. If the target is a plant, it gains the ability to move its limbs, roots, vines, creepers, and so forth, and it gains senses similar to a human’s. Your DM chooses statistics appropriate for the awakened plant, such as the statistics for the awakened shrub or the awakened tree. 
The awakened beast or plant is charmed by you for 30 days or until you or your companions do anything harmful to it. When the charmed condition ends, the awakened creature chooses whether to remain friendly to you, based on how you treated it while it was charmed.</t>
  </si>
  <si>
    <t>a drop of blood</t>
  </si>
  <si>
    <t>The next time you hit a creature with a weapon attack before this spell ends, your weapon crackles with force, and the attack deals an extra 5d10 force damage to the target. Additionally, if this attack reduces the target to 50 hit points or fewer, you banish it. If the target is native to a different plane of existence than the one you’re on, the target disappears, returning to its home plane. If the target is native to the plane you’re on, the creature vanishes into a harmless demiplane. While there, the target is incapacitated. It remains there until the spell ends, at which point the target reappears in the space it left or in the nearest unoccupied space if that space is occupied.</t>
  </si>
  <si>
    <t>an item distasteful to the target</t>
  </si>
  <si>
    <t>a handful of oak bark</t>
  </si>
  <si>
    <t>You touch a willing creature. Until the spell ends, the target’s skin has a rough, bark-like appearance, and the target’s AC can’t be less than 16, regardless of what kind of armor it is wearing.</t>
  </si>
  <si>
    <t>Beast Sense</t>
  </si>
  <si>
    <t>You touch a willing beast. For the duration of the spell, you can use your action to see through the beast’s eyes and hear what it hears, and continue to do so until you use your action to return to your normal senses. While perceiving through the beast’s senses, you gain the benefits of any special senses possessed by that creature, though you are blinded and deafened to your own surroundings.</t>
  </si>
  <si>
    <t>choose curse, wis save</t>
  </si>
  <si>
    <t>Bigby's Hand</t>
  </si>
  <si>
    <t>an eggshell and a snakeskin glove</t>
  </si>
  <si>
    <t>You create a vertical wall of whirling, razor-sharp blades made of magical energy. The wall appears within range and lasts for the duration. You can make a straight wall up to 100 feet long, 20 feet high, and 5 feet thick, or a ringed wall up to 60 feet in diameter, 20 feet high, and 5 feet thick. The wall provides three-quarters cover to creatures behind it, and its space is difficult terrain. 
When a creature enters the wall’s area for the first time on a turn or starts its turn there, the creature must make a Dexterity saving throw. On a failed save, the creature takes 6d10 slashing damage. On a successful save, the creature takes half as much damage</t>
  </si>
  <si>
    <t>8d8 necrotic, con save ½</t>
  </si>
  <si>
    <t>Blinding Smite</t>
  </si>
  <si>
    <t xml:space="preserve">The next time you hit a creature with a melee weapon attack during this spell’s duration, your weapon flares with bright light, and the attack deals an extra 3d8 radiant damage to the target. Additionally, the target must succeed on a Constitution saving throw or be blinded until the spell ends. 
A creature blinded by this spell makes another Constitution saving throw at the end of each of its turns. On a successful save, it is no longer blinded.
</t>
  </si>
  <si>
    <t>Blindness/Deafness</t>
  </si>
  <si>
    <t>blind or deafen foe, con save</t>
  </si>
  <si>
    <t>Roll a d20 at the end of each of your turns for the duration of the spell. On a roll of 11 or higher, you vanish from your current plane of existence and appear in the Ethereal Plane (the spell fails and the casting is wasted if you were already on that plane). At the start of your next turn, and when the spell ends if you are on the Ethereal Plane, you return to an unoccupied space of your choice that you can see within 10 feet of the space you vanished from. If no unoccupied space is available within that range, you appear in the nearest unoccupied space (chosen at random if more than one space is equally near). You can dismiss this spell as an action. 
While on the Ethereal Plane, you can see and hear the plane you originated from, which is cast in shades of gray, and you can’t see anything there more than 60 feet away. You can only affect and be affected by other creatures on the Ethereal Plane. Creatures that aren’t there can’t perceive you or interact with you, unless they have the ability to do so.</t>
  </si>
  <si>
    <t>four or more arrows or bolts</t>
  </si>
  <si>
    <t>either a pinch of dried carrot or an agate</t>
  </si>
  <si>
    <t>You touch a willing creature to grant it the ability to see in the dark. For the duration, that creature has darkvision out to a range of 60 feet.</t>
  </si>
  <si>
    <t>darkvision 60ft</t>
  </si>
  <si>
    <t>leaf of sumac</t>
  </si>
  <si>
    <t>a pinch of salt and one copper piece placed on each of the corpse’s eyes, which must remain there for the duration</t>
  </si>
  <si>
    <t>You touch a corpse or other remains. For the duration, the target is protected from decay and can’t become undead. 
The spell also effectively extends the time limit on raising the target from the dead, since days spent under the influence of this spell don’t count against the time limit of spells such as raise dead.</t>
  </si>
  <si>
    <t>a bit of tallow, a pinch of brimstone, and a dusting of powdered iron</t>
  </si>
  <si>
    <t>2d6 fire, dex save ½</t>
  </si>
  <si>
    <t>protected from decay, undead</t>
  </si>
  <si>
    <t>A line of strong wind 60 feet long and 10 feet wide blasts from you in a direction you choose for the spell’s duration. Each creature that starts its turn in the line must succeed on a Strength saving throw or be pushed 15 feet away from you in a direction following the line. 
Any creature in the line must spend 2 feet of movement for every 1 foot it moves when moving closer to you. 
The gust disperses gas or vapor, and it extinguishes candles, torches, and similar unprotected flames in the area. It causes protected flames, such as those of lanterns, to dance wildly and has a 50 percent chance to extinguish them. As a bonus action on each of your turns before the spell ends, you can change the direction in which the line blasts from you.</t>
  </si>
  <si>
    <t>a legume seed</t>
  </si>
  <si>
    <t>a piece of iron and a flame</t>
  </si>
  <si>
    <t>a small, straight piece of iron</t>
  </si>
  <si>
    <t>metal weapon or armor, 2d8 fire</t>
  </si>
  <si>
    <t>an eyelash encased in gum arabic</t>
  </si>
  <si>
    <t>invisible unless attack or cast spell</t>
  </si>
  <si>
    <t>unlock one lock, 10min arcane lock</t>
  </si>
  <si>
    <t>You touch a creature and can end either one disease or one condition afflicting it. The condition can be blinded, deafened, paralyzed, or poisoned.</t>
  </si>
  <si>
    <t>remove 1 disease or condition</t>
  </si>
  <si>
    <t>500lb, up to 20ft, con save</t>
  </si>
  <si>
    <t>Describe or name a specific kind of beast or plant. Concentrating on the voice of nature in your surroundings, you learn the direction and distance to the closest creature or plant of that kind within 5 miles, if any are present.</t>
  </si>
  <si>
    <t>a bit of fur from a bloodhound</t>
  </si>
  <si>
    <t>find beast or plant within 5 miles</t>
  </si>
  <si>
    <t>a forked twig</t>
  </si>
  <si>
    <t>Describe or name an object that is familiar to you. You sense the direction to the object’s location, as long as that object is within 1,000 feet of you. If the object is in motion, you know the direction of its movement. 
The spell can locate a specific object known to you, as long as you have seen it up close—within 30 feet—at least once. Alternatively, the spell can locate the nearest object of a particular kind, such as a certain kind of apparel, jewelry, furniture, tool, or weapon. 
This spell can’t locate an object if any thickness of lead, even a thin sheet, blocks a direct path between you and the object.</t>
  </si>
  <si>
    <t>within 1,000 feet of you</t>
  </si>
  <si>
    <t>a small bit of honeycomb and jade dust worth at least 10 gp, which the spell consumes</t>
  </si>
  <si>
    <t>Choose an object that you can see within range. The object can be a door, a box, a chest, a set of manacles, a padlock, or another object that contains a mundane or magical means that prevents access. 
A target that is held shut by a mundane lock or that is stuck or barred becomes unlocked, unstuck, or unbarred. If the object has multiple locks, only one of them is unlocked. 
If you choose a target that is held shut with arcane lock, that spell is suppressed for 10 minutes, during which time the target can be opened and shut normally. 
When you cast the spell, a loud knock, audible from as far away as 300 feet, emanates from the target object.</t>
  </si>
  <si>
    <t>powdered rhubarb leaf and an adder’s stomach</t>
  </si>
  <si>
    <t>Three illusory duplicates of yourself appear in your space. Until the spell ends, the duplicates move with you and mimic your actions, shifting position so it’s impossible to track which image is real. You can use your action to dismiss the illusory duplicates. 
Each time a creature targets you with an attack during the spell’s duration, roll a d20 to determine whether the attack instead targets one of your duplicates. 
If you have three duplicates, you must roll a 6 or higher to change the attack’s target to a duplicate. With two duplicates, you must roll an 8 or higher. With one duplicate, you must roll an 11 or higher. 
A duplicate’s AC equals 10 + your Dexterity modifier. If an attack hits a duplicate, the duplicate is destroyed. A duplicate can be destroyed only by an attack that hits it. It ignores all other damage and effects. The spell ends when all three duplicates are destroyed. 
A creature is unaffected by this spell if it can’t see, if it relies on senses other than sight, such as blindsight, or if it can perceive illusions as false, as with truesight.</t>
  </si>
  <si>
    <t>Briefly surrounded by silvery mist, you teleport up to 30 feet to an unoccupied space that you can see.</t>
  </si>
  <si>
    <t>teleport up to 30 feet</t>
  </si>
  <si>
    <t>several seeds of any moonseed plant and a piece of opalescent feldspar</t>
  </si>
  <si>
    <t>a small square of silk</t>
  </si>
  <si>
    <t>You place an illusion on a creature or an object you touch so that divination spells reveal false information about it. The target can be a willing creature or an object that isn’t being carried or worn by another creature. 
When you cast the spell, choose one or both of the following effects. The effect lasts for the duration. If you cast this spell on the same creature or object every day for 30 days, placing the same effect on it each time, the illusion lasts until it is dispelled. 
False Aura. You change the way the target appears to spells and magical effects, such as detect magic, that detect magical auras. You can make a nonmagical object appear magical, a magical object appear nonmagical, or change the object’s magical aura so that it appears to belong to a specific school of magic that you choose. When you use this effect on an object, you can make the false magic apparent to any creature that handles the item. 
Mask. You change the way the target appears to spells and magical effects that detect creature types, such as a paladin’s Divine Sense or the trigger of a symbol spell. You choose a creature type and other spells and magical effects treat the target as if it were a creature of that type or of that alignment.</t>
  </si>
  <si>
    <t>False Aura and Mask</t>
  </si>
  <si>
    <t>ashes from a burned leaf of mistletoe and a sprig of spruce</t>
  </si>
  <si>
    <t>A veil of shadows and silence radiates from you, masking you and your companions from detection. For the duration, each creature you choose within 30 feet of you (including you) has a +10 bonus to Dexterity (Stealth) checks and can’t be tracked except by magical means. A creature that receives this bonus leaves behind no tracks or other traces of its passage</t>
  </si>
  <si>
    <t>a bit of fleece</t>
  </si>
  <si>
    <t>You craft an illusion that takes root in the mind of a creature that you can see within range. The target must make an Intelligence saving throw. On a failed save, you create a phantasmal object, creature, or other visible phenomenon of your choice that is no larger than a 10-foot cube and that is perceivable only to the target for the duration. This spell has no effect on undead or constructs. 
The phantasm includes sound, temperature, and other stimuli, also evident only to the creature. 
The target can use its action to examine the phantasm with an Intelligence (Investigation) check against your spell save DC. If the check succeeds, the target realizes that the phantasm is an illusion, and the spell ends. 
While a target is affected by the spell, the target treats the phantasm as if it were real. The target rationalizes any illogical outcomes from interacting with the phantasm. For example, a target attempting to walk across a phantasmal bridge that spans a chasm falls once it steps onto the bridge. If the target survives the fall, it still believes that the bridge exists and comes up with some other explanation for its fall—it was pushed, it slipped, or a strong wind might have knocked it off. 
An affected target is so convinced of the phantasm’s reality that it can even take damage from the illusion. A phantasm created to appear as a creature can attack the target. Similarly, a phantasm created to appear as fire, a pool of acid, or lava can burn the target. Each round on your turn, the phantasm can deal 1d6 psychic damage to the target if it is in the phantasm’s area or within 5 feet of the phantasm, provided that the illusion is of a creature or hazard that could logically deal damage, such as by attacking. The target perceives the damage as a type appropriate to the illusion.</t>
  </si>
  <si>
    <t>1d6 psychic, Int (Investigation) check</t>
  </si>
  <si>
    <t>anyone in 30ft, +10 dex (stealth)</t>
  </si>
  <si>
    <t xml:space="preserve">You touch a creature. If it is poisoned, you neutralize the poison. If more than one poison afflicts the target, you neutralize one poison that you know is present, or you neutralize one at random. 
For the duration, the target has advantage on saving throws against being poisoned, and it has resistance to poison damage.
</t>
  </si>
  <si>
    <t>neutralize 1 poison, adv save, resistance</t>
  </si>
  <si>
    <t>A black beam of enervating energy springs from your finger toward a creature within range. Make a ranged spell attack against the target. On a hit, the target deals only half damage with weapon attacks that use Strength until the spell ends. 
At the end of each of the target’s turns, it can make a Constitution saving throw against the spell. On a success, the spell ends.</t>
  </si>
  <si>
    <t>powdered corn extract and a twisted loop of parchment</t>
  </si>
  <si>
    <t>You touch a length of rope that is up to 60 feet long. One end of the rope then rises into the air until the whole rope hangs perpendicular to the ground. At the upper end of the rope, an invisible entrance opens to an extradimensional space that lasts until the spell ends. 
The extradimensional space can be reached by climbing to the top of the rope. The space can hold as many as eight Medium or smaller creatures. The rope can be pulled into the space, making the rope disappear from view outside the space. 
Attacks and spells can’t cross through the entrance into or out of the extradimensional space, but those inside can see out of it as if through a 3-foot-by-5-foot window centered on the rope. 
Anything inside the extradimensional space drops out when the spell ends</t>
  </si>
  <si>
    <t>60ft rope, 3x5ft space</t>
  </si>
  <si>
    <t>a pinch of talc and a small sprinkling of powdered silver</t>
  </si>
  <si>
    <t>For the duration, you see invisible creatures and objects as if they were visible, and you can see into the Ethereal Plane. Ethereal creatures and objects appear ghostly and translucent.</t>
  </si>
  <si>
    <t>see invisible creatures/objects</t>
  </si>
  <si>
    <t>a chip of mica</t>
  </si>
  <si>
    <t>For the duration, no sound can be created within or pass through a 20-foot-radius sphere centered on a point you choose within range. Any creature or object entirely inside the sphere is immune to thunder damage, and creatures are deafened while entirely inside it. Casting a spell that includes a verbal component is impossible there.</t>
  </si>
  <si>
    <t>a drop of bitumen and a spider</t>
  </si>
  <si>
    <t>Until the spell ends, one willing creature you touch gains the ability to move up, down, and across vertical surfaces and upside down along ceilings, while leaving its hands free. The target also gains a climbing speed equal to its walking speed.</t>
  </si>
  <si>
    <t>move up, down, inverted</t>
  </si>
  <si>
    <t>seven sharp thorns or seven small twigs, each sharpened to a point</t>
  </si>
  <si>
    <t>a snake’s tongue and either a bit of honeycomb or a drop of sweet oil</t>
  </si>
  <si>
    <t>You suggest a course of activity (limited to a sentence or two) and magically influence a creature you can see within range that can hear and understand you. Creatures that can’t be charmed are immune to this effect. The suggestion must be worded in such a manner as to make the course of action sound reasonable. Asking the creature to stab itself, throw itself onto a spear, immolate itself, or do some other obviously harmful act ends the spell.
The target must make a Wisdom saving throw. On a failed save, it pursues the course of action you described to the best of its ability. The suggested course of action can continue for the entire duration. If the suggested activity can be completed in a shorter time, the spell ends when the subject finishes what it was asked to do. 
You can also specify conditions that will trigger a special activity during the duration. For example, you might suggest that a knight give her warhorse to the first beggar she meets. If the condition isn’t met before the spell expires, the activity isn’t performed. 
If you or any of your companions damage the target, the spell ends.</t>
  </si>
  <si>
    <t>suggest an activity, wis save</t>
  </si>
  <si>
    <t>a bit of spiderweb</t>
  </si>
  <si>
    <t>You conjure a mass of thick, sticky webbing at a point of your choice within range. The webs fill a 20-foot cube from that point for the duration. The webs are difficult terrain and lightly obscure their area. 
If the webs aren’t anchored between two solid masses (such as walls or trees) or layered across a floor, wall, or ceiling, the conjured web collapses on itself, and the spell ends at the start of your next turn. Webs layered over a flat surface have a depth of 5 feet. 
Each creature that starts its turn in the webs or that enters them during its turn must make a Dexterity saving throw. On a failed save, the creature is restrained as long as it remains in the webs or until it breaks free. 
A creature restrained by the webs can use its action to make a Strength check against your spell save DC. If it succeeds, it is no longer restrained. 
The webs are flammable. Any 5-foot cube of webs exposed to fire burns away in 1 round, dealing 2d4 fire damage to any creature that starts its turn in the fire.</t>
  </si>
  <si>
    <t>You create a magical zone that guards against deception in a 15-foot-radius sphere centered on a point of your choice within range. Until the spell ends, a creature that enters the spell’s area for the first time on a turn or starts its turn there must make a Charisma saving throw. On a failed save, a creature can’t speak a deliberate lie while in the radius. You know whether each creature succeeds or fails on its saving throw. 
An affected creature is aware of the spell and can thus avoid answering questions to which it would normally respond with a lie. Such a creature can be evasive in its answers as long as it remains within the boundaries of the truth.</t>
  </si>
  <si>
    <t>either a small leather loop or a piece of golden wire bent into a cup shape with a long shank on one end</t>
  </si>
  <si>
    <t>One creature or object of your choice that you can see within range rises vertically, up to 20 feet, and remains suspended there for the duration. The spell can levitate a target that weighs up to 500 pounds. An unwilling creature that succeeds on a Constitution saving throw is unaffected. 
The target can move only by pushing or pulling against a fixed object or surface within reach (such as a wall or a ceiling), which allows it to move as if it were climbing. You can change the target’s altitude by up to 20 feet in either direction on your turn. If you are the target, you can move up or down as part of your move. Otherwise, you can use your action to move the target, which must remain within the spell’s range. 
When the spell ends, the target floats gently to the ground if it is still aloft.</t>
  </si>
  <si>
    <t>add 1d4 once to 1 save</t>
  </si>
  <si>
    <t>mistletoe, a shamrock leaf, and a club or quarterstaff</t>
  </si>
  <si>
    <t>a pinch of powder or sand that is colored red, yellow, and blue</t>
  </si>
  <si>
    <t>understand any language</t>
  </si>
  <si>
    <t>a drop of water if creating water or a few grains of sand if destroying it</t>
  </si>
  <si>
    <t>create or destroy 10 gallons of water</t>
  </si>
  <si>
    <t>a yew leaf</t>
  </si>
  <si>
    <t>Your prayer empowers you with divine radiance. Until the spell ends, your weapon attacks deal an extra 1d4 radiant damage on a hit.</t>
  </si>
  <si>
    <t>weapon deals +1d4 radiance</t>
  </si>
  <si>
    <t>Grasping weeds and vines sprout from the ground in a 20-foot square starting from a point within range. For the duration, these plants turn the ground in the area into difficult terrain. 
A creature in the area when you cast the spell must succeed on a Strength saving throw or be restrained by the entangling plants until the spell ends. A creature restrained by the plants can use its action to make a Strength check against your spell save DC. On a success, it frees itself. 
When the spell ends, the conjured plants wilt away.</t>
  </si>
  <si>
    <t>a small amount of alcohol or distilled spirits</t>
  </si>
  <si>
    <t>1d4+4 temp. HP</t>
  </si>
  <si>
    <t>a small feather or piece of down</t>
  </si>
  <si>
    <t>Choose up to five falling creatures within range. A falling creature's rate of descent slows to 60 feet per round until the spell ends. If the creature lands before the spell ends, it takes no falling damage and can land on its feet, and the spell ends for that creature.</t>
  </si>
  <si>
    <t>5 falling targets, 60ft per rnd.</t>
  </si>
  <si>
    <t>10 gp worth of charcoal, incense, and herbs that must be consumed by fire in a brass brazier</t>
  </si>
  <si>
    <t>You gain the service of a familiar, a spirit that takes an animal form you choose: bat, cat, crab, frog (toad), hawk, lizard, octopus, owl, poisonous snake, fish (quipper), rat, raven, sea horse, spider, or weasel. Appearing in an unoccupied space within range, the familiar has the statistics of the chosen form, though it is a celestial, fey, or fiend (your choice) instead of a beast. 
Your familiar acts independently of you, but it always obeys your commands. In combat, it rolls its own initiative and acts on its own turn. A familiar can’t attack, but it can take other actions as normal. 
When the familiar drops to 0 hit points, it disappears, leaving behind no physical form. It reappears after you cast this spell again.
While your familiar is within 100 feet of you, you can communicate with it telepathically. Additionally, as an action, you can see through your familiar’s eyes and hear what it hears until the start of your next turn, gaining the benefits of any special senses that the familiar has. During this time, you are deaf and blind with regard to your own senses. 
As an action, you can temporarily dismiss your familiar. It disappears into a pocket dimension where it awaits your summons. Alternatively, you can dismiss it forever. As an action while it is temporarily dismissed, you can cause it to reappear in any unoccupied space within 30 feet of you. 
You can’t have more than one familiar at a time. If you cast this spell while you already have a familiar, you instead cause it to adopt a new form. Choose one of the forms from the above list. Your familiar transforms into the chosen creature. 
Finally, when you cast a spell with a range of touch, your familiar can deliver the spell as if it had cast the spell. Your familiar must be within 100 feet of you, and it must use its reaction to deliver the spell when you cast it. If the spell requires an attack roll, you use your attack modifier for the roll.</t>
  </si>
  <si>
    <t>gain a familiar</t>
  </si>
  <si>
    <t>a sprig of mistletoe</t>
  </si>
  <si>
    <t>Up to ten berries appear in your hand and are infused with magic for the duration. A creature can use its action to eat one berry. Eating a berry restores 1 hit point, and the berry provides enough nourishment to sustain a creature for one day. The berries lose their potency if they have not been consumed within 24 hours of the casting of this spell.</t>
  </si>
  <si>
    <t>24hr, 10 berries, heal 1 HP</t>
  </si>
  <si>
    <t>a bit of pork rind or butter</t>
  </si>
  <si>
    <t>Slick grease covers the ground in a 10-foot square centered on a point within range and turns it into difficult terrain for the duration. 
When the grease appears, each creature standing in its area must succeed on a Dexterity saving throw or fall prone. A creature that enters the area or ends its turn there must also succeed on a Dexterity saving throw or fall prone.</t>
  </si>
  <si>
    <t>a pearl worth at least 100 gp and an owl feather</t>
  </si>
  <si>
    <t>You choose one object that you must touch throughout the casting of the spell. If it is a magic item or some other magic-imbued object, you learn its properties and how to use them, whether it requires attunement to use, and how many charges it has, if any. You learn whether any spells are affecting the item and what they are. If the item was created by a spell, you learn which spell created it. 
If you instead touch a creature throughout the casting, you learn what spells, if any, are currently affecting it.</t>
  </si>
  <si>
    <t>magical properties of object or creature</t>
  </si>
  <si>
    <t>melee, 3d10 necrotic</t>
  </si>
  <si>
    <t>a pinch of dirt</t>
  </si>
  <si>
    <t>You touch a creature. The target’s speed increases by 10 feet until the spell ends.</t>
  </si>
  <si>
    <t>a piece of cured leather</t>
  </si>
  <si>
    <t>holy water or powdered silver and iron, which the spell consumes</t>
  </si>
  <si>
    <t>Until the spell ends, one willing creature you touch is protected against certain types of creatures: aberrations, celestials, elementals, fey, fiends, and undead. 
The protection grants several benefits. Creatures of those types have disadvantage on attack rolls against the target. The target also can’t be charmed, frightened, or possessed by them. If the target is already charmed, frightened, or possessed by such a creature, the target has advantage on any new saving throw against the relevant effect.</t>
  </si>
  <si>
    <t>All nonmagical food and drink within a 5-foot-radius sphere centered on a point of your choice within range is purified and rendered free of poison and disease.</t>
  </si>
  <si>
    <t>a small silver mirror</t>
  </si>
  <si>
    <t>wis save, new target or lose attack</t>
  </si>
  <si>
    <t>An invisible barrier of magical force appears and protects you. Until the start of your next turn, you have a +5 bonus to AC, including against the triggering attack, and you take no damage from magic missile.</t>
  </si>
  <si>
    <t>a small parchment with a bit of holy text written on it</t>
  </si>
  <si>
    <t>A shimmering field appears and surrounds a creature of your choice within range, granting it a +2 bonus to AC for the duration.</t>
  </si>
  <si>
    <t>+2 AC</t>
  </si>
  <si>
    <t>You create the image of an object, a creature, or some other visible phenomenon that is no larger than a 15-foot cube. The image appears at a spot within range and lasts for the duration. The image is purely visual; it isn't accompanied by sound, smell, or other sensory effects. 
You can use your action to cause the image to move to any spot within range. As the image changes location, you can alter its appearance so that its movements appear natural for the image. For example, if you create an image of a creature and move it, you can alter the image so that it appears to be walking. 
Physical interaction with the image reveals it to be an illusion, because things can pass through it. A creature that uses its action to examine the image can determine that it is an illusion with a successful Intelligence (Investigation) check against your spell save DC. If a creature discerns the illusion for what it is, the creature can see through the image.</t>
  </si>
  <si>
    <t>up to 15ft cube object, creature etc.</t>
  </si>
  <si>
    <t>a pinch of fine sand, rose petals, or a cricket</t>
  </si>
  <si>
    <t>You gain the ability to comprehend and verbally communicate with beasts for the duration. The knowledge and awareness of many beasts is limited by their intelligence, but at minimum, beasts can give you information about nearby locations and monsters, including whatever they can perceive or have perceived within the past day. You might be able to persuade a beast to perform a small favor for you, at the DM’s discretion.</t>
  </si>
  <si>
    <t>communicate with beasts</t>
  </si>
  <si>
    <t>tiny tarts and a feather that is waved in the air</t>
  </si>
  <si>
    <t>A creature of your choice that you can see within range perceives everything as hilariously funny and falls into fits of laughter if this spell affects it. The target must succeed on a Wisdom saving throw or fall prone, becoming incapacitated and unable to stand up for the duration. A creature with an Intelligence score of 4 or less isn’t affected. 
At the end of each of its turns, and each time it takes damage, the target can make another Wisdom saving throw. The target has advantage on the saving throw if it’s triggered by damage. On a success, the spell ends.</t>
  </si>
  <si>
    <t>wis save, fall prone and incapacitated</t>
  </si>
  <si>
    <t>a drop of mercury</t>
  </si>
  <si>
    <t>This spell creates a circular, horizontal plane of force, 3 feet in diameter and 1 inch thick, that floats 3 feet above the ground in an unoccupied space of your choice that you can see within range. The disk remains for the duration, and can hold up to 500 pounds. If more weight is placed on it, the spell ends, and everything on the disk falls to the ground. 
The disk is immobile while you are within 20 feet of it. If you move more than 20 feet away from it, the disk follows you so that it remains within 20 feet of you. It can move across uneven terrain, up or down stairs, slopes and the like, but it can’t cross an elevation change of 10 feet or more. For example, the disk can’t move across a 10-foot-deep pit, nor could it leave such a pit if it was created at the bottom. 
If you move more than 100 feet from the disk (typically because it can’t move around an obstacle to follow you), the spell ends.</t>
  </si>
  <si>
    <t>3ft dia. force disk, 500 lb.</t>
  </si>
  <si>
    <t>The first time you hit with a melee weapon attack during this spell’s duration, your weapon rings with thunder that is audible within 300 feet of you, and the attack deals an extra 2d6 thunder damage to the target. Additionally, if the target is a creature, it must succeed on a Strength saving throw or be pushed 10 feet away from you and knocked prone.</t>
  </si>
  <si>
    <t>a piece of string and a bit of wood</t>
  </si>
  <si>
    <t>This spell creates an invisible, mindless, shapeless force that performs simple tasks at your command until the spell ends. The servant springs into existence in an unoccupied space on the ground within range. It has AC 10, 1 hit point, and a Strength of 2, and it can’t attack. If it drops to 0 hit points, the spell ends. 
Once on each of your turns as a bonus action, you can mentally command the servant to move up to 15 feet and interact with an object. The servant can perform simple tasks that a human servant could do, such as fetching things, cleaning, mending, folding clothes, lighting fires, serving food, and pouring wine. Once you give the command, the servant performs the task to the best of its ability until it completes the task, then waits for your next command. 
If you command the servant to perform a task that would move it more than 60 feet away from you, the spell ends.</t>
  </si>
  <si>
    <t>a twig from a tree that has been struck by lightning</t>
  </si>
  <si>
    <t>+5 AC, no damage from magic missle</t>
  </si>
  <si>
    <t>a focus worth at least 100 gp, either a jeweled horn for hearing or a glass eye for seeing</t>
  </si>
  <si>
    <t>You create an invisible sensor within range in a location familiar to you (a place you have visited or seen before) or in an obvious location that is unfamiliar to you (such as behind a door, around a corner, or in a grove of trees). The sensor remains in place for the duration, and it can’t be attacked or otherwise interacted with. 
When you cast the spell, you choose seeing or hearing. You can use the chosen sense through the sensor as if you were in its space. As your action, you can switch between seeing and hearing. 
A creature that can see the sensor (such as a creature benefiting from see invisibility or truesight) sees a luminous, intangible orb about the size of your fist.</t>
  </si>
  <si>
    <t>one piece of ammunition or a thrown weapon</t>
  </si>
  <si>
    <t>You throw a nonmagical weapon or fire a piece of nonmagical ammunition into the air to create a cone of identical weapons that shoot forward and then disappear. Each creature in a 60-foot cone must succeed on a Dexterity saving throw. A creature takes 3d8 damage on a failed save, or half as much damage on a successful one. The damage type is the same as that of the weapon or ammunition used as a component.</t>
  </si>
  <si>
    <t>You create 45 pounds of food and 30 gallons of water on the ground or in containers within range, enough to sustain up to fifteen humanoids or five steeds for 24 hours. The food is bland but nourishing, and spoils if uneaten after 24 hours. The water is clean and doesn’t go bad.</t>
  </si>
  <si>
    <t xml:space="preserve">45 lb of food and 30 gallons of water </t>
  </si>
  <si>
    <t>Holy power radiates from you in an aura with a 30-foot radius, awakening boldness in friendly creatures. Until the spell ends, the aura moves with you, centered on you. While in the aura, each nonhostile creature in the aura (including you) deals an extra 1d4 radiant damage when it hits with a weapon attack.</t>
  </si>
  <si>
    <t>Enhance Ability</t>
  </si>
  <si>
    <t>fur or a feather from a beast</t>
  </si>
  <si>
    <t>a white feather or the heart of a hen</t>
  </si>
  <si>
    <t>30ft cone, wis save, drop item + frightened</t>
  </si>
  <si>
    <t>a pinch of graveyard dirt</t>
  </si>
  <si>
    <t>appear dead, blind, incapacitated</t>
  </si>
  <si>
    <t>a wing feather from any bird</t>
  </si>
  <si>
    <t>fly speed 60ft</t>
  </si>
  <si>
    <t>a bit of gauze and a wisp of smoke</t>
  </si>
  <si>
    <t>You transform a willing creature you touch, along with everything it’s wearing and carrying, into a misty cloud for the duration. The spell ends if the creature drops to 0 hit points. An incorporeal creature isn’t affected. 
While in this form, the target’s only method of movement is a flying speed of 10 feet. The target can enter and occupy the space of another creature. The target has resistance to nonmagical damage, and it has advantage on Strength, Dexterity, and Constitution saving throws. The target can pass through small holes, narrow openings, and even mere cracks, though it treats liquids as though they were solid surfaces. The target can't fall and remains hovering in the air even when stunned or otherwise incapacitated. 
While in the form of a misty cloud, the target can’t talk or manipulate objects, and any objects it was carrying or holding can’t be dropped, used, or otherwise interacted with. The target can’t attack or cast spells.</t>
  </si>
  <si>
    <t>fly speed 10ft, resistance non magic</t>
  </si>
  <si>
    <t>triggered</t>
  </si>
  <si>
    <t>incense and powdered diamond worth at least 200 gp, which the spell consumes</t>
  </si>
  <si>
    <t>a glowing stick of incense or a crystal vial filled with phosphorescent material</t>
  </si>
  <si>
    <t>30ft cube, wis save charmed, incapacitated</t>
  </si>
  <si>
    <t>Choose a willing creature that you can see within range. Until the spell ends, the target’s speed is doubled, it gains a +2 bonus to AC, it has advantage on Dexterity saving throws, and it gains an additional action on each of its turns. That action can be used only to take the Attack (one weapon attack only), Dash, Disengage, Hide, or Use an Object action. 
When the spell ends, the target can’t move or take actions until after its next turn, as a wave of lethargy sweeps over it.</t>
  </si>
  <si>
    <t>+2 AC, adv dex save, extra action</t>
  </si>
  <si>
    <t>a shaving of licorice root</t>
  </si>
  <si>
    <t>10ft rad dome of force</t>
  </si>
  <si>
    <t>a small crystal bead</t>
  </si>
  <si>
    <t>a bit of fur and a rod of amber, crystal, or glass</t>
  </si>
  <si>
    <t>holy water or powdered silver and iron worth at least 100 gp, which the spell consumes</t>
  </si>
  <si>
    <t>10x20ft cylinder magical energy</t>
  </si>
  <si>
    <t>Auril (NE)</t>
  </si>
  <si>
    <t>Azuth (LN)</t>
  </si>
  <si>
    <t>Bane (LE)</t>
  </si>
  <si>
    <t>Beshaba (CE)</t>
  </si>
  <si>
    <t>Bhaal (NE)</t>
  </si>
  <si>
    <t>Chauntea (NG)</t>
  </si>
  <si>
    <t>Cyric (CE)</t>
  </si>
  <si>
    <t>Deneir (NG)</t>
  </si>
  <si>
    <t>Eldath (NG)</t>
  </si>
  <si>
    <t>Gond (N)</t>
  </si>
  <si>
    <t>Helm (LN)</t>
  </si>
  <si>
    <t>Ilmater (LG)</t>
  </si>
  <si>
    <t>Kelemvor (LN)</t>
  </si>
  <si>
    <t>Lathander (NG)</t>
  </si>
  <si>
    <t>Leira (CN)</t>
  </si>
  <si>
    <t>Lliira (CG)</t>
  </si>
  <si>
    <t>Loviatar (LE)</t>
  </si>
  <si>
    <t>Malar (CE)</t>
  </si>
  <si>
    <t>Mask (CN)</t>
  </si>
  <si>
    <t>Mielikki (NG)</t>
  </si>
  <si>
    <t>Milil (NG)</t>
  </si>
  <si>
    <t>Myrkul (NE)</t>
  </si>
  <si>
    <t>Mystra (NG)</t>
  </si>
  <si>
    <t>Oghma (N)</t>
  </si>
  <si>
    <t>Savras (LN)</t>
  </si>
  <si>
    <t>Selûne (CG)</t>
  </si>
  <si>
    <t>Shar (NE)</t>
  </si>
  <si>
    <t>Silvanus (N)</t>
  </si>
  <si>
    <t>Sune (CG)</t>
  </si>
  <si>
    <t>Talona (CE)</t>
  </si>
  <si>
    <t>Talos (CE)</t>
  </si>
  <si>
    <t>Tempus (N)</t>
  </si>
  <si>
    <t>Torm (LG)</t>
  </si>
  <si>
    <t>Tymora (CG)</t>
  </si>
  <si>
    <t>Tyr (LG)</t>
  </si>
  <si>
    <t>Umberlee (CE)</t>
  </si>
  <si>
    <t>Waukeen (N)</t>
  </si>
  <si>
    <t>Forgery kit</t>
  </si>
  <si>
    <t>Navigator’s tools</t>
  </si>
  <si>
    <t>Poisoner’s kit</t>
  </si>
  <si>
    <t>Thieves’ tools</t>
  </si>
  <si>
    <t>Vehicles (water)</t>
  </si>
  <si>
    <t>Arcane Trickster</t>
  </si>
  <si>
    <t>Battle Master</t>
  </si>
  <si>
    <t>Eldritch Knight</t>
  </si>
  <si>
    <t>EldritchKnight</t>
  </si>
  <si>
    <t>BattleMaster</t>
  </si>
  <si>
    <t>ArcaneTrickster</t>
  </si>
  <si>
    <t>One artisan’s tools of your choice: smith’s tools, brewer’s supplies, or mason’s tools</t>
  </si>
  <si>
    <t>Mason’s tools</t>
  </si>
  <si>
    <t>-- Artisan’s tools</t>
  </si>
  <si>
    <t>Alchemist’s supplies</t>
  </si>
  <si>
    <t>Brewer’s supplies</t>
  </si>
  <si>
    <t>Calligrapher's supplies</t>
  </si>
  <si>
    <t>Carpenter’s tools</t>
  </si>
  <si>
    <t>Cartographer’s tools</t>
  </si>
  <si>
    <t>Cobbler’s tools</t>
  </si>
  <si>
    <t>Cook’s utensils</t>
  </si>
  <si>
    <t>Glassblower’s tools</t>
  </si>
  <si>
    <t>Jeweler’s tools</t>
  </si>
  <si>
    <t>Leatherworker’s tools</t>
  </si>
  <si>
    <t>Painter’s supplies</t>
  </si>
  <si>
    <t>Potter’s tools</t>
  </si>
  <si>
    <t>Smith’s tools</t>
  </si>
  <si>
    <t>Tinker’s tools</t>
  </si>
  <si>
    <t>Weaver’s tools</t>
  </si>
  <si>
    <t>Woodcarver’s tools</t>
  </si>
  <si>
    <t>-- Gaming set</t>
  </si>
  <si>
    <t>Dice set</t>
  </si>
  <si>
    <t>Dragonchess set</t>
  </si>
  <si>
    <t>Playing card set</t>
  </si>
  <si>
    <t>Three-Dragon Ante set</t>
  </si>
  <si>
    <t>-- Musical instrument</t>
  </si>
  <si>
    <t>Bagpipes</t>
  </si>
  <si>
    <t>Drum</t>
  </si>
  <si>
    <t>Dulcimer</t>
  </si>
  <si>
    <t>Flute</t>
  </si>
  <si>
    <t>Horn</t>
  </si>
  <si>
    <t>Lute</t>
  </si>
  <si>
    <t>Lyre</t>
  </si>
  <si>
    <t>Pan flute</t>
  </si>
  <si>
    <t>Shawm</t>
  </si>
  <si>
    <t>Viol</t>
  </si>
  <si>
    <t>Mage armor</t>
  </si>
  <si>
    <t>Beory (N)</t>
  </si>
  <si>
    <t>goddess of nature</t>
  </si>
  <si>
    <t>Green disk</t>
  </si>
  <si>
    <t>Boccob (N)</t>
  </si>
  <si>
    <t>god of magic</t>
  </si>
  <si>
    <t>Eye within a pentagram</t>
  </si>
  <si>
    <t>Celestian (N)</t>
  </si>
  <si>
    <t>god of stars and wanderers</t>
  </si>
  <si>
    <t>Arc of seven stars inside a circle</t>
  </si>
  <si>
    <t>Ehlonna (NG)</t>
  </si>
  <si>
    <t>goddess of woodlands</t>
  </si>
  <si>
    <t>Unicorn horn</t>
  </si>
  <si>
    <t>Erythnul (CE)</t>
  </si>
  <si>
    <t>god of envy and slaughter</t>
  </si>
  <si>
    <t>Blood drop</t>
  </si>
  <si>
    <t>Fharlanghn (NG)</t>
  </si>
  <si>
    <t>god of horizons and travel</t>
  </si>
  <si>
    <t>Circle crossed by a curved horizon line</t>
  </si>
  <si>
    <t>Heironeous (LG)</t>
  </si>
  <si>
    <t>god of chivalry and valor</t>
  </si>
  <si>
    <t>Lightning bolt</t>
  </si>
  <si>
    <t>Hextor (LE)</t>
  </si>
  <si>
    <t>god of war and discord</t>
  </si>
  <si>
    <t>Six arrows facing downward in a fan</t>
  </si>
  <si>
    <t>Kord (CG)</t>
  </si>
  <si>
    <t>god of athletics and sport</t>
  </si>
  <si>
    <t>Tempest, War</t>
  </si>
  <si>
    <t>Four spears and four maces radiating out from a central point</t>
  </si>
  <si>
    <t>Incabulos (NE)</t>
  </si>
  <si>
    <t>god of plague and famine</t>
  </si>
  <si>
    <t>Reptilian eye with a horizontal diamond</t>
  </si>
  <si>
    <t>Istus (N)</t>
  </si>
  <si>
    <t>goddess of fate and destiny</t>
  </si>
  <si>
    <t>Weaver's spindle with three strands</t>
  </si>
  <si>
    <t>luz (CE)</t>
  </si>
  <si>
    <t>god of pain and oppression</t>
  </si>
  <si>
    <t>Grinning human skull</t>
  </si>
  <si>
    <t>Nerull (NE)</t>
  </si>
  <si>
    <t>god of death</t>
  </si>
  <si>
    <t>Skull with either a sickle or a scythe</t>
  </si>
  <si>
    <t>Obad-Hai (N)</t>
  </si>
  <si>
    <t>god of nature</t>
  </si>
  <si>
    <t>Oak leaf and acorn</t>
  </si>
  <si>
    <t>Olidammara (CN)</t>
  </si>
  <si>
    <t>god of revelry</t>
  </si>
  <si>
    <t>Laughing mask</t>
  </si>
  <si>
    <t>Pelor (NG)</t>
  </si>
  <si>
    <t>god of the sun and healing</t>
  </si>
  <si>
    <t>Sun</t>
  </si>
  <si>
    <t>Pholtus (LG)</t>
  </si>
  <si>
    <t>god of light and law</t>
  </si>
  <si>
    <t>Silver sun or full moon partially eclipsed by a smaller crescent moon</t>
  </si>
  <si>
    <t>Ralishaz (CN)</t>
  </si>
  <si>
    <t>god of ill luck and insanity</t>
  </si>
  <si>
    <t>Three bone fate-casting sticks</t>
  </si>
  <si>
    <t>Rao (LG)</t>
  </si>
  <si>
    <t>god of peace and reason</t>
  </si>
  <si>
    <t>White heart</t>
  </si>
  <si>
    <t>St. Cuthbert (LN)</t>
  </si>
  <si>
    <t>god of common sense and zeal</t>
  </si>
  <si>
    <t>Circle at the center of a starburst of lines</t>
  </si>
  <si>
    <t>Tharizdun (CE)</t>
  </si>
  <si>
    <t>god of eternal darkness</t>
  </si>
  <si>
    <t>Dark spiral or inverted ziggurat</t>
  </si>
  <si>
    <t>Trithereon (CG)</t>
  </si>
  <si>
    <t>god of liberty and retribution</t>
  </si>
  <si>
    <t>Triskelion</t>
  </si>
  <si>
    <t>Ulaa (LG)</t>
  </si>
  <si>
    <t>goddess of hills and mountains</t>
  </si>
  <si>
    <t>Life, War</t>
  </si>
  <si>
    <t>Mountain with a circle at its heart</t>
  </si>
  <si>
    <t>Vecna (NE)</t>
  </si>
  <si>
    <t>god of evil secrets</t>
  </si>
  <si>
    <t>Hand with eye in the palm</t>
  </si>
  <si>
    <t>Wee Jas (LN)</t>
  </si>
  <si>
    <t>goddess of magic and death</t>
  </si>
  <si>
    <t>Death, Knowledge</t>
  </si>
  <si>
    <t>Red skull in front of fireball</t>
  </si>
  <si>
    <t>--The Gods of Good</t>
  </si>
  <si>
    <t>Paladine (LG)</t>
  </si>
  <si>
    <t>god of rulers and guardians</t>
  </si>
  <si>
    <t>Silver triangle</t>
  </si>
  <si>
    <t>Branchala (NG)</t>
  </si>
  <si>
    <t>god of music</t>
  </si>
  <si>
    <t>Bard’s harp</t>
  </si>
  <si>
    <t>Habbakuk (NG)</t>
  </si>
  <si>
    <t>god of animal life and the sea</t>
  </si>
  <si>
    <t>Nature; Tempest</t>
  </si>
  <si>
    <t>Blue bird</t>
  </si>
  <si>
    <t>Kiri-Jolith (LG)</t>
  </si>
  <si>
    <t>god of honor and war</t>
  </si>
  <si>
    <t>Bison’s horns</t>
  </si>
  <si>
    <t>Majere (LG)</t>
  </si>
  <si>
    <t>god of meditation and order</t>
  </si>
  <si>
    <t>Copper spider</t>
  </si>
  <si>
    <t>Mishakal (LG)</t>
  </si>
  <si>
    <t>goddess of healing</t>
  </si>
  <si>
    <t>Knowledge; Life</t>
  </si>
  <si>
    <t>Blue infinity sign</t>
  </si>
  <si>
    <t>Solinari (LG)</t>
  </si>
  <si>
    <t>god of good magic</t>
  </si>
  <si>
    <t>no clerics</t>
  </si>
  <si>
    <t>White circle or sphere</t>
  </si>
  <si>
    <t>--The Gods of Neutrality</t>
  </si>
  <si>
    <t>Gilean (N)</t>
  </si>
  <si>
    <t>god of knowledge</t>
  </si>
  <si>
    <t>Open book</t>
  </si>
  <si>
    <t>Chislev (N)</t>
  </si>
  <si>
    <t>Feather</t>
  </si>
  <si>
    <t>Reorx (N)</t>
  </si>
  <si>
    <t>god of craft</t>
  </si>
  <si>
    <t>Forging hammer</t>
  </si>
  <si>
    <t>Shinare (N)</t>
  </si>
  <si>
    <t>goddess of wealth and trade</t>
  </si>
  <si>
    <t>Knowledge; Trickery</t>
  </si>
  <si>
    <t>Griffon’s wing</t>
  </si>
  <si>
    <t>Sirrion (N)</t>
  </si>
  <si>
    <t>god of fire and change</t>
  </si>
  <si>
    <t>Multi-colored fire</t>
  </si>
  <si>
    <t>Zivilyn (N)</t>
  </si>
  <si>
    <t>god of wisdom</t>
  </si>
  <si>
    <t>Great green or gold tree</t>
  </si>
  <si>
    <t>Lunitari (N)</t>
  </si>
  <si>
    <t>goddess of neutral magic</t>
  </si>
  <si>
    <t>Red circle or sphere</t>
  </si>
  <si>
    <t>--The Gods of Evil</t>
  </si>
  <si>
    <t>Takhisis (LE)</t>
  </si>
  <si>
    <t>goddess of night and hatred</t>
  </si>
  <si>
    <t>Chemosh (LE)</t>
  </si>
  <si>
    <t>god of the undead</t>
  </si>
  <si>
    <t>Hiddukel (CE)</t>
  </si>
  <si>
    <t>god of lies and greed</t>
  </si>
  <si>
    <t>Broken merchant’s scales</t>
  </si>
  <si>
    <t>Morgion (NE)</t>
  </si>
  <si>
    <t>god of disease and secrecy</t>
  </si>
  <si>
    <t>Hood with two red eyes</t>
  </si>
  <si>
    <t>Sargonnas (LE)</t>
  </si>
  <si>
    <t>god of vengeance and fire</t>
  </si>
  <si>
    <t>Stylized red condor</t>
  </si>
  <si>
    <t>Zeboim (CE)</t>
  </si>
  <si>
    <t>goddess of the sea and storms</t>
  </si>
  <si>
    <t>Turtle shell</t>
  </si>
  <si>
    <t>Nuitari (LE)</t>
  </si>
  <si>
    <t>god of evil magic</t>
  </si>
  <si>
    <t>Black circle or sphere</t>
  </si>
  <si>
    <t>--------------------FORGOTTEN REALMS--------------------</t>
  </si>
  <si>
    <t>--------------------GREYHAWK--------------------</t>
  </si>
  <si>
    <t>--------------------DRAGONLANCE--------------------</t>
  </si>
  <si>
    <t>You step into a stone object or surface large enough to fully contain your body, melding yourself and all the equipment you carry with the stone for the duration. Using your movement, you step into the stone at a point you can touch. Nothing of your presence remains visible or otherwise detectable by nonmagical senses. 
While merged with the stone, you can’t see what occurs outside it, and any Wisdom (Perception) checks you make to hear sounds outside it are made with disadvantage. You remain aware of the passage of time and can cast spells on yourself while merged in the stone. You can use your movement to leave the stone where you entered it, which ends the spell. You otherwise can’t move. 
Minor physical damage to the stone doesn’t harm you, but its partial destruction or a change in its shape (to the extent that you no longer fit within it) expels you and deals 6d6 bludgeoning damage to you. The stone’s complete destruction (or transmutation into a different substance) expels you and deals 50 bludgeoning damage to you. If expelled, you fall prone in an unoccupied space closest to where you first entered.</t>
  </si>
  <si>
    <t>step into a stone object</t>
  </si>
  <si>
    <t>a pinch of diamond dust worth 25 gp sprinkled over the target, which the spell consumes</t>
  </si>
  <si>
    <t>For the duration, you hide a target that you touch from divination magic. The target can be a willing creature or a place or an object no larger than 10 feet in any dimension. The target can’t be targeted by any divination magic or perceived through magical scrying sensors.</t>
  </si>
  <si>
    <t>hide target divination magic</t>
  </si>
  <si>
    <t>A Large quasi-real, horselike creature appears on the ground in an unoccupied space of your choice within range. You decide the creature’s appearance, but it is equipped with a saddle, bit, and bridle. Any of the equipment created by the spell vanishes in a puff of smoke if it is carried more than 10 feet away from the steed. 
For the duration, you or a creature you choose can ride the steed. The creature uses the statistics for a riding horse, except it has a speed of 100 feet and can travel 10 miles in an hour, or 13 miles at a fast pace. When the spell ends, the steed gradually fades, giving the rider 1 minute to dismount. The spell ends if you use an action to dismiss it or if the steed takes any damage</t>
  </si>
  <si>
    <t>1 act/8 hr</t>
  </si>
  <si>
    <t>For the duration, the willing creature you touch has resistance to one damage type of your choice: acid, cold, fire, lightning, or thunder.</t>
  </si>
  <si>
    <t>At your touch, all curses affecting one creature or object end. If the object is a cursed magic item, its curse remains, but the spell breaks its owner’s attunement to the object so it can be removed or discarded.</t>
  </si>
  <si>
    <t>unlimited</t>
  </si>
  <si>
    <t>a short piece of fine copper wire</t>
  </si>
  <si>
    <t>You send a short message of twenty-five words or less to a creature with which you are familiar. The creature hears the message in its mind, recognizes you as the sender if it knows you, and can answer in a like manner immediately. The spell enables creatures with Intelligence scores of at least 1 to understand the meaning of your message. 
You can send the message across any distance and even to other planes of existence, but if the target is on a different plane than you, there is a 5 percent chance that the message doesn’t arrive.</t>
  </si>
  <si>
    <t>remove all curses 1 target or object</t>
  </si>
  <si>
    <t>resistance to 1 damage type of choice</t>
  </si>
  <si>
    <t>a pinch of dust and a few drops of water</t>
  </si>
  <si>
    <t>Until the spell ends, freezing rain and sleet fall in a 20-foot-tall cylinder with a 40-foot radius centered on a point you choose within range. The area is heavily obscured, and exposed flames in the area are doused. 
The ground in the area is covered with slick ice, making it difficult terrain. When a creature enters the spell’s area for the first time on a turn or starts its turn there, it must make a Dexterity saving throw. On a failed save, it falls prone. 
If a creature is concentrating in the spell’s area, the creature must make a successful Constitution saving throw against your spell save DC or lose concentration.</t>
  </si>
  <si>
    <t>You alter time around up to six creatures of your choice in a 40-foot cube within range. Each target must succeed on a Wisdom saving throw or be affected by this spell for the duration. 
An affected target’s speed is halved, it takes a -2 penalty to AC and Dexterity saving throws, and it can’t use reactions. On its turn, it can use either an action or a bonus action, not both. Regardless of the creature’s abilities or magic items, it can’t make more than one melee or ranged attack during its turn. 
If the creature attempts to cast a spell with a casting time of 1 action, roll a d20. On an 11 or higher, the spell doesn’t take effect until the creature’s next turn, and the creature must use its action on that turn to complete the spell. If it can’t, the spell is wasted. 
A creature affected by this spell makes another Wisdom saving throw at the end of its turn. On a successful save, the effect ends for it.</t>
  </si>
  <si>
    <t>a drop of molasses</t>
  </si>
  <si>
    <t>burning incense</t>
  </si>
  <si>
    <t>You grant the semblance of life and intelligence to a corpse of your choice within range, allowing it to answer the questions you pose. The corpse must still have a mouth and can’t be undead. The spell fails if the corpse was the target of this spell within the last 10 days. 
Until the spell ends, you can ask the corpse up to five questions. The corpse knows only what it knew in life, including the languages it knew. Answers are usually brief, cryptic, or repetitive, and the corpse is under no compulsion to offer a truthful answer if you are hostile to it or it recognizes you as an enemy. This spell doesn’t return the creature’s soul to its body, only its animating spirit. Thus, the corpse can’t learn new information, doesn’t comprehend anything that has happened since it died, and can’t speculate about future events.</t>
  </si>
  <si>
    <t>5 questions to a corpse</t>
  </si>
  <si>
    <t>a small clay model of a ziggurat</t>
  </si>
  <si>
    <t>This spell grants the creature you touch the ability to understand any spoken language it hears. Moreover, when the target speaks, any creature that knows at least one language and can hear the target understands what it says.</t>
  </si>
  <si>
    <t>understand any spoken language heard</t>
  </si>
  <si>
    <t>a short reed or piece of straw</t>
  </si>
  <si>
    <t>This spell grants up to ten willing creatures you can see within range the ability to breathe underwater until the spell ends. Affected creatures also retain their normal mode of respiration.</t>
  </si>
  <si>
    <t>10 targets, breath underwater</t>
  </si>
  <si>
    <t>a piece of cork</t>
  </si>
  <si>
    <t>This spell grants the ability to move across any liquid surface—such as water, acid, mud, snow, quicksand, or lava—as if it were harmless solid ground (creatures crossing molten lava can still take damage from the heat). Up to ten willing creatures you can see within range gain this ability for the duration. If you target a creature submerged in a liquid, the spell carries the target to the surface of the liquid at a rate of 60 feet per round.</t>
  </si>
  <si>
    <t>10 targets, move over any liquid surface</t>
  </si>
  <si>
    <t>ABILITY
ROLL</t>
  </si>
  <si>
    <t>RACIAL
MODIFIER</t>
  </si>
  <si>
    <t>LEVEL GAINS</t>
  </si>
  <si>
    <t>MAGIC
MODIFIER</t>
  </si>
  <si>
    <t>5 ft, fly 30 ft</t>
  </si>
  <si>
    <t>SENSES</t>
  </si>
  <si>
    <t>Perception +3, Stealth +4</t>
  </si>
  <si>
    <t>Frog</t>
  </si>
  <si>
    <t>20 ft, swim 20 ft</t>
  </si>
  <si>
    <t>40 ft, climb 30 ft</t>
  </si>
  <si>
    <t>Perception +1, Stealth +3</t>
  </si>
  <si>
    <t>Perception +4</t>
  </si>
  <si>
    <t>5 ft, fly 60 ft</t>
  </si>
  <si>
    <t>10 ft, fly 60 ft</t>
  </si>
  <si>
    <t>Perception +3, Stealth +3</t>
  </si>
  <si>
    <t>30 ft, swim 30 ft</t>
  </si>
  <si>
    <t>10 ft, fly 50 ft</t>
  </si>
  <si>
    <t>Perception +3</t>
  </si>
  <si>
    <t>Actor</t>
  </si>
  <si>
    <t>Crossbow Expert</t>
  </si>
  <si>
    <t>Defensive Duelist</t>
  </si>
  <si>
    <t>Dexterity 13 or higher</t>
  </si>
  <si>
    <t>Dungeon Delver</t>
  </si>
  <si>
    <t>Durable</t>
  </si>
  <si>
    <t>Elemental Adept</t>
  </si>
  <si>
    <t>Grappler</t>
  </si>
  <si>
    <t>Heavily Armored</t>
  </si>
  <si>
    <t>Proficiency with heavy armor</t>
  </si>
  <si>
    <t>Inspiring Leader</t>
  </si>
  <si>
    <t>Keen Mind</t>
  </si>
  <si>
    <t>You have a mind that can track time, direction, and detail with uncanny precision. You gain the following benefits.
• Increase your Intelligence score by 1, to a maximum of 20. 
• You always know which way is north. 
• You always know the number of hours left before the next sunrise or sunset. 
• You can accurately recall anything you have seen or heard within the past month.</t>
  </si>
  <si>
    <t>Lightly Armored</t>
  </si>
  <si>
    <t>You have trained to master the use of light armor, gaining the following benefits:
• Increase your Strength or Dexterity score by 1, to a maximum of 20. 
• You gain proficiency with light armor.</t>
  </si>
  <si>
    <t>Linguist</t>
  </si>
  <si>
    <t>You have undergone extensive physical training to gain the following benefits:
• Increase your Strength or Dexterity score by 1, to a maximum of 20. 
• When you are prone, standing up uses only 5 feet of your movement.
• Climbing doesn’t halve your speed. 
• You can make a running long jump or a running high jump after moving only 5 feet on foot, rather than 10 feet.</t>
  </si>
  <si>
    <t>When you use your action to Dash, you can use a bonus action to make one melee weapon attack or to shove a creature. 
If you move at least 10 feet in a straight line immediately before taking this bonus action, you either gain a +5 bonus to the attack’s damage roll (if you chose to make a melee attack and hit) or push the target up to 10 feet away from you (if you chose to shove and you succeed).</t>
  </si>
  <si>
    <t>When you are wielding a finesse weapon with which you are proficient and another creature hits you with a melee attack, you can use your reaction to add your proficiency bonus to your AC for that attack, potentially causing the attack to miss you.</t>
  </si>
  <si>
    <t>The ability to cast at least one spell</t>
  </si>
  <si>
    <t>When you gain this feat, choose one of the following damage types: acid, cold, fire, lightning, or thunder. 
Spells you cast ignore resistance to damage of the chosen type. In addition, when you roll damage for a spell you cast that deals damage of that type, you can treat any 1 on a damage die as a 2. 
You can select this feat multiple times. Each time you do so, you must choose a different damage type.</t>
  </si>
  <si>
    <t>Strength 13 or higher</t>
  </si>
  <si>
    <t>You’ve learned to put the weight of a weapon to your advantage, letting its momentum empower your strikes. You gain the following benefits:
• On your turn, when you score a critical hit with a melee weapon or reduce a creature to 0 hit points with one, you can make one melee weapon attack as a bonus action. 
• Before you make a melee attack with a heavy weapon that you are proficient with, you can choose to take a -5 penalty to the attack roll. If the attack hits, you add +10 to the attack’s damage.</t>
  </si>
  <si>
    <t>You have trained to master the use of heavy armor, gaining the following benefits:
• Increase your Strength score by 1, to a maximum of 20. 
• You gain proficiency with heavy armor.</t>
  </si>
  <si>
    <t>Charisma 13 or higher</t>
  </si>
  <si>
    <t>You have inexplicable luck that seems to kick in at just the right moment. 
You have 3 luck points. Whenever you make an attack roll, an ability check, or a saving throw, you can spend one luck point to roll an additional d20. You can choose to spend one of your luck points after you roll the die, but before the outcome is determined. You choose which of the d20s is used for the attack roll, ability check, or saving throw. 
You can also spend one luck point when an attack roll is made against you. Roll a d20, and then choose whether the attack uses the attacker’s roll or yours. 
If more than one creature spends a luck point to influence the outcome of a roll, the points cancel each other out; no additional dice are rolled. 
You regain your expended luck points when you finish a long rest.</t>
  </si>
  <si>
    <t>Mage Slayer</t>
  </si>
  <si>
    <t>You have practiced techniques useful in melee combat against spellcasters, gaining the following benefits:
• When a creature within 5 feet of you casts a spell, you can use your reaction to make a melee weapon attack against that creature. 
• When you damage a creature that is concentrating on a spell, that creature has disadvantage on the saving throw it makes to maintain its concentration. 
• You have advantage on saving throws against spells cast by creatures within 5 feet of you.</t>
  </si>
  <si>
    <t>Magic Initiate</t>
  </si>
  <si>
    <t>Martial Adept</t>
  </si>
  <si>
    <t>Medium Armor Master</t>
  </si>
  <si>
    <t>You have martial training that allows you to perform special combat maneuvers. You gain the following benefits:
• You learn two maneuvers of your choice from among those available to the Battle Master archetype in the fighter class. If a maneuver you use requires your target to make a saving throw to resist the maneuver’s effects, the saving throw DC equals 8 + your proficiency bonus + your Strength or Dexterity modifier (your choice). 
• If you already have superiority dice, you gain one more; otherwise, you have one superiority die, which is a d6. This die is used to fuel your maneuvers. A superiority die is expended when you use it. You regain your expended superiority dice when you finish a short or long rest.</t>
  </si>
  <si>
    <t>You have practiced moving in medium armor to gain the following benefits:
• Wearing medium armor doesn’t impose disadvantage on your Dexterity (Stealth) checks. 
• When you wear medium armor, you can add 3, rather than 2, to your AC if you have a Dexterity of 16 or higher.</t>
  </si>
  <si>
    <t>Moderately Armored</t>
  </si>
  <si>
    <t>You have trained to master the use of medium armor and shields, gaining the following benefits:
• Increase your Strength or Dexterity score by 1, to a maximum of 20. 
• You gain proficiency with medium armor and shields.</t>
  </si>
  <si>
    <t>Proficiency with light armor</t>
  </si>
  <si>
    <t>Mounted Combatant</t>
  </si>
  <si>
    <t>Observant</t>
  </si>
  <si>
    <t>You can keep your enemies at bay with reach weapons. You gain the following benefits:
• When you take the Attack action and attack with only a glaive, halberd, or quarterstaff, you can use a bonus action to make a melee attack with the opposite end of the weapon. The weapon’s damage die for this attack is a d4, and the attack deals bludgeoning damage. 
• While you are wielding a glaive, halberd, pike, or quarterstaff, other creatures provoke an opportunity attack from you when they enter your reach.</t>
  </si>
  <si>
    <t>Resilient</t>
  </si>
  <si>
    <t>Choose one ability score. You gain the following benefits:
• Increase the chosen ability score by 1, to a maximum of 20. 
• You gain proficiency in saving throws using the chosen ability.</t>
  </si>
  <si>
    <t>Ritual Caster</t>
  </si>
  <si>
    <t>Savage Attacker</t>
  </si>
  <si>
    <t>Once per turn when you roll damage for a melee weapon attack, you can reroll the weapon’s damage dice and use either total.</t>
  </si>
  <si>
    <t>Sentinel</t>
  </si>
  <si>
    <t>Sharpshooter</t>
  </si>
  <si>
    <t>You have mastered ranged weapons and can make shots that others find impossible. You gain the following benefits:
• Attacking at long range doesn't impose disadvantage on your ranged weapon attack rolls. 
• Your ranged weapon attacks ignore half cover and three-quarters cover. 
• Before you make an attack with a ranged weapon that you are proficient with, you can choose to take a -5 penalty to the attack roll. If the attack hits, you add +10 to the attack’s damage.</t>
  </si>
  <si>
    <t>Skilled</t>
  </si>
  <si>
    <t>You gain proficiency in any combination of three skills or tools of your choice.</t>
  </si>
  <si>
    <t>Skulker</t>
  </si>
  <si>
    <t>You are expert at slinking through shadows. You gain the following benefits:
• You can try to hide when you are lightly obscured from the creature from which you are hiding. 
• When you are hidden from a creature and miss it with a ranged weapon attack, making the attack doesn't reveal your position. 
• Dim light doesn’t impose disadvantage on your Wisdom (Perception) checks relying on sight.</t>
  </si>
  <si>
    <t>Spell Sniper</t>
  </si>
  <si>
    <t xml:space="preserve">  - Increase your Strength or Dexterity score by 1, to a maximum of 20. 
  - When you are prone, standing up uses only 5 feet of your movement.
  - Climbing doesn’t halve your speed. 
  - You can make a running long jump or a running high jump after moving only 5 feet on foot, rather than 10 feet.</t>
  </si>
  <si>
    <t>You can use your armor to deflect strikes that would kill others. You gain the following benefits:
• Increase your Strength score by 1, to a maximum of 20. 
• While you are wearing heavy armor, bludgeoning, piercing, and slashing damage that you take from non magical weapons is reduced by 3.</t>
  </si>
  <si>
    <t xml:space="preserve">  - You gain a +1 bonus to AC while you are wielding a separate melee weapon in each hand. 
  - You can use two-weapon fighting even when the one-handed melee weapons you are wielding aren’t light. 
  - You can draw or stow two one-handed weapons when you would normally be able to draw or stow only one.</t>
  </si>
  <si>
    <t xml:space="preserve">  - Increase your Strength score by 1, to a maximum of 20. 
  - You gain proficiency with heavy armor.</t>
  </si>
  <si>
    <t>Tavern Brawler</t>
  </si>
  <si>
    <t>War Caster</t>
  </si>
  <si>
    <t>Weapon Master</t>
  </si>
  <si>
    <t>You have practiced extensively with a variety of weapons, gaining the following benefits:
• Increase your Strength or Dexterity score by 1, to a maximum of 20. 
• You gain proficiency with four weapons of your choice.</t>
  </si>
  <si>
    <t>Accustomed to rough-and-tumble fighting using whatever weapons happen to be at hand, you gain the following benefits:
• Increase your Strength or Constitution score by 1, to a maximum of 20. 
• You are proficient with improvised weapons and unarmed strikes. 
• Your unarmed strike uses a d4 for damage. 
• When you hit a creature with an unarmed strike or an improvised weapon on your turn, you can use a bonus action to attempt to grapple the target.</t>
  </si>
  <si>
    <t xml:space="preserve">  - Increase your Intelligence score by 1, to a maximum of 20. 
  - You always know which way is north. 
  - You always know the number of hours left before the next sunrise or sunset. 
  - You can accurately recall anything you have seen or heard within the past month.</t>
  </si>
  <si>
    <t xml:space="preserve">  - Increase your Strength or Dexterity score by 1, to a maximum of 20. 
  - You gain proficiency with light armor.</t>
  </si>
  <si>
    <t xml:space="preserve">  - Increase your Strength or Dexterity score by 1, to a maximum of 20. 
  - You gain proficiency with medium armor and shields.</t>
  </si>
  <si>
    <t xml:space="preserve">  - Increase the chosen ability score by 1, to a maximum of 20. 
  - You gain proficiency in saving throws using the chosen ability.</t>
  </si>
  <si>
    <t xml:space="preserve">  - You gain proficiency in any combination of three skills or tools of your choice.</t>
  </si>
  <si>
    <t xml:space="preserve">  - Increase your Strength or Dexterity score by 1, to a maximum of 20. 
  - You gain proficiency with four weapons of your choice.</t>
  </si>
  <si>
    <t>Tasha's Hideous Laughter</t>
  </si>
  <si>
    <t>Crusader's Mantle</t>
  </si>
  <si>
    <t>Evard's Black Tentacles</t>
  </si>
  <si>
    <t>Leomund's Secret Chest</t>
  </si>
  <si>
    <t>Leomund's Tiny Hut</t>
  </si>
  <si>
    <t>Melf's Acid Arrow</t>
  </si>
  <si>
    <t>Mordenkainen's Faithful Hound</t>
  </si>
  <si>
    <t>Mordenkainen's Sword</t>
  </si>
  <si>
    <t>Nystul's Magic Aura</t>
  </si>
  <si>
    <t>Otto's Irresistible Dance</t>
  </si>
  <si>
    <t>Spellcasting, Mage Hand Legerdmain</t>
  </si>
  <si>
    <t>Magical Ambush</t>
  </si>
  <si>
    <t>Versatile Trickster</t>
  </si>
  <si>
    <t>ARCANE TRICKSTER, ELDRITCH KNIGHT</t>
  </si>
  <si>
    <t>#</t>
  </si>
  <si>
    <t>OF</t>
  </si>
  <si>
    <t>One of your choice</t>
  </si>
  <si>
    <t>Potent Spellcasting</t>
  </si>
  <si>
    <t>Perception</t>
  </si>
  <si>
    <t>Weasel</t>
  </si>
  <si>
    <t>Perception +3, Stealth +5</t>
  </si>
  <si>
    <t>PALADIN, RANGER</t>
  </si>
  <si>
    <t>CANTRIP</t>
  </si>
  <si>
    <t>Channel Divinity: Turn Undead, Knowledge of the Ages</t>
  </si>
  <si>
    <t>Channel Divinity: Turn Undead, Charm Animals and Plants</t>
  </si>
  <si>
    <t>Dampen Elements</t>
  </si>
  <si>
    <t>Improved Flare</t>
  </si>
  <si>
    <t>Master of Nature</t>
  </si>
  <si>
    <t>Channel Divinity: Turn Undead, Destructive Wrath</t>
  </si>
  <si>
    <t>Thunderbolt Strike</t>
  </si>
  <si>
    <t>Stormborn</t>
  </si>
  <si>
    <t>Channel Divinity: Turn Undead,  Invoke Duplicity</t>
  </si>
  <si>
    <t>Improved Dupilicty</t>
  </si>
  <si>
    <t xml:space="preserve">You hurl a bubble of acid. Choose one creature within range, or choose two creatures within range that are within 5 feet of each other. A target must succeed on a Dexterity saving throw or take 1d6 acid damage. 
This spell’s damage increases by 1d6 when you reach 5th level (2d6), 11th level (3d6), and 17th level (4d6). </t>
  </si>
  <si>
    <t>You can spend 10 minutes inspiring your companions, shoring up their resolve to fight. When you do so, choose up to six friendly creatures (which can include yourself) within 30 feet of you who can see or hear you and who can understand you. Each creature can gain temporary hit points equal to your level + your Charisma modifier. A creature can’t gain temporary hit points from this feat again until it has finished a short or long rest.</t>
  </si>
  <si>
    <t>Choose a class: bard, cleric, druid, sorcerer, warlock, or wizard. You learn two cantrips of your choice from that class’s spell list. 
In addition, choose one 1st-level spell from that same list. You learn that spell and can cast it at its lowest level. Once you cast it, you must finish a long rest before you can cast it again. 
Your spellcasting ability for these spells depends on the class you chose: Charisma for bard, sorcerer, or warlock; Wisdom for cleric or druid: or Intelligence for wizard.</t>
  </si>
  <si>
    <t xml:space="preserve">You create a ghostly, skeletal hand in the space of a creature within range. Make a ranged spell attack against the creature to assail it with the chill of the grave. On a hit, the target takes 1d8 necrotic damage, and it can’t regain hit points until the start of your next turn. Until then, the hand clings to the target. 
If you hit an undead target, it also has disadvantage on attack rolls against you until the end of your next turn. 
This spell’s damage increases by 1d8 when you reach 5th level (2d8), 11th level (3d8), and 17th level (4d8).
</t>
  </si>
  <si>
    <t>Your hit point maximum increases by an amount equal to twice your level when you gain this feat. Whenever you gain a level thereafter, your hit point maximum increases by an additional 2 hit points.</t>
  </si>
  <si>
    <t xml:space="preserve">Magical darkness spreads from a point you choose within range to fill a 15-foot-radius sphere for the duration. The darkness spreads around corners. A creature with darkvision can’t see through this darkness, and nonmagical light can’t illuminate it. 
If the point you choose is on an object you are holding or one that isn’t being worn or carried, the darkness emanates from the object and moves with it. Completely covering the source of the darkness with an opaque object, such as a bowl or a helm, blocks the darkness.
If any of this spell’s area overlaps with an area of light created by a spell of 2nd level or lower, the spell that created the light is dispelled. </t>
  </si>
  <si>
    <t>A 60-foot-radius sphere of light spreads out from a point you choose within range. The sphere is bright light and sheds dim light for an additional 60 feet. 
If you chose a point on an object you are holding or one that isn’t being worn or carried, the light shines from the object and moves with it. Completely covering the affected object with an opaque object, such as a bowl or a helm, blocks the light. 
If any of this spell’s area overlaps with an area of darkness created by a spell of 3rd level or lower, the spell that created the darkness is dispelled.</t>
  </si>
  <si>
    <t>You hurl a mote of fire at a creature or object within range. Make a ranged spell attack against the target. On a hit, the target takes 1d10 fire damage. A flammable object hit by this spell ignites if it isn’t being worn or carried. 
This spell’s damage increases by 1d10 when you reach 5th level (2d10), 11th level (3d10), and 17th level (4d10).</t>
  </si>
  <si>
    <t xml:space="preserve">A frigid beam of blue-white light streaks toward a creature within range. Make a ranged spell attack against the target. On a hit, it takes 1d8 cold damage, and its speed is reduced by 10 feet until the start of your next turn. 
The spell’s damage increases by 1d8 when you reach 5th level (2d8), 11th level (3d8), and 17th level (4d8). </t>
  </si>
  <si>
    <t>Flame-like radiance descends on a creature that you can see within range. The target must succeed on a Dexterity saving throw or take 1d8 radiant damage. The target gains no benefit from cover for this saving throw. 
The spell’s damage increases by 1d8 when you reach 5th level (2d8), 11th level (3d8), and 17th level (4d8).</t>
  </si>
  <si>
    <t xml:space="preserve">Lightning springs from your hand to deliver a shock to a creature you try to touch. Make a melee spell attack against the target. You have advantage on the attack roll if the target is wearing armor made of metal. On a hit, the target takes 1d8 lightning damage, and it can’t take reactions until the start of its next turn. 
The spell’s damage increases by 1d8 when you reach 5th level (2d8), 11th level (3d8), and 17th level (4d8). </t>
  </si>
  <si>
    <t>Potent Cantrip</t>
  </si>
  <si>
    <t xml:space="preserve">  - Wearing medium armor doesn’t impose disadvantage on your Dexterity (Stealth) checks. 
  - When you wear medium armor, you add 3, rather than 2, to your AC if you have a Dexterity of 16 or higher.</t>
  </si>
  <si>
    <t>Spider</t>
  </si>
  <si>
    <t>20 ft, climb 20 ft</t>
  </si>
  <si>
    <t>Stealth +4</t>
  </si>
  <si>
    <t>WIZARD</t>
  </si>
  <si>
    <t>CLERIC</t>
  </si>
  <si>
    <t>FIGHTER</t>
  </si>
  <si>
    <t>ROGUE</t>
  </si>
  <si>
    <t>SPELLS PREPARED / KNOWN</t>
  </si>
  <si>
    <t>SPELL PREPARED OR KNOWN</t>
  </si>
  <si>
    <t>PREPARED / KNOWN</t>
  </si>
  <si>
    <t>Select Domain…</t>
  </si>
  <si>
    <t>ROLL</t>
  </si>
  <si>
    <t>GROUP</t>
  </si>
  <si>
    <t>OTHER ARMOR</t>
  </si>
  <si>
    <t>DAMAGE RESISTANCE</t>
  </si>
  <si>
    <t>BONUS</t>
  </si>
  <si>
    <t>SKILLS KNOWN</t>
  </si>
  <si>
    <t>Quick to notice details of your environment, you gain the following benefits:
• Increase your Intelligence or Wisdom score by 1, to a maximum of 20. 
• If you can see a creature’s mouth while it is speaking a language you understand, you can interpret what it’s saying by reading its lips. 
• You have a +5 bonus to your passive Wisdom (Perception) and passive Intelligence (Investigation) scores.</t>
  </si>
  <si>
    <t>EXPERTISE</t>
  </si>
  <si>
    <t>Acrobatics</t>
  </si>
  <si>
    <t>Animal Handling</t>
  </si>
  <si>
    <t>Arcana</t>
  </si>
  <si>
    <t>Athletics</t>
  </si>
  <si>
    <t>Deception</t>
  </si>
  <si>
    <t>History</t>
  </si>
  <si>
    <t>Insight</t>
  </si>
  <si>
    <t>Intimidation</t>
  </si>
  <si>
    <t>Investigation</t>
  </si>
  <si>
    <t>Medicine</t>
  </si>
  <si>
    <t>Performance</t>
  </si>
  <si>
    <t>Persuasion</t>
  </si>
  <si>
    <t>Religion</t>
  </si>
  <si>
    <t>Stealth</t>
  </si>
  <si>
    <t>Survival</t>
  </si>
  <si>
    <t>Sleight of Hand</t>
  </si>
  <si>
    <t>Class</t>
  </si>
  <si>
    <t>Multi Skills</t>
  </si>
  <si>
    <t>Choose 1 from Acrobatics, Athletics, Deception, Insight, Intimidation, Investigation, Perception, Performance, Persuasion, Slight of Hand, and Stealth</t>
  </si>
  <si>
    <t>see spell</t>
  </si>
  <si>
    <t>Attack Spell (Int)</t>
  </si>
  <si>
    <t>Attack Spell (Wis)</t>
  </si>
  <si>
    <t>Attack Spell (Cha)</t>
  </si>
  <si>
    <t>Projected Ward</t>
  </si>
  <si>
    <t>Improved Abjuration</t>
  </si>
  <si>
    <t>Spell Resistance</t>
  </si>
  <si>
    <t>Conjuration Savant, Minor Conjuration</t>
  </si>
  <si>
    <t>Benign Transposition</t>
  </si>
  <si>
    <t>Focused Conjuration</t>
  </si>
  <si>
    <t>Durable Summons</t>
  </si>
  <si>
    <t>Expert Divination</t>
  </si>
  <si>
    <t>The Third Eye</t>
  </si>
  <si>
    <t>Greater Portent 3d20</t>
  </si>
  <si>
    <t>Enchantment Savant, Hypnotic Gaze</t>
  </si>
  <si>
    <t>Illusion Savant, Improved Minor Illusion</t>
  </si>
  <si>
    <t>Malleable Illusions</t>
  </si>
  <si>
    <t>Necromancy Savant, Grim Harvest</t>
  </si>
  <si>
    <t>Undead Thralls</t>
  </si>
  <si>
    <t>Inured to Undeath</t>
  </si>
  <si>
    <t>Command Undead</t>
  </si>
  <si>
    <t>Transmutation Savant, Minor Alchemy</t>
  </si>
  <si>
    <t>Transmuter's Stone</t>
  </si>
  <si>
    <t>Shapechanger</t>
  </si>
  <si>
    <t>Master Transmuter</t>
  </si>
  <si>
    <t>DEXTERITY MODIFIER</t>
  </si>
  <si>
    <t>WISDOM
MODIFIER</t>
  </si>
  <si>
    <t>PECEPTION
PROFICIENCY
BONUS</t>
  </si>
  <si>
    <t>Multi Armor</t>
  </si>
  <si>
    <t>Multi Weapon</t>
  </si>
  <si>
    <t>Multi Tools</t>
  </si>
  <si>
    <t>KNOWLDEGE</t>
  </si>
  <si>
    <t>Poison Spray</t>
  </si>
  <si>
    <t>Conjure Elemental</t>
  </si>
  <si>
    <t>Creation</t>
  </si>
  <si>
    <t>Geas</t>
  </si>
  <si>
    <t>Legend Lore</t>
  </si>
  <si>
    <t>Mislead</t>
  </si>
  <si>
    <t>Modify Memory</t>
  </si>
  <si>
    <t>Planar Binding</t>
  </si>
  <si>
    <t>Rary's Telepathic Bond</t>
  </si>
  <si>
    <t>Wall of Force</t>
  </si>
  <si>
    <t>Contingency</t>
  </si>
  <si>
    <t>Create Undead</t>
  </si>
  <si>
    <t>Drawmij's Instant Summons</t>
  </si>
  <si>
    <t>Eyebite</t>
  </si>
  <si>
    <t>Guards and Wards</t>
  </si>
  <si>
    <t>Magic Jar</t>
  </si>
  <si>
    <t>Programmed Illusion</t>
  </si>
  <si>
    <t>Wall of Ice</t>
  </si>
  <si>
    <t>abbrev</t>
  </si>
  <si>
    <t>Mirage Arcane</t>
  </si>
  <si>
    <t>Mordenkainen's Magnificent Mansion</t>
  </si>
  <si>
    <t>Project Image</t>
  </si>
  <si>
    <t>Reverse Gravity</t>
  </si>
  <si>
    <t>Sequester</t>
  </si>
  <si>
    <t>Simulacrum</t>
  </si>
  <si>
    <t>Control Weather</t>
  </si>
  <si>
    <t>Demiplane</t>
  </si>
  <si>
    <t>Incendiary Cloud</t>
  </si>
  <si>
    <t>Mind Blank</t>
  </si>
  <si>
    <t>Telepathy</t>
  </si>
  <si>
    <t>Imprisonment</t>
  </si>
  <si>
    <t>Prismatic Wall</t>
  </si>
  <si>
    <t>Shapechange</t>
  </si>
  <si>
    <t>True Polymorph</t>
  </si>
  <si>
    <t>Weird</t>
  </si>
  <si>
    <t>Detect Evil and Good</t>
  </si>
  <si>
    <t>Detect Poison and Disease</t>
  </si>
  <si>
    <t>Guiding Bolt</t>
  </si>
  <si>
    <t>Calm Emotions</t>
  </si>
  <si>
    <t>Find Traps</t>
  </si>
  <si>
    <t>Warding Bond</t>
  </si>
  <si>
    <t>Revivify</t>
  </si>
  <si>
    <t>Spirit Guardians</t>
  </si>
  <si>
    <t>Magic Circle</t>
  </si>
  <si>
    <t>Contagion</t>
  </si>
  <si>
    <t>Dispel Evil and Good</t>
  </si>
  <si>
    <t>Hallow</t>
  </si>
  <si>
    <t>Heroes' Feast</t>
  </si>
  <si>
    <t>Word of Recall</t>
  </si>
  <si>
    <t>Conjure Celestial</t>
  </si>
  <si>
    <t>Divine Word</t>
  </si>
  <si>
    <t>You extend your hand toward a creature you can see within range and project a puff of noxious gas from your palm. The creature must succeed on a Constitution saving throw or take 1d12 poison damage. This spell’s damage increases by 1d12 when you reach 5th level (2d12), 11th level (3d12), and 17th level (4d12).</t>
  </si>
  <si>
    <t>three nut shells</t>
  </si>
  <si>
    <t>the powder of a crushed black pearl worth at least 500 gp</t>
  </si>
  <si>
    <t>a statuette of yourself carved from ivory and decorated with gems worth at least 1,500 gp</t>
  </si>
  <si>
    <t>300 ft</t>
  </si>
  <si>
    <t>a drop of water and a pinch of dust</t>
  </si>
  <si>
    <t>burning incense and bits of earth and wood mixed in water</t>
  </si>
  <si>
    <t>one clay pot filled with grave dirt, one clay pot filled with brackish water and one 150 gp black onyx stone for each corpse</t>
  </si>
  <si>
    <t>a tiny piece of matter of the same type of the item you plan to create</t>
  </si>
  <si>
    <t>a sapphire worth 1,000 gp</t>
  </si>
  <si>
    <t>a piece of tentacle from a giant octopus or a giant squid</t>
  </si>
  <si>
    <t>a handful of clay, crystal, glass, or mineral spheres</t>
  </si>
  <si>
    <t>a bit of phosphorus or a firefly</t>
  </si>
  <si>
    <t>ruby dust worth 1,500 gp</t>
  </si>
  <si>
    <t>a hummingbird feather</t>
  </si>
  <si>
    <t>a diamond worth at least 5,000 gp</t>
  </si>
  <si>
    <t>30 days</t>
  </si>
  <si>
    <t>a glass or crytal bead that shatters when the spell ends</t>
  </si>
  <si>
    <t>burning incense, a small measure of brimstone and oil, a knotted string, a small amount of umber hulk blood, and a small silver rod worth at least 10 gp</t>
  </si>
  <si>
    <t>a stone, a twig, and a bit of green plant</t>
  </si>
  <si>
    <t>incense worth at least 250 gp, which the spell consumes, and four ivory strips worth at least 50 gp each</t>
  </si>
  <si>
    <t>a gem, crystal, reliquary, or some other ornamental container worth at least 500 gp</t>
  </si>
  <si>
    <t>1 day</t>
  </si>
  <si>
    <t>a tiny silver whistle, a piece of bone, and a thread</t>
  </si>
  <si>
    <t>a miniature portal carved from ivory, a small piece of polished marble, and a tiny silver spoon, each item worth at least 5 gp</t>
  </si>
  <si>
    <t>a thin sheet of lead, a piece of opaque glass, a wad of cotton or cloth, and powered chrysolite</t>
  </si>
  <si>
    <t>a small crystal sphere</t>
  </si>
  <si>
    <t xml:space="preserve"> a pinch of sesame seeds</t>
  </si>
  <si>
    <t>a jewel worth a least 1,000 gp, which the spell consumes</t>
  </si>
  <si>
    <t>a forked, metal rod worth at least 250 gp, attuned to a particular plane of existence</t>
  </si>
  <si>
    <t>a caterpillar cocoon</t>
  </si>
  <si>
    <t>a bit fleece and jade dust worth at least 25 gp</t>
  </si>
  <si>
    <t>500 miles</t>
  </si>
  <si>
    <t>a small replica of you mad from materials worth at least 5 gp</t>
  </si>
  <si>
    <t>pieces of eggshell from two different kinds of creatures</t>
  </si>
  <si>
    <t>a lodestone and iron filings</t>
  </si>
  <si>
    <t>a focus worth at least 1,000 gp, either a crystal ball, a silver mirror, or a font filled with holy water</t>
  </si>
  <si>
    <t>a power composed of diamond, emerald, ruby, and sapphire dust worth at least 5,000 gp, which the spell consumes</t>
  </si>
  <si>
    <t>a jade circlet worth a least 1,500 gp, which you must place on your head before you cast the spell</t>
  </si>
  <si>
    <t>snow or ice in quantities sufficient to made a life-size copy of the duplicated creature; some hair, fingernail clippings, or other piece of that creature’s body placed inside the snow or ice; and powdered ruby worth 1,500 gp, sprinkled over the duplicate and consumed by the spell</t>
  </si>
  <si>
    <t>soft clay, which must be worked into roughly the desired shape of the stone object</t>
  </si>
  <si>
    <t>diamond dust worth 100 gp</t>
  </si>
  <si>
    <t>a magnifying glass</t>
  </si>
  <si>
    <t>fire and a piece of sunstone</t>
  </si>
  <si>
    <t>mercury, phosphorus, and powered diamond and opal with a total of at least 1,000 gp, which the spell consumes</t>
  </si>
  <si>
    <t>a pair of linked silver rings</t>
  </si>
  <si>
    <t>rare chalks and inks infused with precious gems worth 50 gp, which the spell consumes</t>
  </si>
  <si>
    <t>a drop of mercury, a dollop of gum arabic, and a wisp of smoke</t>
  </si>
  <si>
    <t>an ointment for the eyes that costs 25 gp and is made from mushroom powder, saffron, and fat</t>
  </si>
  <si>
    <t xml:space="preserve"> a small piece of phosphorus</t>
  </si>
  <si>
    <t>a pinch of powder made by crushing a clear gemstone</t>
  </si>
  <si>
    <t>a small piece of quartz</t>
  </si>
  <si>
    <t>a small block of granite</t>
  </si>
  <si>
    <t>Thin and wispy flames wreathe your body for the duration, shedding bright light in a 10-foot radius and dim light for an additional 10 feet. You can end the spell early by using an action to dismiss it. 
The flames provide you with a warm shield or a chill shield, as you choose. The warm shield grants you resistance to cold damage, and the chill shield grants you resistance to fire damage. 
In addition, whenever a creature within 5 feet of you hits you with a melee attack, the shield erupts with flame. The attacker takes 2d8 fire damage from a warm shield, or 2d8 cold damage from a cold shield.</t>
  </si>
  <si>
    <t>Blazing orbs of fire plummet to the ground at four different points you can see within range. Each creature in a 40-foot-radius sphere centered on each point you choose must make a Dexterity saving throw. The sphere spreads around corners. A creature takes 20d6 fire damage and 20d6 bludgeoning damage on a failed save, or half as much damage on a successful one. A creature in the area of more than one fiery burst is affected only once. The spell damages objects in the area and ignites flammable objects that aren’t being worn or carried.</t>
  </si>
  <si>
    <t>You create a sword-shaped plane of force that hovers within range. It lasts for the duration. When the sword appears, you make a melee spell attack against a target of your choice within 5 feet of the sword. On a hit. the target takes 3d10 force damage.
Until the spell ends, you can use a bonus action on each of your turns to move the sword up to 20 feet to a spot you can see and repeat this attack against the same target or a different one.</t>
  </si>
  <si>
    <t>&lt; 5th level spell, takes effect under certain circumstances</t>
  </si>
  <si>
    <t>An immobile, invisible, cube-shaped prison composed of magical force springs into existence around an area you choose within range. The prison can be a cage or a solid box, as you choose. 
A prison in the shape of a cage can be up to 20 feet on a side and is made from 1/2 inch diameter bars spaced 1/2 inch apart. 
A prison in the shape of a box can be up to 10 feet on a side, creating a solid barrier that prevents any matter from passing through it and blocking any spells cast into or out from the area. 
When you cast the spell, any creature that is completely inside the cage's area is trapped. Creatures only partially within the area, or those too large to fit inside the area, are pushed away from the center of the area until they are completely outside the area. 
A creature inside the cage can’t leave it by nonmagical means. If the creature tries to use teleportation or interplanar travel to leave the cage, it must first make a Charisma saving throw. On a success, the creature can use that magic to exit the cage. On a failure, the creature can't exit the cage and wastes the use of the spell or effect. The cage also extends into the Ethereal Plane, blocking ethereal travel. 
This spell can’t be dispelled by dispel magic.</t>
  </si>
  <si>
    <t>immobile, invisible, cube-shaped prison</t>
  </si>
  <si>
    <t>A hail of rock-hard ice pounds to the ground in a 20-foot-radius, 40-foot-high cylinder centered on a point within range. Each creature in the cylinder must make a Dexterity saving throw. A creature takes 2d8 bludgeoning damage and 4d6 cold damage on a failed save, or half as much damage on a successful one. 
Hailstones turn the storm's area of effect into difficult terrain until the end of your next turn. 
At Higher Levels. When you cast this spell using a spell slot of 5th level or higher, the bludgeoning damage increases by 1d8 for each slot level above 4th.</t>
  </si>
  <si>
    <t>A frigid globe of cold energy streaks from your fingertips to a point of your choice within range, where it explodes in a 60-foot-radius sphere. Each creature within the area must make a Constitution saving throw. On a failed save, a creature takes 10d6 cold damage. On a successful save, it takes half as much damage. 
If the globe strikes a body of water or a liquid that is principally water (not including water-based creatures), it freezes the liquid to a depth of 6 inches over an area 30 feet square. This ice lasts for 1 minute. Creatures that were swimming on the surface of frozen water are trapped in the ice. A trapped creature can use an action to make a Strength check against your spell save DC to break free. 
You can refrain from firing the globe after completing the spell, if you wish. A small globe about the size of a sling stone, cool to the touch, appears in your hand. At any time, you or a creature you give the globe to can throw the globe (to a range of 40 feet) or hurl it with a sling (to the sling’s normal range). It shatters on impact, with the same effect as the normal casting of the spell. You can also set the globe down without shattering it. After 1 minute, if the globe hasn’t already shattered, it explodes. 
At Higher Levels. When you cast this spell using a spell slot of 7th level or higher, the damage increases by 1d6 for each slot level above 6th.</t>
  </si>
  <si>
    <t>A sphere of shimmering force encloses a creature or object of Large size or smaller within range. An unwilling creature must make a Dexterity saving throw. On a failed save, the creature is enclosed for the duration. 
Nothing—not physical objects, energy, or other spell effects—can pass through the barrier, in or out, though a creature in the sphere can breathe there. The sphere is immune to all damage, and a creature or object inside can’t be damaged by attacks or effects originating from outside, nor can a creature inside the sphere damage anything outside it. 
The sphere is weightless and just large enough to contain the creature or object inside. An enclosed creature can use its action to push against the sphere’s walls and thus roll the sphere at up to half the creature’s speed. Similarly, the globe can be picked up and moved by other creatures. 
A disintegrate spell targeting the globe destroys it without harming anything inside it.</t>
  </si>
  <si>
    <t>a hemispherical piece of clear crystal and a matching hemispherical piece of gum arabic</t>
  </si>
  <si>
    <t>a miniature platinum sword with a grip and pommel of copper and zinc, worth 250 gp</t>
  </si>
  <si>
    <t>Eight multicolored rays of light flash from your hand. Each ray is a different color and has a different power and purpose. Each creature in a 60-foot cone must make a Dexterity saving throw. For each target, roll a d8 to determine which color ray affects it. 
1. Red. The target takes 10d6 fire damage on a failed save, or half as much damage on a successful one. 
2. Orange. The target takes 10d6 acid damage on a failed save, or half as much damage on a successful one. 
3. Yellow. The target takes 10d6 lightning damage on a failed save, or half as much damage on a successful one. 
4. Green. The target takes 10d6 poison damage on a failed save, or half as much damage on a successful one. 
5. Blue. The target takes 10d6 cold damage on a failed save, or half as much damage on a successful one. 
6. Indigo. On a failed save, the target is restrained. It must then make a Constitution saving throw at the end of each of its turns. If it successfully saves three times, the spell ends. If it fails its save three times, it permanently turns to stone and is subjected to the petrified condition. The successes and failures don’t need to be consecutive; keep track of both until the target collects three of a kind. 
7. Violet. On a failed save, the target is blinded. It must then make a Wisdom saving throw at the start of your next turn. A successful save ends the blindness. If it fails that save, the creature is transported to another plane of existence of the DM’s choosing and is no longer blinded. (Typically, a creature that is on a plane that isn’t its home plane is banished home, while other creatures are usually cast into the Astral or Ethereal planes.) 
8. Special. The target is struck by two rays. Roll twice more, rerolling any 8.</t>
  </si>
  <si>
    <t>A beam of brilliant light flashes out from your hand in a 5-foot-wide, 60-foot-long line. Each creature in the line must make a Constitution saving throw. On a failed save, a creature takes 6d8 radiant damage and is blinded until your next turn. On a successful save, it takes half as much damage and isn’t blinded by this spell. Undead and oozes have disadvantage on this saving throw. 
You can create a new line of radiance as your action on any turn until the spell ends. 
For the duration, a mote of brilliant radiance shines in your hand. It sheds bright light in a 30-foot radius and dim light for an additional 30 feet. This light is sunlight.</t>
  </si>
  <si>
    <t>Brilliant sunlight flashes in a 60-foot radius centered on a point you choose within range. Each creature in that light must make a Constitution saving throw. On a failed save, a creature takes 12d6 radiant damage and is blinded for 1 minute. On a successful save, it takes half as much damage and isn’t blinded by this spell. Undead and oozes have disadvantage on this saving throw. 
A creature blinded by this spell makes another Constitution saving throw at the end of each of its turns. On a successful save, it is no longer blinded. 
This spell dispels any darkness in its area that was created by a spell.</t>
  </si>
  <si>
    <t>You create a telepathic link between yourself and a willing creature with which you are familiar. The creature can be anywhere on the same plane of existence as you. The spell ends if you or the target are no longer on the same plane. 
Until the spell ends, you and the target can instantaneously share words, images, sounds, and other sensory messages with one another through the link, and the target recognizes you as the creature it is communicating with. The spell enables a creature with an Intelligence score of at least 1 to understand the meaning of your words and take in the scope of any sensory messages you send to it.</t>
  </si>
  <si>
    <t xml:space="preserve">telepathic link between you and a willing creature </t>
  </si>
  <si>
    <t>You create a wall of fire on a solid surface within range. You can make the wall up to 60 feet long, 20 feet high, and 1 foot thick, or a ringed wall up to 20 feet in diameter, 20 feet high, and 1 foot thick. The wall is opaque and lasts for the duration. 
When the wall appears, each creature within its area must make a Dexterity saving throw. On a failed save, a creature takes 5d8 fire damage, or half as much damage on a successful save. 
One side of the wall, selected by you when you cast this spell, deals 5d8 fire damage to each creature that ends its turn within 10 feet of that side or inside the wall. A creature takes the same damage when it enters the wall for the first time on a turn or ends its turn there. The other side of the wall deals no damage. 
At Higher Levels. When you cast this spell using a spell slot of 5th level or higher, the damage increases by 1d8 for each slot level above 4th.</t>
  </si>
  <si>
    <t>An invisible wall of force springs into existence at a point you choose within range. The wall appears in any orientation you choose, as a horizontal or vertical barrier or at an angle. It can be free floating or resting on a solid surface. You can form it into a hemispherical dome or a sphere with a radius of up to 10 feet, or you can shape a flat surface made up of ten 10-foot-by- 10-foot panels. Each panel must be contiguous with another panel. In any form, the wall is 1/4 inch thick. It lasts for the duration. If the wall cuts through a creature’s space when it appears, the creature is pushed to one side of the wall (your choice which side). 
Nothing can physically pass through the wall. It is immune to all damage and can’t be dispelled by dispel magic. A disintegrate spell destroys the wall instantly, however. The wall also extends into the Ethereal Plane, blocking ethereal travel through the wall.</t>
  </si>
  <si>
    <t>You create a wall of ice on a solid surface within range. You can form it into a hemispherical dome or a sphere with a radius of up to 10 feet, or you can shape a flat surface made up of ten 10-foot-square panels. Each panel must be contiguous with another panel. In any form, the wall is 1 foot thick and lasts for the duration. 
If the wall cuts through a creature’s space when it appears, the creature within its area is pushed to one side of the wall and must make a Dexterity saving throw. On a failed save, the creature takes 10d6 cold damage, or half as much damage on a successful save. 
The wall is an object that can be damaged and thus breached. It has AC 12 and 30 hit points per 10-foot section, and it is vulnerable to fire damage. Reducing a 10-foot section of wall to 0 hit points destroys it and leaves behind a sheet of frigid air in the space the wall occupied. A creature moving through the sheet of frigid air for the first time on a turn must make a Constitution saving throw. That creature takes 5d6 cold damage on a failed save, or half as much damage on a successful one. 
At Higher Levels. When you cast this spell using a spell slot of 7th level or higher, the damage the wall deals when it appears increases by 2d6, and the damage from passing through the sheet of frigid air increases by 1d6, for each slot level above 6th.</t>
  </si>
  <si>
    <t>invisible, ten 10x10ft panels or 10ft rad dome</t>
  </si>
  <si>
    <t>15ft rad sphere, magical darkness</t>
  </si>
  <si>
    <t>4 torch-sized lights 10ft radius</t>
  </si>
  <si>
    <t>7 days</t>
  </si>
  <si>
    <t>holy water or power silver and iron</t>
  </si>
  <si>
    <t>a pinch of sulphur</t>
  </si>
  <si>
    <t>10 min ᴿ</t>
  </si>
  <si>
    <t>diamond dust worth at least 100 gp, which the spell consumes</t>
  </si>
  <si>
    <t>herbs, oils, and incense worth at least 1,000 gp, which the spell consumes</t>
  </si>
  <si>
    <t>a tiny reliquary worth at least 1,000 gp containing a sacred relic, such as a scrap of cloth from a saint’s robe or a piece of parchment from a religious text</t>
  </si>
  <si>
    <t>a few grains of sugar, some kernels of grain, and a smear of fat</t>
  </si>
  <si>
    <t>a diamond worth at least 500 gp, which the spell consumes</t>
  </si>
  <si>
    <t>a prayer wheel and holy water</t>
  </si>
  <si>
    <t>a diamond worth at least 1,000 gp, which the spell consumes</t>
  </si>
  <si>
    <t>diamonds worth at least 300 gp, which the spell consumes</t>
  </si>
  <si>
    <t>a holy symbol</t>
  </si>
  <si>
    <t>a sprinkle of holy water and diamonds worth at least 25,000 gp, which the spell consumes</t>
  </si>
  <si>
    <t>a pair of platinum rings worth at least 50 gp each, which you and the target must wear for the duration</t>
  </si>
  <si>
    <t>Wind Wall</t>
  </si>
  <si>
    <t>Tree Stride</t>
  </si>
  <si>
    <t>a tiny fan and a feather of exotic origin</t>
  </si>
  <si>
    <t>Destructive Wave</t>
  </si>
  <si>
    <t>Produce Flame</t>
  </si>
  <si>
    <t>Thorn Whip</t>
  </si>
  <si>
    <t>the stem of a plant with thorns</t>
  </si>
  <si>
    <t>The wood of a club or quarterstaff you are holding is imbued with nature’s power. For the duration, you can use your spellcasting ability instead of Strength for the attack and damage rolls of melee attacks using that weapon, and the weapon's damage die becomes a d8. The weapon also becomes magical, if it isn’t already. The spell ends if you cast it again or if you let go of the weapon.</t>
  </si>
  <si>
    <t>Spell Thief</t>
  </si>
  <si>
    <t>Black crescent</t>
  </si>
  <si>
    <t>Yellow skull</t>
  </si>
  <si>
    <t>LOOKUP 1</t>
  </si>
  <si>
    <t>LOOKUP 2</t>
  </si>
  <si>
    <t>a rotten egg or several skunk cabbage leaves</t>
  </si>
  <si>
    <t>You create a 20-foot-radius sphere of yellow, nauseating gas centered on a point within range. The cloud spreads around corners, and its area is heavily obscured. The cloud lingers in the air for the duration.
Each creature that is completely within the cloud at the start of its turn must make a Constitution saving throw against poison. On a failed save, the creature spends its action that turn retching and reeling. Creatures that don’t need to breathe or are immune to poison automatically succeed on this saving throw.
A moderate wind (at least 10 miles per hour) disperses the cloud after 4 rounds. A strong wind (at least 20 miles per hour) disperses it after 1 round.</t>
  </si>
  <si>
    <t>A sphere of negative energy ripples out in a 60-foot radius sphere from a point within range. Each creature in that area must make a Constitution saving throw. A target takes 8d6 necrotic damage on a failed save, or half as much damage on a successful one. 
At Higher Levels. When you cast this spell using a spell slot of 7th level or higher, the damage increases by 2d6 for each slot level above 6th.</t>
  </si>
  <si>
    <t>20ft rad sphere heavily obscured</t>
  </si>
  <si>
    <t>60ft rad sphere bright light +60ft dim</t>
  </si>
  <si>
    <t>melee, 3d6 fire, 20ft rad light</t>
  </si>
  <si>
    <t>30ft rad +1d4 radiant with weapon</t>
  </si>
  <si>
    <t>100ft rad thick overgrown/enriched land 1yr</t>
  </si>
  <si>
    <t>5ft rad remove poison &amp; disease</t>
  </si>
  <si>
    <t>20ft rad no sound, thunder immune</t>
  </si>
  <si>
    <t>20ft rad 5d8 HP sleep</t>
  </si>
  <si>
    <t>20x40ft rad cylinder, prone, dex save</t>
  </si>
  <si>
    <t>+5 temp HP, 5 cold damage</t>
  </si>
  <si>
    <t>magic +1 attack &amp; damage</t>
  </si>
  <si>
    <t xml:space="preserve">11+ on d20, blink and return within 10ft </t>
  </si>
  <si>
    <t xml:space="preserve"> adv cha checks 1 creature </t>
  </si>
  <si>
    <t>disadv on att, cannot be charmed</t>
  </si>
  <si>
    <t>Divine energy radiates from you, distorting and diffusing magical energy within 30 feet of you. Until the spell ends, the sphere moves with you, centered on you. For the duration, each friendly creature in the area (including you) has advantage on saving throws against spells and other magical effects. Additionally, when an affected creature succeeds on a saving throw made against a spell or magical effect that allows it to make a saving throw to take only half damage, it instead takes no damage if it succeeds on the saving throw.</t>
  </si>
  <si>
    <t>10ft rad sphere, roll d10 for action, wis save</t>
  </si>
  <si>
    <t>You summon a celestial of challenge rating 4 or lower, which appears in an unoccupied space that you can see within range. The celestial disappears when it drops to 0 hit points or when the spell ends. 
The celestial is friendly to you and your companions for the duration. Roll initiative for the celestial, which has its own turns. It obeys any verbal commands that you issue to it (no action required by you), as long as they don’t violate its alignment. If you don’t issue any commands to the celestial, it defends itself from hostile creatures but otherwise takes no actions. 
The DM has the celestial’s statistics. 
At Higher Levels. When you cast this spell using a 9th-level spell slot, you summon a celestial of challenge rating 5 or lower.</t>
  </si>
  <si>
    <t>burning incense for air, soft clay for earth, sulfur and phosphorus for fire, or water and sand for water</t>
  </si>
  <si>
    <t>You summon elementals that appear in unoccupied spaces that you can see within range. You choose one the following options for what appears:
• One elemental of challenge rating 2 or lower 
• Two elementals of challenge rating 1 or lower 
• Four elementals of challenge rating 1/2 or lower 
• Eight elementals of challenge rating 1/4 or lower.
An elemental summoned by this spell disappears when it drops to 0 hit points or when the spell ends. The summoned creatures are friendly to you and your companions. Roll initiative for the summoned creatures as a group, which has its own turns. They obey any verbal commands that you issue to them (no action required by you). If you don’t issue any commands to them, they defend themselves from hostile creatures, but otherwise take no actions. 
The DM has the creatures' statistics. 
At Higher Levels. When you cast this spell using certain higher-level spell slots, you choose one of the summoning options above, and more creatures appear: twice as many with a 6th-level slot and three times as many with an 8th-level slot.</t>
  </si>
  <si>
    <t>You fire a piece of nonmagical ammunition from a ranged weapon or throw a nonmagical weapon into the air and choose a point within range. Hundreds of duplicates of the ammunition or weapon fall in a volley from above and then disappear. Each creature in a 40-foot-radius. 20-foot-high cylinder centered on that point must make a Dexterity saving throw. A creature takes 8d8 damage on a failed save, or half as much damage on a successful one. The damage type is the same as that of the ammunition or weapon.</t>
  </si>
  <si>
    <t>one piece of ammunition or one thrown weapon</t>
  </si>
  <si>
    <t xml:space="preserve">You mentally contact a demigod, the spirit of a long-dead sage, or some other mysterious entity from another plane. Contacting this extraplanar intelligence can strain or even break your mind. When you cast this spell, make a DC 15 Intelligence saving throw. On a failure, you take 6d6 psychic damage and are insane until you finish a long rest. While insane, you can’t take actions, can’t understand what other creatures say, can’t read, and speak only in gibberish. A greater restoration spell cast on you ends this effect. 
On a successful save, you can ask the entity up to five questions. You must ask your questions before the spell ends. The DM answers each question with one word, such as “yes,” “no,” “maybe,” “never,” “irrelevant,” or “unclear” (if the entity doesn’t know the answer to the question). If a one-word answer would be misleading, the DM might instead offer a short phrase as an answer.
</t>
  </si>
  <si>
    <t>melee, inflict disease of your choice, con save 3 fails</t>
  </si>
  <si>
    <t>You take control of the weather within 5 miles of you for the duration. You must be outdoors to cast this spell. Moving to a place where you don’t have a clear path to the sky ends the spell early. 
When you cast the spell, you change the current weather conditions, which are determined by the DM based on the climate and season. You can change precipitation, temperature, and wind. It takes 1d4 x 10 minutes for the new conditions to take effect. Once they do so, you can change the conditions again. When the spell ends, the weather gradually returns to normal. 
When you change the weather conditions, find a current condition on the following tables and change its stage by one, up or down. When changing the wind, you can change its direction.
Precipitation
Stage Condition
1 Clear 
2 Light clouds 
3 Overcast or ground fog 
4 Rain, hail, or snow 
5 Torrential rain, driving hail, or blizzard
Temperature
Stage Condition
1 Unbearable heat
2 Hot 
3 Warm 
4 Cool
5 Cold 
6 Arctic cold
Wind
Stage Condition
1 Calm
2 Moderate wind 
3 Strong wind 
4 Gale 
5 Storm</t>
  </si>
  <si>
    <t>instantly transport you and up to 8 others</t>
  </si>
  <si>
    <t xml:space="preserve">You pull wisps of shadow material from the Shadowfell to create a nonliving object of vegetable matter within range: soft goods, rope, wood, or something similar. You can also use this spell to create mineral objects such as stone, crystal, or metal. The object created must be no larger than a 5-foot cube, and the object must be of a form and material that you have seen before. 
The duration depends on the object’s material. If the object is com posed of multiple materials, use the shortest duration.
Material Duration
Vegetable matter 1 day 
Stone or crystal 12 hours 
Precious metals 1 hour 
Gems 10 minutes 
Adamantine or mithral 1 minute
Using any material created by this spell as another spell’s material component causes that spell to fail. 
At Higher Levels. When you cast this spell using a spell slot of 6th level or higher, the cube increases by 5 feet for each slot level above 5th.
</t>
  </si>
  <si>
    <t>create material, no larger than a 5ft cube</t>
  </si>
  <si>
    <t>You touch a creature and grant it a measure of protection from death. 
The first time the target would drop to 0 hit points as a result of taking damage, the target instead drops to 1 hit point, and the spell ends. 
If the spell is still in effect when the target is subjected to an effect that would kill it instantaneously without dealing damage, that effect is instead negated against the target, and the spell ends.</t>
  </si>
  <si>
    <t>grant one creature protection from death</t>
  </si>
  <si>
    <t>create a shadowy door to a demiplane</t>
  </si>
  <si>
    <t>You strike the ground, creating a burst of divine energy that ripples outward from you. Each creature you choose within 30 feet of you must succeed on a Constitution saving throw or take 5d6 thunder damage, as well as 5d6 radiant or necrotic damage (your choice), and be knocked prone. A creature that succeeds on its saving throw takes half as much damage and isn’t knocked prone.</t>
  </si>
  <si>
    <t>Shimmering energy surrounds and protects you from fey, undead, and creatures originating from beyond the Material Plane. For the duration, celestials, elementals, fey, fiends, and undead have disadvantage on attack rolls against you. 
You can end the spell early by using either of the following special functions. 
Break Enchantment. As your action, you touch a creature you can reach that is charmed, frightened, or possessed by a celestial, an elemental, a fey, a fiend, or an undead. The creature you touch is no longer charmed, frightened, or possessed by such creatures. 
Dismissal. As your action, make a melee spell attack against a celestial, an elemental, a fey, a fiend, or an undead you can reach. On a hit, you attempt to drive the creature back to its home plane. The creature must succeed on a Charisma saving throw or be sent back to its home plane (if it isn't there already). If they aren’t on their home plane, undead are sent to the Shadowfell, and fey are sent to the Feywild.</t>
  </si>
  <si>
    <t>fey, undead, etc. disadv attack, 2 functions</t>
  </si>
  <si>
    <t>You utter a divine word, imbued with the power that shaped the world at the dawn of creation. Choose any number of creatures you can see within range. Each creature that can hear you must make a Charisma saving throw. On a failed save, a creature suffers an effect based on its current hit points:
• 50 hit points or fewer: deafened for 1 minute 
• 40 hit points or fewer: deafened and blinded for 10 minutes 
• 30 hit points or fewer: blinded, deafened, and stunned for 1 hour 
• 20 hit points or fewer: killed instantly
Regardless of its current hit points, a celestial, an elemental, a fey, or a fiend that fails its save is forced back to its plane of origin (if it isn’t there already) and can’t return to your current plane for 24 hours by any means short of a wish spell.</t>
  </si>
  <si>
    <t>any that can hear, con save, effect based on HP</t>
  </si>
  <si>
    <t>You touch an object weighing 10 pounds or less whose longest dimension is 6 feet or less. The spell leaves an invisible mark on its surface and invisibly inscribes the name of the item on the sapphire you use as the material component. Each time you cast this spell, you must use a different sapphire. 
At any time thereafter, you can use your action to speak the item’s name and crush the sapphire. The item instantly appears in your hand regardless of physical or planar distances, and the spell ends.
If another creature is holding or carrying the item, crushing the sapphire doesn’t transport the item to you, but instead you learn who the creature possessing the object is and roughly where that creature is located at that moment. 
Dispel magic or a similar effect successfully applied to the sapphire ends this spell’s effect.</t>
  </si>
  <si>
    <t>object of 10 lbs 6ft long or less, instantly summon</t>
  </si>
  <si>
    <t xml:space="preserve">Whispering to the spirits of nature, you create one of the following effects within range:
• You create a tiny, harmless sensory effect that predicts what the weather will be at your location for the next 24 hours. The effect might manifest as a golden orb for clear skies, a cloud for rain, falling snowflakes for snow, and so on. This effect persists for 1 round. 
• You instantly make a flower blossom, a seed pod open, or a leaf bud bloom. 
• You create an instantaneous, harmless sensory effect, such as falling leaves, a puff of wind, the sound of a small animal, or the faint odor of skunk. The effect must fit in a 5-foot cube. 
• You instantly light or snuff out a candle, a torch, or a small campfire.
</t>
  </si>
  <si>
    <t>Squirming, ebony tentacles fill a 20-foot square on ground that you can see within range. For the duration, these tentacles turn the ground in the area into difficult terrain. 
When a creature enters the affected area for the first time on a turn or starts its turn there, the creature must succeed on a Dexterity saving throw or take 3d6 bludgeoning damage and be restrained by the tentacles until the spell ends. A creature that starts its turn in the area and is already restrained by the tentacles takes 3d6 bludgeoning damage. 
A creature restrained by the tentacles can use its action to make a Strength or Dexterity check (its choice) against your spell save DC. On a success, it frees itself.</t>
  </si>
  <si>
    <t>20ft sq, 3d6 bludgeon &amp; restrained, dex save</t>
  </si>
  <si>
    <t>1 creature within 60ft, wis save, 1 of 3 effects</t>
  </si>
  <si>
    <t>You convert raw materials into products of the same material. For example, you can fabricate a wooden bridge from a clump of trees, a rope from a patch of hemp, and clothes from flax or wool. 
Choose raw materials that you can see within range. You can fabricate a Large or smaller object (contained within a 10-foot cube, or eight connected 5-foot cubes), given a sufficient quantity of raw material. If you are working with metal, stone, or another mineral substance, however, the fabricated object can be no larger than Medium (contained within a single 5-foot cube). The quality of objects made by the spell is commensurate with the quality of the raw materials. 
Creatures or magic items can’t be created or transmuted by this spell. You also can’t use it to create items that ordinarily require a high degree of craftsmanship, such as jewelry, weapons, glass, or armor, unless you have proficiency with the type of artisan’s tools used to craft such objects.</t>
  </si>
  <si>
    <t>10ft cube, fabricate large or smaller item</t>
  </si>
  <si>
    <t>create 1 nature effect of your choice</t>
  </si>
  <si>
    <t>You sense the presence of any trap within range that is within line of sight. A trap, for the purpose of this spell, includes anything that would inflict a sudden or unexpected effect you consider harmful or undesirable, which was specifically intended as such by its creator. Thus, the spell would sense an area affected by the alarm spell, a glyph of warding, or a mechanical pit trap, but it would not reveal a natural weakness in the floor, an unstable ceiling, or a hidden sinkhole. 
This spell merely reveals that a trap is present. You don’t learn the location of each trap, but you do learn the general nature of the danger posed by a trap you sense</t>
  </si>
  <si>
    <t>sense prescence of trap within range and line of sight</t>
  </si>
  <si>
    <t>10ft rad, 2d6 necrotic, str save ½</t>
  </si>
  <si>
    <t>3 targets, cha save, -1d4 attack and saves</t>
  </si>
  <si>
    <t>attract or repel creatures, choose Antipathy or Sympathy</t>
  </si>
  <si>
    <t>A storm made up of sheets of roaring flame appears in a location you choose within range. The area of the storm consists of up to ten 10-foot cubes, which you can arrange as you wish. Each cube must have at least one face adjacent to the face of another cube. Each creature in the area must make a Dexterity saving throw. It takes 7d10 fire damage on a failed save, or half as much damage on a successful one. 
The fire damages objects in the area and ignites flammable objects that aren't being worn or carried. If you choose, plant life in the area is unaffected by this spell.</t>
  </si>
  <si>
    <t>A vertical column of divine fire roars down from the heavens in a location you specify. Each creature in a 10-foot-radius, 40-foot-high cylinder centered on a point within range must make a Dexterity saving throw. A creature takes 4d6 fire damage and 4d6 radiant damage on a failed save, or half as much damage on a successful one. 
At Higher Levels. When you cast this spell using a spell slot of 6th level or higher, the fire damage or the radiant damage (your choice) increases by 1d6 for each slot level above 5th.</t>
  </si>
  <si>
    <t>40x10ft rad cylinder, 4d6 fire + 4d6 radiant, dex save ½</t>
  </si>
  <si>
    <t>You attempt to turn one creature that you can see within range into stone. If the target’s body is made of flesh, the creature must make a Constitution saving throw. On a failed save, it is restrained as its flesh begins to harden. On a successful save, the creature isn’t affected. 
A creature restrained by this spell must make another Constitution saving throw at the end of each of its turns. If it successfully saves against this spell three times, the spell ends. If it fails its saves three times, it is turned to stone and subjected to the petrified condition for the duration. The successes and failures don’t need to be consecutive; keep track of both until the target collects three of a kind. 
If the creature is physically broken while petrified, it suffers from similar deformities if it reverts to its original state. 
If you maintain your concentration on this spell for the entire possible duration, the creature is turned to stone until the effect is removed.</t>
  </si>
  <si>
    <t>a pinch of lime, water, and earth</t>
  </si>
  <si>
    <t>a sprinkling of holy water, rare incense, and powered ruby worth at least 1,000 gp</t>
  </si>
  <si>
    <t>You create a ward against magical travel that protects up to 40,000 square feet of floor space to a height of 30 feet above the floor. For the duration, creatures can’t teleport into the area or use portals, such as those created by the gate spell, to enter the area. The spell proofs the area against planar travel, and therefore prevents creatures from accessing the area by way of the Astral Plane, Ethereal Plane, Feywild, Shadowfell, or the plane shift spell. 
In addition, the spell damages types of creatures that you choose when you cast it. Choose one or more of the following: celestials, elementals, fey, fiends, and undead. When a chosen creature enters the spell’s area for the first time on a turn or starts its turn there, the creature takes 5d10 radiant or necrotic damage (your choice when you cast this spell). 
When you cast this spell, you can designate a password. A creature that speaks the password as it enters the area takes no damage from the spell. 
The spell’s area can't overlap with the area of another forbiddance spell. If you cast forbiddance every day for 30 days in the same location, the spell lasts until it is dispelled, and the material components are consumed on the last casting.</t>
  </si>
  <si>
    <t>You touch a willing creature and bestow a limited ability to see into the immediate future. For the duration, the target can’t be surprised and has advantage on attack rolls, ability checks, and saving throws. Additionally, other creatures have disadvantage on attack rolls against the target for the duration. 
This spell immediately ends if you cast it again before its duration ends.</t>
  </si>
  <si>
    <t>adv on attack, ability check &amp; saves. attacker disadv</t>
  </si>
  <si>
    <t>a leather strap bound, around the arm or a similar appendage</t>
  </si>
  <si>
    <t>You touch a willing creature. For the duration, the target’s movement is unaffected by difficult terrain, and spells and other magical effects can neither reduce the target’s speed nor cause the target to be paralyzed or restrained. 
The target can also spend 5 feet of movement to automatically escape from nonmagical restraints, such as manacles or a creature that has it grappled. Finally, being underwater imposes no penalties on the target's movement or attacks.</t>
  </si>
  <si>
    <t>unaffected by difficult terrain, 5ft move escapes restraints</t>
  </si>
  <si>
    <t>You conjure a portal linking an unoccupied space you can see within range to a precise location on a different plane of existence. The portal is a circular opening, which you can make 5 to 20 feet in diameter. You can orient the portal in any direction you choose. The portal lasts for the duration. 
The portal has a front and a back on each plane where it appears. Travel through the portal is possible only by moving through its front. Anything that does so is instantly transported to the other plane, appearing in the unoccupied space nearest to the portal. 
Deities and other planar rulers can prevent portals created by this spell from opening in their presence or anywhere within their domains. 
When you cast this spell, you can speak the name of a specific creature (a pseudonym, title, or nickname doesn’t work). If that creature is on a plane other than the one you are on, the portal opens in the named creature’s immediate vicinity and draws the creature through it to the nearest unoccupied space on your side of the portal. You gain no special power over the creature, and it is free to act as the DM deems appropriate. It might leave, attack you, or help you.</t>
  </si>
  <si>
    <t>portal 5-20ft dia, planar travel or name creature</t>
  </si>
  <si>
    <t>An immobile, faintly shimmering barrier springs into existence in a 10-foot radius around you and remains for the duration. 
Any spell of 5th level or lower cast from outside the barrier can't affect creatures or objects within it, even if the spell is cast using a higher level spell slot. Such a spell can target creatures and objects within the barrier, but the spell has no effect on them. Similarly, the area within the barrier is excluded from the areas affected by such spells. 
At Higher Levels. When you cast this spell using a spell slot of 7th level or higher, the barrier blocks spells of one level higher for each slot level above 6th.</t>
  </si>
  <si>
    <t>10ft rad, 5th level or lower spell no effect inside sphere</t>
  </si>
  <si>
    <t>You conjure a vine that sprouts from the ground in an unoccupied space of your choice that you can see within range. When you cast this spell, you can direct the vine to lash out at a creature within 30 feet of it that you can see. That creature must succeed on a Dexterity saving throw or be pulled 20 feet directly toward the vine. 
Until the spell ends, you can direct the vine to lash out at the same creature or another one as a bonus action on each of your turns.</t>
  </si>
  <si>
    <t>creature and equipment invisibile until the spell ends</t>
  </si>
  <si>
    <t xml:space="preserve">You imbue a creature you touch with positive energy to undo a debilitating effect. You can reduce the target’s exhaustion level by one, or end one of the following effects on the target:
• One effect that charmed or petrified the target 
• One curse, including the target’s attunement to a cursed magic item 
• Any reduction to one of the target’s ability scores 
• One effect reducing the target’s hit point maximum
</t>
  </si>
  <si>
    <t>reduce exhaustion 1 level or end 1 effect</t>
  </si>
  <si>
    <t>A Large spectral guardian appears and hovers for the duration in an unoccupied space of your choice that you can see within range. The guardian occupies that space and is indistinct except for a gleaming sword and shield emblazoned with the symbol of your deity. 
Any creature hostile to you that moves to a space within 10 feet of the guardian for the first time on a turn must succeed on a Dexterity saving throw. The creature takes 20 radiant damage on a failed save, or half as much damage on a successful one. The guardian vanishes when it has dealt a total of 60 damage.</t>
  </si>
  <si>
    <t>10ft reach, 20 radiant (total 60), dex sav ½</t>
  </si>
  <si>
    <t>You create a ward that protects up to 2,500 square feet of floor space (an area 50 feet square, or one hundred 5-foot squares or twenty-five 10-foot squares). The warded area can be up to 20 feet tall, and shaped as you desire. You can ward several stories of a stronghold by dividing the area among them, as long as you can walk into each contiguous area while you are casting the spell. 
When you cast this spell, you can specify individuals that are unaffected by any or all of the effects that you choose. You can also specify a password that, when spoken aloud, makes the speaker immune to these effects. 
Guards and wards creates the following effects within the warded area. 
Corridors. Fog fills all the warded corridors, making them heavily obscured. In addition, at each intersection or branching passage offering a choice of direction, there is a 50 percent chance that a creature other than you will believe it is going in the opposite direction from the one it chooses. 
Doors. All doors in the warded area are magically locked, as if sealed by an arcane lock spell. In addition, you can cover up to ten doors with an illusion (equivalent to the illusory object function of the minor illusion spell) to make them appear as plain sections of wall. 
Stairs. Webs fill all stairs in the warded area from top to bottom, as the web spell. These strands regrow in 10 minutes if they are burned or torn away while guards and wards lasts. 
Other Spell Effect. You can place your choice of one of the following magical effects within the warded area of the stronghold.
  • Place dancing lights in four corridors. You can designate a simple program that the lights repeat as long as guards and wards lasts. 
  • Place magic mouth in two locations. 
  • Place stinking cloud in two locations. The vapors appear in the places you designate; they return within 10 minutes if dispersed by wind while guards and wards lasts. 
  • Place a constant gust of wind in one corridor or room.</t>
  </si>
  <si>
    <t>A flash of light streaks toward a creature of your choice within range. Make a ranged spell attack against the target. On a hit, the target takes 4d6 radiant damage, and the next attack roll made against this target before the end of your next turn has advantage, thanks to the mystical dim light glittering on the target until then. 
At Higher Levels. When you cast this spell using a spell slot of 2nd level or higher, the damage increases by 1d6 for each slot level above 1st.</t>
  </si>
  <si>
    <t>ranged, 4d6 radiant, next attack adv</t>
  </si>
  <si>
    <t xml:space="preserve">60ft rad, choose 1 effect, cha save </t>
  </si>
  <si>
    <t xml:space="preserve">You make natural terrain in a 150-foot cube in range look, sound, and smell like some other sort of natural terrain. Thus, open fields or a road can be made to resemble a swamp, hill, crevasse, or some other difficult or impassable terrain. A pond can be made to seem like a grassy meadow, a precipice like a gentle slope, or a rock-strewn gully like a wide and smooth road. Manufactured structures, equipment, and creatures within the area aren’t changed in appearance. 
The tactile characteristics of the terrain are unchanged, so creatures entering the area are likely to see through the illusion. If the difference isn’t obvious by touch, a creature carefully examining the illusion can attempt an Intelligence (Investigation) check against your spell save DC to disbelieve it. A creature who discerns the illusion for what it is, sees it as a vague image superimposed on the terrain.
</t>
  </si>
  <si>
    <t>150ft cube, Intelligence (Investigation) check DC = spell save</t>
  </si>
  <si>
    <t>You unleash a virulent disease on a creature that you can see within range. The target must make a Constitution saving throw. On a failed save, it takes 14d6 necrotic damage, or half as much damage on a successful save. The damage can’t reduce the target’s hit points below 1. If the target fails the saving throw, its hit point maximum is reduced for 1 hour by an amount equal to the necrotic damage it took. Any effect that removes a disease allows a creature’s hit point maximum to return to normal before that time passes.</t>
  </si>
  <si>
    <t>Choose a creature that you can see within range. A surge of positive energy washes through the creature, causing it to regain 70 hit points. This spell also ends blindness, deafness, and any diseases affecting the target. This spell has no effect on constructs or undead. 
At Higher Levels. When you cast this spell using a spell slot of 7th level or higher, the amount of healing increases by 10 for each slot level above 6th.</t>
  </si>
  <si>
    <t>heals 70 HP, removes blind, deaf, disease</t>
  </si>
  <si>
    <t>a gem-encrusted bowl worth at least 1,000 gp, which the spell comsumes</t>
  </si>
  <si>
    <t>24 hrs immune poison &amp; fear, adv wis save, +2d10 HP</t>
  </si>
  <si>
    <t>Divine light washes out from you and coalesces in a soft radiance in a 30-foot radius around you. Creatures of your choice in that radius when you cast this spell shed dim light in a 5-foot radius and have advantage on all saving throws, and other creatures have disadvantage on attack rolls against them until the spell ends. In addition, when a fiend or an undead hits an affected creature with a melee attack, the aura flashes with brilliant light. The attacker must succeed on a Constitution saving throw or be blinded until the spell ends.</t>
  </si>
  <si>
    <t>30ft rad, adv saves, others disadv attack</t>
  </si>
  <si>
    <t>a vellum depiction or a carved statuette in the likeness of the target, and a special component that varies according to the version of the spell you choose, worth at least 500 gp per Hit Die of the target</t>
  </si>
  <si>
    <t xml:space="preserve"> swirling cloud of smoke shot through with white-hot embers appears in a 20-foot-radius sphere centered on a point within range. The cloud spreads around corners and is heavily obscured. It lasts for the duration or until a wind of moderate or greater speed (at least 10 miles per hour) disperses it. 
When the cloud appears, each creature in it must make a Dexterity saving throw. A creature takes 10d8 fire damage on a failed save, or half as much damage on a successful one. A creature must also make this saving throw when it enters the spell’s area for the first time on a turn or ends its turn there. 
The cloud moves 10 feet directly away from you in a direction that you choose at the start of each of your turns.</t>
  </si>
  <si>
    <t>Swarming, biting locusts fill a 20-foot-radius sphere centered on a point you choose within range. The sphere spreads around corners. The sphere remains for the duration, and its area is lightly obscured. The sphere’s area is difficult terrain. 
When the area appears, each creature in it must make a Constitution saving throw. A creature takes 4d10 piercing damage on a failed save, or half as much damage on a successful one. A creature must also make this saving throw when it enters the spell’s area for the first time on a turn or ends its turn there. 
At Higher Levels. When you cast this spell using a spell slot of 6th level or higher, the damage increases by 1d10 for each slot level above 5th.</t>
  </si>
  <si>
    <t>Name or describe a person, place, or object. The spell brings to your mind a brief summary of the significant lore about the thing you named. The lore might consist of current tales, forgotten stories, or even secret lore that has never been widely known. If the thing you named isn’t of legendary importance, you gain no information. The more information you already have about the thing, the more precise and detailed the information you receive is. 
The information you learn is accurate but might be couched in figurative language. For example, if you have a mysterious magic axe on hand, the spell might yield this information: “Woe to the evildoer whose hand touches the axe, for even the haft slices the hand of the evil ones. Only a true Child of Stone, lover and beloved of Moradin, may awaken the true powers of the axe, and only with the sacred word Rudnogg on the lips.”</t>
  </si>
  <si>
    <t>brief summary of any person, place, or object</t>
  </si>
  <si>
    <t>an exquisite chest, 3 feet by 2 feet by 2 feet, constructed from rare materials worth at least 5,000 gp, and a Tiny replica made from the same materials worth at least 50 gp</t>
  </si>
  <si>
    <t>You hide a chest, and all its contents, on the Ethereal Plane. You must touch the chest and the miniature replica that serves as a material component for the spell. The chest can contain up to 12 cubic feet of nonliving material (3 feet by 2 feet by 2 feet). 
While the chest remains on the Ethereal Plane, you can use an action and touch the replica to recall the chest. It appears in an unoccupied space on the ground within 5 feet of you. You can send the chest back to the Ethereal Plane by using an action and touching both the chest and the replica. 
After 60 days, there is a cumulative 5 percent chance per day that the spell's effect ends. This effect ends if you cast this spell again, if the smaller replica chest is destroyed, or if you choose to end the spell as an action. If the spell ends and the larger chest is on the Ethereal Plane, it is irretrievably lost.</t>
  </si>
  <si>
    <t xml:space="preserve">hide 3x2x2ft chest (12 cubic feet) on the Ethereal plane </t>
  </si>
  <si>
    <t>Describe or name a creature that is familiar to you. You sense the direction to the creature’s location, as long as that creature is within 1,000 feet of you. If the creature is moving, you know the direction of its movement. 
The spell can locate a specific creature known to you, or the nearest creature of a specific kind (such as a human or a unicorn), so long as you have seen such a creature up close—within 30 feet—at least once. If the creature you described or named is in a different form, such as being under the effects of a polymorph spell, this spell doesn’t locate the creature. 
This spell can’t locate a creature if running water at least 10 feet wide blocks a direct path between you and the creature.</t>
  </si>
  <si>
    <t>1,000ft range, sense creatures location</t>
  </si>
  <si>
    <t>100ft range, possess humanoid, cha save</t>
  </si>
  <si>
    <t>A wave of healing energy washes out from a point of your choice within range. Choose up to six creatures in a 30-foot-radius sphere centered on that point. Each target regains hit points equal to 3d8 + your spellcasting ability modifier. This spell has no effect on undead or constructs. 
At Higher Levels. When you cast this spell using a spell slot of 6th level or higher, the healing increases by 1d8 for each slot level above 5th.</t>
  </si>
  <si>
    <t>30ft rad sphere, 6 targets heal 3d8 + spell ability modifer</t>
  </si>
  <si>
    <t>A flood of healing energy flows from you into injured creatures around you. You restore up to 700 hit points, divided as you choose among any number of creatures that you can see within range. Creatures healed by this spell are also cured of all diseases and any effect making them blinded or deafened. This spell has no effect on undead or constructs.</t>
  </si>
  <si>
    <t>heal up to 700 HP any number of creatures</t>
  </si>
  <si>
    <t>You suggest a course of activity (limited to a sentence or two) and magically influence up to twelve creatures of your choice that you can see within range and that can hear and understand you. Creatures that can’t be charmed are immune to this effect. The suggestion must be worded in such a manner as to make the course of action sound reasonable. Asking the creature to stab itself, throw itself onto a spear, immolate itself, or do some other obviously harmful act automatically negates the effect of the spell. 
Each target must make a Wisdom saving throw. On a failed save, it pursues the course of action you described to the best of its ability. The suggested course of action can continue for the entire duration. If the suggested activity can be completed in a shorter time, the spell ends when the subject finishes what it was asked to do. 
You can also specify conditions that will trigger a special activity during the duration. For example, you might suggest that a group of soldiers give all their money to the first beggar they meet. If the condition isn’t met before the spell ends, the activity isn’t performed. 
If you or any of your companions damage a creature affected by this spell, the spell ends for that creature. 
At Higher Levels. When you cast this spell using a 7th-level spell slot, the duration is 10 days. When you use an 8th-level spell slot, the duration is 30 days. When you use a 9th-level spell slot, the duration is a year and a day.</t>
  </si>
  <si>
    <t>You banish a creature that you can see within range into a labyrinthine demiplane. The target remains there for the duration or until it escapes the maze. 
The target can use its action to attempt to escape. When it does so, it makes a DC 20 Intelligence check. If it succeeds, it escapes, and the spell ends (a minotaur or goristro demon automatically succeeds). 
When the spell ends, the target reappears in the space it left or, if that space is occupied, in the nearest unoccupied space.</t>
  </si>
  <si>
    <t>banished to labyrinth, Intelligence check DC 20 escape</t>
  </si>
  <si>
    <t>Until the spell ends, one willing creature you touch is immune to psychic damage, any effect that would sense its emotions or read its thoughts, divination spells, and the charmed condition. The spell even foils wish spells and spells or effects of similar power used to affect the target’s mind or to gain information about the target.</t>
  </si>
  <si>
    <t>immune to psychic damage, divination spells &amp; charm</t>
  </si>
  <si>
    <t>You make terrain in an area up to 1 mile square look, sound, smell, and even feel like some other sort of terrain. The terrain’s general shape remains the same, however. Open fields or a road could be made to resemble a swamp, hill, crevasse, or some other difficult or impassable terrain. A pond can be made to seem like a grassy meadow, a precipice like a gentle slope, or a rock-strewn gully like a wide and smooth road. 
Similarly, you can alter the appearance of structures, or add them where none are present. The spell doesn’t disguise, conceal, or add creatures. 
The illusion includes audible, visual, tactile, and olfactory elements, so it can turn clear ground into difficult terrain (or vice versa) or otherwise impede movement through the area. Any piece of the illusory terrain (such as a rock or stick) that is removed from the spell’s area disappears immediately. 
Creatures with truesight can see through the illusion to the terrain’s true form; however, all other elements of the illusion remain, so while the creature is aware of the illusion’s presence, the creature can still physically interact with the illusion.</t>
  </si>
  <si>
    <t>1 sq mile, look, sound, smell and feel different</t>
  </si>
  <si>
    <t>You become invisible at the same time that an illusory double of you appears where you are standing. The double lasts for the duration, but the invisibility ends if you attack or cast a spell. 
You can use your action to move your illusory double up to twice your speed and make it gesture, speak, and behave in whatever way you choose. 
You can see through its eyes and hear through its ears as if you were located where it is. On each of your turns as a bonus action, you can switch from using its senses to using your own, or back again. While you are using its senses, you are blinded and deafened in regard to your own surroundings.</t>
  </si>
  <si>
    <t>invisible with illusory double</t>
  </si>
  <si>
    <t>You conjure an extradimensional dwelling in range that lasts for the duration. You choose where its one entrance is located. The entrance shimmers faintly and is 5 feet wide and 10 feet tall. You and any creature you designate when you cast the spell can enter the extradimensional dwelling as long as the portal remains open. You can open or close the portal if you are within 30 feet of it. While closed, the portal is invisible. 
Beyond the portal is a magnificent foyer with numerous chambers beyond. The atmosphere is clean, fresh, and warm. 
You can create any floor plan you like, but the space can’t exceed 50 cubes, each cube being 10 feet on each side. The place is furnished and decorated as you choose. It contains sufficient food to serve a nine- course banquet for up to 100 people. A staff of 100 near-transparent servants attends all who enter. You decide the visual appearance of these servants and their attire. They are completely obedient to your orders. Each servant can perform any task a normal human servant could perform, but they can’t attack or take any action that would directly harm another creature. Thus the servants can fetch things, clean, mend, fold clothes, light fires, serve food, pour wine, and so on. The servants can go anywhere in the mansion but can’t leave it. Furnishings and other objects created by this spell dissipate into smoke if removed from the mansion. When the spell ends, any creatures inside the extradimensional space are expelled into the open spaces nearest to the entrance.</t>
  </si>
  <si>
    <t>extradimensional mansion, 50 10ft cubes</t>
  </si>
  <si>
    <t>5-100ft cube, choose security features</t>
  </si>
  <si>
    <t>Choose an area of terrain no larger than 40 feet on a side within range. You can reshape dirt, sand, or clay in the area in any manner you choose for the duration. You can raise or lower the area’s elevation, create or fill in a trench, erect or flatten a wall, or form a pillar. The extent of any such changes can’t exceed half the area’s largest dimension. So, if you affect a 40-foot square, you can create a pillar up to 20 feet high, raise or lower the square’s elevation by up to 20 feet, dig a trench up to 20 feet deep, and so on. It takes 10 minutes for these changes to complete. 
At the end of every 10 minutes you spend concentrating on the spell, you can choose a new area of terrain to affect. 
Because the terrain’s transformation occurs slowly, creatures in the area can’t usually be trapped or injured by the ground’s movement. 
This spell can’t manipulate natural stone or stone construction. Rocks and structures shift to accommodate the new terrain. If the way you shape the terrain would make a structure unstable, it might collapse. 
Similarly, this spell doesn’t directly affect plant growth. The moved earth carries any plants along with it.</t>
  </si>
  <si>
    <t>an iron blade and a small bag containing a mixture of soils—clay, loam, and sand</t>
  </si>
  <si>
    <t>Choose one creature that you can see within range. The target begins a comic dance in place: shuffling, tapping its feet, and capering for the duration. Creatures that can’t be charmed are immune to this spell. 
A dancing creature must use all its movement to dance without leaving its space and has disadvantage on Dexterity saving throws and attack rolls. While the target is affected by this spell, other creatures have advantage on attack rolls against it. As an action, a dancing creature makes a Wisdom saving throw to regain control of itself. On a successful save, the spell ends.</t>
  </si>
  <si>
    <t>disadv dex saves, use movement to dance, action wis save</t>
  </si>
  <si>
    <t>A passage appears at a point of your choice that you can see on a wooden, plaster, or stone surface (such as a wall, a ceiling, or a floor) within range, and lasts for the duration. You choose the opening’s dimensions: up to 5 feet wide, 8 feet tall, and 20 feet deep. The passage creates no instability in a structure surrounding it. 
When the opening disappears, any creatures or objects still in the passage created by the spell are safely ejected to an unoccupied space nearest to the surface on which you cast the spell.</t>
  </si>
  <si>
    <t>create up to 5ft wide, 8ft tall, 20ft deep passage</t>
  </si>
  <si>
    <t>wis save frightened, start turn wis save 4d10 psychic</t>
  </si>
  <si>
    <t>pay a celestial, elemental, or fiend for service</t>
  </si>
  <si>
    <t>With this spell, you attempt to bind a celestial, an elemental, a fey, or a fiend to your service. The creature must be within range for the entire casting of the spell. (Typically, the creature is first summoned into the center of an inverted magic circle in order to keep it trapped while this spell is cast.) At the completion of the casting, the target must make a Charisma saving throw. On a failed save, it is bound to serve you for the duration. If the creature was summoned or created by another spell, that spell’s duration is extended to match the duration of this spell. 
A bound creature must follow your instructions to the best of its ability. You might command the creature to accompany you on an adventure, to guard a location, or to deliver a message. The creature obeys the letter of your instructions, but if the creature is hostile to you, it strives to twist your words to achieve its own objectives. If the creature carries out your instructions completely before the spell ends, it travels to you to report this fact if you are on the same plane of existence. If you are on a different plane of existence, it returns to the place where you bound it and remains there until the spell ends. 
At Higher Levels. When you cast this spell using a spell slot of a higher level, the duration increases to 10 days with a 6th-level slot, to 30 days with a 7th-level slot, to 180 days with an 8th-level slot, and to a year and a day with a 9th-level spell slot.</t>
  </si>
  <si>
    <t>cha save, bound to serve you</t>
  </si>
  <si>
    <t>You and up to eight willing creatures who link hands in a circle are transported to a different plane of existence. You can specify a target destination in general terms, such as the City of Brass on the Elemental Plane of Fire or the palace of Dispater on the second level of the Nine Hells, and you appear in or near that destination. If you are trying to reach the City of Brass, for example, you might arrive in its Street of Steel, before its Gate of Ashes, or looking at the city from across the Sea of Fire, at the DM’s discretion. 
Alternatively, if you know the sigil sequence of a teleportation circle on another plane of existence, this spell can take you to that circle. If the teleportation circle is too small to hold all the creatures you transported, they appear in the closest unoccupied spaces next to the circle. 
You can use this spell to banish an unwilling creature to another plane. Choose a creature within your reach and make a melee spell attack against it. On a hit, the creature must make a Charisma saving throw. If the creature fails this save, it is transported to a random location on the plane of existence you specify. A creature so transported must find its own way back to your current plane of existence.</t>
  </si>
  <si>
    <t>8 targets, transport to different plane of exisitance</t>
  </si>
  <si>
    <t>wis save, transform into new form</t>
  </si>
  <si>
    <t>You utter a word of power that can compel one creature you can see within range to die instantly. If the creature you choose has 100 hit points or fewer, it dies. Otherwise, the spell has no effect.</t>
  </si>
  <si>
    <t>You speak a word of power that can overwhelm the mind of one creature you can see within range, leaving it dumbfounded. If the target has 150 hit points or fewer, it is stunned. Otherwise, the spell has no effect. 
The stunned target must make a Constitution saving throw at the end of each of its turns. On a successful save, this stunning effect ends.</t>
  </si>
  <si>
    <t>if &lt; 100 HP, creature dies</t>
  </si>
  <si>
    <t xml:space="preserve">if &lt; 150 HP, stunned, con save end of each turn </t>
  </si>
  <si>
    <t xml:space="preserve">A shimmering, multicolored plane of light forms a vertical opaque wall—up to 90 feet long, 30 feet high, and 1 inch thick—centered on a point you can see within range. Alternatively, you can shape the wall into a sphere up to 30 feet in diameter centered on a point you choose within range. The wall remains in place for the duration. If you position the wall so that it passes through a space occupied by a creature, the spell fails, and your action and the spell slot are wasted. 
The wall sheds bright light out to a range of 100 feet and dim light for an additional 100 feet. You and creatures you designate at the time you cast the spell can pass through and remain near the wall without harm. If another creature that can see the wall moves to within 20 feet of it or starts its turn there, the creature must succeed on a Constitution saving throw or become blinded for 1 minute. 
The wall consists of seven layers, each with a different color. When a creature attempts to reach into or pass through the wall, it does so one layer at a time through all the wall’s layers. As it passes or reaches through each layer, the creature must make a Dexterity saving throw or be affected by that layer’s properties as described below. 
The wall can be destroyed, also one layer at a time, in order from red to violet, by means specific to each layer. Once a layer is destroyed, it remains so for the duration of the spell. A rod of cancellation destroys a prismatic wall, but an antimagic field has no effect on it. 
1. Red. The creature takes 10d6 fire damage on a failed save, or half as much damage on a successful one. While this layer is in place, nonmagical ranged attacks can’t pass through the wall. The layer can be destroyed by dealing at least 25 cold damage to it. 
2. Orange. The creature takes 10d6 acid damage on a failed save, or half as much damage on a successful one. While this layer is in place, magical ranged attacks can’t pass through the wall. The layer is destroyed by a strong wind. 
3. Yellow. The creature takes 10d6 lightning damage on a failed save, or half as much damage on a successful one. This layer can be destroyed by dealing at least 60 force damage to it. 
4. Green. The creature takes 10d6 poison damage on a failed save, or half as much damage on a successful one. A passwall spell, or another spell of equal or greater level that can open a portal on a solid surface, destroys this layer. 
5. Blue. The creature takes 10d6 cold damage on a failed save, or half as much damage on a successful one. This layer can be destroyed by dealing at least 25 fire damage to it. 
6. Indigo. On a failed save, the creature is restrained. It must then make a Constitution saving throw at the end of each of its turns. If it successfully saves three times, the spell ends. If it fails its save three times, it permanently turns to stone and is subjected to the petrified condition. The successes and failures don’t need to be consecutive; keep track of both until the creature collects three of a kind. While this layer is in place, spells can’t be cast through the wall. The layer is destroyed by bright light shed by a daylight spell or a similar spell of equal or higher level. 
7. Violet. On a failed save, the creature is blinded. It must then make a Wisdom saving throw at the start of your next turn. A successful save ends the blindness. If it fails that save, the creature is transported to another plane of the DM’s choosing and is no longer blinded. (Typically, a creature that is on a plane that isn’t its home plane is banished home, while other creatures are usually cast into the Astral or Ethereal planes.) This layer is destroyed by a dispel magic spell or a similar spell of equal or higher level that can end spells and magical effects.
</t>
  </si>
  <si>
    <t>90x30ft high 1" thick wall, 7 layers</t>
  </si>
  <si>
    <t>Your touch inflicts disease. Make a melee spell attack against a creature within your reach. On a hit, you afflict the creature with a disease of your choice from any of the ones described below. 
At the end of each of the target’s turns, it must make a Constitution saving throw. After failing three of these saving throws, the disease’s effects last for the duration, and the creature stops making these saves. After succeeding on three of these saving throws, the creature recovers from the disease, and the spell ends. 
Since this spell induces a natural disease in its target, any effect that removes a disease or otherwise ameliorates a disease’s effects apply to it. 
Blinding Sickness. Pain grips the creature’s mind, and its eyes turn milky white. The creature has disadvantage on Wisdom checks and Wisdom saving throws and is blinded. 
Filth Fever. A raging fever sweeps through the creature’s body. The creature has disadvantage on Strength checks, Strength saving throws, and attack rolls that use Strength. 
Flesh Rot. The creature’s flesh decays. The creature has disadvantage on Charisma checks and vulnerability to all damage. 
Mindfire. The creature’s mind becomes feverish. The creature has disadvantage on Intelligence checks and Intelligence saving throws, and the creature behaves as if under the effects of the confusion spell during combat. 
Seizure. The creature is overcome with shaking. The creature has disadvantage on Dexterity checks, Dexterity saving throws, and attack rolls that use Dexterity. 
Slimy Doom. The creature begins to bleed uncontrollably. The creature has disadvantage on Constitution checks and Constitution saving throws. In addition, whenever the creature takes damage, it is stunned until the end of its next turn.</t>
  </si>
  <si>
    <t>You attempt to beguile a beast that you can see within range. It must succeed on a Wisdom saving throw or be charmed by you for the duration. If you or creatures that are friendly to you are fighting it, it has advantage on the saving throw. 
While the beast is charmed, you have a telepathic link with it as long as the two of you are on the same plane of existence. You can use this telepathic link to issue commands to the creature while you are conscious (no action required), which it does its best to obey. You can specify a simple and general course of action, such as “Attack that creature,” “Run over there,” or “Fetch that object.” If the creature completes the order and doesn’t receive further direction from you, it defends and preserves itself to the best of its ability. 
You can use your action to take total and precise control of the target. Until the end of your next turn, the creature takes only the actions you choose, and doesn’t do anything that you don’t allow it to do. During this time, you can also cause the creature to use a reaction, but this requires you to use your own reaction as well. Each time the target takes damage, it makes a new Wisdom saving throw against the spell. If the saving throw succeeds, the spell ends. 
At Higher Levels. When you cast this spell with a 5th-level spell slot, the duration is concentration, up to 10 minutes. When you use a 6th-level spell slot, the duration is concentration, up to 1 hour. When you use a spell slot of 7th level or higher, the duration is concentration, up to 8 hours.</t>
  </si>
  <si>
    <t>Choose a creature that you can see within range. The target must succeed on a Wisdom saving throw or be paralyzed for the duration. This spell has no effect on undead. At the end of each of its turns, the target can make another Wisdom saving throw. On a success, the spell ends on the target. 
At Higher Levels. When you cast this spell using a spell slot of 6th level or higher, you can target one additional creature for each slot level above 5th. The creatures must be within 30 feet of each other when you target them.</t>
  </si>
  <si>
    <t>You create a magical restraint to hold a creature that you can see within range. The target must succeed on a Wisdom saving throw or be bound by the spell; if it succeeds, it is immune to this spell if you cast it again. While affected by this spell, the creature doesn't need to breathe, eat, or drink, and it doesn’t age. Divination spells can’t locate or perceive the target. When you cast the spell, you choose one of the following forms of imprisonment. 
Burial. The target is entombed far beneath the earth in a sphere of magical force that is just large enough to contain the target. Nothing can pass through the sphere, nor can any creature teleport or use planar travel to get into or out of it. The special component for this version of the spell is a small mithral orb. 
Chaining. Heavy chains, firmly rooted in the ground, hold the target in place. The target is restrained until the spell ends, and it can’t move or be moved by any means until then. The special component for this version of the spell is a fine chain of precious metal. 
Hedged Prison. The spell transports the target into a tiny demiplane that is warded against teleportation and planar travel. The demiplane can be a labyrinth, a cage, a tower, or any similar confined structure or area of your choice. The special component for this version of the spell is a miniature representation of the prison made from jade. 
Minimus Containment. The target shrinks to a height of 1 inch and is imprisoned inside a gemstone or similar object. Light can pass through the gemstone normally (allowing the target to see out and other creatures to see in), but nothing else can pass through, even by means of teleportation or planar travel. The gemstone can’t be cut or broken while the spell remains in effect. 
The special component for this version of the spell is a large, transparent gemstone, such as a corundum, diamond, or ruby. 
Slumber. The target falls asleep and can’t be awoken. The special component for this version of the spell consists of rare soporific herbs. 
Ending the Spell. During the casting of the spell, in any of its versions, you can specify a condition that will cause the spell to end and release the target. The condition can be as specific or as elaborate as you choose, but the DM must agree that the condition is reasonable and has a likelihood of coming to pass. The conditions can be based on a creature’s name, identity, or deity but otherwise must be based on observable actions or qualities and not based on intangibles such as level, class, or hit points. 
A dispel magic spell can end the spell only if it is cast as a 9th-level spell, targeting either the prison or the special component used to create it. 
You can use a particular special component to create only one prison at a time. If you cast the spell again using the same component, the target of the first casting is immediately freed from its binding.</t>
  </si>
  <si>
    <t>This spell transforms a creature that you can see within range into a new form. An unwilling creature must make a Wisdom saving throw to avoid the effect. A shapechanger automatically succeeds on this saving throw. 
The transformation lasts for the duration, or until the target drops to 0 hit points or dies. The new form can be any beast whose challenge rating is equal to or less than the target’s (or the target’s level, if it doesn't have a challenge rating). The target’s game statistics, including mental ability scores, are replaced by the statistics of the chosen beast. It retains its alignment and personality. 
The target assumes the hit points of its new form. When it reverts to its normal form, the creature returns to the number of hit points it had before it transformed. If it reverts as a result of dropping to 0 hit points, any excess damage carries over to its normal form. As long as the excess damage doesn’t reduce the creature’s normal form to 0 hit points, it isn’t knocked unconscious. 
The creature is limited in the actions it can perform by the nature of its new form, and it can’t speak, cast spells, or take any other action that requires hands or speech. 
The target’s gear melds into the new form. The creature can’t activate, use, wield, or otherwise benefit from any of its equipment.</t>
  </si>
  <si>
    <t>You ward a creature within range against attack. Until the spell ends, any creature who targets the warded creature with an attack or a harmful spell must first make a Wisdom saving throw. On a failed save, the creature must choose a new target or lose the attack</t>
  </si>
  <si>
    <t xml:space="preserve">The next time you hit with a melee weapon attack during this spell’s duration, your attack deals an extra 1d6 psychic damage. Additionally, if the target is a creature, it must make a Wisdom saving throw or be frightened of you until the spell ends. As an action, the creature can make a Wisdom check against your spell save DC to steel its resolve and end this spell.
</t>
  </si>
  <si>
    <t>Purifying energy radiates from you in an aura with a 30-foot radius. Until the spell ends, the aura moves with you, centered on you. Each nonhostile creature in the aura (including you) can’t become diseased, has resistance to poison damage, and has advantage on saving throws against effects that cause any of the following conditions: blinded, charmed, deafened, frightened, paralyzed, poisoned, and stunned.</t>
  </si>
  <si>
    <t>You attempt to suppress strong emotions in a group of people. Each humanoid in a 20-foot-radius sphere centered on a point you choose within range must make a Charisma saving throw; a creature can choose to fail this saving throw if it wishes. If a creature fails its saving throw, choose one of the following two effects. 
You can suppress any effect causing a target to be charmed or frightened. When this spell ends, any suppressed effect resumes, provided that its duration has not expired in the meantime. 
Alternatively, you can make a target indifferent about creatures of your choice that it is hostile toward. This indifference ends if the target is attacked or harmed by a spell or if it witnesses any of its friends being harmed. When the spell ends, the creature becomes hostile again, unless the DM rules otherwise.</t>
  </si>
  <si>
    <t>This spell grows an inert duplicate of a living creature as a safeguard against death. This clone forms inside a sealed vessel and grows to full size and maturity after 120 days; you can also choose to have the clone be a younger version of the same creature. It remains inert and endures indefinitely, as long as its vessel remains undisturbed. 
At any time after the clone matures, if the original creature dies, its soul transfers to the clone, provided that the soul is free and willing to return. The clone is physically identical to the original and has the same personality, memories, and abilities, but none of the original’s equipment. The original creature’s physical remains, if they still exist, become inert and can’t thereafter be restored to life, since the creature’s soul is elsewhere.</t>
  </si>
  <si>
    <t xml:space="preserve"> You place a magical command on a creature that you can see within range, forcing it to carry out some service or refrain from some action or course of activity as you decide. If the creature can understand you, it must succeed on a Wisdom saving throw or become charmed by you for the duration. While the creature is charmed by you, it takes 5d10 psychic damage each time it acts in a manner directly counter to your instructions, but no more than once each day. A creature that can't understand you is unaffected by the spell. 
You can issue any command you choose, short of an activity that would result in certain death. Should you issue a suicidal command, the spell ends. 
You can end the spell early by using an action to dismiss it. A remove curse, greater restoration, or wish spell also ends it. 
At Higher Levels. When you cast this spell using a spell slot of 7th or 8th level, the duration is 1 year. When you cast this spell using a spell slot of 9th level, the spell lasts until it is ended by one of the spells mentioned above.</t>
  </si>
  <si>
    <t>You call forth an elemental servant. Choose an area of air, earth, fire, or water that fills a 10-foot cube within range. An elemental of challenge rating 5 or lower appropriate to the area you chose appears in an unoccupied space within 10 feet of it. For example, a fire elemental emerges from a bonfire, and an earth elemental rises up from the ground. The elemental disappears when it drops to 0 hit points or when the spell ends. 
The elemental is friendly to you and your companions for the duration. Roll initiative for the elemental, which has its own turns. It obeys any verbal commands that you issue to it (no action required by you). If you don’t issue any commands to the elemental, it defends itself from hostile creatures but otherwise takes no actions. 
If your concentration is broken, the elemental doesn’t disappear. Instead, you lose control of the elemental, it becomes hostile toward you and your companions, and it might attack. An uncontrolled elemental can’t be dismissed by you, and it disappears 1 hour after you summoned it. 
The DM has the elemental’s statistics. 
At Higher Levels. When you cast this spell using a spell slot of 6th level or higher, the challenge rating increases by 1 for each slot level above 5th.</t>
  </si>
  <si>
    <t>You can cast this spell only at night. Choose up to three corpses of Medium or Small humanoids within range. Each corpse becomes a ghoul under your control. (The DM has game statistics for these creatures.) 
As a bonus action on each of your turns, you can mentally command any creature you animated with this spell if the creature is within 120 feet of you (if you control multiple creatures, you can command any or all of them at the same time, issuing the same command to each one). You decide what action the creature will take and where it will move during its next turn, or you can issue a general command, such as to guard a particular chamber or corridor. If you issue no commands, the creature only defends itself against hostile creatures. Once given an order, the creature continues to follow it until its task is complete. 
The creature is under your control for 24 hours, after which it stops obeying any command you have given it. To maintain control of the creature for another  hours, you must cast this spell on the creature before the current 24-hour period ends. This use of the spell reasserts your control over up to three creatures you have animated with this spell, rather than animating new ones. 
At Higher Levels. When you cast this spell using a 7th-level spell slot, you can animate or reassert control over four ghouls. When you cast this spell using an 8th-level spell slot, you can animate or reassert control over five ghouls or two ghasts or wights. When you cast this spell using a 9th-level spell slot, you can animate or reassert control over six ghouls, three ghasts or wights, or two mummies.</t>
  </si>
  <si>
    <t>For the spell’s duration, your eyes become an inky void imbued with dread power. One creature of your choice within 60 feet of you that you can see must succeed on a Wisdom saving throw or be affected by one of the following effects of your choice for the duration. On each of your turns until the spell ends, you can use your action to target another creature but can’t target a creature again if it has succeeded on a saving throw against this casting of eyebite. 
Asleep. The target falls unconscious. It wakes up if it takes any damage or if another creature uses its action to shake the sleeper awake. 
Panicked. The target is frightened of you. On each of its turns, the frightened creature must take the Dash action and move away from you by the safest and shortest available route, unless there is nowhere to move. If the target moves to a place at least 60 feet away from you where it can no longer see you, this effect ends. 
Sickened. The target has disadvantage on attack rolls and ability checks. At the end of each of its turns, it can make another Wisdom saving throw. If it succeeds, the effect ends.</t>
  </si>
  <si>
    <t>You project a phantasmal image of a creature’s worst fears. Each creature in a 30-foot cone must succeed on a Wisdom saving throw or drop whatever it is holding and become frightened for the duration. 
While frightened by this spell, a creature must take the Dash action and move away from you by the safest available route on each of its turns, unless there is nowhere to move. If the creature ends its turn in a location where it doesn’t have line of sight to you, the creature can make a Wisdom saving throw. On a successful save, the spell ends for that creature.</t>
  </si>
  <si>
    <t>You blast the mind of a creature that you can see within range, attempting to shatter its intellect and personality. The target takes 4d6 psychic damage and must make an Intelligence saving throw. On a failed save, the creature’s Intelligence and Charisma scores become 1. The creature can’t cast spells, activate magic items, understand language, or communicate in any intelligible way. The creature can, however, identify its friends, follow them, and even protect them. 
At the end of every 30 days, the creature can repeat its saving throw against this spell. If it succeeds on its saving throw, the spell ends. 
The spell can also be ended by greater restoration, heal, or wish.</t>
  </si>
  <si>
    <t>You touch a willing creature and put it into a cataleptic state that is indistinguishable from death. 
For the spell’s duration, or until you use an action to touch the target and dismiss the spell, the target appears dead to all outward inspection and to spells used to determine the target’s status. The target is blinded and incapacitated, and its speed drops to 0. The target has resistance to all damage except psychic damage. If the target is diseased or poisoned when you cast the spell, or becomes diseased or poisoned while under the spell’s effect, the disease and poison have no effect until the spell ends.</t>
  </si>
  <si>
    <t>For the duration, you have advantage on all Charisma checks directed at one creature of your choice that isn’t hostile toward you. When the spell ends, the creature realizes that you used magic to influence its mood and becomes hostile toward you. A creature prone to violence might attack you. Another creature might seek retribution in other ways (at the DM’s discretion), depending on the nature of your interaction with it.</t>
  </si>
  <si>
    <t>You or a creature you touch becomes invisible until the spell ends. Anything the target is wearing or carrying is invisible as long as it is on the target’s person.</t>
  </si>
  <si>
    <t>You bring forth a great feast, including magnificent food and drink. The feast takes 1 hour to consume and disappears at the end of that time, and the beneficial effects don’t set in until this hour is over. Up to twelve other creatures can partake of the feast. 
A creature that partakes of the feast gains several benefits. The creature is cured of all diseases and poison, becomes immune to poison and being frightened, and makes all Wisdom saving throws with advantage. Its hit point maximum also increases by 2d10, and it gains the same number of hit points. These benefits last for 24 hours.</t>
  </si>
  <si>
    <t>A 10-foot-radius immobile dome of force springs into existence around and above you and remains stationary for the duration. The spell ends if you leave its area. 
Nine creatures of Medium size or smaller can fit inside the dome with you. The spell fails if its area includes a larger creature or more than nine creatures. Creatures and objects within the dome when you cast this spell can move through it freely. All other creatures and objects are barred from passing through it. Spells and other magical effects can’t extend through the dome or be cast through it. The atmosphere inside the space is comfortable and dry, regardless of the weather outside. 
Until the spell ends, you can command the interior to become dimly lit or dark. The dome is opaque from the outside, of any color you choose, but it is transparent from the inside.</t>
  </si>
  <si>
    <t>You touch a willing creature who isn’t wearing armor, and a protective magical force surrounds it until the spell ends. The target’s base AC becomes 13 + its Dexterity modifier. The spell ends if the target dons armor or if you dismiss the spell as an action.</t>
  </si>
  <si>
    <t>Your body falls into a catatonic state as your soul leaves it and enters the container you used for the spell’s material component. While your soul inhabits the container, you are aware of your surroundings as if you were in the container’s space. You can’t move or use reactions. The only action you can take is to project your soul up to 100 feet out of the container, either returning to your living body (and ending the spell) or attempting to possess a humanoids body. 
You can attempt to possess any humanoid within 100 feet of you that you can see (creatures warded by a protection from evil and good or magic circle spell can’t be possessed). The target must make a Charisma saving throw. On a failure, your soul moves into the target’s body, and the target’s soul becomes trapped in the container. On a success, the target resists your efforts to possess it, and you can’t attempt to possess it again for 24 hours. 
Once you possess a creature’s body, you control it. Your game statistics are replaced by the statistics of the creature, though you retain your alignment and your Intelligence, Wisdom, and Charisma scores. You retain the benefit of your own class features. If the target has any class levels, you can’t use any of its class features. 
Meanwhile, the possessed creature’s soul can perceive from the container using its own senses, but it can’t move or take actions at all.
While possessing a body, you can use your action to return from the host body to the container if it is within 100 feet of you, returning the host creature’s soul to its body. If the host body dies while you’re in it, the creature dies, and you must make a Charisma saving throw against your own spellcasting DC. On a success, you return to the container if it is within 100 feet of you. Otherwise, you die. 
If the container is destroyed or the spell ends, your soul immediately returns to your body. If your body is more than 100 feet away from you or if your body is dead when you attempt to return to it, you die. If another creature’s soul is in the container when it is destroyed, the creature’s soul returns to its body if the body is alive and within 100 feet. Otherwise, that creature dies. 
When the spell ends, the container is destroyed.</t>
  </si>
  <si>
    <t>You create a sound or an image of an object within range that lasts for the duration. The illusion also ends if you dismiss it as an action or cast this spell again. 
If you create a sound, its volume can range from a whisper to a scream. It can be your voice, someone else’s voice, a lion’s roar, a beating of drums, or any other sound you choose. The sound continues unabated throughout the duration, or you can make discrete sounds at different times before the spell ends. 
If you create an image of an object—such as a chair, muddy footprints, or a small chest—it must be no larger than a 5-foot cube. The image can’t create sound, light, smell, or any other sensory effect. Physical interaction with the image reveals it to be an illusion, because things can pass through it. 
If a creature uses its action to examine the sound or image, the creature can determine that it is an illusion with a successful Intelligence (Investigation) check against your spell save DC. If a creature discerns the illusion for what it is, the illusion becomes faint to the creature.</t>
  </si>
  <si>
    <t>You attempt to reshape another creature’s memories. One creature that you can see must make a Wisdom saving throw. If you are fighting the creature, it has advantage on the saving throw. On a failed save, the target becomes charmed by you for the duration. The charmed target is incapacitated and unaware of its surroundings, though it can still hear you. If it takes any damage or is targeted by another spell, this spell ends, and none of the target’s memories are modified. 
While this charm lasts, you can affect the target’s memory of an event that it experienced within the last 24 hours and that lasted no more than 10 minutes. You can permanently eliminate all memory of the event, allow the target to recall the event with perfect clarity and exacting detail, change its memory of the details of the event, or create a memory of some other event. 
You must speak to the target to describe how its memories are affected, and it must be able to understand your language for the modified memories to take root. Its mind fills in any gaps in the details of your description. If the spell ends before you have finished describing the modified memories, the creature’s memory isn’t altered. Otherwise, the modified memories take hold when the spell ends. 
A modified memory doesn’t necessarily affect how a creature behaves, particularly if the memory contradicts the creature’s natural inclinations, alignment, or beliefs. An illogical modified memory, such as implanting a memory of how much the creature enjoyed dousing itself in acid, is dismissed, perhaps as a bad dream. The DM might deem a modified memory too nonsensical to affect a creature in a significant manner. A remove curse or greater restoration spell cast on the target restores the creature’s true memory. 
At Higher Levels. If you cast this spell using a spell slot of 6th level or higher, you can alter the target’s memories of an event that took place up to 7 days ago (6th level), 30 days ago (7th level), 1 year ago (8th level), or any time in the creature’s past (9th level).</t>
  </si>
  <si>
    <t>You create a twisting pattern of colors that weaves through the air inside a 30-foot cube within range. The pattern appears for a moment and vanishes. Each creature in the area who sees the pattern must make a Wisdom saving throw. On a failed save, the creature becomes charmed for the duration. While charmed by this spell, the creature is incapacitated and has a speed of 0. 
The spell ends for an affected creature if it takes any damage or if someone else uses an action to shake the creature out of its stupor.</t>
  </si>
  <si>
    <t>This spell channels vitality into plants within a specific area. There are two possible uses for the spell, granting either immediate or long-term benefits. 
If you cast this spell using 1 action, choose a point within range. All normal plants in a 100-foot radius centered on that point become thick and overgrown. A creature moving through the area must spend 4 feet of movement for every 1 foot it moves. 
You can exclude one or more areas of any size within the spell’s area from being affected. 
If you cast this spell over 8 hours, you enrich the land. All plants in a half-mile radius centered on a point within range become enriched for 1 year. The plants yield twice the normal amount of food when harvested.</t>
  </si>
  <si>
    <t>The ground in a 20-foot radius centered on a point within range twists and sprouts hard spikes and thorns. The area becomes difficult terrain for the duration. When a creature moves into or within the area, it takes 2d4 piercing damage for every 5 feet it travels. 
The transformation of the ground is camouflaged to look natural. Any creature that can’t see the area at the time the spell is cast must make a Wisdom (Perception) check against your spell save DC to recognize the terrain as hazardous before entering it.</t>
  </si>
  <si>
    <t>A nonmagical wall of solid stone springs into existence at a point you choose within range. The wall is 6 inches thick and is com posed of ten 10-foot-by-10-foot panels. Each panel must be contiguous with at least one other panel. Alternatively, you can create 10-foot-by-20-foot panels that are only 3 inches thick. 
If the wall cuts through a creature’s space when it appears, the creature is pushed to one side of the wall (your choice). If a creature would be surrounded on all sides by the wall (or the wall and another solid surface), that creature can make a Dexterity saving throw. On a success, it can use its reaction to move up to its speed so that it is no longer enclosed by the wall. 
The wall can have any shape you desire, though it can’t occupy the same space as a creature or object. The wall doesn’t need to be vertical or rest on any firm foundation. It must, however, merge with and be solidly supported by existing stone. Thus, you can use this spell to bridge a chasm or create a ramp. 
If you create a span greater than 20 feet in length, you must halve the size of each panel to create supports. You can crudely shape the wall to create crenellations, battlements, and so on. 
The wall is an object made of stone that can be damaged and thus breached. Each panel has AC 15 and 30 hit points per inch of thickness. Reducing a panel to 0 hit points destroys it and might cause connected panels to collapse at the DM’s discretion. 
If you maintain your concentration on this spell for its whole duration, the wall becomes permanent and can’t be dispelled. Otherwise, the wall disappears when the spell ends.</t>
  </si>
  <si>
    <t>You conjure a phantom watchdog in an unoccupied space that you can see within range, where it remains for the duration, until you dismiss it as an action, or until you move more than 100 feet away from it. 
The hound is invisible to all creatures except you and can't be harmed. When a Small or larger creature comes within 30 feet of it without first speaking the password that you specify when you cast this spell, the hound starts barking loudly. The hound sees invisible creatures and can see into the Ethereal Plane. It ignores illusions. 
At the start of each of your turns, the hound attempts to bite one creature within 5 feet of it that is hostile to you. The hound’s attack bonus is equal to your spellcasting ability modifier + your proficiency bonus. On a hit, it deals 4d8 piercing damage.</t>
  </si>
  <si>
    <t>You create a shadowy door on a flat solid surface that you can see within range. The door is large enough to allow Medium creatures to pass through unhindered. When opened, the door leads to a demiplane that appears to be an empty room 30 feet in each dimension, made of wood or stone. When the spell ends, the door disappears, and any creatures or objects inside the demiplane remain trapped there, as the door also disappears from the other side. 
Each time you cast this spell, you can create a new demiplane, or have the shadowy door connect to a demiplane you created with a previous casting of this spell. Additionally, if you know the nature and contents of a demiplane created by a casting of this spell by another creature, you can have the shadowy door connect to its demiplane instead.</t>
  </si>
  <si>
    <t>For the duration, you know if there is an aberration, celestial, elemental, fey, fiend, or undead within 30 feet of you, as well as where the creature is located. Similarly, you know if there is a place or object within 30 feet of you that has been magically consecrated or desecrated. 
The spell can penetrate most barriers, but it is blocked by 1 foot of stone, 1 inch of common metal, a thin sheet of lead, or 3 feet of wood or dirt.</t>
  </si>
  <si>
    <t>For the duration, you can sense the presence and location of poisons, poisonous creatures, and diseases within 30 feet of you. You also identify the kind of poison, poisonous creature, or disease in each case. 
The spell can penetrate most barriers, but it is blocked by 1 foot of stone, 1 inch of common metal, a thin sheet of lead, or 3 feet of wood or dirt.</t>
  </si>
  <si>
    <t>This spell allows you to find the shortest, most direct physical route to a specific fixed location that you are familiar with on the same plane of existence. If you name a destination on another plane of existence, a destination that moves (such as a mobile fortress), or a destination that isn’t specific (such as “a green dragon’s lair”), the spell fails. 
For the duration, as long as you are on the same plane of existence as the destination, you know how far it is and in what direction it lies. While you are traveling there, whenever you are presented with a choice of paths along the way, you automatically determine which path is the shortest and most direct route (but not necessarily the safest route) to the destination.</t>
  </si>
  <si>
    <t>This spell assaults and twists creatures' minds, spawning delusions and provoking uncontrolled action. Each creature in a 10-foot-radius sphere centered on a point you choose within range must succeed on a Wisdom saving throw when you cast this spell or be affected by it. 
An affected target can’t take reactions and must roll a d10 at the start of each of its turns to determine its behavior for that turn.
d10       Behavior
1            The creature uses all its movement to move in a random direction. 
              To determine the direction, roll a d8 and assign a direction to each die face. 
              The creature doesn’t take an action this turn. 
2-6        The creature doesn’t move or take actions this turn. 
7-8        The creature uses its action to make a melee attack against a randomly 
              determined creature within its reach. If there is no creature within its
              reach, the creature does nothing this turn. 
9-10     The creature can act and move normally.
At the end of each of its turns, an affected target can make a Wisdom saving throw. If it succeeds, this effect ends for that target. 
At Higher Levels. When you cast this spell using a spell slot of 5th level or higher, the radius of the sphere increases by 5 feet for each slot level above 4th.</t>
  </si>
  <si>
    <t xml:space="preserve">You touch a point and infuse an area around it with holy (or unholy) power. The area can have a radius up to 60 feet, and the spell fails if the radius includes an area already under the effect a hallow spell. The affected area is subject to the following effects. 
First, celestials, elementals, fey, fiends, and undead can’t enter the area, nor can such creatures charm, frighten, or possess creatures within it. Any creature charmed, frightened, or possessed by such a creature is no longer charmed, frightened, or possessed upon entering the area. You can exclude one or more of those types of creatures from this effect. 
Second, you can bind an extra effect to the area. Choose the effect from the following list, or choose an effect offered by the DM. Some of these effects apply to creatures in the area; you can designate whether the effect applies to all creatures, creatures that follow a specific deity or leader, or creatures of a specific sort, such as ores or trolls. When a creature that would be affected enters the spell’s area for the first time on a turn or starts its turn there, it can make a Charisma saving throw. On a success, the creature ignores the extra effect until it leaves the area. 
Courage. Affected creatures can’t be frightened while in the area. Darkness. 
Darkness fills the area. Normal light, as well as magical light created by spells of a lower level than the slot you used to cast this spell, can’t illuminate the area. 
Daylight. Bright light fills the area. Magical darkness created by spells of a lower level than the slot you used to cast this spell can’t extinguish the light. 
Energy Protection. Affected creatures in the area have resistance to one damage type of your choice, except for bludgeoning, piercing, or slashing.
Energy Vulnerability. Affected creatures in the area have vulnerability to one damage type of your choice, except for bludgeoning, piercing, or slashing. 
Everlasting Rest. Dead bodies interred in the area can’t be turned into undead. Extradimensional Interference. Affected creatures can’t move or travel using teleportation or by extradimensional or interplanar means. 
Fear. Affected creatures are frightened while in the area. 
Silence. No sound can emanate from within the area, and no sound can reach into it. 
Tongues. Affected creatures can communicate with any other creature in the area, even if they don’t share a common language.
</t>
  </si>
  <si>
    <t>You implant a message within an object in range, a message that is uttered when a trigger condition is met. Choose an object that you can see and that isn’t being worn or carried by another creature. Then speak the message, which must be 25 words or less, though it can be delivered over as long as 10 minutes. Finally, determine the circumstance that will trigger the spell to deliver your message. 
When that circumstance occurs, a magical mouth appears on the object and recites the message in your voice and at the same volume you spoke. If the object you chose has a mouth or something that looks like a mouth (for example, the mouth of a statue), the magical mouth appears there so that the words appear to come from the object’s mouth. When you cast this spell, you can have the spell end after it delivers its message, or it can remain and repeat its message whenever the trigger occurs. 
The triggering circumstance can be as general or as detailed as you like, though it must be based on visual or audible conditions that occur within 30 feet of the object. For example, you could instruct the mouth to speak when any creature moves within 30 feet of the object or when a silver bell rings within 30 feet of it.</t>
  </si>
  <si>
    <t>You point your finger toward a creature within range and whisper a message. The target (and only the target) hears the message and can reply in a whisper that only you can hear. 
You can cast this spell through solid objects if you are familiar with the target and know it is beyond the barrier. Magical silence. 1 foot of stone, 1 inch of common metal, a thin sheet of lead, or 3 feet of wood blocks the spell. The spell doesn’t have to follow a straight line and can travel freely around corners or through openings.</t>
  </si>
  <si>
    <t>You beseech an otherworldly entity for aid. The being must be known to you: a god, a primordial, a demon prince, or some other being of cosmic power. That entity sends a celestial, an elemental, or a fiend loyal to it to aid you, making the creature appear in an unoccupied space within range. If you know a specific creature’s name, you can speak that name when you cast this spell to request that creature, though you might get a different creature anyway (DM’s choice). 
When the creature appears, it is under no compulsion to behave in any particular way. You can ask the creature to perform a service in exchange for payment, but it isn’t obliged to do so. The requested task could range from simple (fly us across the chasm, or help us fight a battle) to complex (spy on our enemies, or protect  during our foray into the dungeon). You must be able to communicate with the creature to bargain for its services. 
Payment can take a variety of forms. A celestial might require a sizable donation of gold or magic items to an allied temple, while a fiend might demand a living sacrifice or a gift of treasure. Some creatures might exchange their service for a quest undertaken by you. 
As a rule of thumb, a task that can be measured in minutes requires a payment worth 100 gp per minute. A task measured in hours requires 1,000 gp per hour. And a task measured in days (up to 10 days) requires 10,000 gp per day. The DM can adjust these payments based on the circumstances under which you cast the spell. If the task is aligned with the creature’s ethos, the payment might be halved or even waived. Nonhazardous tasks typically require only half the suggested payment, while especially dangerous tasks might require a greater gift. Creatures rarely accept tasks that seem suicidal. 
After the creature completes the task, or when the agreed-upon duration of service expires, the creature returns to its home plane after reporting back to you, if appropriate to the task and if possible. If you are unable to agree on a price for the creature’s service, the creature immediately returns to its home plane. 
A creature enlisted to join your group counts as a member of it, receiving a full share of experience points awarded.</t>
  </si>
  <si>
    <t xml:space="preserve">This spell is a minor magical trick that novice spellcasters use for practice. You create one of the following magical effects within range: 
• You create an instantaneous, harmless sensory effect, such as a shower of sparks, a puff of wind, faint musical notes, or an odd odor. 
• You instantaneously light or snuff out a candle, a torch, or a small campfire. 
• You instantaneously clean or soil an object no larger than 1 cubic foot. 
• You chill, warm, or flavor up to 1 cubic foot of nonliving material for 1 hour. 
• You make a color, a small mark, or a symbol appear on an object or a surface for 1 hour. 
• You create a nonmagical trinket or an illusory image that can fit in your hand and that lasts until the end of your next turn. 
If you cast this spell multiple times, you can have up to three of its non-instantaneous effects active at a time, and you can dismiss such an effect as an action. </t>
  </si>
  <si>
    <t>wis save, charmed, 5d10 psychic per day if not obey</t>
  </si>
  <si>
    <t>melee, +1d6 psychic, wis save, frightened</t>
  </si>
  <si>
    <t>20ft cube, dex save, glowing adv to attack</t>
  </si>
  <si>
    <t>4d6 psychic, int save, INT &amp; CHA = 1</t>
  </si>
  <si>
    <t>30ft reach, dex save, pulled 20ft closer to vine</t>
  </si>
  <si>
    <t>10ft square, dex save,  prone</t>
  </si>
  <si>
    <t>wis save, bound, choose imprisonment form</t>
  </si>
  <si>
    <t>12 targets, wis save, must do as suggested</t>
  </si>
  <si>
    <t>reshape memory, wis save, charmed</t>
  </si>
  <si>
    <t>sphere of force, large size or smaller, dex save, enclosed</t>
  </si>
  <si>
    <t>ranged, 2d8 nec, con save, poisoned</t>
  </si>
  <si>
    <t>20ft cube, dex save, restrained</t>
  </si>
  <si>
    <t>bless up to 3 creatures, +1d4 attack &amp; saves</t>
  </si>
  <si>
    <t>wis save, paralysed, save each turn</t>
  </si>
  <si>
    <t>3 corpses, small to medium humanoid, becomes ghoul</t>
  </si>
  <si>
    <t>heal 1d8 + spell ability modifier</t>
  </si>
  <si>
    <t xml:space="preserve">A flickering flame appears in your hand. The flame remains there for the duration and harms neither you nor your equipment. The flame sheds bright light in a 10-foot radius and dim light for an additional 10 feet. The spell ends if you dismiss it as an action or if you cast it again.
You can also attack with the flame, although doing so ends the spell. When you cast this spell, or as an action on a later turn, you can hurl the flame at a creature within 30 feet of you. Make a ranged spell attack. On a hit, the target takes 1d8 fire damage. 
This spell’s damage increases by 1d8 when you reach 5th level (2d8), 11th level (3d8), and 17th level (4d8).
</t>
  </si>
  <si>
    <t>You create an illusion of an object, a creature, or some other visible phenomenon within range that activates when a specific condition occurs. The illusion is imperceptible until then. It must be no larger than a 30-foot cube, and you decide when you cast the spell how the illusion behaves and what sounds it makes. This scripted performance can last up to 5 minutes. 
When the condition you specify occurs, the illusion springs into existence and performs in the manner you described. Once the illusion finishes performing, it disappears and remains dormant for 10 minutes. After this time, the illusion can be activated again. 
The triggering condition can be as general or as detailed as you like, though it must be based on visual or audible conditions that occur within 30 feet of the area. For example, you could create an illusion of yourself to appear and warn off others who attempt to open a trapped door, or you could set the illusion to trigger only when a creature says the correct word or phrase. 
Physical interaction with the image reveals it to be an illusion, because things can pass through it. A creature that uses its action to examine the image can determine that it is an illusion with a successful Intelligence (Investigation) check against your spell save DC. If a creature discerns the illusion for what it is, the creature can see through the image, and any noise it makes sounds hollow to the creature.</t>
  </si>
  <si>
    <t>30ft cube illusion, 5 min performance on trigger</t>
  </si>
  <si>
    <t>You create an illusory copy of yourself that lasts for the duration. The copy can appear at any location within range that you have seen before, regardless of intervening obstacles. The illusion looks and sounds like you but is intangible. If the illusion takes any damage, it disappears, and the spell ends. 
You can use your action to move this illusion up to twice your speed, and make it gesture, speak, and behave in whatever way you choose. It mimics your mannerisms perfectly. 
You can see through its eyes and hear through its ears as if you were in its space. On your turn as a bonus action, you can switch from using its senses to using your own, or back again. While you are using its senses, you are blinded and deafened in regard to your own surroundings. 
Physical interaction with the image reveals it to be an illusion, because things can pass through it. A creature that uses its action to examine the image can determine that it is an illusion with a successful Intelligence (Investigation) check against your spell save DC. If a creature discerns the illusion for what it is, the creature can see through the image, and any noise it makes sounds hollow to the creature.</t>
  </si>
  <si>
    <t>illusory copy of you, Intelligence (Investigation) DC = spell save</t>
  </si>
  <si>
    <t>You return a dead creature you touch to life, provided that it has been dead no longer than 10 days. If the creature’s soul is both willing and at liberty to rejoin the body, the creature returns to life with 1 hit point. 
This spell also neutralizes any poisons and cures nonmagical diseases that affected the creature at the time it died. This spell doesn’t, however, remove magical diseases, curses, or similar effects; if these aren’t first removed prior to casting the spell, they take effect when the creature returns to life. The spell can’t return an undead creature to life. 
This spell closes all mortal wounds, but it doesn’t restore missing body parts. If the creature is lacking body parts or organs integral for its survival—its head, for instance—the spell automatically fails. 
Coming back from the dead is an ordeal. The target takes a -4 penalty to all attack rolls, saving throws, and ability checks. Every time the target finishes a long rest, the penalty is reduced by 1 until it disappears.</t>
  </si>
  <si>
    <t>return dead creature to life if dead &lt; 10 days</t>
  </si>
  <si>
    <t>You forge a telepathic link among up to eight willing creatures of your choice within range, psychically linking each creature to all the others for the duration. Creatures with Intelligence scores of 2 or less aren’t affected by this spell. 
Until the spell ends, the targets can communicate telepathically through the bond whether or not they have a common language. The communication is possible over any distance, though it can’t extend to other planes of existence.</t>
  </si>
  <si>
    <t>8 targets, telepathic link to all, can't go beyond plane</t>
  </si>
  <si>
    <t>4d8+15 HP, +1 HP per round</t>
  </si>
  <si>
    <t>You touch a dead creature that has been dead for no more than a century, that didn’t die of old age, and that isn’t undead. If its soul is free and willing, the target returns to life with all its hit points. 
This spell neutralizes any poisons and cures normal diseases afflicting the creature when it died. It doesn’t, however, remove magical diseases, curses, and the like; if such effects aren't removed prior to casting the spell, they afflict the target on its return to life. 
This spell closes all mortal wounds and restores any missing body parts. 
Coming back from the dead is an ordeal. The target takes a -4 penalty to all attack rolls, saving throws, and ability checks. Every time the target finishes a long rest, the penalty is reduced by 1 until it disappears. 
Casting this spell to restore life to a creature that has been dead for one year or longer taxes you greatly. Until you finish a long rest, you can’t cast spells again, and you have disadvantage on all attack rolls, ability checks, and saving throws.</t>
  </si>
  <si>
    <t>return dead creature to life if dead &lt; 100 years</t>
  </si>
  <si>
    <t>This spell reverses gravity in a 50-foot-radius, 100-foot high cylinder centered on a point within range. All creatures and objects that aren’t somehow anchored to the ground in the area fall upward and reach the top of the area when you cast this spell. A creature can make a Dexterity saving throw to grab onto a fixed object it can reach, thus avoiding the fall. 
If some solid object (such as a ceiling) is encountered in this fall, falling objects and creatures strike it just as they would during a normal downward fall. If an object or creature reaches the top of the area without striking anything, it remains there, oscillating slightly, for the duration. 
At the end of the duration, affected objects and creatures fall back down.</t>
  </si>
  <si>
    <t>100x50ft rad cylinder, dex save to grab fixed object</t>
  </si>
  <si>
    <t>You touch a creature that has died within the last minute. That creature returns to life with 1 hit point. This spell can’t return to life a creature that has died of old age, nor can it restore any missing body parts</t>
  </si>
  <si>
    <t>return dead creature to life if dead &lt; 1 minute, 1 HP</t>
  </si>
  <si>
    <t>wis save, modified by knowledge and physical connection</t>
  </si>
  <si>
    <t>You can see and hear a particular creature you choose that is on the same plane of existence as you. The target must make a Wisdom saving throw, which is modified by how well you know the target and the sort of physical connection you have to it. If a target knows you're casting this spell, it can fail the saving throw voluntarily if it wants to be observed.
Knowledge Save Modifier
Secondhand (you have heard of the target) +5 
Firsthand (you have met the target) +0 
Familiar (you know the target well) -5
Connection Save Modifier 
Likeness or picture -2 
Possession or garment -4 
Body part, lock of hair, bit of nail, or the like -10
On a successful save, the target isn’t affected, and you can’t use this spell against it again for 24 hours. 
On a failed save, the spell creates an invisible sensor within 10 feet of the target. You can see and hear through the sensor as if you were there. The sensor moves with the target, remaining within 10 feet of it for the duration. A creature that can see invisible objects sees the sensor as a luminous orb about the size of your fist. 
Instead of targeting a creature, you can choose a location you have seen before as the target of this spell. When you do, the sensor appears at that location and doesn’t move.</t>
  </si>
  <si>
    <t>change any creatures appearance in range</t>
  </si>
  <si>
    <t>hide willing creature or object, set condition to end</t>
  </si>
  <si>
    <t>You assume the form of a different creature for the duration. The new form can be of any creature with a challenge rating equal to your level or lower. The creature can’t be a construct or an undead, and you must have seen the sort of creature at least once. You transform into an average example of that creature, one without any class levels or the Spellcasting trait. 
Your game statistics are replaced by the statistics of the chosen creature, though you retain your alignment and Intelligence, Wisdom, and Charisma scores. You also retain all of your skill and saving throw proficiencies, in addition to gaining those of the creature. If the creature has the same proficiency as you and the bonus listed in its statistics is higher than yours, use the creature’s bonus in place of yours. You can’t use any legendary actions or lair actions of the new form. 
You assume the hit points and Hit Dice of the new form. When you revert to your normal form, you return to the number of hit points you had before you transformed. If you revert as a result of dropping to 0 hit points, any excess damage carries over to your normal form. As long as the excess damage doesn’t reduce your normal form to 0 hit points, you aren’t knocked unconscious. 
You retain the benefit of any features from your class, race, or other source and can use them, provided that your new form is physically capable of doing so. You can’t use any special senses you have (for example, darkvision) unless your new form also has that sense. You can only speak if the creature can normally speak. 
When you transform, you choose whether your equipment falls to the ground, merges into the new form, or is worn by it. Worn equipment functions as normal. The DM determines whether it is practical for the new form to wear a piece of equipment, based on the creature’s shape and size. Your equipment doesn’t change shape or size to match the new form, and any equipment that the new form can’t wear must either fall to the ground or merge into your new form. Equipment that merges has no effect in that state. 
During this spell’s duration, you can use your action to assume a different form following the same restrictions and rules for the original form, with one exception: if your new form has more hit points than your current one, your hit points remain at their current value.</t>
  </si>
  <si>
    <t>assume form of creature your CR or lower</t>
  </si>
  <si>
    <t>use spell ability for attack and damage, d8 magical</t>
  </si>
  <si>
    <t>You shape an illusory duplicate of one beast or humanoid that is within range for the entire casting time of the spell. The duplicate is a creature, partially real and formed from ice or snow, and it can take actions and otherwise be affected as a normal creature. It appears to be the same as the original, but it has half the creature’s hit point maximum and is formed without any equipment. Otherwise, the illusion uses all the statistics of the creature it duplicates. 
The simulacrum is friendly to you and creatures you designate. It obeys your spoken commands, moving and acting in accordance with your wishes and acting on your turn in combat. The simulacrum lacks the ability to learn or become more powerful, so it never increases its level or other abilities, nor can it regain expended spell slots.
If the simulacrum is damaged, you can repair it in an alchemical laboratory, using rare herbs and minerals worth 100 gp per hit point it regains. The simulacrum lasts until it drops to 0 hit points, at which point it reverts to snow and melts instantly. 
If you cast this spell again, any currently active duplicates you created with this spell are instantly destroyed.</t>
  </si>
  <si>
    <t>shape illusory duplicate of one beast or humanoid</t>
  </si>
  <si>
    <t>You call forth spirits to protect you. They flit around you to a distance of 15 feet for the duration. If you are good or neutral, their spectral form appears angelic or fey (your choice). If you are evil, they appear fiendish. 
When you cast this spell, you can designate any number of creatures you can see to be unaffected by it. An affected creature’s speed is halved in the area, and when the creature enters the area for the first time on a turn or starts its turn there, it must make a Wisdom saving throw. On a failed save, the creature takes 3d8 radiant damage (if you are good or neutral) or 3d8 necrotic damage (if you are evil). On a successful save, the creature takes half as much damage. 
At Higher Levels. When you cast this spell using a spell slot of 4th level or higher, the damage increases by 1d8 for each slot level above 3rd.</t>
  </si>
  <si>
    <t>You touch a stone object of Medium size or smaller or a section of stone no more than 5 feet in any dimension and form it into any shape that suits your purpose. So, for example, you could shape a large rock into a weapon, idol, or coffer, or make a small passage through a wall, as long as the wall is less than 5 feet thick. You could also shape a stone door or its frame to seal the door shut. The object you create can have up to two hinges and a latch, but finer mechanical detail isn’t possible.</t>
  </si>
  <si>
    <t>shape 5ft cube of stone</t>
  </si>
  <si>
    <t>This spell turns the flesh of a willing creature you touch as hard as stone. Until the spell ends, the target has resistance to nonmagical bludgeoning, piercing, and slashing damage.</t>
  </si>
  <si>
    <t>A churning storm cloud forms, centered on a point you can see and spreading to a radius of 360 feet. Lightning flashes in the area, thunder booms, and strong winds roar. Each creature under the cloud (no more than 5,000 feet beneath the cloud) when it appears must make a Constitution saving throw. On a failed save, a creature takes 2d6 thunder damage and becomes deafened for 5 minutes. 
Each round you maintain concentration on this spell, the storm produces additional effects on your turn. 
Round 2. Acidic rain falls from the cloud. Each creature and object under the cloud takes 1d6 acid damage. 
Round 3. You call six bolts of lightning from the cloud to strike six creatures or objects of your choice beneath the cloud. A given creature or object can’t be struck by more than one bolt. A struck creature must make a Dexterity saving throw. The creature takes 10d6 lightning damage on a failed save, or half as much damage on a successful one. 
Round 4. Hailstones rain down from the cloud. Each creature under the cloud takes 2d6 bludgeoning damage. 
Round 5-10. Gusts and freezing rain assail the area under the cloud. The area becomes difficult terrain and is heavily obscured. Each creature there takes 1d6 cold damage. Ranged weapon attacks in the area are impossible. The wind and rain count as a severe distraction for the purposes of maintaining concentration on spells. Finally, gusts of strong wind (ranging from 20 to 50 miles per hour) automatically disperse fog, mists, and similar phenomena in the area, whether mundane or magical.</t>
  </si>
  <si>
    <t>360ft rad, rounds 1-10 different effect</t>
  </si>
  <si>
    <t>You transmute your quiver so it produces an endless supply of nonmagical ammunition, which seems to leap into your hand when you reach for it. 
On each of your turns until the spell ends, you can use a bonus action to make two attacks with a weapon that uses ammunition from the quiver. Each time you make such a ranged attack, your quiver magically replaces the piece of ammunition you used with a similar piece of nonmagical ammunition. Any pieces of ammunition created by this spell disintegrate when the spell ends. If the quiver leaves your possession, the spell ends</t>
  </si>
  <si>
    <t>bonus action make 2 attacks from quiver</t>
  </si>
  <si>
    <t>10ft dia, choose trigger &amp; effect, 60ft rad sphere</t>
  </si>
  <si>
    <t>You gain the ability to move or manipulate creatures or objects by thought. When you cast the spell, and as your action each round for the duration, you can exert your will on one creature or object that you can see within range, causing the appropriate effect below. You can affect the same target round after round, or choose a new one at any time. If you switch targets, the prior target is no longer affected by the spell.
Creature. You can try to move a Huge or smaller creature. Make an ability check with your spellcasting ability contested by the creature’s Strength check. If you win the contest, you move the creature up to 30 feet in any direction, including upward but not beyond the range of this spell. Until the end of your next turn, the creature is restrained in your telekinetic grip. A creature lifted upward is suspended in mid-air. On subsequent rounds, you can use your action to attempt to maintain your telekinetic grip on the creature by repeating the contest. 
Object. You can try to move an object that weighs up to 1,000 pounds. If the object isn’t being worn or carried, you automatically move it up to 30 feet in any direction, but not beyond the range of this spell. If the object is worn or carried by a creature, you must make an ability check with your spellcasting ability contested by that creature’s Strength check. If you succeed, you pull the object away from that creature and can move it up to 30 feet in any direction but not beyond the range of this spell. 
You can exert fine control on objects with your telekinetic grip, such as manipulating a simple tool, opening a door or a container, stowing or retrieving an item from an open container, or pouring the contents from a vial.</t>
  </si>
  <si>
    <t>choose object or creature, str check vs spell ability</t>
  </si>
  <si>
    <t>heal 1d4 + spell ability modifier</t>
  </si>
  <si>
    <t>6 targets, heal 1d4 + spell ability modifier</t>
  </si>
  <si>
    <t>6 targets, heal 2d8 + spell ability modifier</t>
  </si>
  <si>
    <t>melee, 1d8 force + spell ability modifier</t>
  </si>
  <si>
    <t>As you cast the spell, you draw a 10-foot-diameter circle on the ground inscribed with sigils that link your location to a permanent teleportation circle of your choice whose sigil sequence you know and that is on the same plane of existence as you. A shimmering portal opens within the circle you drew and remains open until the end of your next turn. Any creature that enters the portal instantly appears within 5 feet of the destination circle or in the nearest unoccupied space if that space is occupied. 
Many major temples, guilds, and other important places have permanent teleportation circles inscribed somewhere within their confines. Each such circle includes a unique sigil sequence—a string of magical runes arranged in a particular pattern. When you first gain the ability to cast this spell, you learn the sigil sequences for two destinations on the Material Plane, determined by the DM. You can learn additional sigil sequences during your adventures. You can commit a new sigil sequence to memory after studying it for 1 minute. 
You can create a permanent teleportation circle by casting this spell in the same location every day for one year. You need not use the circle to teleport when you cast the spell in this way.</t>
  </si>
  <si>
    <t>10ft diameter circle, used for teleportation</t>
  </si>
  <si>
    <t>You create a long, vine-like whip covered in thorns that lashes out at your command toward a creature in range. Make a melee spell attack against the target. If the attack hits, the creature takes 1d6 piercing damage, and if the creature is Large or smaller, you pull the creature up to 10 feet closer to you. 
This spell’s damage increases by 1d6 when you reach 5th level (2d6), 11th level (3d6), and 17th level (4d6).</t>
  </si>
  <si>
    <t>stop time for 1d4+1 rounds, you move &amp; act normally</t>
  </si>
  <si>
    <t>You gain the ability to enter a tree and move from inside it to inside another tree of the same kind within 500 feet. Both trees must be living and at least the same size as you. You must use 5 feet of movement to enter a tree. You instantly know the location of all other trees of the same kind within 500 feet and, as part of the move used to enter the tree, can either pass into one of those trees or step out of the tree you’re in. You appear in a spot of your choice within 5 feet of the destination tree, using another 5 feet of movement. If you have no movement left, you appear within 5 feet of the tree you entered. 
You can use this transportation ability once per round for the duration. You must end each turn outside a tree.</t>
  </si>
  <si>
    <t>move 500ft inside tree, 5ft move in, 5ft move out</t>
  </si>
  <si>
    <t>Choose one creature or nonmagical object that you can see within range. You transform the creature into a different creature, the creature into an object, or the object into a creature (the object must be neither worn nor carried by another creature). The transformation lasts for the duration, or until the target drops to 0 hit points or dies. If you concentrate on this spell for the full duration, the transformation becomes permanent. 
Shapechangers aren’t affected by this spell. An unwilling creature can make a Wisdom saving throw, and if it succeeds, it isn’t affected by this spell. 
Creature into Creature. If you turn a creature into another kind of creature, the new form can be any kind you choose whose challenge rating is equal to or less than the target’s (or its level, if the target doesn’t have a challenge rating). The target’s game statistics, including mental ability scores, are replaced by the statistics of the new form. It retains its alignment and personality. 
The target assumes the hit points of its new form, and when it reverts to its normal form, the creature returns to the number of hit points it had before it transformed. If it reverts as a result of dropping to 0 hit points, any excess damage carries over to its normal form. As long as the excess damage doesn’t reduce the creature’s normal form to 0 hit points, it isn’t knocked unconscious. 
The creature is limited in the actions it can perform by the nature of its new form, and it can’t speak, cast spells, or take any other action that requires hands or speech unless its new form is capable of such actions. 
The target’s gear melds into the new form. The creature can’t activate, use, wield, or otherwise benefit from any of its equipment.
Object into Creature. You can turn an object into any kind of creature, as long as the creature’s size is no larger than the object’s size and the creature’s challenge rating is 9 or lower. The creature is friendly to you and your companions. It acts on each of your turns. You decide what action it takes and how it moves. The DM has the creature’s statistics and resolves all of its actions and movement. 
If the spell becomes permanent, you no longer control the creature. It might remain friendly to you, depending on how you have treated it. 
Creature into Object. If you turn a creature into an object, it transforms along with whatever it is wearing and carrying into that form. The creature’s statistics become those of the object, and the creature has no memory of time spent in this form, after the spell ends and it returns to its normal form.</t>
  </si>
  <si>
    <t>This spell allows you to change the appearance of any number of creatures that you can see within range. You give each target you choose a new, illusory appearance. An unwilling target can make a Charisma saving throw, and if it succeeds, it is unaffected by this spell. 
The spell disguises physical appearance as well as clothing, armor, weapons, and equipment. You can make each creature seem 1 foot shorter or taller and appear thin, fat, or in between. You can’t change a target’s body type, so you must choose a form that has the same basic arrangement of limbs. Otherwise, the extent of the illusion is up to you. The spell lasts for the duration, unless you use your action to dismiss it sooner. 
The changes wrought by this spell fail to hold up to physical inspection. For example, if you use this spell to add a hat to a creature’s outfit, objects pass through the hat, and anyone who touches it would feel nothing or would feel the creature’s head and hair. If you use this spell to appear thinner than you are, the hand of someone who reaches out to touch you would bump into you while it was seemingly still in midair. 
A creature can use its action to inspect a target and make an Intelligence (Investigation) check against your spell save DC. If it succeeds, it becomes aware that the target is disguised.</t>
  </si>
  <si>
    <t>By means of this spell, a willing creature or an object can be hidden away, safe from detection for the duration. When you cast the spell and touch the target, it becomes invisible and can’t be targeted by divination spells or perceived through scrying sensors created by divination spells. 
If the target is a creature, it falls into a state of suspended animation. Time ceases to flow for it, and it doesn’t grow older. 
You can set a condition for the spell to end early. The condition can be anything you choose, but it must occur or be visible within 1 mile of the target. Examples include “after 1,000 years” or “when the tarrasque awakens.” This spell also ends if the target takes any damage.</t>
  </si>
  <si>
    <t>You touch a creature that has been dead for no longer than 200 years and that died for any reason except old age. If the creature’s soul is free and willing, the creature is restored to life with all its hit points. 
This spell closes all wounds, neutralizes any poison, cures all diseases, and lifts any curses affecting the creature when it died. The spell replaces damaged or missing organs and limbs. 
The spell can even provide a new body if the original no longer exists, in which case you must speak the creature’s name. The creature then appears in an unoccupied space you choose within 10 feet of you.</t>
  </si>
  <si>
    <t>return dead creature to life if dead &lt; 200 years</t>
  </si>
  <si>
    <t>This spell gives the willing creature you touch the ability to see things as they actually are. For the duration, the creature has truesight, notices secret doors hidden by magic, and can see into the Ethereal Plane, all out to a range of 120 feet.</t>
  </si>
  <si>
    <t>You create a wall of tough, pliable, tangled brush bristling with needle-sharp thorns. The wall appears within range on a solid surface and lasts for the duration. You choose to make the wall up to 60 feet long, 10 feet high, and 5 feet thick or a circle that has a 20-foot diameter and is up to 20 feet high and 5 feet thick. The wall blocks line of sight. 
When the wall appears, each creature within its area must make a Dexterity saving throw. On a failed save, a creature takes 7d8 piercing damage, or half as much damage on a successful save. 
A creature can move through the wall, albeit slowly and painfully. For every 1 foot a creature moves through the wall, it must spend 4 feet of movement. Furthermore, the first time a creature enters the wall on a turn or ends its turn there, the creature must make a Dexterity saving throw. It takes 7d8 slashing damage on a failed save, or half as much damage on a successful one. 
At Higher Levels. When you cast this spell using a spell slot of 7th level or higher, both types of damage increase by 1d8 for each slot level above 6th.</t>
  </si>
  <si>
    <t>This spell wards a willing creature you touch and creates a mystic connection between you and the target until the spell ends. While the target is within 60 feet of you, it gains a +1 bonus to AC and saving throws, and it has resistance to all damage. Also, each time it takes damage, you take the same amount of damage. 
The spell ends if you drop to 0 hit points or if you and the target becom e separated by more than 60 feet. It also ends if the spell is cast again on either of the connected creatures. You can also dismiss the spell as an action.</t>
  </si>
  <si>
    <t>60ft, +1 AC, resistance all, you take same damage</t>
  </si>
  <si>
    <t>Drawing on the deepest fears of a group of creatures, you create illusory creatures in their minds, visible only to them. Each creature in a 30-foot-radius sphere centered on a point of your choice within range must make a Wisdom saving throw. On a failed save, a creature becom es frightened for the duration. The illusion calls on the creature’s deepest fears, manifesting its worst nightmares as an implacable threat. At the start of each of the frightened creature’s turns, it must succeed on a Wisdom saving throw or take 4d10 psychic damage. On a successful save, the spell ends for that creature.</t>
  </si>
  <si>
    <t>30ft rad sphere, frightened 4d10 psychic, wis save / turn</t>
  </si>
  <si>
    <t>You and up to ten willing creatures you can see within range assume a gaseous form for the duration, appearing as wisps of cloud. While in this cloud form, a creature has a flying speed of 300 feet and has resistance to damage from nonmagical weapons. The only actions a creature can take in this form are the Dash action or to revert to its normal form. Reverting takes 1 minute, during which time a creature is incapacitated and can’t move. Until the spell ends, a creature can revert to cloud form, which also requires the 1-minute transformation. 
If a creature is in cloud form and flying when the effect ends, the creature descends 60 feet per round for 1 minute until it lands, which it does safely. If it can’t land after 1 minute, the creature falls the remaining distance.</t>
  </si>
  <si>
    <t>you and 10 targets, gaseous form, fly speed 300ft</t>
  </si>
  <si>
    <t>A  wall of strong wind rises from the ground at a point you choose within range. You can make the wall up to 50 feet long, 15 feet high, and 1 foot thick. You can shape the wall in any way you choose so long as it makes one continuous path along the ground. The wall lasts for the duration. 
When the wall appears, each creature within its area must make a Strength saving throw. A creature takes 3d8 bludgeoning damage on a failed save, or half as much damage on a successful one. 
The strong wind keeps fog, smoke, and other gases at bay. Small or smaller flying creatures or objects can’t pass through the wall. Loose, lightweight materials brought into the wall fly upward. Arrows, bolts, and other ordinary projectiles launched at targets behind the wall are deflected upward and automatically miss. (Boulders hurled by giants or siege engines, and similar projectiles, are unaffected.) Creatures in gaseous form can’t pass through it.</t>
  </si>
  <si>
    <t>Wish is the mightiest spell a mortal creature can cast. By simply speaking aloud, you can alter the very foundations of reality in accord with your desires. 
The basic use of this spell is to duplicate any other spell of 8th level or lower. You don’t need to meet any requirements in that spell, including costly components. 
The spell simply takes effect. 
Alternatively, you can create one of the following effects of your choice:
• You create one object of up to 25,000 gp in value that isn’t a magic item. The object can be no more than 300 feet in any dimension, and it appears in an unoc­ cupied space you can see on the ground. 
• You allow up to twenty creatures that you can see to regain all hit points, and you end all effects on them described in the greater restoration spell. 
• You grant up to ten creatures that you can see resistance to a damage type you choose. 
• You grant up to ten creatures you can see immunity to a single spell or other magical effect for 8 hours. For instance, you could make yourself and all your com ­ panions immune to a lich’s life drain attack. 
• You undo a single recent event by forcing a reroll of any roll made within the last round (including your last turn). Reality reshapes itself to accommodate the new result. For example, a wish spell could undo an opponent’s successful save, a foe’s critical hit, or a friend’s failed save. You can force the reroll to be made with advantage or disadvantage, and you can choose whether to use the reroll or the original roll.
You might be able to achieve something beyond the scope of the above examples. State your wish to the DM as precisely as possible. The DM has great latitude in ruling what occurs in such an instance; the greater the wish, the greater the likelihood that something goes wrong. This spell might simply fail, the effect you desire might only be partly achieved, or you might suffer some unforeseen consequence as a result of how you worded the wish. For example, wishing that a villain were dead might propel you forward in time to a period when that villain is no longer alive, effectively removing you from the game. Similarly, wishing for a legendary magic item or artifact might instantly transport you to the presence of the item’s current owner. 
The stress of casting this spell to produce any effect other than duplicating another spell weakens you. After enduring that stress, each time you cast a spell until you finish a long rest, you take 1d10 necrotic damage per level of that spell. This damage can’t be reduced or prevented in any way. In addition, your Strength drops to 3, if it isn’t 3 or lower already, for 2d4 days. For each of those days that you spend resting and doing nothing more than light activity, your remaining recovery time decreases by 2 days. Finally, there is a 33 percent chance that you are unable to cast wish ever again if you suffer this stress.</t>
  </si>
  <si>
    <t>duplicate 8th level or lower spell, or choose effect</t>
  </si>
  <si>
    <t>You and up to five willing creatures within 5 feet of you instantly teleport to a previously designated sanctuary. You and any creatures that teleport with you appear in the nearest unoccupied space to the spot you designated when you prepared your sanctuary (see below). If you cast this spell without first preparing a sanctuary, the spell has no effect. 
You must designate a sanctuary by casting this spell within a location, such as a temple, dedicated to or strongly linked to your deity. If you attempt to cast the spell in this manner in an area that isn’t dedicated to your deity, the spell has no effect.</t>
  </si>
  <si>
    <t>you +5 targets instantly teleport to pre-designated area</t>
  </si>
  <si>
    <t>domain</t>
  </si>
  <si>
    <t>ᴴ</t>
  </si>
  <si>
    <t xml:space="preserve"> CLASS </t>
  </si>
  <si>
    <t>HIGHER LEVEL</t>
  </si>
  <si>
    <t>DOMAIN SPELL</t>
  </si>
  <si>
    <t>CLERIC KNOWLEDGE DOMAIN SKILLS</t>
  </si>
  <si>
    <t>You’ve developed the skills necessary to hold your own in close-quarters grappling. You gain the following benefits: 
• You have advantage on attack rolls against a creature you are grappling. 
• You can use your action to try to pin a creature grappled by you. To do so, make another grapple check. If you succeed, you and the creature are both restrained until the grapple ends. 
• Creatures that are one size larger than you don’t automatically succeed on checks to escape your grapple.</t>
  </si>
  <si>
    <t>languages</t>
  </si>
  <si>
    <t>• Learn three languages of your choice</t>
  </si>
  <si>
    <t>• Gain proficiency in any combination of three skills or tools of your choice.</t>
  </si>
  <si>
    <t>Always on the lookout for danger, you gain the following benefits:
• You gain a +5 bonus to initiative. 
• You can’t be surprised while you are conscious. 
• Other creatures don’t gain advantage on attack rolls against you as a result of being hidden from you.</t>
  </si>
  <si>
    <t>Skilled at mimicry and dramatics, you gain the following benefits:
• Increase your Charisma score by 1, to a maximum of 20. 
• You have advantage on Charisma (Deception) and Charisma (Performance) checks when trying to pass yourself off as a different person. 
• You can mimic the speech of another person or the sounds made by other creatures. You must have heard the person speaking, or heard the creature make the sound, for at least 1 minute. A successful Wisdom (Insight) check contested by your Charisma (Deception) check allows a listener to determine that the effect is faked.</t>
  </si>
  <si>
    <t>Thanks to extensive practice with the crossbow, you gain the following benefits:
• You ignore the loading quality of crossbows with which you are proficient. 
• Being within 5 feet of a hostile creature doesn’t impose disadvantage on your ranged attack rolls. 
• When you use the Attack action and attack with a one-handed weapon, you can use a bonus action to attack with a loaded hand crossbow you are holding.</t>
  </si>
  <si>
    <t>You master fighting with two weapons, gaining the following benefits:
• You gain a +1 bonus to AC while you are wielding a separate melee weapon in each hand. 
• You can use two-weapon fighting even when the one-handed melee weapons you are wielding aren’t light. 
• You can draw or stow two one-handed weapons when you would normally be able to draw or stow only one.</t>
  </si>
  <si>
    <t>Alert to the hidden traps and secret doors found in many dungeons, you gain the following benefits:
• You have advantage on Wisdom (Perception) and Intelligence (Investigation) checks made to detect the presence of secret doors. 
• You have advantage on saving throws made to avoid or resist traps. 
• You have resistance to the damage dealt by traps. 
• You can search for traps while traveling at a normal pace, instead of only at a slow pace.</t>
  </si>
  <si>
    <t>Hardy and resilient, you gain the following benefits:
• Increase your Constitution score by 1, to a maximum of 20.
• When you roll a Hit Die to regain hit points, the minimum number of hit points you regain from the roll equals twice your Constitution modifier (minimum of 2).</t>
  </si>
  <si>
    <t>You are an able physician, allowing you to mend wounds quickly and get your allies back in the fight. You gain the following benefits:
• When you use a healer’s kit to stabilize a dying creature, that creature also regains 1 hit point. 
• As an action, you can spend one use of a healer’s kit to tend to a creature and restore 1d6 + 4 hit points to it, plus additional hit points equal to the creature’s maximum number of Hit Dice. The creature can’t regain hit points from this feat again until it finishes a short or long rest.</t>
  </si>
  <si>
    <t>You are exceptionally speedy and agile. You gain the following benefits:
• Your speed increases by 10 feet.
• When you use the Dash action, difficult terrain doesn’t cost you extra movement on that turn. 
• When you make a melee attack against a creature, you don’t provoke opportunity attacks from that creature for the rest of the turn, whether you hit or not.</t>
  </si>
  <si>
    <t>You are a dangerous foe to face while mounted. While you are mounted and aren’t incapacitated, you gain the following benefits:
• You have advantage on melee attack rolls against any unmounted creature that is smaller than your mount. 
• You can force an attack targeted at your mount to target you instead. 
• If your mount is subjected to an effect that allows it to  make a Dexterity saving throw to take only half damage, it instead takes no damage if it succeeds on the saving throw, and only half damage if it fails.</t>
  </si>
  <si>
    <t>You have learned a number of spells that you can cast as rituals. These spells are written in a ritual book, which you must have in hand while casting one of them. 
When you choose this feat, you acquire a ritual book holding two 1st-level spells of your choice. Choose one of the following classes: bard, cleric, druid, sorcerer, warlock, or wizard. You must choose your spells from that class’s spell list, and the spells you choose must have the ritual tag. The class you choose also determines your spellcasting ability for these spells: Charisma for bard, sorcerer, or warlock; Wisdom for cleric or druid; or Intelligence for wizard. 
If you come across a spell in written form, such as a magical spell scroll or a wizard’s spellbook, you might be able to add it to your ritual book. The spell must be on the spell list for the class you chose, the spell’s level can be no higher than half your level (rounded up), and it must have the ritual tag. The process of copying the spell into your ritual book takes 2 hours per level of the spell, and costs 50 gp per level. The cost represents material components you expend as you experiment with the spell to master it, as well as the fine inks you need to record it.</t>
  </si>
  <si>
    <t>You have mastered techniques to take advantage of every drop in any enemy’s guard, gaining the following benefits:
• When you hit a creature with an opportunity attack, the creature’s speed becomes 0 for the rest of the turn.
• Creatures within 5 feet of you provoke opportunity attacks from you even if they take the Disengage action before leaving your reach. 
• When a creature within 5 feet of you makes an attack against a target other than you (and that target doesn’t have this feat), you can use your reaction to make a melee weapon attack against the attacking creature.</t>
  </si>
  <si>
    <t>You use shields not just for protection but also for offense. You gain the following benefits while you are wielding a shield:
• If you take the Attack action on your turn, you can use a bonus action to try to shove a creature within 5 feet of you with your shield. 
• If you aren’t incapacitated, you can add your shield’s AC bonus to any Dexterity saving throw you make against a spell or other harmful effect that targets only you. 
• If you are subjected to an effect that allows you to make a Dexterity saving throw to take only half damage, you can use your reaction to take no damage if you succeed on the saving throw, interposing your shield between yourself and the source of the effect.</t>
  </si>
  <si>
    <t>You have learned techniques to enhance your attacks with certain kinds of spells, gaining the following benefits:
• When you cast a spell that requires you to make an attack roll, the spell’s range is doubled. 
• Your ranged spell attacks ignore half cover and three-quarters cover. 
• You learn one cantrip that requires an attack roll. Choose the cantrip from the bard, cleric, druid, sorcerer, warlock, or wizard spell list. Your spellcasting ability for this cantrip depends on the spell list you chose from: Charisma for bard, sorcerer, or warlock; Wisdom for cleric or druid; or Intelligence for wizard.</t>
  </si>
  <si>
    <t>You have practiced casting spells in the midst of combat, learning techniques that grant you the following benefits:
• You have advantage on Constitution saving throws that you make to maintain your concentration on a spell when you take damage. 
• You can perform the somatic components of spells even when you have weapons or a shield in one or both hands. 
• When a hostile creature’s movement provokes an opportunity attack from you, you can use your reaction to cast a spell at the creature, rather than making an opportunity attack. The spell must have a casting time of 1 action and must target only that creature.</t>
  </si>
  <si>
    <t>Urchin</t>
  </si>
  <si>
    <t>I hide scraps of food and trinkets away in my pockets.</t>
  </si>
  <si>
    <t>I ask a lot of questions.</t>
  </si>
  <si>
    <t>I like to squeeze into small places where no one else can get to me.</t>
  </si>
  <si>
    <t>I sleep with my back to a wall or tree, with everything I own wrapped in a bundle in my arms.</t>
  </si>
  <si>
    <t>I eat like a pig and have bad manners.</t>
  </si>
  <si>
    <t>I think anyone who’s nice to me is hiding evil intent.</t>
  </si>
  <si>
    <t>I don’t like to bathe.</t>
  </si>
  <si>
    <t xml:space="preserve">I bluntly say what other people are hinting at or hiding.
</t>
  </si>
  <si>
    <t>Respect. All people, rich or poor, deserve respect. (Good)</t>
  </si>
  <si>
    <t>Community. We have to take care of each other, 
because no one else is going to do it. (Lawful)</t>
  </si>
  <si>
    <t>Change. The low are lifted up, and the high and mighty are brought down. Change is the nature of things. (Chaotic)</t>
  </si>
  <si>
    <t>Retribution. The rich need to be shown what life and death are like in the gutters. (Evil)</t>
  </si>
  <si>
    <t>People. I help the people who help me—that’s what keeps us alive. (Neutral)</t>
  </si>
  <si>
    <t>Aspiration. I'm going to prove that I'm worthy of a better life.</t>
  </si>
  <si>
    <t xml:space="preserve">My town or city is my home, and I’ll fight to defend it. </t>
  </si>
  <si>
    <t>I sponsor an orphanage to keep others from enduring what I was forced to endure.</t>
  </si>
  <si>
    <t>I owe my survival to another urchin who taught me to live on the streets.</t>
  </si>
  <si>
    <t>I owe a debt I can never repay to the person who took pity on me.</t>
  </si>
  <si>
    <t>I escaped my life of poverty by robbing an important person, and I’m wanted for it.</t>
  </si>
  <si>
    <t>No one else should have to endure the hardships I’ve been through.</t>
  </si>
  <si>
    <t xml:space="preserve">If I'm outnumbered, I will run away from a fight. </t>
  </si>
  <si>
    <t>Gold seems like a lot of money to me, and I’ll do just.
about anything for more of it.</t>
  </si>
  <si>
    <t>I will never fully trust anyone other than myself.</t>
  </si>
  <si>
    <t>I’d rather kill someone in their sleep then fight fair.</t>
  </si>
  <si>
    <t xml:space="preserve">It’s not stealing if I need it more than someone else. </t>
  </si>
  <si>
    <t>People who can't take care of themselves get what they deserve.</t>
  </si>
  <si>
    <t>City Secrets</t>
  </si>
  <si>
    <t>Sleight of Hand, Stealth</t>
  </si>
  <si>
    <t>Disguise kit, thieves’ tools</t>
  </si>
  <si>
    <t>Charlatan</t>
  </si>
  <si>
    <t>Entertainer</t>
  </si>
  <si>
    <t>Guild Artisan</t>
  </si>
  <si>
    <t>Hermit</t>
  </si>
  <si>
    <t>Outlander</t>
  </si>
  <si>
    <t>Sailor</t>
  </si>
  <si>
    <t>False Identity</t>
  </si>
  <si>
    <t>Deception, Slight of Hand</t>
  </si>
  <si>
    <t>Disguise kit, forgery kit</t>
  </si>
  <si>
    <t>By Popular Demand</t>
  </si>
  <si>
    <t>Acrobatics, Performance</t>
  </si>
  <si>
    <t>Disguise kit, one type of musical instrument</t>
  </si>
  <si>
    <t>Guild Membership</t>
  </si>
  <si>
    <t>Insight, Persuasion</t>
  </si>
  <si>
    <t>One type of artisan's tools</t>
  </si>
  <si>
    <t>Discovery</t>
  </si>
  <si>
    <t>Medicine, Religion</t>
  </si>
  <si>
    <t>Wanderer</t>
  </si>
  <si>
    <t>Atheletics, Survival</t>
  </si>
  <si>
    <t>One type of musical instrument</t>
  </si>
  <si>
    <t>Ship's Passage</t>
  </si>
  <si>
    <t>Athletics, Perception</t>
  </si>
  <si>
    <t>I cheat at games of chance.</t>
  </si>
  <si>
    <t>I shave coins or forge documents.</t>
  </si>
  <si>
    <t>I run sleight-of-hand cons on street corners.</t>
  </si>
  <si>
    <t>I convince people that worthless junk is worth their hard-earned money.</t>
  </si>
  <si>
    <t>I insinuate myself into people’s lives to prey on their weakness and secure their fortunes.</t>
  </si>
  <si>
    <t>I put on new identities like clothes.</t>
  </si>
  <si>
    <t>I fall in and out of love easily, and am always pursuing someone.</t>
  </si>
  <si>
    <t xml:space="preserve">I have a joke for every occasion, especially occasions where humor is inappropriate. </t>
  </si>
  <si>
    <t>Flattery is my preferred trick for getting what I want.</t>
  </si>
  <si>
    <t>I’m a born gambler who can't resist taking a risk for a potential payoff.</t>
  </si>
  <si>
    <t>I lie about almost everything, even when there’s no good reason to.</t>
  </si>
  <si>
    <t xml:space="preserve">Sarcasm and insults are my weapons of choice. </t>
  </si>
  <si>
    <t>I keep multiple holy symbols on me and invoke whatever deity might come in useful at any given moment.</t>
  </si>
  <si>
    <t>I pocket anything I see that might have some value.</t>
  </si>
  <si>
    <t>Independence. I am a free spirit— no one tells me what to do. (Chaotic)</t>
  </si>
  <si>
    <t xml:space="preserve">Fairness. I never target people who can’t afford to lose a few coins. (Lawful) </t>
  </si>
  <si>
    <t xml:space="preserve">Charity. I distribute the money I acquire to the people who really need it. (Good) </t>
  </si>
  <si>
    <t>Creativity. I never run the same con twice. (Chaotic)</t>
  </si>
  <si>
    <t xml:space="preserve">Friendship. Material goods come and go. Bonds of friendship last forever. (Good) </t>
  </si>
  <si>
    <t>Aspiration. I’m determined to make something of myself. (Any)</t>
  </si>
  <si>
    <t xml:space="preserve">I fleeced the wrong person and must work to ensure that this individual never crosses paths with me or those I care about. </t>
  </si>
  <si>
    <t>I owe everything to my mentor—a horrible person who’s probably rotting in jail somewhere.</t>
  </si>
  <si>
    <t xml:space="preserve">Somewhere out there, I have a child who doesn’t know me. I’m making the world better for him or her. </t>
  </si>
  <si>
    <t xml:space="preserve">I come from a noble family, and one day I’ll reclaim my lands and title from those who stole them from me. </t>
  </si>
  <si>
    <t>A powerful person killed someone I love. Some day soon, I’ll have my revenge.</t>
  </si>
  <si>
    <t>I swindled and ruined a person who didn’t deserve it. I seek to atone for my misdeeds but might never be able to forgive myself.</t>
  </si>
  <si>
    <t>I can’t resist a pretty face.</t>
  </si>
  <si>
    <t>I'm always in debt. I spend my ill-gotten gains on decadent luxuries faster than I bring them in..</t>
  </si>
  <si>
    <t xml:space="preserve">I’m convinced that no one could ever fool me the way I fool others. </t>
  </si>
  <si>
    <t xml:space="preserve">I’m too greedy for my own good. I can’t resist taking a risk if there’s money involved. </t>
  </si>
  <si>
    <t>I can’t resist swindling people who are more powerful than me.</t>
  </si>
  <si>
    <t>I hate to admit it and will hate myself for it, but I'll run and preserve my own hide if the going gets tough.</t>
  </si>
  <si>
    <t>Dancer</t>
  </si>
  <si>
    <t>Fire-eater</t>
  </si>
  <si>
    <t>Jester</t>
  </si>
  <si>
    <t>Juggler</t>
  </si>
  <si>
    <t>Instrumentalist</t>
  </si>
  <si>
    <t>Poet</t>
  </si>
  <si>
    <t>Singer</t>
  </si>
  <si>
    <t>Storyteller</t>
  </si>
  <si>
    <t>Tumbler</t>
  </si>
  <si>
    <t>Whenever I come to a new place, I collect local rumors and spread gossip.</t>
  </si>
  <si>
    <t xml:space="preserve">I’m a hopeless romantic, always searching for that “special someone.” </t>
  </si>
  <si>
    <t xml:space="preserve">Nobody stays angry at me or around me for long, since I can defuse any amount of tension. </t>
  </si>
  <si>
    <t xml:space="preserve">I love a good insult, even one directed at me. </t>
  </si>
  <si>
    <t xml:space="preserve">I get bitter if I’m not the center of attention. </t>
  </si>
  <si>
    <t xml:space="preserve">I’ll settle for nothing less than perfection. </t>
  </si>
  <si>
    <t>I change my mood or my mind as quickly as I change key in a song.</t>
  </si>
  <si>
    <t xml:space="preserve">Beauty. When I perform, I make the world better than it was. (Good) </t>
  </si>
  <si>
    <t>Tradition. The stories, legends, and songs of the past must never be forgotten, for they teach us who we are. (Lawful)</t>
  </si>
  <si>
    <t xml:space="preserve">Creativity. The world is in need of new ideas and bold action. (Chaotic) </t>
  </si>
  <si>
    <t>Greed. I’m only in it for the money and fame. (Evil)</t>
  </si>
  <si>
    <t>People. I like seeing the smiles on people’s faces when I perform. That’s all that matters. (Neutral)</t>
  </si>
  <si>
    <t>Honesty. Art should reflect the soul; it should come from within and reveal who we really are. (Any)</t>
  </si>
  <si>
    <t xml:space="preserve">My instrument is my most treasured possession, and it reminds me of someone I love. </t>
  </si>
  <si>
    <t>Someone stole my precious instrument, and someday I’ll get it back.</t>
  </si>
  <si>
    <t>I want to be famous, whatever it takes.</t>
  </si>
  <si>
    <t>I idolize a hero of the old tales and measure my deeds against that person’s.</t>
  </si>
  <si>
    <t xml:space="preserve">I will do anything to prove myself superior to my hated rival. </t>
  </si>
  <si>
    <t>I would do anything for the other members of my old troupe.</t>
  </si>
  <si>
    <t xml:space="preserve">I’ll do anything to win fame and renown. </t>
  </si>
  <si>
    <t xml:space="preserve">I’m a sucker for a pretty face. </t>
  </si>
  <si>
    <t xml:space="preserve">A scandal prevents me from ever going home again. That kind of trouble seems to follow me around. </t>
  </si>
  <si>
    <t>I once satirized a noble who still wants my head. It was a mistake that I will likely repeat.</t>
  </si>
  <si>
    <t>I have trouble keeping my true feelings hidden. My sharp tongue lands me in trouble.</t>
  </si>
  <si>
    <t>Despite my best efforts, I am unreliable to my friends.</t>
  </si>
  <si>
    <t xml:space="preserve">Alchemists and apothecaries </t>
  </si>
  <si>
    <t>Armorers, locksmiths, and finesmiths</t>
  </si>
  <si>
    <t xml:space="preserve">Brewers, distillers, and vintners </t>
  </si>
  <si>
    <t>Calligraphers, scribes, and scriveners</t>
  </si>
  <si>
    <t>Carpenters, roofers, and plasterers</t>
  </si>
  <si>
    <t>Cartographers, surveyors, and chart-makers</t>
  </si>
  <si>
    <t>Cobblers and shoemakers</t>
  </si>
  <si>
    <t>Cooks and bakers</t>
  </si>
  <si>
    <t xml:space="preserve">Glassblowers and glaziers </t>
  </si>
  <si>
    <t>Jewelers and gemcutters</t>
  </si>
  <si>
    <t xml:space="preserve">Leatherworkers, skinners, and tanners </t>
  </si>
  <si>
    <t>Masons and stonecutters</t>
  </si>
  <si>
    <t>Painters, limners, and sign-makers</t>
  </si>
  <si>
    <t>Potters and tile-makers</t>
  </si>
  <si>
    <t>Shipwrights and sailmakers</t>
  </si>
  <si>
    <t>Smiths and metal-forgers</t>
  </si>
  <si>
    <t xml:space="preserve">Tinkers, pewterers, and casters </t>
  </si>
  <si>
    <t xml:space="preserve">Wagon-makers and wheelwrights </t>
  </si>
  <si>
    <t>Weavers and dyers</t>
  </si>
  <si>
    <t>Woodcarvers, coopers, and bowyers</t>
  </si>
  <si>
    <t xml:space="preserve">I believe that anything worth doing is worth doing right. I can’t help it — I’m a perfectionist. </t>
  </si>
  <si>
    <t>I’m a snob who looks down on those who can’t appreciate fine art.</t>
  </si>
  <si>
    <t xml:space="preserve">I always want to know how things work and what makes people tick. </t>
  </si>
  <si>
    <t xml:space="preserve">I’m full of witty aphorisms and have a proverb for every occasion. </t>
  </si>
  <si>
    <t>I’m rude to people who lack my commitment to hard work and fair play.</t>
  </si>
  <si>
    <t>I like to talk at length about my profession.</t>
  </si>
  <si>
    <t xml:space="preserve">I don’t part with my money easily and will haggle tirelessly to get the best deal possible. </t>
  </si>
  <si>
    <t>I’m well known for my work, and I want to make sure everyone appreciates it. I'm always taken aback when people haven’t heard of me.</t>
  </si>
  <si>
    <t>Community. It is the duty of all civilized people to strengthen the bonds of community and the security of civilization. (Lawful)</t>
  </si>
  <si>
    <t xml:space="preserve">Generosity. My talents were given to me so that I could use them to benefit the world. (Good) </t>
  </si>
  <si>
    <t>Freedom. Everyone should be free to pursue his or her own livelihood. (Chaotic)</t>
  </si>
  <si>
    <t xml:space="preserve">Greed. I’m only in it for the money. (Evil) </t>
  </si>
  <si>
    <t xml:space="preserve">People. I’m committed to the people I care about, not to ideals. (Neutral) </t>
  </si>
  <si>
    <t>Aspiration. I work hard to be the best there is at my craft.</t>
  </si>
  <si>
    <t xml:space="preserve">The workshop where I learned my trade is the most important place in the world to me. </t>
  </si>
  <si>
    <t xml:space="preserve">I created a great work for someone, and then found them unworthy to receive it. I’m still looking for someone worthy. </t>
  </si>
  <si>
    <t>I owe my guild a great debt for forging me into the person I am today.</t>
  </si>
  <si>
    <t xml:space="preserve">I pursue wealth to secure someone’s love. </t>
  </si>
  <si>
    <t xml:space="preserve">One day I will return to my guild and prove that I am the greatest artisan of them all. </t>
  </si>
  <si>
    <t>I will get revenge on the evil forces that destroyed my place of business and ruined my livelihood.</t>
  </si>
  <si>
    <t xml:space="preserve">I’ll do anything to get my hands on something rare or priceless. </t>
  </si>
  <si>
    <t xml:space="preserve">I’m quick to assume that someone is trying to cheat me. </t>
  </si>
  <si>
    <t>No one must ever learn that I once stole money from guild coffers.</t>
  </si>
  <si>
    <t xml:space="preserve">I’m never satisfied with what I have — I always want more. </t>
  </si>
  <si>
    <t xml:space="preserve">I would kill to acquire a noble title. </t>
  </si>
  <si>
    <t>I’m horribly jealous of anyone who can outshine my handiwork. Everywhere I go, I’m surrounded by rivals.</t>
  </si>
  <si>
    <t xml:space="preserve">I was searching for spiritual enlightenment. </t>
  </si>
  <si>
    <t xml:space="preserve">I was exiled for a crime I didn’t commit. </t>
  </si>
  <si>
    <t>I retreated from society after a life-altering event.</t>
  </si>
  <si>
    <t xml:space="preserve">I needed a quiet place to work on my art, literature, music, or manifesto. </t>
  </si>
  <si>
    <t xml:space="preserve">I needed to commune with nature, far from civilization. </t>
  </si>
  <si>
    <t xml:space="preserve">I was the caretaker of an ancient ruin or relic. </t>
  </si>
  <si>
    <t>I was a pilgrim in search of a person, place, or relic of spiritual significance.</t>
  </si>
  <si>
    <t xml:space="preserve">I’ve been isolated for so long that I rarely speak, preferring gestures and the occasional grunt. </t>
  </si>
  <si>
    <t>I am utterly serene, even in the face of disaster.</t>
  </si>
  <si>
    <t xml:space="preserve">The leader of my community had something wise to say on every topic, and I am eager to share that wisdom. </t>
  </si>
  <si>
    <t xml:space="preserve">I feel tremendous empathy for all who suffer. </t>
  </si>
  <si>
    <t xml:space="preserve">I’m oblivious to etiquette and social expectations. </t>
  </si>
  <si>
    <t xml:space="preserve">I connect everything that happens to me to a grand, cosmic plan. </t>
  </si>
  <si>
    <t>I often get lost in my own thoughts and contemplation, becoming oblivious to my surroundings.</t>
  </si>
  <si>
    <t>I am working on a grand philosophical theory and love sharing my ideas.</t>
  </si>
  <si>
    <t>Greater Good. My gifts are meant to be shared with all, not used for my own benefit. (Good)</t>
  </si>
  <si>
    <t xml:space="preserve">Logic. Emotions must not cloud our sense of what is right and true, or our logical thinking. (Lawful) </t>
  </si>
  <si>
    <t xml:space="preserve">Free Thinking. Inquiry and curiosity are the pillars of progress. (Chaotic) </t>
  </si>
  <si>
    <t>Power. Solitude and contemplation are paths toward mystical or magical power. (Evil)</t>
  </si>
  <si>
    <t>Live and Let Live. Meddling in the affairs of others only causes trouble. (Neutral)</t>
  </si>
  <si>
    <t>Self-Knowledge. If you know yourself, there’s nothing left to know. (Any)</t>
  </si>
  <si>
    <t>Nothing is more important than the other members of my hermitage, order, or association.</t>
  </si>
  <si>
    <t xml:space="preserve">I entered seclusion to hide from the ones who might still be hunting me. I must someday confront them. </t>
  </si>
  <si>
    <t>I’m still seeking the enlightenment I pursued in my seclusion, and it still eludes me.</t>
  </si>
  <si>
    <t>I entered seclusion because I loved someone I could not have.</t>
  </si>
  <si>
    <t>Should my discovery come to light, it could bring ruin to the world.</t>
  </si>
  <si>
    <t>My isolation gave me great insight into a great evil that only I can destroy.</t>
  </si>
  <si>
    <t>Now that I've returned to the world, I enjoy its delights a little too much.</t>
  </si>
  <si>
    <t xml:space="preserve">I harbor dark, bloodthirsty thoughts that my isolation and meditation failed to quell. </t>
  </si>
  <si>
    <t xml:space="preserve">I am dogmatic in my thoughts and philosophy. </t>
  </si>
  <si>
    <t xml:space="preserve">I let my need to win arguments overshadow friendships and harmony. </t>
  </si>
  <si>
    <t>I’d risk too much to uncover a lost bit of knowledge.</t>
  </si>
  <si>
    <t>I like keeping secrets and won’t share them with anyone.</t>
  </si>
  <si>
    <t xml:space="preserve">Forester </t>
  </si>
  <si>
    <t xml:space="preserve">Trapper </t>
  </si>
  <si>
    <t xml:space="preserve">Homesteader </t>
  </si>
  <si>
    <t xml:space="preserve">Guide </t>
  </si>
  <si>
    <t xml:space="preserve">Exile or outcast </t>
  </si>
  <si>
    <t>Bounty hunter</t>
  </si>
  <si>
    <t>Pilgrim</t>
  </si>
  <si>
    <t>Tribal nomad</t>
  </si>
  <si>
    <t>Hunter-gatherer</t>
  </si>
  <si>
    <t>Tribal marauder</t>
  </si>
  <si>
    <t>I’m driven by a wanderlust that led me away from home.</t>
  </si>
  <si>
    <t>I watch over my friends as if they were a litter of newborn pups.</t>
  </si>
  <si>
    <t xml:space="preserve">I once ran twenty-five miles without stopping to warn to my clan of an approaching orc horde. I’d do it again if I had to. </t>
  </si>
  <si>
    <t>I have a lesson for every situation, drawn from observing nature.</t>
  </si>
  <si>
    <t>I place no stock in wealthy or well-mannered folk. Money and manners won’t save you from a hungry owlbear.</t>
  </si>
  <si>
    <t xml:space="preserve">I’m always picking things up, absently fiddling with them, and sometimes accidentally breaking them. </t>
  </si>
  <si>
    <t xml:space="preserve">I feel far more comfortable around animals than people. </t>
  </si>
  <si>
    <t>I was, in fact, raised by wolves.</t>
  </si>
  <si>
    <t xml:space="preserve">Change. Life is like the seasons, in constant change, and we must change with it. (Chaotic) </t>
  </si>
  <si>
    <t xml:space="preserve">Greater Good. It is each person’s responsibility to make the most happiness for the whole tribe. (Good) </t>
  </si>
  <si>
    <t>Honor. If I dishonor myself, I dishonor my whole clan. (Lawful)</t>
  </si>
  <si>
    <t>Might. The strongest are meant to rule. (Evil)</t>
  </si>
  <si>
    <t xml:space="preserve">Nature. The natural world is more important than all the constructs of civilization. (Neutral) </t>
  </si>
  <si>
    <t>Glory. I must earn glory in battle, for myself and my clan. (Any)</t>
  </si>
  <si>
    <t>My family, clan, or tribe is the most important thing in my life, even when they are far from me.</t>
  </si>
  <si>
    <t>An injury to the unspoiled wilderness of my home is an injury to me.</t>
  </si>
  <si>
    <t>I will bring terrible wrath down on the evildoers who destroyed my homeland.</t>
  </si>
  <si>
    <t>I am the last of my tribe, and it is up to me to ensure their names enter legend.</t>
  </si>
  <si>
    <t>I suffer awful visions of a coming disaster and will do anything to prevent it.</t>
  </si>
  <si>
    <t>It is my duty to provide children to sustain my tribe.</t>
  </si>
  <si>
    <t xml:space="preserve">I am too enamored of ale, wine, and other intoxicants. </t>
  </si>
  <si>
    <t xml:space="preserve">There’s no room for caution in a life lived to the fullest. </t>
  </si>
  <si>
    <t xml:space="preserve">I remember every insult I’ve received and nurse a silent resentment toward anyone who’s ever wronged me. </t>
  </si>
  <si>
    <t xml:space="preserve">I am slow to trust members of other races, tribes, and societies. </t>
  </si>
  <si>
    <t>Violence is my answer to almost any challenge.</t>
  </si>
  <si>
    <t>Don’t expect me to save those who can’t save themselves. It is nature’s way that the strong thrive and the weak perish.</t>
  </si>
  <si>
    <t xml:space="preserve">My friends know they can rely on me, no matter what. </t>
  </si>
  <si>
    <t xml:space="preserve">I work hard so that I can play hard when the work is done. </t>
  </si>
  <si>
    <t xml:space="preserve">I enjoy sailing into new ports and making new friends over a flagon of ale. </t>
  </si>
  <si>
    <t xml:space="preserve">I stretch the truth for the sake of a good story. </t>
  </si>
  <si>
    <t>To me, a tavern brawl is a nice way to get to know a new city.</t>
  </si>
  <si>
    <t xml:space="preserve">I never pass up a friendly wager. </t>
  </si>
  <si>
    <t xml:space="preserve">My language is as foul as an otyugh nest. </t>
  </si>
  <si>
    <t>I like a job well done, especially if I can convince someone else to do it.</t>
  </si>
  <si>
    <t xml:space="preserve">Respect. The thing that keeps a ship together is mutual respect between captain and crew. (Good) </t>
  </si>
  <si>
    <t xml:space="preserve">Fairness. We all do the work, so we all share in the rewards. (Lawful) </t>
  </si>
  <si>
    <t xml:space="preserve">Freedom. The sea is freedom—the freedom to go anywhere and do anything. (Chaotic) </t>
  </si>
  <si>
    <t xml:space="preserve">Mastery. I’m a predator, and the other ships on the sea are my prey. (Evil) </t>
  </si>
  <si>
    <t xml:space="preserve">People. I’m committed to my crewmates, not to ideals. (Neutral) </t>
  </si>
  <si>
    <t>Aspiration. Someday I’ll own my own ship and chart my own destiny. (Any)</t>
  </si>
  <si>
    <t xml:space="preserve">I’m loyal to my captain first, everything else second. </t>
  </si>
  <si>
    <t xml:space="preserve">The ship is most important—crewmates and captains come and go. </t>
  </si>
  <si>
    <t xml:space="preserve">I’ll always remember my first ship. </t>
  </si>
  <si>
    <t xml:space="preserve">In a harbor town, I have a paramour whose eyes nearly stole me from the sea. </t>
  </si>
  <si>
    <t xml:space="preserve">I was cheated out of my fair share of the profits, and I want to get my due. </t>
  </si>
  <si>
    <t>Ruthless pirates murdered my captain and crewmates, plundered our ship, and left me to die. Vengeance will be mine.</t>
  </si>
  <si>
    <t>I follow orders, even if I think they’re wrong.</t>
  </si>
  <si>
    <t xml:space="preserve">I’ll say anything to avoid having to do extra work. </t>
  </si>
  <si>
    <t xml:space="preserve">Once someone questions my courage, I never back down no matter how dangerous the situation. </t>
  </si>
  <si>
    <t xml:space="preserve">Once I start drinking, it’s hard for me to stop. </t>
  </si>
  <si>
    <t xml:space="preserve">I can’t help but pocket loose coins and other trinkets I come across. </t>
  </si>
  <si>
    <t>My pride will probably lead to my destruction.</t>
  </si>
  <si>
    <t>• +1 Wisdom
• Dwarven Toughness - hit point maximum increased by one every level</t>
  </si>
  <si>
    <t xml:space="preserve">Know a story relevant to almost every situation. </t>
  </si>
  <si>
    <t>When you cast this spell, you inscribe a harmful glyph either on a surface (such as a section of floor, a wall, or a table) or within an object that can be closed to conceal the glyph (such as a book, a scroll, or a treasure chest). If you choose a surface, the glyph can cover an area of the surface no larger than 10 feet in diameter. If you choose an object, that object must remain in its place; if the object is moved more than 10 feet from where you cast this spell, the glyph is broken, and the spell ends without being triggered. 
The glyph is nearly invisible, requiring an Intelligence (Investigation) check against your spell save DC to find it. 
You decide what triggers the glyph when you cast the spell. For glyphs inscribed on a surface, the most typical triggers include touching or stepping on the glyph, removing another object covering it, approaching within a certain distance of it, or manipulating the object that holds it. For glyphs inscribed within an object, the most common triggers are opening the object, approaching within a certain distance of it, or seeing or reading the glyph. 
You can further refine the trigger so the spell is activated only under certain circumstances or according to a creature’s physical characteristics (such as height or weight), or physical kind (for example, the ward could be set to affect hags or shapechangers). You can also specify creatures that don’t trigger the glyph, such as those who say a certain password. 
When you inscribe the glyph, choose one of the options below for its effect. Once triggered, the glyph glows, filling a 60-foot-radius sphere with dim light for 10 minutes, after which time the spell ends. Each creature in the sphere when the glyph activates is targeted by its effect, as is a creature that enters the sphere for the first time on a turn or ends its turn there. 
Death. Each target must make a Constitution saving throw, taking 10d10 necrotic damage on a failed save, or half as much damage on a successful save. 
Discord. Each target must make a Constitution saving throw. On a failed save, a target bickers and argues with other creatures for 1 minute. During this time, it is incapable of meaningful communication and has disadvantage on attack rolls and ability checks. 
Fear. Each target must make a Wisdom saving throw and becomes frightened for 1 minute on a failed save. While frightened, the target drops whatever it is holding and must move at least 30 feet away from the glyph on each of its turns, if able. 
Hopelessness. Each target must make a Charisma saving throw. On a failed save, the target is overwhelmed with despair for 1 minute. During this time, it can’t attack or target any creature with harmful abilities, spells, or other magical effects. 
Insanity. Each target must make an Intelligence saving throw. On a failed save, the target is driven insane for 1 minute. An insane creature can’t take actions, can't understand what other creatures say, can’t read, and speaks only in gibberish. The DM controls its movement, which is erratic. 
Pain. Each target must make a Constitution saving throw and becomes incapacitated with excruciating pain for 1 minute on a failed save. 
Sleep. Each target must make a Wisdom saving throw and falls unconscious for 10 minutes on a failed save. A creature awakens if it takes damage or if someone uses an action to shake or slap it awake. 
Stunning. Each target must make a Wisdom saving throw and becomes stunned for 1 minute on a failed save.</t>
  </si>
  <si>
    <t xml:space="preserve">Specialty: </t>
  </si>
  <si>
    <t xml:space="preserve">Origin: </t>
  </si>
  <si>
    <t>• +2 Charisma, +1 two other ability score of your choice
• Size: Medium
• Speed: 30ft
• Darkvision 60ft
• Fey Ancestry: advantage on saving throws against being charmed, magic cannot put you to sleep
• Skill Versatility: gain proficiency in two skill of your choice
• Languages: Elvish, Common, one additional language of your choice</t>
  </si>
  <si>
    <t>• +2 Dexterity
• Size: Small
• Speed: 25ft
• Lucky: reroll attack, ability check, or saving throw on a natural 1, must use new roll
• Brave: advantage on saving throws against being frightened
• Halfling Nimbleness: move through space of a creature that is a size larger than yours
• Languages: Halfling, Common</t>
  </si>
  <si>
    <t>• +2 Intelligence
• Size: Small
• Speed: 25ft
• Darkvision 60ft
• Gnome Cunning: advantage on all Intelligence, Wisdom and Charisma saving throws against magic
• Languages: Gnomish, Common</t>
  </si>
  <si>
    <t>Two of your choice</t>
  </si>
  <si>
    <t>Tinker's tools</t>
  </si>
  <si>
    <t>Tieflings mature at the same rate as humans but live a few years longer.</t>
  </si>
  <si>
    <t>Primal Path</t>
  </si>
  <si>
    <t>Choose 2 from Animal Handling, Athletics, Intimidation, Nature, Perception, and Survival</t>
  </si>
  <si>
    <t>Navigator’s tools, vehicles (water)</t>
  </si>
  <si>
    <t>Light &amp; medium armor, shields (non-metal)</t>
  </si>
  <si>
    <t>One musical instrument of your choice</t>
  </si>
  <si>
    <t>Simple weapons, short sword</t>
  </si>
  <si>
    <t>Warlock</t>
  </si>
  <si>
    <t>Simple weapons</t>
  </si>
  <si>
    <t>Frenzy</t>
  </si>
  <si>
    <t>Retaliation</t>
  </si>
  <si>
    <t>Spirit Walker</t>
  </si>
  <si>
    <t>Dexterity,  Charisma</t>
  </si>
  <si>
    <t>Bard College</t>
  </si>
  <si>
    <t>Lore</t>
  </si>
  <si>
    <t>Bonus Proficiencies, Cutting Words</t>
  </si>
  <si>
    <t>Additional Magic Secrets</t>
  </si>
  <si>
    <t>Peerless Skill</t>
  </si>
  <si>
    <t>Bonus Proficiencies, Combat Inspiration</t>
  </si>
  <si>
    <t>Extra Attack</t>
  </si>
  <si>
    <t>Battle Magic</t>
  </si>
  <si>
    <t>Druid Circle</t>
  </si>
  <si>
    <t>Club, dagger, dart, javelin, mace, quartstaff, scimitar, sickle, sling, spear</t>
  </si>
  <si>
    <t>Choose 2 from Arcana, Animal Handling, Insight, Medicine, Nature, Perception, Religion, and Survival</t>
  </si>
  <si>
    <t>Land Stride</t>
  </si>
  <si>
    <t>Nature's Sanctuary</t>
  </si>
  <si>
    <t>Primal Strike</t>
  </si>
  <si>
    <t>Elemental Wild Shape</t>
  </si>
  <si>
    <t>Thousand Forms</t>
  </si>
  <si>
    <t>Arctic</t>
  </si>
  <si>
    <t>Underdark</t>
  </si>
  <si>
    <t>Commune with Nature</t>
  </si>
  <si>
    <t>You briefly become one with nature and gain knowledge of the surrounding territory. In the outdoors, the spell gives you knowledge of the land within 3 miles of you. In caves and other natural underground settings, the radius is limited to 300 feet. The spell doesn’t function where nature has been replaced by construction, such as in dungeons and towns. 
You instantly gain knowledge of up to three facts of your choice about any of the following subjects as they relate to the area:
• terrain and bodies of water 
• prevalent plants, minerals, animals, or peoples 
• powerful celestials, fey, fiends, elementals, or undead 
• influence from other planes of existence 
• buildings
For example, you could determine the location of powerful undead in the area, the location of major sources of safe drinking water, and the location of any nearby towns.</t>
  </si>
  <si>
    <t>Script</t>
  </si>
  <si>
    <t>Druidic</t>
  </si>
  <si>
    <t>5' 6'' + 2d8</t>
  </si>
  <si>
    <t>175 lb. x 2d6</t>
  </si>
  <si>
    <t>2' 11'' + 2d4</t>
  </si>
  <si>
    <t>35 lb. x 1</t>
  </si>
  <si>
    <t>4' 9'' + 2d8</t>
  </si>
  <si>
    <t>4' 10'' + 2d10</t>
  </si>
  <si>
    <t>140 lb. x 2d6</t>
  </si>
  <si>
    <t>Conjure Animals</t>
  </si>
  <si>
    <t>You summon fey spirits that take the form of beasts and appear in unoccupied spaces that you can see within range. Choose one of the following options for what appears:
• One beast of challenge rating 2 or lower 
• Two beasts of challenge rating 1 or lower 
• Four beasts of challenge rating 1/2 or lower 
• Eight beasts of challenge rating 1/4 or lower
Each beast is also considered fey, and it disappears when it drops to 0 hit points or when the spell ends. 
The summoned creatures are friendly to you and your companions. Roll initiative for the summoned creatures as a group, which has its own turns. They obey any verbal commands that you issue to them (no action required by you). If you don’t issue any commands to them, they defend themselves from hostile creatures, but otherwise take no actions. 
The DM has the creatures’ statistics. 
At Higher Levels. When you cast this spell using certain higher-level spell slots, you choose one of the summoning options above, and more creatures appear: twice as many with a 5th-level slot, three times as many with a 7th-level slot, and four times as many with a 9th-level slot.</t>
  </si>
  <si>
    <t>Speak with Plants</t>
  </si>
  <si>
    <t>You imbue plants within 30 feet of you with limited sentience and animation, giving them the ability to communicate with you and follow your simple commands. You can question plants about events in the spell’s area within the past day, gaining information about creatures that have passed, weather, and other circumstances. 
You can also turn difficult terrain caused by plant growth (such as thickets and undergrowth) into ordinary terrain that lasts for the duration. Or you can turn ordinary terrain where plants are present into difficult terrain that lasts for the duration, causing vines and branches to hinder pursuers, for example. 
Plants might be able to perform other tasks on your behalf, at the DM’s discretion. The spell doesn’t enable plants to uproot themselves and move about, but they can freely move branches, tendrils, and stalks. 
If a plant creature is in the area, you can communicate with it as if you shared a common language, but you gain no magical ability to influence it. 
This spell can cause the plants created by the entangle spell to release a restrained creature.</t>
  </si>
  <si>
    <t>Conjure Woodland Beings</t>
  </si>
  <si>
    <t>Giant Insect</t>
  </si>
  <si>
    <t>You transform up to ten centipedes, three spiders, five wasps, or one scorpion within range into giant versions of their natural forms for the duration. A centipede becomes a giant centipede, a spider becomes a giant spider, a wasp becomes a giant wasp, and a scorpion becomes a giant scorpion. 
Each creature obeys your verbal commands, and in combat, they act on your turn each round. The DM has the statistics for these creatures and resolves their actions and movement. 
A creature remains in its giant size for the duration, until it drops to 0 hit points, or until you use an action to dismiss the effect on it. 
The DM might allow you to choose different targets. For example, if you transform a bee, its giant version might have the same statistics as a giant wasp.</t>
  </si>
  <si>
    <t>transform 10 centipedes, 3 spiders, 5 wasps, or 1 scorpion</t>
  </si>
  <si>
    <t>one holly berry per creature summoned</t>
  </si>
  <si>
    <t>You summon fey creatures that appear in unoccupied spaces that you can see within range. Choose one of the following options for what appears:
• One fey creature of challenge rating 2 or lower 
• Two fey creatures of challenge rating 1 or lower 
• Four fey creatures of challenge rating 1/2 or lower 
• Eight fey creatures of challenge rating 1/4 or lower
A summoned creature disappears when it drops to 0 hit points or when the spell ends. 
The summoned creatures are friendly to you and your companions. Roll initiative for the summoned creatures as a group, which have their own turns. They obey any verbal commands that you issue to them (no action required by you). If you don't issue any commands to them, they defend themselves from hostile creatures, but otherwise take no actions. 
The DM has the creatures’ statistics. 
At Higher Levels. When you cast this spell using certain higher-level spell slots, you choose one of the summoning options above, and more creatures appear: twice as many with a 6th-level slot and three times as many with an 8th-level slot.</t>
  </si>
  <si>
    <t xml:space="preserve">large quasi-real, horselike creature </t>
  </si>
  <si>
    <t>Reincarnate</t>
  </si>
  <si>
    <t>rare oils and unguents worth at least 1,000 gp, which the spell consumes</t>
  </si>
  <si>
    <t>dead humanoid &lt;10 days, re-incarnate d100</t>
  </si>
  <si>
    <t>Conjure Fey</t>
  </si>
  <si>
    <t>Transport via Plants</t>
  </si>
  <si>
    <t>This spell creates a magical link between a Large or larger inanimate plant within range and another plant, at any distance, on the same plane of existence. You must have seen or touched the destination plant at least once before. For the duration, any creature can step into the target plant and exit from the destination plant by using 5 feet of movement.</t>
  </si>
  <si>
    <t>5ft move into target plant and out of destination plant</t>
  </si>
  <si>
    <t>Tsunami</t>
  </si>
  <si>
    <t>A wall of water springs into existence at a point you choose within range. You can make the wall up to 300 feet long, 300 feet high, and 50 feet thick. The wall lasts for the duration. 
When the wall appears, each creature within its area must make a Strength saving throw. On a failed save, a creature takes 6d10 bludgeoning damage, or half as much damage on a successful save. 
At the start of each of your turns after the wall appears, the wall, along with any creatures in it, moves 50 feet away from you. Any Huge or smaller creature inside the wall or whose space the wall enters when it moves must succeed on a Strength saving throw or take 5d10 bludgeoning damage. A creature can take this damage only once per round. At the end of the turn, the wall’s height is reduced by 50 feet, and the damage creatures take from the spell on subsequent rounds is reduced by 1d10. When the wall reaches 0 feet in height, the spell ends. 
A creature caught in the wall can move by swimming. Because of the force of the wave, though, the creature must make a successful Strength (Athletics) check against your spell save DC in order to move at all. If it fails the check, it can’t move. A creature that moves out of the area falls to the ground.</t>
  </si>
  <si>
    <t>6 rnd ᶜᵒᶰ</t>
  </si>
  <si>
    <t>TYPE THE NAME OF THE SPELL FOR SPELLS NOT IN YOUR CLASS LIST</t>
  </si>
  <si>
    <t>Sorcerer</t>
  </si>
  <si>
    <t>Black</t>
  </si>
  <si>
    <t>Blue</t>
  </si>
  <si>
    <t>Brass</t>
  </si>
  <si>
    <t>Bronze</t>
  </si>
  <si>
    <t>Copper</t>
  </si>
  <si>
    <t>Gold</t>
  </si>
  <si>
    <t>Green</t>
  </si>
  <si>
    <t>Red</t>
  </si>
  <si>
    <t>Silver</t>
  </si>
  <si>
    <t>White</t>
  </si>
  <si>
    <t>You make an area within range magically secure. The area is a cube that can be as small as 5 feet to as large as 100 feet on each side. The spell lasts for the duration or until you use an action to dismiss it. 
When you cast the spell, you decide what sort of security the spell provides, choosing any or all of the following properties:
• Sound can't pass through the barrier at the edge of the warded area. 
• The barrier of the warded area appears dark and foggy, preventing vision (including darkvision) through it. 
• Sensors created by divination spells can’t appear inside the protected area or pass through the barrier at its perimeter. 
• Creatures in the area can’t be targeted by divination spells. 
• Nothing can teleport into or out of the warded area. 
• Planar travel is blocked within the warded area.
Casting this spell on the same spot every day for a year makes this effect permanent. 
At Higher Levels. When you cast this spell using a spell slot of 5th level or higher, you can increase the size of the cube by 100 feet for each slot level beyond 4th. Thus you could protect a cube that can be up to 200 feet on one side by using a spell slot of 5th level.</t>
  </si>
  <si>
    <t>Until the spell ends, you control any freestanding water inside an area you choose that is a cube up to 100 feet on a side. You can choose from any of the following effects when you cast this spell. As an action on your turn, you can repeat the same effect or choose a different one. 
Flood. You cause the water level of all standing water in the area to rise by as much as 20 feet. If the area includes a shore, the flooding water spills over onto dry land. If you choose an area in a large body of water, you instead create a 20-foot tall wave that travels from one side of the area to the other and then crashes down. Any Huge or smaller vehicles in the wave’s path are carried with it to the other side. Any Huge or smaller vehicles struck by the wave have a 25 percent chance of capsizing. The water level remains elevated until the spell ends or you choose a different effect. If this effect produced a wave, the wave repeats on the start of your next turn while the flood effect lasts. 
Part Water. You cause water in the area to move apart and create a trench. The trench extends across the spell’s area, and the separated water forms a wall to either side. The trench remains until the spell ends or you choose a different effect. The water then slowly fills in the trench over the course of the next round until the normal water level is restored. 
Redirect Flow. You cause flowing water in the area to move in a direction you choose, even if the water has to flow over obstacles, up walls, or in other unlikely directions. The water in the area moves as you direct it, but once it moves beyond the spell’s area, it resumes its flow based on the terrain conditions. The water continues to move in the direction you chose until the spell ends or you choose a different effect. 
Whirlpool. This effect requires a body of water at least 50 feet square and 25 feet deep. You cause a whirlpool to form in the center of the area. The whirlpool forms a vortex that is 5 feet wide at the base, up to 50 feet wide at the top, and 25 feet tall. Any creature or object in the water and within 25 feet of the vortex is pulled 10 feet toward it. A creature can swim away from the vortex by making a Strength (Athletics) check against your spell save DC. 
When a creature enters the vortex for the first time on a turn or starts its turn there, it must make a Strength saving throw. On a failed save, the creature takes 2d8 bludgeoning damage and is caught in the vortex until the spell ends. On a successful save, the creature takes half damage, and isn’t caught in the vortex. A creature caught in the vortex can use its action to try to swim away from the vortex as described above, but has disadvantage on the Strength (Athletics) check to do so. 
The first time each turn that an object enters the vortex, the object takes 2d8 bludgeoning damage; this damage occurs each round it remains in the vortex.</t>
  </si>
  <si>
    <t>Acid</t>
  </si>
  <si>
    <t>Fire</t>
  </si>
  <si>
    <t>Cold</t>
  </si>
  <si>
    <t>Lightning</t>
  </si>
  <si>
    <t>Poison</t>
  </si>
  <si>
    <t>You tap into the nightmares of a creature you can see within range and create an illusory manifestation of its deepest fears, visible only to that creature. The target must make a Wisdom saving throw. On a failed save, the target becomes frightened for the duration. At the start of each of the target’s turns before the spell ends, the target must succeed on a Wisdom saving throw or take 4d10 psychic damage. On a successful save, the spell ends. 
At Higher Levels. When you cast this spell using a spell slot of 5th level or higher, the damage increases by 1d10 for each slot level above 4th.</t>
  </si>
  <si>
    <t>• +2 Strength
• Dwarven Armor Training: proficient with light and medium armor</t>
  </si>
  <si>
    <t>• +1 Intelligence
• Elf Weapon Training: proficiency with longsword, shortsword, shortbow, and longbow
• Cantrip: choose one wizard cantrip
• Extra Language: choose one additional language</t>
  </si>
  <si>
    <t>• +1 Wisdom
• Elf Weapon Training: proficiency with longsword, shortsword, shortbow, and longbow
• Fleet of Foot: base movement increased to 35 feet
• Mask of the Wild: attempt to hide when lightly obscured by foilage, heavy rain, falling snow, mist, etc</t>
  </si>
  <si>
    <t>• +1 Charisma
• Naturally Stealthy: hide when obscured by a creature at least one size larger than you</t>
  </si>
  <si>
    <t>• +1 Constitution
• Stout Resilience: advantange on poison saving throws, resistance to poison damage</t>
  </si>
  <si>
    <t>• +1 Dexterity
• Natural Illusionist: know the minor illusion cantrip (Int)
• Speak with Small Beasts: communicate simple ideas to Small or smaller beasts</t>
  </si>
  <si>
    <t>• +1 Constitution
• Articifer's Lore: advantage on Intelligence checks on alchemy, magic items, and technological devices
• Tinker: proficiency with Tinker's tools and can construct a Tiny clockwork device [AC 5, HP 1] in 1 hr and 10 gp.</t>
  </si>
  <si>
    <t>25 words send and reply to 1 known target</t>
  </si>
  <si>
    <t>paralyze 1 humanoid, wis save</t>
  </si>
  <si>
    <t>SPELL RECOVERY LEVELS</t>
  </si>
  <si>
    <t>ADVENTURE NOTES</t>
  </si>
  <si>
    <t>Sacred Oath</t>
  </si>
  <si>
    <t>Choose 2 from Athletics, Insight, Intimidation, Medicine, Persuasion, and Religion</t>
  </si>
  <si>
    <t>The Ancients</t>
  </si>
  <si>
    <t>TheAncients</t>
  </si>
  <si>
    <t>Compelled Duel</t>
  </si>
  <si>
    <t>wis save, fail disadv. attack anyone but you</t>
  </si>
  <si>
    <t>Heroism</t>
  </si>
  <si>
    <t>A willing creature you touch is imbued with bravery. Until the spell ends, the creature is immune to being frightened and gains temporary hit points equal to your spellcasting ability modifier at the start of each of its turns. When the spell ends, the target loses any remaining temporary hit points from this spell.
At Higher Levels. W hen you cast this spell using a spell slot of 2nd level or higher, you can target one additional creature for each slot level above 1st.</t>
  </si>
  <si>
    <t>Find Steed</t>
  </si>
  <si>
    <t>You summon a spirit that assumes the form of an unusually intelligent, strong, and loyal steed, creating a long-lasting bond with it. Appearing in an unoccupied space within range, the steed takes on a form that you choose, such as a warhorse, a pony, a camel, an elk, or a mastiff. (Your DM might allow other animals to be summoned as steeds.) The steed has the statistics of the chosen form, though it is a celestial, fey, or fiend (your choice) instead of its normal type. Additionally, if your steed has an Intelligence of 5 or less, its Intelligence becomes 6, and it gains the ability to understand one language of your choice that you speak. 
Your steed serves you as a mount, both in combat and out, and you have an instinctive bond with it that allows you to fight as a seamless unit. While mounted on your steed, you can make any spell you cast that targets only you also target your steed. 
When the steed drops to 0 hit points, it disappears, leaving behind no physical form. You can also dismiss your steed at any time as an action, causing it to disappear. In either case, casting this spell again summons the same steed, restored to its hit point maximum. 
While your steed is within 1 mile of you, you can communicate with it telepathically. 
You can’t have more than one steed bonded by this spell at a time. As an action, you can release the steed from its bond at any time, causing it to disappear</t>
  </si>
  <si>
    <t>Staggering Smite</t>
  </si>
  <si>
    <t>The next time you hit a creature with a melee weapon attack during this spell’s duration, your weapon pierces both body and mind, and the attack deals an extra 4d6 psychic damage to the target. The target must make a Wisdom saving throw. On a failed save, it has disadvantage on attack rolls and ability checks, and can't take reactions, until the end of its next turn.</t>
  </si>
  <si>
    <t>melee, +4d6 psychic, wis save, disadv. attack &amp; ability checks, no reaction</t>
  </si>
  <si>
    <t>melee, +2d6 thunder, str save, 10ft away prone</t>
  </si>
  <si>
    <t>melee, +1d6 fire, con save, 1d6 fire per rnd</t>
  </si>
  <si>
    <t>Vicious Mockery</t>
  </si>
  <si>
    <t>This spell lets you convince a beast that you mean it no harm. Choose a beast that you can see within range. It must see and hear you. If the beast’s Intelligence is 4 or higher, the spell fails. Otherwise, the beast must succeed on a Wisdom saving throw or be charmed by you for the spell’s duration. If you or one of your companions harms the target, the spells ends. 
At Higher Levels. When you cast this spell using a spell slot of 2nd level or higher, you can affect one additional beast for each slot level above 1st.</t>
  </si>
  <si>
    <t>You attempt to compel a creature into a duel. One creature that you can see within range must make a Wisdom saving throw. On a failed save, the creature is drawn to you, compelled by your divine demand. For the duration, it has disadvantage on attack rolls against creatures other than you, and must make a Wisdom saving throw each time it attempts to move to a space that is more than 30 feet away from you; if it succeeds on this saving throw, this spell doesn’t restrict the target’s movement for that turn. 
The spell ends if you attack any other creature, if you cast a spell that targets a hostile creature other than the target, if a creature friendly to you damages the target or casts a harmful spell on it, or if you end your turn more than 30 feet away from the target.</t>
  </si>
  <si>
    <t>Dissonant Whispers</t>
  </si>
  <si>
    <t>You whisper a discordant melody that only one creature of your choice within range can hear, wracking it with terrible pain. The target must make a Wisdom saving throw. On a failed save, it takes 3d6 psychic damage and must immediately use its reaction, if available, to move as far as its speed allows away from you. The creature doesn’t move into obviously dangerous ground, such as a fire or a pit. On a successful save, the target takes half as much damage and doesn’t have to move away. A deafened creature automatically succeeds on the save. 
At Higher Levels. When you cast this spell using a spell slot of 2nd level or higher, the damage increases by 1d6 for each slot level above 1st.</t>
  </si>
  <si>
    <t>Power Word Heal</t>
  </si>
  <si>
    <t>A wave of healing energy washes over the creature you touch. The target regains all its hit points. If the creature is charmed, frightened, paralyzed, or stunned, the condition ends. If the creature is prone, it can use its reaction to stand up. This spell has no effect on undead or constructs.</t>
  </si>
  <si>
    <t>target regains all HP, clears conditions, use reaction to stand up</t>
  </si>
  <si>
    <t>Enthrall</t>
  </si>
  <si>
    <t>You weave a distracting string of words, causing creatures of your choice that you can see within range and that can hear you to make a W isdom saving throw. Any creature that can’t be charmed succeeds on this saving throw automatically, and if you or your companions are fighting a creature, it has advantage on the save. On a failed save, the target has disadvantage on Wisdom (Perception) checks made to perceive any creature other than you until the spell ends or until the target can no longer hear you. The spell ends if you are incapacitated or can no longer speak.</t>
  </si>
  <si>
    <t>Compulsion</t>
  </si>
  <si>
    <t>Creatures of your choice that you can see within range and that can hear you must make a W isdom saving throw. A target automatically succeeds on this saving throw if it can’t be charmed. On a failed save, a target is affected by this spell. Until the spell ends, you can use a bonus action on each of your turns to designate a direction that is horizontal to you. Each affected target must use as much of its movement as possible to move in that direction on its next turn. It can take its action before it moves. After moving in this way, it can make another Wisdom saving to try to end the effect. 
A target isn’t compelled to move into an obviously deadly hazard, such as a fire or pit, but it will provoke opportunity attacks to move in the designated direction.</t>
  </si>
  <si>
    <t>Forbiddance</t>
  </si>
  <si>
    <t>Forcecage</t>
  </si>
  <si>
    <t>Globe of Invulnerability</t>
  </si>
  <si>
    <t>Mordenkainen's Private Sanctum</t>
  </si>
  <si>
    <t>Otiluke's Freezing Sphere</t>
  </si>
  <si>
    <t>Otiluke's Resilient Sphere</t>
  </si>
  <si>
    <t>Tenser's Floating Disk</t>
  </si>
  <si>
    <t>Unseen Servant</t>
  </si>
  <si>
    <t>Eldritch Blast</t>
  </si>
  <si>
    <t>Ensnaring Strike</t>
  </si>
  <si>
    <t>The next time you hit a creature with a weapon attack before this spell ends, a writhing mass of thorny vines appears at the point of impact, and the target must succeed on a Strength saving throw or be restrained by the magical vines until the spell ends. A Large or larger creature has advantage on this saving throw. If the target succeeds on the save, the vines shrivel away. 
While restrained by this spell, the target takes 1d6 piercing damage at the start of each of its turns. A creature restrained by the vines or one that can touch the creature can use its action to make a Strength check against your spell save DC. On a success, the target is freed. 
At Higher Levels. If you cast this spell using a spell slot of 2nd level or higher, the damage increases by 1d6 for each slot level above 1st.</t>
  </si>
  <si>
    <t>Glibness</t>
  </si>
  <si>
    <t xml:space="preserve">Until the spell ends, when you make a Charisma check, you can replace the number you roll with a 15. Additionally, no matter what you say, magic that would determine if you are telling the truth indicates that you are being truthful.
</t>
  </si>
  <si>
    <t>Charisma check minimum 15, magic shows always truthful</t>
  </si>
  <si>
    <t>Hellish Rebuke</t>
  </si>
  <si>
    <t>You point your finger, and the creature that damaged you is momentarily surrounded by hellish flames. The creature must make a Dexterity saving throw. It takes 2d10 fire damage on a failed save, or half as much damage on a successful one. 
At Higher Levels. When you cast this spell using a spell slot of 2nd level or higher, the damage increases by 1d10 for each slot level above 1st.</t>
  </si>
  <si>
    <t>Hex</t>
  </si>
  <si>
    <t>the petrified eye of a newt</t>
  </si>
  <si>
    <t>You place a curse on a creature that you can see within range. Until the spell ends, you deal an extra 1d6 necrotic damage to the target whenever you hit it with an attack. Also, choose one ability when you cast the spell. The target has disadvantage on ability checks made with the chosen ability. 
If the target drops to 0 hit points before this spell ends, you can use a bonus action on a subsequent turn of yours to curse a new creature. A remove curse cast on the target ends this spell early. 
At Higher Levels. When you cast this spell using a spell slot of 3rd or 4th level, you can maintain your concentration on the spell for up to 8 hours. When you use a spell slot of 5th level or higher, you can maintain your concentration on the spell for up to 24 hours.</t>
  </si>
  <si>
    <t>+1d6 necrotic extra dam., choose one ability for disadv.</t>
  </si>
  <si>
    <t>Hunger of Hadar</t>
  </si>
  <si>
    <t>a pickled octopus tentacle</t>
  </si>
  <si>
    <t>You open a gateway to the dark between the stars, a region infested with unknown horrors. A 20-foot-radius sphere of blackness and bitter cold appears, centered on a point with range and lasting for the duration. This void is filled with a cacophony of soft whispers and slurping noises that can be heard up to 30 feet away. No light, magical or otherwise, can illuminate the area, and creatures fully within the area are blinded. 
The void creates a warp in the fabric of space, and the area is difficult terrain. Any creature that starts its turn in the area takes 2d6 cold damage. Any creature that ends its turn in the area must succeed on a Dexterity saving throw or take 2d6 acid damage as milky, otherworldly tentacles rub against it.</t>
  </si>
  <si>
    <t>20ft rad, start 2d6 cold, end 2d6 acid - dex save</t>
  </si>
  <si>
    <t>Lightning Arrow</t>
  </si>
  <si>
    <t>The next time you make a ranged weapon attack during the spell’s duration, the weapon’s ammunition, or the weapon itself if it’s a thrown weapon, transforms into a bolt of lightning. Make the attack roll as normal. The target takes 4d8 lightning damage on a hit, or half as much damage on a miss, instead of the weapon’s normal damage. 
Whether you hit or miss, each creature within 10 feet of the target must make a Dexterity saving throw. Each of these creatures takes 2d8 lightning damage on a failed save, or half as much damage on a successful one. The piece of ammunition or weapon then returns to its normal form. 
At Higher Levels. When you cast this spell using a spell slot of 4th level or higher, the damage for both effects of the spell increases by 1d8 for each slot level above 3rd.</t>
  </si>
  <si>
    <t>Trap the Soul</t>
  </si>
  <si>
    <t>50 ft</t>
  </si>
  <si>
    <t>permanent</t>
  </si>
  <si>
    <t>a gemstone worth at least 1,000 gp for each Hit Die of the creature that is trapped</t>
  </si>
  <si>
    <t xml:space="preserve">Choose a creature within range that you can see. The target must make a Wisdom saving throw. On a failed save, you force the target’s soul into a gemstone. While its soul is so trapped, the target’s body and all the equipment it is carrying cease to exist. The gem holds the target indefinitely or until the gem is broken, at which time the target’s body reforms in an unoccupied space nearest to the gem and in the same state as when this spell was cast on it, with all the equipment it was carrying when it was trapped. You, and you alone, can communicate telepathically with the trapped soul. Other creatures that inspect the gemstone see a tiny figure inside it. If you speak the target’s true name when you cast the spell, the target has disadvantage on the saving throw. </t>
  </si>
  <si>
    <t>one creature, wis save or soul trapped in gem (1,000 gp per HD)</t>
  </si>
  <si>
    <t>1st LEVEL</t>
  </si>
  <si>
    <t>2nd LEVEL</t>
  </si>
  <si>
    <t>3rd LEVEL</t>
  </si>
  <si>
    <t>4th LEVEL</t>
  </si>
  <si>
    <t>5th LEVEL</t>
  </si>
  <si>
    <t>You summon a fey creature of challenge rating 6 or lower, or a fey spirit that takes the form of a beast of challenge rating 6 or lower. It appears in an unoccupied space that you can see within range. The fey creature disappears when it drops to 0 hit points or when the spell ends. 
The fey creature is friendly to you and your companions for the duration. Roll initiative for the creature, which has its own turns. It obeys any verbal commands that you issue to it (no action required by you), as long as they don't violate its alignment. If you don’t issue any commands to the fey creature, it defends itself from hostile creatures but otherwise takes no actions. 
If your concentration is broken, the fey creature doesn’t disappear. Instead, you lose control of the fey creature, it becom es hostile toward you and your companions, and it might attack. An uncontrolled fey creature can't be dismissed by you, and it disappears 1 hour after you summoned it. 
The DM has the fey creature’s statistics. 
At Higher Levels. When you cast this spell using a spell slot of  level or higher, the challenge rating increases by 1 for each slot level above 6th.</t>
  </si>
  <si>
    <t>Choose one type of artisan's tools or one musical instrument</t>
  </si>
  <si>
    <t>Strength, Dexterity</t>
  </si>
  <si>
    <t>Choose 2 from Acrobatics, Athletics, History, Insight, Religion and Stealth</t>
  </si>
  <si>
    <t>Movement</t>
  </si>
  <si>
    <t>Way of the Four Elements</t>
  </si>
  <si>
    <t>Way of the Open Hand</t>
  </si>
  <si>
    <t>Way of Shadow</t>
  </si>
  <si>
    <t>MONK ELEMENTAL DISCIPLINES</t>
  </si>
  <si>
    <t>ELEMENTAL DISCIPLINES</t>
  </si>
  <si>
    <t>Fangs of the Fire Snake</t>
  </si>
  <si>
    <t>Fist of Four Thunders</t>
  </si>
  <si>
    <t>Fist of Unbroken Air</t>
  </si>
  <si>
    <t>Rush of the Gale Spirits</t>
  </si>
  <si>
    <t>Shape the Flowing River</t>
  </si>
  <si>
    <t>Sweeping Cinder Strike</t>
  </si>
  <si>
    <t>Water Whip</t>
  </si>
  <si>
    <t>Clench of the North Wind</t>
  </si>
  <si>
    <t>Gong of the Summit</t>
  </si>
  <si>
    <t>Eternal Mountain Defense</t>
  </si>
  <si>
    <t>Flames of the Phoenix</t>
  </si>
  <si>
    <t>Mist Stance</t>
  </si>
  <si>
    <t>Ride the Wind</t>
  </si>
  <si>
    <t>Breath of Winter</t>
  </si>
  <si>
    <t>River of Hungry Flame</t>
  </si>
  <si>
    <t>Wave of Rolling Earth</t>
  </si>
  <si>
    <t>KI</t>
  </si>
  <si>
    <t>1+1</t>
  </si>
  <si>
    <t>2+n</t>
  </si>
  <si>
    <t>Choose 3 from Animal Handling, Athletics, Insight, Investigation, Nature, Perception, Stealth, and Survival</t>
  </si>
  <si>
    <t>Choose 1 from Animal Handling, Athletics, Insight, Investigation, Nature, Perception, Stealth, and Survival</t>
  </si>
  <si>
    <t>BARBARIAN TOTEM SPIRITS</t>
  </si>
  <si>
    <t>TOTEM SPIRITS</t>
  </si>
  <si>
    <t>Bear</t>
  </si>
  <si>
    <t>Eagle</t>
  </si>
  <si>
    <t>Wolf</t>
  </si>
  <si>
    <t>While raging, resistance to all damage except psychic damage.</t>
  </si>
  <si>
    <t>While raging, friends have advantage on melee attack rolls against any creature within 5 feet of you that is hostile to you.</t>
  </si>
  <si>
    <t>While raging, flying speed equals walking speed. Fall if end turn in the air.</t>
  </si>
  <si>
    <t>While raging, bonus action to knock a Large or smaller creature prone when hit with melee weapon attack.</t>
  </si>
  <si>
    <t>Carrying capacity (incl. max. load &amp; max. lift) is doubled. Advantage on Strength checks to push, pull, lift, or break objects.</t>
  </si>
  <si>
    <t>See up to 1 mile away. No disadvantage on Wisdom (Perception) checks in dim light.</t>
  </si>
  <si>
    <t>Track creatures while traveling at a fast pace, move stealthily while traveling at a normal pace.</t>
  </si>
  <si>
    <t>High Elf</t>
  </si>
  <si>
    <t>GUILD BUSINESS</t>
  </si>
  <si>
    <t>ORIGIN</t>
  </si>
  <si>
    <t>FAVOURITE SCHEMES</t>
  </si>
  <si>
    <t>CRIMINAL SPECIALTY</t>
  </si>
  <si>
    <t>ENTERTAINER ROUTINES</t>
  </si>
  <si>
    <t>DEFINING EVENT</t>
  </si>
  <si>
    <t>LIFE OF SECLUSION</t>
  </si>
  <si>
    <t>SPECIALTY</t>
  </si>
  <si>
    <t xml:space="preserve">Favourite Schemes: </t>
  </si>
  <si>
    <t xml:space="preserve">Criminal Specialty: </t>
  </si>
  <si>
    <t xml:space="preserve">Entertainer Routines: </t>
  </si>
  <si>
    <t xml:space="preserve">Defining Event: </t>
  </si>
  <si>
    <t xml:space="preserve">Guild Business: </t>
  </si>
  <si>
    <t xml:space="preserve">Life Of Seclusion: </t>
  </si>
  <si>
    <t xml:space="preserve">   Since you come from the ranks of the common folk, you fit in among them with ease.</t>
  </si>
  <si>
    <t xml:space="preserve">   You have a reliable and trustworthy contact who acts as your liaison to a network of other criminals.</t>
  </si>
  <si>
    <t xml:space="preserve">I was communal living in accordance with the dictates of a religious order. </t>
  </si>
  <si>
    <t>--</t>
  </si>
  <si>
    <t>ATTUNED MAGICAL ITEMS</t>
  </si>
  <si>
    <t>Bite melee +0, reach 5ft, 1 piercing</t>
  </si>
  <si>
    <t>Claw Melee +0, reach 5ft, 1 slashing</t>
  </si>
  <si>
    <t>Crab</t>
  </si>
  <si>
    <t>20ft, swim 20ft</t>
  </si>
  <si>
    <t>Stealth +2</t>
  </si>
  <si>
    <t>passive Perception 11, blindsight 60 ft</t>
  </si>
  <si>
    <t>passive Perception 13</t>
  </si>
  <si>
    <t>passive Perception 9, blindsight 30ft</t>
  </si>
  <si>
    <t>passive Perception 11, darkvision 30 ft</t>
  </si>
  <si>
    <t>passive Perception 14</t>
  </si>
  <si>
    <t>passive Perception 13, darkvision 120 ft</t>
  </si>
  <si>
    <t>passive Perception 10, darkvision 30 ft</t>
  </si>
  <si>
    <t>passive Perception 10, blindsight 10 ft</t>
  </si>
  <si>
    <t>Claw Melee +0, reach 5ft, 1 bludgeoning</t>
  </si>
  <si>
    <t>Badger</t>
  </si>
  <si>
    <t>20ft, burrow 5ft</t>
  </si>
  <si>
    <t>Bite melee +2, reach 5ft, 1 piercing</t>
  </si>
  <si>
    <t>Talons melee +5, reach 5ft, 1 slashing</t>
  </si>
  <si>
    <t>passive Perception 9, darkvision 30 ft</t>
  </si>
  <si>
    <t>Octopus</t>
  </si>
  <si>
    <t>5 ft, swim 30ft</t>
  </si>
  <si>
    <t>Perception +2, Stealth +4</t>
  </si>
  <si>
    <t>passive Perception 12, darkvision 30 ft</t>
  </si>
  <si>
    <t>Tentacles melee +4, reach 5ft, 1 bludgeoning. [Ink Cloud 5ft rad. 1min]</t>
  </si>
  <si>
    <t>Talons melee +3, reach 5ft, 1 slashing</t>
  </si>
  <si>
    <t>Bite melee +5, reach 5ft, 1 piercing
DC10 Con save ½ , 2d4 poison</t>
  </si>
  <si>
    <t>Lizard</t>
  </si>
  <si>
    <t>Quipper</t>
  </si>
  <si>
    <t>0 ft, swim 40 ft</t>
  </si>
  <si>
    <t>passive Perception 8, darkvision 60 ft</t>
  </si>
  <si>
    <t>Beak melee +4, reach 5ft, 1 piercing</t>
  </si>
  <si>
    <t>Scorpion</t>
  </si>
  <si>
    <t>passive Perception 9, blindsight 10ft</t>
  </si>
  <si>
    <r>
      <t xml:space="preserve">Sting melee +2, reach 5ft, 1 piercing
DC 9 Con save </t>
    </r>
    <r>
      <rPr>
        <sz val="8"/>
        <rFont val="Calibri"/>
        <family val="2"/>
      </rPr>
      <t>½</t>
    </r>
    <r>
      <rPr>
        <sz val="8"/>
        <rFont val="Arial"/>
        <family val="2"/>
      </rPr>
      <t>, 1d8 poison</t>
    </r>
  </si>
  <si>
    <r>
      <t xml:space="preserve">Bite melee +4, reach 5ft, 1 piercing
DC 9 Con save </t>
    </r>
    <r>
      <rPr>
        <sz val="8"/>
        <rFont val="Calibri"/>
        <family val="2"/>
      </rPr>
      <t>½, 1d4 poison</t>
    </r>
  </si>
  <si>
    <t>Bite melee +5, reach 5ft, 1 piercing</t>
  </si>
  <si>
    <t>FAVOURED ENEMY</t>
  </si>
  <si>
    <t>aberrations</t>
  </si>
  <si>
    <t>beasts</t>
  </si>
  <si>
    <t>celestials</t>
  </si>
  <si>
    <t>constructs</t>
  </si>
  <si>
    <t>dragons</t>
  </si>
  <si>
    <t>elementals</t>
  </si>
  <si>
    <t>fey</t>
  </si>
  <si>
    <t>fiends</t>
  </si>
  <si>
    <t>giants</t>
  </si>
  <si>
    <t>monstrosities</t>
  </si>
  <si>
    <t>oozes</t>
  </si>
  <si>
    <t>plants</t>
  </si>
  <si>
    <t>undead</t>
  </si>
  <si>
    <t>humanoid</t>
  </si>
  <si>
    <t>aasimar</t>
  </si>
  <si>
    <t>bugbear</t>
  </si>
  <si>
    <t>bullywug</t>
  </si>
  <si>
    <t>catfolk</t>
  </si>
  <si>
    <t>darfellan</t>
  </si>
  <si>
    <t>dark one</t>
  </si>
  <si>
    <t>dragonborn</t>
  </si>
  <si>
    <t>dwarf</t>
  </si>
  <si>
    <t>eladrin</t>
  </si>
  <si>
    <t>elf</t>
  </si>
  <si>
    <t>genasi</t>
  </si>
  <si>
    <t>gibberling</t>
  </si>
  <si>
    <t>githyanki</t>
  </si>
  <si>
    <t>githzerai</t>
  </si>
  <si>
    <t>gnoll</t>
  </si>
  <si>
    <t>gnome</t>
  </si>
  <si>
    <t>goblin</t>
  </si>
  <si>
    <t>goliath</t>
  </si>
  <si>
    <t>grippli</t>
  </si>
  <si>
    <t>half-elf</t>
  </si>
  <si>
    <t>half-orc</t>
  </si>
  <si>
    <t>halfling</t>
  </si>
  <si>
    <t>hobgoblin</t>
  </si>
  <si>
    <t>human</t>
  </si>
  <si>
    <t>kenku</t>
  </si>
  <si>
    <t>kobold</t>
  </si>
  <si>
    <t>lizardfolk</t>
  </si>
  <si>
    <t>locathah</t>
  </si>
  <si>
    <t>merfolk</t>
  </si>
  <si>
    <t>mongrelfolk</t>
  </si>
  <si>
    <t>mul</t>
  </si>
  <si>
    <t>nilbog</t>
  </si>
  <si>
    <t>norker</t>
  </si>
  <si>
    <t>orc</t>
  </si>
  <si>
    <t>orog</t>
  </si>
  <si>
    <t>rakasta</t>
  </si>
  <si>
    <t>saurial</t>
  </si>
  <si>
    <t>selkie</t>
  </si>
  <si>
    <t>shifter</t>
  </si>
  <si>
    <t>skulk</t>
  </si>
  <si>
    <t>swanmay</t>
  </si>
  <si>
    <t>tasloi</t>
  </si>
  <si>
    <t>tiefling</t>
  </si>
  <si>
    <t>troglodyte</t>
  </si>
  <si>
    <t>HEALTH &amp; ARMOR</t>
  </si>
  <si>
    <t>--HUMANOIDS--</t>
  </si>
  <si>
    <t>CARRIED</t>
  </si>
  <si>
    <t>Ranger Archetype</t>
  </si>
  <si>
    <t>RANGER NATURAL EXPLORER</t>
  </si>
  <si>
    <t>NATURAL EXPLORER</t>
  </si>
  <si>
    <t>Hunter</t>
  </si>
  <si>
    <t>Beast Master</t>
  </si>
  <si>
    <t>Hunter's Prey</t>
  </si>
  <si>
    <t>Defensive Tactics</t>
  </si>
  <si>
    <t>Multiattack</t>
  </si>
  <si>
    <t>Ranger's Companion</t>
  </si>
  <si>
    <t>Exceptional Training</t>
  </si>
  <si>
    <t>Bestial Fury</t>
  </si>
  <si>
    <t>Share Spells</t>
  </si>
  <si>
    <t>RANGER HUNTER</t>
  </si>
  <si>
    <t>Giant Killer</t>
  </si>
  <si>
    <t>Escape the Horde</t>
  </si>
  <si>
    <t>Multiattack Defense</t>
  </si>
  <si>
    <t>Volley</t>
  </si>
  <si>
    <t>Superior Defense</t>
  </si>
  <si>
    <t>Evasion</t>
  </si>
  <si>
    <t>Stand Against the Tide</t>
  </si>
  <si>
    <t>BeastMaster</t>
  </si>
  <si>
    <t>RANGER HUNTER FEATURES</t>
  </si>
  <si>
    <t>Languages</t>
  </si>
  <si>
    <t>CHARACTER PORTRAIT</t>
  </si>
  <si>
    <t>CONDITIONS</t>
  </si>
  <si>
    <t>EXHAUSTION</t>
  </si>
  <si>
    <t>Level</t>
  </si>
  <si>
    <t>Disadvantage on ability checks</t>
  </si>
  <si>
    <t>Speed halved</t>
  </si>
  <si>
    <t>Disadvantage on attack rolls and saving throws</t>
  </si>
  <si>
    <t>Hit point maximum halved</t>
  </si>
  <si>
    <t>Speed reduced to 0</t>
  </si>
  <si>
    <t>Finishing a long rest reduces a creature's exhaustion level by 1, provided that the creature has also ingested some food and drink.</t>
  </si>
  <si>
    <t>Effect (Cumulative)</t>
  </si>
  <si>
    <t>Current Level</t>
  </si>
  <si>
    <t>CHARACTER NOTES</t>
  </si>
  <si>
    <t>DRUID</t>
  </si>
  <si>
    <t>ᵈ</t>
  </si>
  <si>
    <t xml:space="preserve">ᴴ </t>
  </si>
  <si>
    <t>OATH SPELL</t>
  </si>
  <si>
    <t>ᵒ</t>
  </si>
  <si>
    <t>ᶜ</t>
  </si>
  <si>
    <t>CIRCLE SPELL</t>
  </si>
  <si>
    <t>CLASS
MODIFIER</t>
  </si>
  <si>
    <t>60ft cone, 3d8 (weapon type), dex save ½</t>
  </si>
  <si>
    <t>30ft rad, 5d6 thunder + 5d6 radient, con save ½</t>
  </si>
  <si>
    <t>7d8+30 necrotic, con save ½</t>
  </si>
  <si>
    <t>14d6 necrotic, con save ½, cannot reduce below 1 HP</t>
  </si>
  <si>
    <t>2d10 radiant, con save ½</t>
  </si>
  <si>
    <t>40ft sq, reshape ½ area's largest dimension in 10 min</t>
  </si>
  <si>
    <t>ranged, ½ damage for str attacks</t>
  </si>
  <si>
    <t>6 target in 40ft, wis save, -2 AC, ½ speed etc.</t>
  </si>
  <si>
    <t>15ft rad, 3d8 radiant or necrotic, wis save ½</t>
  </si>
  <si>
    <t>melee, 3d6 necrotic, heal ½, attack each turn</t>
  </si>
  <si>
    <t>wis save,  bonus action to direct to a position horizontal to you</t>
  </si>
  <si>
    <t>target +5ft, 1d10 pierce, dex save ½</t>
  </si>
  <si>
    <t>20ft rad sphere, 4d10 pierce, con save ½</t>
  </si>
  <si>
    <t>20ft rad, 2d4 pierce per 5ft move</t>
  </si>
  <si>
    <t>1x15x50ft long, 3d8 bludgeon, str save ½</t>
  </si>
  <si>
    <t>60ft sphere, 8d6 necrotic, con save ½</t>
  </si>
  <si>
    <t>3 facts of the land within 3 miles or 300ft if underground</t>
  </si>
  <si>
    <t>40,000sqft, 5d10 radiant or necrotic, choose creature</t>
  </si>
  <si>
    <t>2,500sqft warded area, choose one spell effect</t>
  </si>
  <si>
    <t>+10ft movement</t>
  </si>
  <si>
    <t>30ft rad, simple commands &amp; questions to plants</t>
  </si>
  <si>
    <t>ranged weapon, 4d8 lightning ½ on miss. 10ft rad, 2d8 lightning, dex save ½</t>
  </si>
  <si>
    <t>one humanoid charmed, wis</t>
  </si>
  <si>
    <t>10d6+40 force, disintintegrated if 0 HP or less, dex save</t>
  </si>
  <si>
    <t>a diamond worth at least 1,000 gp and at least 1 cubic inch of flesh of the creature that is to be cloned, which the spell consumes, and a vessel worth at least 2,000 gp that has a sealable lid and is large enough to hold a Medium creature, such as a huge urn, coffin, mud-filled cyst in the ground, or crystal container filled with salt water</t>
  </si>
  <si>
    <t>wis save, disadvantage Wisdom (Perception) checks</t>
  </si>
  <si>
    <t>20ft square, str save, restrained</t>
  </si>
  <si>
    <t>next weapon att, str save, restrained, 1d6 pierce end of turn</t>
  </si>
  <si>
    <r>
      <t xml:space="preserve">enlarge x2 weight x8 or reduce ½ weight </t>
    </r>
    <r>
      <rPr>
        <sz val="8"/>
        <rFont val="Calibri"/>
        <family val="2"/>
      </rPr>
      <t>÷</t>
    </r>
    <r>
      <rPr>
        <sz val="8"/>
        <rFont val="Arial Narrow"/>
        <family val="2"/>
      </rPr>
      <t>8</t>
    </r>
  </si>
  <si>
    <t>advantage on ability check, choose one</t>
  </si>
  <si>
    <t>+1 attack, +1d4 elemental damage you choose</t>
  </si>
  <si>
    <t>100ft rad seismic disturbance, 1d6 fissures open</t>
  </si>
  <si>
    <t>beguile a beast, wis save, charmed</t>
  </si>
  <si>
    <t>beguile a creature, wis save, charmed</t>
  </si>
  <si>
    <t>beguile a humanoid, wis save, charmed</t>
  </si>
  <si>
    <t>wis save, 3d6 psychic, use its reaction to move away from you</t>
  </si>
  <si>
    <t>summon fey creatures 1xCR2, 2xCR1, 4xCR½, or 8xCR¼</t>
  </si>
  <si>
    <t>summon fey spirits 1xCR2, 2xCR1, 4xCR½, or 8xCR¼</t>
  </si>
  <si>
    <t>20ft rad, 5d8 choose damage type, dex save ½ or spell glyph</t>
  </si>
  <si>
    <t>summon spirit steed, communicate telepathically up to 1 mile</t>
  </si>
  <si>
    <t>animate up to 10 objects</t>
  </si>
  <si>
    <t xml:space="preserve">resistance to blugeon, pierce &amp; slash damage </t>
  </si>
  <si>
    <t>disadvantage on attack rolls against you</t>
  </si>
  <si>
    <t>30ft rad sphere, advantage saves (spell, magic), 0 dam if save</t>
  </si>
  <si>
    <t>5ft cube, 4d4 slash, entering or start turn</t>
  </si>
  <si>
    <t>You create a 20-foot-radius sphere of poisonous, yellow green fog centered on a point you choose within range. The fog spreads around corners. It lasts for the duration or until strong wind disperses the fog, ending the spell. Its area is heavily obscured. 
When a creature enters the spell’s area for the first time on a turn or starts its turn there, that creature must make a Constitution saving throw. The creature takes 5d8 poison damage on a failed save, or half as much damage on a successful one. Creatures are affected even if they hold their breath or don’t need to breathe. 
The fog moves 10 feet away from you at the start of each of your turns, rolling along the surface of the ground. The vapors, being heavier than air, sink to the lowest level of the land, even pouring down openings. 
At Higher Levels. When you cast this spell using a spell slot of 6th level or higher, the damage increases by 1d8 for each slot level above 5th.</t>
  </si>
  <si>
    <t>sense presence of magic within 30 feet</t>
  </si>
  <si>
    <t>aberration, celestial, elemental, fey, fiend, or undead within 30ft</t>
  </si>
  <si>
    <t>poisons, poisonous creatures, &amp; diseases within 30 feet</t>
  </si>
  <si>
    <t>read thoughts of certain creatures</t>
  </si>
  <si>
    <t>resistance to nonmagical blugeon, pierce &amp; slash damage</t>
  </si>
  <si>
    <t xml:space="preserve">create sound or image of an object </t>
  </si>
  <si>
    <t>25 words or less, over 10 min</t>
  </si>
  <si>
    <t>15ft rad sphere, cha save, can't speak deliberate lie</t>
  </si>
  <si>
    <t>5ft wide, 10ft high, 60ft long, 7d8 pierce, dex save ½</t>
  </si>
  <si>
    <t>invisible servant that performs simple tasks.</t>
  </si>
  <si>
    <t>50x300x300ft wall, 6d10 str save ½, -1d10 per rnd</t>
  </si>
  <si>
    <t>on next turn, advantage on first attack</t>
  </si>
  <si>
    <t>truesight 120ft, see into Etheral Plane</t>
  </si>
  <si>
    <t>tranform creature &gt; creature, creature &gt; object, object &gt; creature</t>
  </si>
  <si>
    <t>bright 20ft rad, dim for additional 20ft</t>
  </si>
  <si>
    <t>Choose any 3</t>
  </si>
  <si>
    <t xml:space="preserve">   Gain +2 bonus to attack rolls made with ranged weapons</t>
  </si>
  <si>
    <t xml:space="preserve">   Gain +1 bonus to armor class when wearing armor</t>
  </si>
  <si>
    <t xml:space="preserve">   Gain +2 bonus to damage rolls when wielding a melee weapon in one hand and no other weapon.</t>
  </si>
  <si>
    <t xml:space="preserve">   When engaging in two-weapon fighting, add your ability modifier to the second attack</t>
  </si>
  <si>
    <t>Channel Divinity: Read Thoughts</t>
  </si>
  <si>
    <t>Visions of the Past: Object Reading, Area Reading</t>
  </si>
  <si>
    <t>Channel Divinity: Cloak of Shadows</t>
  </si>
  <si>
    <t>Channel Divinity: War God's Blessing</t>
  </si>
  <si>
    <t>Assasinate, Bonus Proficiencies: disguise kit, poisoner's kit</t>
  </si>
  <si>
    <t>Fey</t>
  </si>
  <si>
    <t>Fiend</t>
  </si>
  <si>
    <t>Tiny</t>
  </si>
  <si>
    <t>higher</t>
  </si>
  <si>
    <t>mastery</t>
  </si>
  <si>
    <t>signature</t>
  </si>
  <si>
    <t>ᵐ</t>
  </si>
  <si>
    <t>MASTERY</t>
  </si>
  <si>
    <t>ˢ</t>
  </si>
  <si>
    <t>SIGNATURE</t>
  </si>
  <si>
    <t>skills</t>
  </si>
  <si>
    <t>tools</t>
  </si>
  <si>
    <t>Detail</t>
  </si>
  <si>
    <t>level</t>
  </si>
  <si>
    <t>prerequisite</t>
  </si>
  <si>
    <t>short</t>
  </si>
  <si>
    <t>ability</t>
  </si>
  <si>
    <t>##</t>
  </si>
  <si>
    <t>CH</t>
  </si>
  <si>
    <t>ST</t>
  </si>
  <si>
    <t>IN</t>
  </si>
  <si>
    <t>CO</t>
  </si>
  <si>
    <t>A</t>
  </si>
  <si>
    <t>SD</t>
  </si>
  <si>
    <t>SC</t>
  </si>
  <si>
    <t>IW</t>
  </si>
  <si>
    <t>RESILENT FEAT</t>
  </si>
  <si>
    <t>Sorcerous Origin</t>
  </si>
  <si>
    <t>Constitution, Charisma</t>
  </si>
  <si>
    <t>Choose 2 from Arcana, Deception, Insight, Intimidation, Persuasion, and Religion</t>
  </si>
  <si>
    <t>Draconic Bloodline</t>
  </si>
  <si>
    <t>Wild Magic</t>
  </si>
  <si>
    <t>WIZARD, CLERIC, DRUID, BARD, SORCERER</t>
  </si>
  <si>
    <t>SORCERER</t>
  </si>
  <si>
    <t>Dragon Ancestor, Draconic Resilience</t>
  </si>
  <si>
    <t>Elemental Affinity</t>
  </si>
  <si>
    <t>Draconic Presence</t>
  </si>
  <si>
    <t>Wild Mage Surge, Tide of Chaos</t>
  </si>
  <si>
    <t>Bend Luck</t>
  </si>
  <si>
    <t>Controlled Chaos</t>
  </si>
  <si>
    <t>Spell Bombardment</t>
  </si>
  <si>
    <t xml:space="preserve">SPELLS SLOTS </t>
  </si>
  <si>
    <t>SORCERY POINTS</t>
  </si>
  <si>
    <t>1st</t>
  </si>
  <si>
    <t>2nd</t>
  </si>
  <si>
    <t>3rd</t>
  </si>
  <si>
    <t>METAMAGIC</t>
  </si>
  <si>
    <t>Careful Spell</t>
  </si>
  <si>
    <t>Distant Spell</t>
  </si>
  <si>
    <t>Empowered Spell</t>
  </si>
  <si>
    <t>Extended Spell</t>
  </si>
  <si>
    <t>Heightened Spell</t>
  </si>
  <si>
    <t>Quickened Spell</t>
  </si>
  <si>
    <t>Subtle Spell</t>
  </si>
  <si>
    <t>Twinned Spell</t>
  </si>
  <si>
    <t>SPELL MASTERY / SIGNATURE SPELLS</t>
  </si>
  <si>
    <t>DRAGON ANCESTRY</t>
  </si>
  <si>
    <t>Young dragonborn grow quickly. They walk hours after hatching, attain the size and development of a 10-year-old human child by the age of 3, and reach adulthood by 15. They live to be around 80.</t>
  </si>
  <si>
    <t>Gnomes mature at the same rate humans do, and most are expected to settle down into an adult life by around age 40. They can live 350 to almost 500 years.</t>
  </si>
  <si>
    <t>Half-elves mature at the same rate humans do and reach adulthood around the age of 20. They live much longer than humans, however, often exceeding 180 years.</t>
  </si>
  <si>
    <t>Half-orcs mature a little faster than humans, reaching adulthood around age 14. They age noticeably faster and rarely live longer than 75 years.</t>
  </si>
  <si>
    <t>DraconicBloodline</t>
  </si>
  <si>
    <t>WildMagic</t>
  </si>
  <si>
    <t>60x10ft, str save, pushed 15ft</t>
  </si>
  <si>
    <t>20ft rad sphere, con save, action spent reaching and reeling</t>
  </si>
  <si>
    <t>invisible, magical eye 30ft normal vision and darkvision</t>
  </si>
  <si>
    <t>turn willing creatures into Large or smaller beasts less than CR4</t>
  </si>
  <si>
    <t>create Medium or smaller undead servant</t>
  </si>
  <si>
    <t>By means of this spell, you use an animal to deliver a message. Choose a Tiny beast you can see within range, such as a squirrel, a blue jay, or a bat. You specify a location, which you must have visited, and a recipient who matches a general description, such as “a man or woman dressed in the uniform of the town guard” or “a red-haired dwarf wearing a pointed hat.” You also speak a message of up to twenty-five words. The target beast travels for the duration of the spell toward the specified location, covering about 50 miles per 24 hours for a flying messenger, or 25 miles for other animals. 
When the messenger arrives, it delivers your message to the creature that you described, replicating the sound of your voice. The messenger speaks only to a creature matching the description you gave. If the messenger doesn’t reach its destination before the spell ends, the message is lost, and the beast makes its way back to where you cast this spell. 
At Higher Levels. If you cast this spell using a spell slot of 3nd level or higher, the duration of the spell increases by 48 hours for each slot level above 2nd.</t>
  </si>
  <si>
    <t>This spell creates an undead servant. Choose a pile of bones or a corpse of a Medium or Small humanoid within range. Your spell imbues the target with a foul mimicry of life, raising it as an undead creature. The target becomes a skeleton if you chose bones or a zombie if you chose a corpse (the DM has the creature’s game statistics).
On each of your turns, you can use a bonus action to mentally command any creature you made with this spell if the creature is within 60 feet of you (if you control multiple creatures, you can command any or all of them at the same time, issuing the same command to each one). You decide what action the creature will take and where it will move during its next turn, or you can issue a general command, such as to guard a particular chamber or corridor. If you issue no commands, the creature only defends itself against hostile creatures. Once given an order, the creature continues to follow it until its task is complete. 
The creature is under your control for 24 hours, after which it stops obeying any command you’ve given it. To maintain control of the creature for another 24 hours, you must cast this spell on the creature again before the current 24-hour period ends. This use of the spell reasserts your control over up to four creatures you have animated with this spell, rather than animating a new one. 
At Higher Levels. When you cast this spell using a spell slot of 4th level or higher, you animate or reassert control over two additional undead creatures for each slot level above 3rd. Each of the creatures must come from a different corpse or pile of bones.</t>
  </si>
  <si>
    <t>A protective magical force surrounds you, manifesting as a spectral frost that covers you and your gear. You gain 5 temporary hit points for the duration. If a creature hits you with a melee attack while you have these hit points, the creature takes 5 cold damage. 
At Higher Levels. When you cast this spell using a spell slot of 2nd level or higher, both the temporary hit points and the cold damage increase by 5 for each slot level above 1st.</t>
  </si>
  <si>
    <t>You invoke the power of Hadar, the Dark Hunger. Tendrils of dark energy erupt from you and batter all creatures within 10 feet of you. Each creature in that area must make a Strength saving throw. On a failed save, a target takes 2d6 necrotic damage and can’t take reactions until its next turn. On a successful save, the creature takes half damage, but suffers no other effect.
At Higher Levels. When you cast this spell using a spell slot of 2nd level or higher, the damage increases by 1d6 for each slot level above 1st.</t>
  </si>
  <si>
    <t>Up to three creatures of your choice that you can see within range must make Charisma saving throws. Whenever a target that fails this saving throw makes an attack roll or a saving throw before the spell ends, the target must roll a d4 and subtract the number rolled from the attack roll or saving throw. 
At Higher Levels. When you cast this spell using a spell slot of 2nd level or higher, you can target one additional creature for each slot level above 1st.</t>
  </si>
  <si>
    <t>You attempt to send one creature that you can see within range to another plane of existence. The target must succeed on a Charisma saving throw or be banished. 
If the target is native to the plane of existence you’re on, you banish the target to a harmless demiplane. While there, the target is incapacitated. The target remains there until the spell ends, at which point the target reappears in the space it left or in the nearest unoccupied space if that space is occupied. 
If the target is native to a different plane of existence than the one you’re on, the target is banished with a faint popping noise, returning to its home plane. If the spell ends before 1 minute has passed, the target reappears in the space it left or in the nearest unoccupied space if that space is occupied. Otherwise, the target doesn't return.
 At Higher Levels. When you cast this spell using a spell slot of 5th level or higher, you can target one additional creature for each slot level above 4th.</t>
  </si>
  <si>
    <t>You touch a creature, and that creature must succeed on a Wisdom saving throw or become cursed for the duration of the spell. When you cast this spell, choose the nature of the curse from the following options:
• Choose one ability score. While cursed, the target has disadvantage on ability checks and saving throws made with that ability score. 
• While cursed, the target has disadvantage on attack rolls against you. 
• While cursed, the target must make a Wisdom saving throw at the start of each of its turns. If it fails, it wastes its action that turn doing nothing. 
• While the target is cursed, your attacks and spells deal an extra 1d8 necrotic damage to the target.
A remove curse spell ends this effect. At the DM’s option, you may choose an alternative curse effect, but it should be no more powerful than those described above. The DM has final say on such a curse’s effect. 
At Higher Levels. If you cast this spell using a spell slot of 4th level or higher, the duration is concentration, up to 10 minutes. If you use a spell slot of 5th level or higher, the duration is 8 hours. If you use a spell slot of 7th level or higher, the duration is 24 hours. If you use a 9th level spell slot, the spell lasts until it is dispelled. Using a spell slot of 5th level or higher grants a duration that doesn’t require concentration.</t>
  </si>
  <si>
    <t>You create a Large hand of shimmering, translucent force in an unoccupied space that you can see within range. The hand lasts for the spell’s duration, and it moves at your command, mimicking the movements of your own hand. 
The hand is an object that has AC 20 and hit points equal to your hit point maximum. If it drops to 0 hit points, the spell ends. It has a Strength of 26 (+8) and a Dexterity of 10 (+0). The hand doesn’t fill its space. 
When you cast the spell and as a bonus action on your subsequent turns, you can move the hand up to 60 feet and then cause one of the following effects with it. 
Clenched Fist. The hand strikes one creature or object within 5 feet of it. Make a melee spell attack for the hand using your game statistics. On a hit, the target takes 4d8 force damage. 
Forceful Hand. The hand attempts to push a creature within 5 feet of it in a direction you choose. Make a check with the hand’s Strength contested by the Strength (Athletics) check of the target. If the target is Medium or smaller, you have advantage on the check. If you succeed, the hand pushes the target up to 5 feet plus a number of feet equal to five times your spellcasting ability modifier. The hand moves with the target to remain within 5 feet of it. 
Grasping Hand. The hand attempts to grapple a Huge or smaller creature within 5 feet of it. You use the hand’s Strength score to resolve the grapple. If the target is Medium or smaller, you have advantage on the check. While the hand is grappling the target, you can use a bonus action to have the hand crush it. When you do so, the target takes bludgeoning damage equal to 2d6 + your spellcasting ability modifier. 
Interposing Hand. The hand interposes itself between you and a creature you choose until you give the hand a different command. The hand moves to stay between you and the target, providing you with half cover against the target. The target can't move through the hand’s space if its Strength score is less than or equal to the hand’s Strength score. If its Strength score is higher than the hand’s Strength score, the target can move toward you through the hand’s space, but that space is difficult terrain for the target. 
At Higher Levels. When you cast this spell using a spell slot of 6th level or higher, the damage from the clenched fist option increases by 2d8 and the damage from the grasping hand increases by 2d6 for each slot level above 5th.</t>
  </si>
  <si>
    <t xml:space="preserve">You bless up to three creatures of your choice within range. Whenever a target makes an attack roll or a saving throw before the spell ends, the target can roll a d4 and add the number rolled to the attack roll or saving throw. 
At Higher Levels. When you cast this spell using a spell slot of 2nd level or higher, you can target one additional creature for each slot level above 1st. </t>
  </si>
  <si>
    <t>Necromantic energy washes over a creature of your choice that you can see within range, draining moisture and vitality from it. The target must make a Constitution saving throw. The target takes 8d8 necrotic damage on a failed save, or half as much damage on a successful one. This spell has no effect on undead or constructs. 
If you target a plant creature or a magical plant, it makes the saving throw with disadvantage, and the spell deals maximum damage to it. 
If you target a nonmagical plant that isn’t a creature, such as a tree or shrub, it doesn’t make a saving throw; it simply withers and dies. 
At Higher Levels. When you cast this spell using a spell slot of 5th level or higher, the damage increases by 1d8 for each slot level above 4th.</t>
  </si>
  <si>
    <t>You can blind or deafen a foe. Choose one creature that you can see within range to make a Constitution saving throw. If it fails, the target is either blinded or deafened (your choice) for the duration. At the end of each of its turns, the target can make a Constitution saving throw. On a success, the spell ends. 
At Higher Levels. When you cast this spell using a spell slot of 3rd level or higher, you can target one additional creature for each slot level above 2nd</t>
  </si>
  <si>
    <t>The next time you hit a creature with a weapon attack before this spell ends, the weapon gleams with astral radiance as you strike. The attack deals an extra 2d6 radiant damage to the target, which becomes visible if it’s invisible, and the target sheds dim light in a 5-foot radius and can’t become invisible until the spell ends. 
At Higher Levels. When you cast this spell using a spell slot of 3rd level or higher, the extra damage increases by 1d6 for each slot level above 2nd.</t>
  </si>
  <si>
    <t xml:space="preserve">As you hold your hands with thumbs touching and fingers spread, a thin sheet of flames shoots forth from your outstretched fingertips. Each creature in a 15-foot cone must make a Dexterity saving throw. A creature takes 3d6 fire damage on a failed save, or half as much damage on a successful one. 
The fire ignites any flammable objects in the area that aren’t being worn or carried. 
At Higher Levels. When you cast this spell using a spell slot of 2nd level or higher, the damage increases by 1d6 for each slot level above 1st. </t>
  </si>
  <si>
    <t>A storm cloud appears in the shape of a cylinder that is 10 feet tall with a 60-foot radius, centered on a point you can see 100 feet directly above you. The spell fails if you can’t see a point in the air where the storm cloud could appear (for example, if you are in a room that can’t accommodate the cloud). 
When you cast the spell, choose a point you can see within range. A bolt of lightning flashes down from the cloud to that point. Each creature within 5 feet of that point must make a Dexterity saving throw. A creature takes 3d10 lightning damage on a failed save, or half as much damage on a successful one. On each of your turns until the spell ends, you can use your action to call down lightning in this way again, targeting the same point or a different one. 
If you are outdoors in stormy conditions when you cast this spell, the spell gives you control over the existing storm instead of creating a new one. Under such conditions, the spell’s damage increases by 1d10. 
At Higher Levels. When you cast this spell using a spell slot of 4th or higher level, the damage increases by 1d10 for each slot level above 3rd.</t>
  </si>
  <si>
    <t xml:space="preserve">You create a bolt of lightning that arcs toward a target of your choice that you can see within range. Three bolts then leap from that target to as many as three other targets, each of which must be within 30 feet of the first target. A target can be a creature or an object and can be targeted by only one of the bolts.
A target must make a Dexterity saving throw. The target takes 10d8 lightning damage on a failed save, or half as much damage on a successful one. 
At Higher Levels. When you cast this spell using a spell slot of  level or higher, one additional bolt leaps from the first target to another target for each slot level above 6th. </t>
  </si>
  <si>
    <t xml:space="preserve">You attempt to charm a humanoid you can see within range. It must make a Wisdom saving throw, and does so with advantage if you or your companions are fighting it. If it fails the saving throw, it is charmed by you until the spell ends or until you or your companions do anything harmful to it. The charmed creature regards you as a friendly acquaintance. When the spell ends, the creature knows it was charmed by you. 
At Higher Levels. When you cast this spell using a spell slot of 2nd level or higher, you can target one additional creature for each slot level above 1st. The creatures must be within 30 feet of each other when you target them. </t>
  </si>
  <si>
    <t>You hurl a 4-inch-diameter sphere of energy at a creature that you can see within range. You choose acid, cold, fire, lightning, poison, or thunder for the type of orb you create, and then make a ranged spell attack against the target. If the attack hits, the creature takes 3d8 damage of the type you chose. 
At Higher Levels. When you cast this spell using a spell slot of 2nd level or higher, the damage increases by 1d8 for each slot level above 1st</t>
  </si>
  <si>
    <t>You fill the air with spinning daggers in a cube 5 feet on each side, centered on a point you choose within range. A creature takes 4d4 slashing damage when it enters the spell’s area for the first time on a turn or starts its turn there. 
At Higher Levels. When you cast this spell using a spell slot of 3rd level or higher, the damage increases by 2d4 for each slot level above 2nd.</t>
  </si>
  <si>
    <t>A dazzling array of flashing, colored light springs from your hand. Roll 6d10; the total is how many hit points of creatures this spell can effect. Creatures in a 15-foot cone originating from you are affected in ascending order of their current hit points (ignoring unconscious creatures and creatures that can’t see). 
Starting with the creature that has the lowest current hit points, each creature affected by this spell is blinded until the spell ends. Subtract each creature’s hit points from the total before moving on to the creature with the next lowest hit points. A creature’s hit points must be equal to or less than the remaining total for that creature to be affected.
At Higher Levels. When you cast this spell using a spell slot of 2nd level or higher, roll an additional 2d10 for each slot level above 1st.</t>
  </si>
  <si>
    <t>You speak a one-word command to a creature you can see within range. The target must succeed on a Wisdom saving throw or follow the command on its next turn. The spell has no effect if the target is undead, if it doesn’t understand your language, or if your command is directly harmful to it. 
Some typical commands and their effects follow. You might issue a command other than one described here. If you do so, the DM determines how the target behaves. If the target can’t follow your command, the spell ends. 
Approach. The target moves toward you by the shortest and most direct route, ending its turn if it moves within 5 feet of you. 
Drop. The target drops whatever it is holding and then ends its turn. Flee. The target spends its turn moving away from you by the fastest available means. 
Grovel. The target falls prone and then ends its turn. 
Halt. The target doesn’t move and takes no actions. A flying creature stays aloft, provided that it is able to do so. If it must move to stay aloft, it flies the minimum distance needed to remain in the air. 
At Higher Levels. When you cast this spell using a spell slot of 2nd level or higher, you can affect one additional creature for each slot level above 1st. The creatures must be within 30 feet of each other when you target them.</t>
  </si>
  <si>
    <t xml:space="preserve">A blast of cold air erupts from your hands. Each creature in a 60-foot cone must make a Constitution saving throw. A creature takes 8d8 cold damage on a failed save, or half as much damage on a successful one. 
A creature killed by this spell becomes a frozen statue until it thaws. 
At Higher Levels. When you cast this spell using a spell slot of 6th level or higher, the damage increases by 1d8 for each slot level above 5th. </t>
  </si>
  <si>
    <t>You plant four pieces of nonmagical ammunition— arrows or crossbow bolts—in the ground within range and lay magic upon them to protect an area. Until the spell ends, whenever a creature other than you comes within 30 feet of the ammunition for the first time on a turn or ends its turn there, one piece of ammunition flies up to strike it. The creature must succeed on a Dexterity saving throw or take 1d6 piercing damage. The piece of ammunition is then destroyed. The spell ends when no ammunition remains. 
When you cast this spell, you can designate any creatures you choose, and the spell ignores them. 
At Higher Levels. When you cast this spell using a spell slot of 3rd level or higher, the amount of ammunition that can be affected increases by two for each slot level above 2nd.</t>
  </si>
  <si>
    <t xml:space="preserve">You attempt to interrupt a creature in the process of casting a spell. If the creature is casting a spell of 3rd level or lower, its spell fails and has no effect. If it is casting a spell of 4th level or higher, make an ability check using your spellcasting ability. The DC equals 10 + the spell’s level. On a success, the creature’s spell fails and has no effect. 
At Higher Levels. When you cast this spell using a spell slot of 4th level or higher, the interrupted spell has no effect if its level is less than or equal to the level of the spell slot you used. </t>
  </si>
  <si>
    <t>You either create or destroy water. 
Create Water. You create up to 10 gallons of clean water within range in an open container. Alternatively, the water falls as rain in a 30-foot cube within range, extinguishing exposed flames in the area. 
Destroy Water. You destroy up to 10 gallons of water in an open container within range. Alternatively, you destroy fog in a 30-foot cube within range. 
At Higher Levels. When you cast this spell using a spell slot of 2nd level or higher, you create or destroy 10 additional gallons of water, or the size of the cube increases by 5 feet, for each slot level above 1st</t>
  </si>
  <si>
    <t xml:space="preserve">A creature you touch regains a number of hit points equal to 1d8 + your spellcasting ability modifier. This spell has no effect on undead or constructs. 
At Higher Levels. When you cast this spell using a spell slot of 2nd level or higher, the healing increases by 1d8 for each slot level above 1st. </t>
  </si>
  <si>
    <t xml:space="preserve">A beam of yellow light flashes from your pointing finger, then condenses to linger at a chosen point within range as a glowing bead for the duration. When the spell ends, either because your concentration is broken or because you decide to end it, the bead blossoms with a low roar into an explosion of flame that spreads around corners. Each creature in a 20-foot-radius sphere centered on that point must make a Dexterity saving throw. A creature takes fire damage equal to the total accumulated damage on a failed save, or half as much damage on a successful one. 
The spell’s base damage is 12d6. If at the end of your turn the bead has not yet detonated, the damage increases by 1d6. 
If the glowing bead is touched before the interval has expired, the creature touching it must make a Dexterity saving throw. On a failed save, the spell ends immediately, causing the bead to erupt in flame. On a successful save, the creature can throw the bead up to 40 feet. When it strikes a creature or a solid object, the spell ends, and the bead explodes. The fire damages objects in the area and ignites flammable objects that aren’t being worn or carried.
At Higher Levels. When you cast this spell using a spell slot of 8th level or higher, the base damage increases by 1d6 for each slot level above 7th. </t>
  </si>
  <si>
    <t>Choose one creature, object, or magical effect within range. Any spell of 3rd level or lower on the target ends. For each spell of 4th level or higher on the target, make an ability check using your spellcasting ability. The DC equals 10 + the spell’s level. On a successful check, the spell ends.
At Higher Levels. When you cast this spell using a spell slot of 4th level or higher, you automatically end the effects of a spell on the target if the spell’s level is equal to or less than the level of the spell slot you used.</t>
  </si>
  <si>
    <t xml:space="preserve">You attempt to beguile a creature that you can see within range. It must succeed on a Wisdom saving throw or be charmed by you for the duration. If you or creatures that are friendly to you are fighting it, it has advantage on the saving throw. 
While the creature is charmed, you have a telepathic link with it as long as the two of you are on the same plane of existence. You can use this telepathic link to issue commands to the creature while you are conscious (no action required), which it does its best to obey. You can specify a simple and general course of action, such as “Attack that creature,” “Run over there,” or “Fetch that object.” If the creature completes the order and doesn’t receive further direction from you, it defends and preserves itself to the best of its ability. 
You can use your action to take total and precise control of the target. Until the end of your next turn, the creature takes only the actions you choose, and doesn’t do anything that you don’t allow it to do. During this time, you can also cause the creature to use a reaction, but this requires you to use your own reaction as well. 
Each time the target takes damage, it makes a new Wisdom saving throw against the spell. If the saving throw succeeds, the spell ends. 
At Higher Levels. When you cast this spell with a 9th-level spell slot, the duration is concentration, up to 8 hours. </t>
  </si>
  <si>
    <t xml:space="preserve">You attempt to beguile a humanoid that you can see within range. It must succeed on a Wisdom saving throw or be charmed by you for the duration. If you or creatures that are friendly to you are fighting it, it has advantage on the saving throw. 
While the target is charmed, you have a telepathic link with it as long as the two of you are on the same plane of existence. You can use this telepathic link to issue commands to the creature while you are conscious (no action required), which it does its best to obey. You can specify a simple and general course of action, such as “Attack that creature,” “Run over there,” or “Fetch that object.” If the creature completes the order and doesn’t receive further direction from you, it defends and preserves itself to the best of its ability. 
You can use your action to take total and precise control of the target. Until the end of your next turn, the creature takes only the actions you choose, and doesn’t do anything that you don’t allow it to do. During this time you can also cause the creature to use a reaction, but this requires you to use your own reaction as well. 
Each time the target takes damage, it makes a new Wisdom saving throw against the spell. If the saving throw succeeds, the spell ends. 
At Higher Levels. When you cast this spell using a 6th-level spell slot, the duration is concentration, up to 10 minutes. When you use a 7th-level spell slot, the duration is concentration, up to 1 hour. When you use a spell slot of 8th level or higher, the duration is concentration, up to 8 hours. 
</t>
  </si>
  <si>
    <t>A nonmagical weapon you touch becomes a magic weapon. Choose one of the following damage types: acid, cold, fire, lightning, or thunder. For the duration, the weapon has a +1 bonus to attack rolls and deals an extra 1d4 damage of the chosen type when it hits. 
At Higher Levels. When you cast this spell using a spell slot of 5th or 6th level, the bonus to attack rolls increases to +2 and the extra damage increases to 2d4. When you use a spell slot of 7th level or higher, the bonus increases to +3 and the extra damage increases to 3d4.</t>
  </si>
  <si>
    <t>You touch a creature and bestow upon it a magical enhancement. Choose one of the following effects; the target gains that effect until the spell ends. 
Bear’s Endurance. The target has advantage on Constitution checks. It also gains 2d6 temporary hit points, which are lost when the spell ends. 
Bull’s Strength. The target has advantage on Strength checks, and his or her carrying capacity doubles. 
Cat’s Grace. The target has advantage on Dexterity checks. It also doesn’t take damage from falling 20 feet or less if it isn’t incapacitated. 
Eagle’s Splendor. The target has advantage on Charisma checks. 
Fox’s Cunning. The target has advantage on Intelligence checks. 
Owl’s Wisdom. The target has advantage on Wisdom checks. 
At Higher Levels. When you cast this spell using a spell slot of 3rd level or higher, you can target one additional creature for each slot level above 2nd.</t>
  </si>
  <si>
    <t xml:space="preserve">You step into the border regions of the Ethereal Plane, in the area where it overlaps with your current plane. You remain in the Border Ethereal for the duration or until you use your action to dismiss the spell. During this time, you can move in any direction. If you move up or down, every foot of movement costs an extra foot. You can see and hear the plane you originated from, but everything there looks gray, and you can’t see anything more than 60 feet away. 
While on the Ethereal Plane, you can only affect and be affected by other creatures on that plane. Creatures that aren’t on the Ethereal Plane can’t perceive you and can’t interact with you, unless a special ability or magic has given them the ability to do so. 
You ignore all objects and effects that aren’t on the Ethereal Plane, allowing you to move through objects you perceive on the plane you originated from. 
When the spell ends, you immediately return to the plane you originated from in the spot you currently occupy. If you occupy the same spot as a solid object or creature when this happens, you are immediately shunted to the nearest unoccupied space that you can occupy and take force damage equal to twice the number of feet you are moved. 
This spell has no effect if you cast it while you are on the Ethereal Plane or a plane that doesn’t border it, such as one of the Outer Planes. 
At Higher Levels. When you cast this spell using a spell slot of 8th level or higher, you can target up to three willing creatures (including you) for each slot level above . The creatures must be within 10 feet of you when you cast the spell. </t>
  </si>
  <si>
    <t>A bright streak flashes from your pointing finger to a point you choose within range and then blossoms with a low roar into an explosion of flame. Each creature in a 20-foot-radius sphere centered on that point must make a Dexterity saving throw. A target takes 8d6 fire damage on a failed save, or half as much damage on a successful one. 
The fire spreads around corners. It ignites flammable objects in the area that aren't being worn or carried. 
At Higher Levels. When you cast this spell using a spell slot of 4th level or higher, the damage increases by 1d6 for each slot level above 3rd.</t>
  </si>
  <si>
    <t xml:space="preserve">You evoke a fiery blade in your free hand. The blade is similar in size and shape to a scimitar, and it lasts for the duration. If you let go of the blade, it disappears, but you can evoke the blade again as a bonus action. 
You can use your action to make a melee spell attack with the fiery blade. On a hit, the target takes 3d6 fire damage. The flaming blade sheds bright light in a 10-foot radius and dim light for an additional 10 feet. 
At Higher Levels. When you cast this spell using a spell slot of 4th level or higher, the damage increases by 1d6 for every two slot levels above 2nd.
</t>
  </si>
  <si>
    <t>A 5-foot-diameter sphere of fire appears in an unoccupied space of your choice within range and lasts for the duration. Any creature that ends its turn within 5 feet of the sphere must make a Dexterity saving throw. The creature takes 2d6 fire damage on a failed save, or half as much damage on a successful one. 
As a bonus action, you can move the sphere up to 30 feet. If you ram the sphere into a creature, that creature must make the saving throw against the sphere’s damage, and the sphere stops moving this turn. 
When you move the sphere, you can direct it over barriers up to 5 feet tall and jump it across pits up to 10 feet wide. The sphere ignites flammable objects not being worn or carried, and it sheds bright light in a 20-foot radius and dim light for an additional 20 feet.
At Higher Levels. When you cast this spell using a spell slot of 3rd level or higher, the damage increases by 1d6 for each slot level above 2nd.</t>
  </si>
  <si>
    <t>You touch a willing creature. The target gains a flying speed of 60 feet for the duration. When the spell ends, the target falls if it is still aloft, unless it can stop the fall. 
At Higher Levels. When you cast this spell using a spell slot of 4th level or higher, you can target one additional creature for each slot level above 3rd.</t>
  </si>
  <si>
    <t>You create a 20-foot-radius sphere of fog centered on a point within range. The sphere spreads around corners, and its area is heavily obscured. It lasts for the duration or until a wind of moderate or greater speed (at least 10 miles per hour) disperses it. 
At Higher Levels. When you cast this spell using a spell slot of 2nd level or higher, the radius of the fog increases by 20 feet for each slot level above 1st.</t>
  </si>
  <si>
    <t>When you cast this spell, you inscribe a glyph that harms other creatures, either upon a surface (such as a table or a section of floor or wall) or within an object that can be closed (such as a book, a scroll, or a treasure chest) to conceal the glyph. If you choose a surface, the glyph can cover an area of the surface no larger than 10 feet in diameter. If you choose an object, that object must remain in its place; if the object is moved more than 10 feet from where you cast this spell, the glyph is broken, and the spell ends without being triggered. 
The glyph is nearly invisible and requires a successful Intelligence (Investigation) check against your spell save DC to be found. 
You decide what triggers the glyph when you cast the spell. For glyphs inscribed on a surface, the most typical triggers include touching or standing on the glyph, removing another object covering the glyph, approaching within a certain distance of the glyph, or manipulating the object on which the glyph is inscribed. For glyphs inscribed within an object, the most common triggers include opening that object, approaching within a certain distance of the object, or seeing or reading the glyph. Once a glyph is triggered, this spell ends. 
You can further refine the trigger so the spell activates only under certain circumstances or according to physical characteristics (such as height or weight), creature kind (for example, the ward could be set to affect aberrations or drow), or alignment. You can also set conditions for creatures that don’t trigger the glyph, such as those who say a certain password. When you inscribe the glyph, choose explosive runes or a spell glyph. 
Explosive Runes. When triggered, the glyph erupts with magical energy in a 20-foot-radius sphere centered on the glyph. The sphere spreads around corners. Each creature in the area must make a Dexterity saving throw. A creature takes 5d8 acid, cold, fire, lightning, or thunder damage on a failed saving throw (your choice when you create the glyph), or half as much damage on a successful one. 
Spell Glyph. You can store a prepared spell of 3rd level or lower in the glyph by casting it as part of creating the glyph. The spell must target a single creature or an area. The spell being stored has no immediate effect when cast in this way. When the glyph is triggered, the stored spell is cast. If the spell has a target, it targets the creature that triggered the glyph. If the spell affects an area, the area is centered on that creature. If the spell summons hostile creatures or creates harmful objects or traps, they appear as close as possible to the intruder and attack it. If the spell requires concentration, it lasts until the end of its full duration. 
At Higher Levels. When you cast this spell using a spell slot of 4th level or higher, the damage of an explosive runes glyph increases by 1d8 for each slot level above 3rd. If you create a spell glyph, you can store any spell of up to the same level as the slot you use for the glyph of warding.</t>
  </si>
  <si>
    <t>The next time you hit a creature with a ranged weapon attack before the spell ends, this spell creates a rain of thorns that sprouts from your ranged weapon or ammunition. In addition to the normal effect of the attack, the target of the attack and each creature within 5 feet of it must make a Dexterity saving throw. A creature takes 1d10 piercing damage on a failed save, or half as much damage on a successful one. 
At Higher Levels. If you cast this spell using a spell slot of 2nd level or higher, the damage increases by 1d10 for each slot level above 1st (to a maximum of 6d10).</t>
  </si>
  <si>
    <t>A creature of your choice that you can see within range regains hit points equal to 1d4 + your spellcasting ability modifier. This spell has no effect on undead or constructs. 
At Higher Levels. When you cast this spell using a spell slot of 2nd level or higher, the healing increases by 1d4 for each slot level above 1st.</t>
  </si>
  <si>
    <t>Choose a manufactured metal object, such as a metal weapon or a suit of heavy or medium metal armor, that you can see within range. You cause the object to glow red-hot. Any creature in physical contact with the object takes 2d8 fire damage when you cast the spell. Until the spell ends, you can use a bonus action on each of your subsequent turns to cause this damage again.
At Higher Levels. When you cast this spell using a spell slot of 2nd level or higher, you can target one additional creature for each slot level above 1st</t>
  </si>
  <si>
    <t>Choose a humanoid that you can see within range. The target must succeed on a Wisdom saving throw or be paralyzed for the duration. At the end of each of its turns, the target can make another Wisdom saving throw. On a success, the spell ends on the target. 
At Higher Levels. When you cast this spell using a spell slot of 3rd level or higher, you can target one additional humanoid for each slot level above 2nd. The humanoids must be within 30 feet of each other when you target them.</t>
  </si>
  <si>
    <t>You choose a creature you can see within range and mystically mark it as your quarry. Until the spell ends, you deal an extra 1d6 damage to the target whenever you hit it with a weapon attack, and you have advantage on any Wisdom (Perception) or Wisdom (Survival) check you make to find it. If the target drops to 0 hit points before this spell ends, you can use a bonus action on a subsequent turn of yours to mark a new creature. 
At Higher Levels. When you cast this spell using a spell slot of 3rd or 4th level, you can maintain your concentration on the spell for up to 8 hours. When you use a spell slot of 5th level or higher, you can maintain your concentration on the spell for up to 24 hours.</t>
  </si>
  <si>
    <t>Make a melee spell attack against a creature you can reach. On a hit, the target takes 3d10 necrotic damage. 
At Higher Levels. When you cast this spell using a spell slot of 2nd level or higher, the damage increases by 1d10 for each slot level above 1st.</t>
  </si>
  <si>
    <t>A creature you touch becomes invisible until the spell ends. Anything the target is wearing or carrying is invisible as long as it is on the target’s person. The spell ends for a target that attacks or casts a spell. 
At Higher Levels. When you cast this spell using a spell slot of 3rd level or higher, you can target one additional creature for each slot level above 2nd.</t>
  </si>
  <si>
    <t>A stroke of lightning forming a line 100 feet long and 5 feet wide blasts out from you in a direction you choose. Each creature in the line must make a Dexterity saving throw. A creature takes 8d6 lightning damage on a failed save, or half as much damage on a successful one. 
The lightning ignites flammable objects in the area that aren’t being worn or carried.
At Higher Levels. When you cast this spell using a spell slot of 4th level or higher, the damage increases by 1d6 for each slot level above 3rd.</t>
  </si>
  <si>
    <t>You create a 10-foot-radius, 20-foot-tall cylinder of magical energy centered on a point on the ground that you can see within range. Glowing runes appear wherever the cylinder intersects with the floor or other surface. 
Choose one or more of the following types of creatures: celestials, elementals, fey, fiends, or undead. The circle affects a creature of the chosen type in the following ways:
• The creature can’t willingly enter the cylinder by nonmagical means. If the creature tries to use teleportation or interplanar travel to do so, it must first succeed on a Charisma saving throw. 
• The creature has disadvantage on attack rolls against targets within the cylinder. 
• Targets within the cylinder can’t be charmed, frightened, or possessed by the creature.
When you cast this spell, you can elect to cause its magic to operate in the reverse direction, preventing a creature of the specified type from leaving the cylinder and protecting targets outside it. 
At Higher Levels. When you cast this spell using a spell slot of 4th level or higher, the duration increases by 1 hour for each slot level above 3rd.</t>
  </si>
  <si>
    <t>You touch a nonmagical weapon. Until the spell ends, that weapon becomes a magic weapon with a +1 bonus to attack rolls and damage rolls. 
At Higher Levels. When you cast this spell using a spell slot of 4th level or higher, the bonus increases to +2. When you use a spell slot of 6th level or higher, the bonus increases to +3.</t>
  </si>
  <si>
    <t>You create the image of an object, a creature, or some other visible phenomenon that is no larger than a 20-foot cube. The image appears at a spot that you can see within range and lasts for the duration. It seems completely real, including sounds, smells, and temperature appropriate to the thing depicted. You can’t create sufficient heat or cold to cause damage, a sound loud enough to deal thunder damage or deafen a creature, or a smell that might sicken a creature (like a troglodyte’s stench). 
As long as you are within range of the illusion, you can use your action to cause the image to move to any other spot within range. As the image changes location, you can alter its appearance so that its movements appear natural for the image. For example, if you create an image of a creature and move it, you can alter the image so that it appears to be walking. Similarly, you can cause the illusion to make different sounds at different times, even making it carry on a conversation, for example. 
Physical interaction with the image reveals it to be an illusion, because things can pass through it. A creature that uses its action to examine the image can determine that it is an illusion with a successful Intelligence (Investigation) check against your spell save DC. If a creature discerns the illusion for what it is, the creature can see through the image, and its other sensory qualities become faint to the creature. 
At Higher Levels. When you cast this spell using a spell slot of 6th level or higher, the spell lasts until dispelled, without requiring your concentration.</t>
  </si>
  <si>
    <t>As you call out words of restoration, up to six creatures of your choice that you can see within range regain hit points equal to 1d4 + your spellcasting ability modifier. This spell has no effect on undead or constructs. 
At Higher Levels. When you cast this spell using a spell slot of 4th level or higher, the healing increases by 1d4 for each slot level above 3rd.</t>
  </si>
  <si>
    <t>A shimmering green arrow streaks toward a target within range and bursts in a spray of acid. Make a ranged spell attack against the target. On a hit, the target takes 4d4 acid damage immediately and 2d4 acid damage at the end of its next turn. On a miss, the arrow splashes the target with acid for half as much of the initial damage and no damage at the end of its next turn. 
At Higher Levels. When you cast this spell using a spell slot of 3rd level or higher, the damage (both initial and later) increases by 1d4 for each slot level above 2nd.</t>
  </si>
  <si>
    <t>A silvery beam of pale light shines down in a 5-foot- radius, 40-foot-high cylinder centered on a point within range. Until the spell ends, dim light fills the cylinder. 
When a creature enters the spell’s area for the first time on a turn or starts its turn there, it is engulfed in ghostly flames that cause searing pain, and it must make a Constitution saving throw. It takes 2d10 radiant damage on a failed save, or half as much damage on a successful one. 
A shapechanger makes its saving throw with disadvantage. If it fails, it also instantly reverts to its original form and can’t assume a different form until it leaves the spell’s light. 
On each of your turns after you cast this spell, you can use an action to move the beam 60 feet in any direction. 
At Higher Levels. When you cast this spell using a spell slot of 3rd level or higher, the damage increases by 1d10 for each slot level above 2nd.</t>
  </si>
  <si>
    <t>A ray of sickening greenish energy lashes out toward a creature within range. Make a ranged spell attack against the target. On a hit, the target takes 2d8 poison damage and must make a Constitution saving throw. On a failed save, it is also poisoned until the end of your next turn. 
At Higher Levels. When you cast this spell using a spell slot of 2nd level or higher, the damage increases by 1d8 for each slot level above 1st.</t>
  </si>
  <si>
    <t xml:space="preserve">You create three rays of fire and hurl them at targets within range. You can hurl them at one target or several. Make a ranged spell attack for each ray. On a hit, the target takes 2d6 fire damage. 
At Higher Levels. When you cast this spell using a spell slot of 3rd level or higher, you create one additional ray for each slot level above 2nd.
</t>
  </si>
  <si>
    <t>The next time you hit a creature with a melee weapon attack during the spell’s duration, your weapon flares with white-hot intensity, and the attack deals an extra 1d6 fire damage to the target and causes the target to ignite in flames. At the start of each of its turns until the spell ends, the target must make a Constitution saving throw. On a failed save, it takes 1d6 fire damage. On a successful save, the spell ends. If the target or a creature within 5 feet of it uses an action to put out the flames, or if some other effect douses the flames (such as the target being submerged in water), the spell ends. 
At Higher Levels. When you cast this spell using a spell slot of 2nd level or higher, the initial extra damage dealt by the attack increases by 1d6 for each slot level above 1st.</t>
  </si>
  <si>
    <t>A sudden loud ringing noise, painfully intense, erupts from a point of your choice within range. Each creature in a 10-foot-radius sphere centered on that point must make a Constitution saving throw. A creature takes 3d8 thunder damage on a failed save, or half as much damage on a successful one. A creature made of inorganic material such as stone, crystal, or metal has disadvantage on this saving throw. 
A nonmagical object that isn’t being worn or carried also takes the damage if it’s in the spell's area. 
At Higher Levels. When you cast this spell using a spell slot of 3rd level or higher, the damage increases by 1d8 for each slot level above 2nd.</t>
  </si>
  <si>
    <t>This spell sends creatures into a magical slumber. Roll 5d8; the total is how many hit points of creatures this spell can affect. Creatures within 20 feet of a point you choose within range are affected in ascending order of their current hit points (ignoring unconscious creatures). 
Starting with the creature that has the lowest current hit points, each creature affected by this spell falls unconscious until the spell ends, the sleeper takes damage, or someone uses an action to shake or slap the sleeper awake. Subtract each creature’s hit points from the total before moving on to the creature with the next lowest hit points. A creature’s hit points must be equal to or less than the remaining total for that creature to be affected. 
Undead and creatures immune to being charmed aren’t affected by this spell. 
At Higher Levels. When you cast this spell using a spell slot of 2nd level or higher, roll an additional 2d8 for each slot level above 1st.</t>
  </si>
  <si>
    <t>You create a floating, spectral weapon within range that lasts for the duration or until you cast this spell again. When you cast the spell, you can make a melee spell attack against a creature within 5 feet of the weapon. On a hit, the target takes force damage equal to 1d8 + your spellcasting ability modifier. 
As a bonus action on your turn, you can move the weapon up to 20 feet and repeat the attack against a creature within 5 feet of it. 
The weapon can take whatever form you choose. Clerics of deities who are associated with a particular weapon (as St. Cuthbert is known for his mace and Thor for his hammer) make this spell’s effect resemble that weapon. 
At Higher Levels. When you cast this spell using a spell slot of 3rd level or higher, the damage increases by 1d8 for every two slot levels above the 2nd.</t>
  </si>
  <si>
    <t>A wave of thunderous force sweeps out from you. Each creature in a 15-foot cube originating from you must make a Constitution saving throw. On a failed save, a creature takes 2d8 thunder damage and is pushed 10 feet away from you. On a successful save, the creature takes half as much damage and isn’t pushed. 
In addition, unsecured objects that are completely within the area of effect are automatically pushed 10 feet away from you by the spell’s effect, and the spell emits a thunderous boom audible out to 300 feet. 
At Higher Levels. When you cast this spell using a spell slot of 2nd level or higher, the damage increases by 1d8 for each slot level above 1st.</t>
  </si>
  <si>
    <t>The touch of your shadow-wreathed hand can siphon life force from others to heal your wounds. Make a melee spell attack against a creature within your reach. On a hit, the target takes 3d6 necrotic damage, and you regain hit points equal to half the amount of necrotic damage dealt. Until the spell ends, you can make the attack again on each of your turns as an action. 
At Higher Levels. When you cast this spell using a spell slot of 4th level or higher, the damage increases by 1d6 for each slot level above 3rd.</t>
  </si>
  <si>
    <t>A beam of crackling, blue energy lances out toward a creature within range, forming a sustained arc of lightning between you and the target. Make a ranged spell attack against that creature. On a hit, the target takes 1d12 lightning damage, and on each of your turns for the duration, you can use your action to deal 1d12 lightning damage to the target automatically. The spell ends if you use your action to do anything else. The spell also ends if the target is ever outside the spell’s range or if it has total cover from you. 
At Higher Levels. When you cast this spell using a spell slot of 2nd level or higher, the initial damage increases by 1d12 for each slot level above 1st.</t>
  </si>
  <si>
    <t>You touch a dead humanoid or a piece of a dead humanoid. Provided that the creature has been dead no longer than 10 days, the spell forms a new adult body for it and then calls the soul to enter that body. If the target’s soul isn’t free or willing to do so, the spell fails. 
The magic fashions a new body for the creature to inhabit, which likely causes the creature’s race to change. The DM rolls a d100 and consults the following table to determine what form the creature takes when restored to life, or the DM chooses a form.
d100       Race
01-04      Dragonborn
05-13      Dwarf, hill 
14-21      Dwarf, mountain 
22-25      Elf, dark
26-34      Elf, high 
35-42      Elf, wood 
43-46      Gnome, forest 
47-52      Gnome, rock
53-56      Half-elf
57-60      Half-orc
61-68      Halfling, lightfoot 
69-76      Halfling, stout
77-96      Human
97-00      Tiefling
The reincarnated creature recalls its former life and experiences. It retains the capabilities it had in its original form, except it exchanges its original race for the new one and changes its racial traits accordingly.</t>
  </si>
  <si>
    <t xml:space="preserve">This spell instantly transports you and up to eight willing creatures of your choice that you can see within range, or a single object that you can see within range, to a destination you select. If you target an object, it must be able to fit entirely inside a 10-foot cube, and it can’t be held or carried by an unwilling creature. 
The destination you choose must be known to you, and it must be on the same plane of existence as you. Your familiarity with the destination determines whether you arrive there successfully. The DM rolls d100 and consults the table.
Familiarity                      Mishap         Similar             Off                     On 
                                                                 Area             Target              Target 
Permanent circle                —                 —                —                   01-100
Associated object               —                 —                —                   01-100 
Very familiar                    01-05            06-13           14-24              25-100 
Seen casually                 01-33            34-43           44-53              54-100 
Viewed once                   01-43            44-53           54-73              74-100 
Description                      01-43            44-53           54-73              74-100 
False destination            01-50            51-100            —                    —
Familiarity. 
  “Permanent circle” means a permanent teleportation circle whose sigil sequence you know. 
  “Associated object” means that you possess an object taken from the desired destination within the last six months, 
    such as a book from a wizard’s library, bed linen from a royal suite, or a chunk of marble from a lich’s secret tomb. 
  “Very familiar” is a place you have been very often, a place you have carefully studied, or a place you can see when you cast the spell. 
  “Seen casually” is someplace you have seen more than once but with which you aren’t very familiar. 
  “Viewed once” is a place you have seen once, possibly using magic. 
  “Description” is a place whose location and appearance you know through someone else’s description, perhaps from a map. 
  “False destination” is a place that doesn’t exist. Perhaps you tried to scry an enemy’s sanctum but instead viewed an illusion, 
    or you are attempting to teleport to a familiar location that no longer exists. 
On Target. You and your group (or the target object) appear where you want to. 
Off Target. You and your group (or the target object) appear a random distance away from the destination in a random direction. Distance off target is 1d10 x 1d10 percent of the distance that was to be traveled. For example, if you tried to travel 120 miles, landed off target, and rolled a 5 and 3 on the two d 10s, then you would be off target by 15 percent, or 18 miles. The DM determines the direction off target randomly by rolling a d8 and designating 1 as north, 2 as northeast, 3 as east, and so on around the points of the compass. If you were teleporting to a coastal city and wound up 18 miles out at sea, you could be in trouble. 
Similar Area. You and your group (or the target object) wind up in a different area that’s visually or thematically similar to the target area. If you are heading for your home laboratory, for example, you might wind up in another wizard’s laboratory or in an alchemical supply shop that has many of the same tools and implements as your laboratory. Generally, you appear in the closest similar place, but since the spell has no range limit, you could conceivably wind up anywhere on the plane. 
Mishap. The spell’s unpredictable magic results in a difficult journey. Each teleporting creature (or the target object) takes 3d10 force damage, and the DM rerolls on the table to see where you wind up (multiple mishaps can occur, dealing damage each time).
</t>
  </si>
  <si>
    <t>Druid Land Origin</t>
  </si>
  <si>
    <t>Draconic Ancestry</t>
  </si>
  <si>
    <t xml:space="preserve">  - Choose one of the following damage types: acid, cold, fire, lightning, or thunder. 
  - Spells you cast ignore resistance to damage of the chosen type. 
  - When you roll damage for a spell you cast that deals damage of that type, treat any 1 on a damage die as a 2. </t>
  </si>
  <si>
    <t>Otherworldy Patron</t>
  </si>
  <si>
    <t>Choose 2 from Arcana, Deception, History, Intimidation, Investigation, Nature, and Religion</t>
  </si>
  <si>
    <t>Archfey</t>
  </si>
  <si>
    <t>Great Old One</t>
  </si>
  <si>
    <t>WARLOCK</t>
  </si>
  <si>
    <t>teleport you and one willing creature within spell range</t>
  </si>
  <si>
    <t>make yourself, including equipment, look different</t>
  </si>
  <si>
    <t xml:space="preserve">A thin green ray springs from your pointing finger to a target that you can see within range. The target can be a creature, an object, or a creation of magical force, such as the wall created by wall of force. 
A creature targeted by this spell must make a Dexterity saving throw. On a failed save, the target takes 10d6+40 force damage. If this damage reduces the target to 0 hit points, it is disintegrated. 
A disintegrated creature and everything it is wearing and carrying, except magic items, are reduced to a pile of fine gray dust. The creature can be restored to life only by means of a true resurrection or a wish spell. 
This spell automatically disintegrates a Large or smaller nonmagical object or a creation of magical force. If the target is a Huge or larger object or creation of force, this spell disintegrates a 10-foot-cube portion of it. A magic item is unaffected by this spell. 
At Higher Levels. When you cast this spell using a spell slot of 7th level or higher, the damage increases by 3d6 for each slot level above 6th. </t>
  </si>
  <si>
    <t>Bolstering yourself with a necromantic facsimile of life, you gain 1d4+4 temporary hit points for the duration. 
At Higher Levels. When you cast this spell using a spell slot of 2nd level or higher, you gain 5 additional temporary hit points for each slot level above 1st.</t>
  </si>
  <si>
    <t>You send negative energy coursing through a creature that you can see within range, causing it searing pain. The target must make a Constitution saving throw. It takes 7d8+30 necrotic damage on a failed save, or half as much damage on a successful one. 
A humanoid killed by this spell rises at the start of your next turn as a zombie that is permanently under your command, following your verbal orders to the best of its ability.</t>
  </si>
  <si>
    <t xml:space="preserve">You create three glowing darts of magical force. Each dart hits a creature of your choice that you can see within range. A dart deals 1d4+1 force damage to its target. The darts all strike simultaneously, and you can direct them to hit one creature or several. 
At Higher Levels. When you cast this spell using a spell slot of 2nd level or higher, the spell creates one more dart for each slot level above 1st.
</t>
  </si>
  <si>
    <t>You touch a creature and stimulate its natural healing ability. The target regains 4d8+15 hit points. For the duration of the spell, the target regains 1 hit point at the start of each of its turns (10 hit points each minute). 
The target’s severed body members (fingers, legs, tails, and so on), if any, are restored after 2 minutes. If you have the severed part and hold it to the stump, the spell instantaneously causes the limb to knit to the stump.</t>
  </si>
  <si>
    <t>You briefly stop the flow of time for everyone but yourself. No time passes for other creatures, while you take 1d4+1 turns in a row, during which you can use actions and move as normal. 
This spell ends if one of the actions you use during this period, or any effects that you create during this period, affects a creature other than you or an object being worn or carried by someone other than you. In addition, the spell ends if you move to a place more than 1,000 feet from the location where you cast it.</t>
  </si>
  <si>
    <t>Objects come to life at your command. Choose up to ten nonmagical objects within range that are not being worn or carried. Medium targets count as two objects, Large targets count as four objects, Huge targets count as eight objects. You can’t animate any object larger than Huge. Each target animates and becomes a creature under your control until the spell ends or until reduced to 0 hit points. 
As a bonus action, you can mentally command any creature you made with this spell if the creature is within 500 feet of you (if you control multiple creatures, you can command any or all of them at the same time, issuing the same command to each one). You decide what action the creature will take and where it will move during its next turn, or you can issue a general command, such as to guard a particular chamber or corridor. If you issue no commands, the creature only defends itself against hostile creatures. Once given an order, the creature continues to follow it until its task is complete.
Animated Object Statistics
Size          HP    AC    Attack                                      Str  Dex 
Tiny          20    18    +8 to hit, 1d4+4 damage         4    18 
Small       25    16    +6 to hit, 1d8+2 damage         6    14 
Medium   40    13    +5 to hit, 2d6+1 damage        10   12 
Large       50    10    +6 to hit, 2d10+2 damage      14   10 
Huge        80    10    +8 to hit, 2d12+4 damage      18    6
An animated object is a construct with AC, hit points, attacks, Strength, and Dexterity determined by its size. Its Constitution is 10 and its Intelligence and Wisdom are 3, and its Charisma is 1. Its speed is 30 feet; if the object lacks legs or other appendages it can use for locomotion, it instead has a flying speed of 30 feet and can hover. If the object is securely attached to a surface or a larger object, such as a chain bolted to a wall, its speed is 0. It has blindsight with a radius of 30 feet and is blind beyond that distance. When the animated object drops to 0 hit points, it reverts to its original object form, and any remaining damage carries over to its original object form. 
If you command an object to attack, it can make a single melee attack against a creature within 5 feet of it. It makes a slam attack with an attack bonus and bludgeoning damage determined by its size. The DM might rule that a specific object inflicts slashing or piercing damage based on its form. 
At Higher Levels. If you cast this spell using a spell slot of 6th level or higher, you can animate two additional objects for each slot level above 5th.</t>
  </si>
  <si>
    <t>Up to six creatures of your choice that you can see within range each regain hit points equal to 2d8 + your spellcasting ability modifier. This spell has no effect on undead or constructs.
At Higher Levels. When you cast this spell using a spell slot of 3rd level or higher, the healing increases by 1d8 for each slot level above 2nd.</t>
  </si>
  <si>
    <t>Willing creature wearing no armor, AC 13 + dex modifier</t>
  </si>
  <si>
    <t xml:space="preserve">ten 10x10ft 6" or 10x20ft 3" panels, trapped creature dex save </t>
  </si>
  <si>
    <t>create image of object, creature or other up to 20ft cube</t>
  </si>
  <si>
    <t>+1d6 extra damage, adv perception &amp; survival check to find it</t>
  </si>
  <si>
    <t>con save, first fail restrained, 3 fails petrified</t>
  </si>
  <si>
    <t>summon fey creature or fey spirit CR 6 or lower</t>
  </si>
  <si>
    <t xml:space="preserve">summon elemental CR5 or lower 10ft cube earth, air, fire, water </t>
  </si>
  <si>
    <t>Your spell bolsters your allies with toughness and resolve. Choose up to three creatures within range. Each target’s hit point maximum and current hit points increase by 5 for the duration. 
At Higher Levels. When you cast this spell using a spell slot of 3rd level or higher, a target’s hit points increase by an additional 5 for each slot level above 2nd.</t>
  </si>
  <si>
    <t>20ft cube, audible alarm for 10 sec, 60ft or mental alarm 1 mile</t>
  </si>
  <si>
    <t>choose aquatic adaptation, change appearance, natural weapons</t>
  </si>
  <si>
    <t>beast with Intelligence less than 4, wis save, charmed</t>
  </si>
  <si>
    <t>tiny beast delivers message, fly 50 miles per day else 25 miles</t>
  </si>
  <si>
    <t>10ft rad barrier, prevents creatures except undead &amp; constructs</t>
  </si>
  <si>
    <t>10ft rad invisible sphere of antimagic</t>
  </si>
  <si>
    <t>This spell attracts or repels creatures of your choice. You target something within range, either a Huge or smaller object or creature or an area that is no larger than a 200-foot cube. Then specify a kind of intelligent creature, such as red dragons, goblins, or vampires. You invest the target with an aura that either attracts or repels the specified creatures for the duration. Choose antipathy or sympathy as the aura’s effect. 
Antipathy. The enchantment causes creatures of the kind you designated to feel an intense urge to leave the area and avoid the target. When such a creature can see the target or comes within 60 feet of it, the creature must succeed on a Wisdom saving throw or become frightened. The creature remains frightened while it can see the target or is within 60 feet of it. While frightened by the target, the creature must use its movement to move to the nearest safe spot from which it can’t see the target. If the creature moves more than 60 feet from the target and can’t see it, the creature is no longer frightened, but the creature becomes frightened again if it regains sight of the target or moves within 60 feet of it. 
Sympathy. The enchantment causes the specified creatures to feel an intense urge to approach the target while within 60 feet of it or able to see it. When such a creature can see the target or comes within 60 feet of it, the creature must succeed on a Wisdom saving throw or use its movement on each of its turns to enter the area or move within reach of the target. When the creature has done so, it can’t willingly move away from the target. If the target damages or otherwise harms an affected creature, the affected creature can make a Wisdom saving throw to end the effect, as described below. 
Ending the Effect. If an affected creature ends its turn while not within 60 feet of the target or able to see it, the creature makes a Wisdom saving throw. On a successful save, the creature is no longer affected by the target and recognizes the feeling of repugnance or attraction as magical. In addition, a creature affected by the spell is allowed another Wisdom saving throw every 24 hours while the spell persists. A creature that successfully saves against this effect is immune to it for 1 minute, after which time it can be affected again.</t>
  </si>
  <si>
    <t>lock a door, window, gate, chest password suppressed 1 min</t>
  </si>
  <si>
    <t>project you and up to 8 willing creatures into Astral Plane</t>
  </si>
  <si>
    <t>result of next 30min, woe, weal, woe and weal or nothing</t>
  </si>
  <si>
    <t>30ft rad, resistance to necrotic, allies on 0 HP gain +1 HP</t>
  </si>
  <si>
    <t>30ft rad, resist poison, can't be diseased, save adv. see spell</t>
  </si>
  <si>
    <t>30ft rad, bonus action to heal one creature 2d6 HP</t>
  </si>
  <si>
    <t>awaken up to huge beast or plant with intelligence &lt; 4, 30 days</t>
  </si>
  <si>
    <t>melee, weapon deals +5d10 force, &lt; 50HP banished</t>
  </si>
  <si>
    <t>1 creature, cha save, banished</t>
  </si>
  <si>
    <t>AC can't be less than 16, regardless of armor worn</t>
  </si>
  <si>
    <t>adv wis &amp; death saves, gains maximum HP from healing</t>
  </si>
  <si>
    <t>see and hear through beast, gain special senses of beast</t>
  </si>
  <si>
    <t>5x20x100ft long, 5x20x60ft dia, 6d10 slash, dex save ½</t>
  </si>
  <si>
    <t>melee, weapon +3d8 radiant, con save, blind</t>
  </si>
  <si>
    <t>melee, weapon +2d6 radiant, becomes visible if invisible</t>
  </si>
  <si>
    <t>15ft square, 3d10 (4d10 outside stormy) lightning, dex save ½</t>
  </si>
  <si>
    <t>20ft rad sphere, suppress charmed/frightened effect, cha save</t>
  </si>
  <si>
    <t>invisible sensor, as an action choose seeing or hearing</t>
  </si>
  <si>
    <t>create a clone, 120 days, see material components</t>
  </si>
  <si>
    <t>15ft cone, 6d10 HP blinded, starting with lowest current HP</t>
  </si>
  <si>
    <t>one-word command, wis save, undead unaffected</t>
  </si>
  <si>
    <t>3 questions, yes or no answer (or unclear/short answer)</t>
  </si>
  <si>
    <t>summon celestial CR 4 or lower</t>
  </si>
  <si>
    <t>summon elemental 1xCR2, 2xCR1, 4xCR½, or 8xCR¼</t>
  </si>
  <si>
    <t>20x40ft rad cylinder, 8d8 (weapon type), dex save ½</t>
  </si>
  <si>
    <t>DC15 Int save, fail 6d6 psychic &amp; insane, pass ask 5 questions</t>
  </si>
  <si>
    <t>Choose a spell of 5th level or lower that you can cast, that has a casting time of 1 action, and that can target you. You cast that spell—called the contingent spell—as part of casting contingency, expending spell slots for both, but the contingent spell doesn't come into effect. Instead, it takes effect when a certain circumstance occurs. You describe that circumstance when you cast the two spells. For example, a contingency cast with water breathing might stipulate that water breathing comes into effect when you are engulfed in water or a similar liquid. 
The contingent spell takes effect immediately after the circumstance is met for the first time, whether or not you want it to and then contingency ends. 
The contingent spell takes effect only on you, even if it can normally target others. You can use only one contingency spell at a time. If you cast this spell again, the effect of another contingency spell on you ends. Also, contingency ends on you if its material component is ever not on your person.</t>
  </si>
  <si>
    <t>flame with brightness of a torch, no heat or oxygen required</t>
  </si>
  <si>
    <t>100ft cube, Flood, Part Water, Redirect Flow or Whirlpool</t>
  </si>
  <si>
    <t xml:space="preserve"> take control of weather within 5 miles, change by one stage</t>
  </si>
  <si>
    <t>4 arrows/bolts, 1d6 pierce each, dex save</t>
  </si>
  <si>
    <t>&gt;3rd lvl spell, lvl 4+ spellcasting ability check DC=10+spell lvl</t>
  </si>
  <si>
    <t>Misty Escape</t>
  </si>
  <si>
    <t>Beguiling Defenses</t>
  </si>
  <si>
    <t>Dark Delirium</t>
  </si>
  <si>
    <t>Dark One's Own Luck</t>
  </si>
  <si>
    <t>Fiendish Resilience</t>
  </si>
  <si>
    <t>Hurl Through Hell</t>
  </si>
  <si>
    <t>Entropic Ward</t>
  </si>
  <si>
    <t>Thought Shield</t>
  </si>
  <si>
    <t>Create Thrall</t>
  </si>
  <si>
    <t>GreatOldOne</t>
  </si>
  <si>
    <t>Shadow</t>
  </si>
  <si>
    <t>Modifier</t>
  </si>
  <si>
    <t>KNOWN</t>
  </si>
  <si>
    <t>BARD</t>
  </si>
  <si>
    <t>RANGER</t>
  </si>
  <si>
    <t>Multi Spellcaster</t>
  </si>
  <si>
    <t>Pact Magic</t>
  </si>
  <si>
    <t>Caster Level</t>
  </si>
  <si>
    <t>Single Spellcaster</t>
  </si>
  <si>
    <t>Warlock Level</t>
  </si>
  <si>
    <t>PACT MAGIC LEVEL</t>
  </si>
  <si>
    <t>SPELLS PREPARED / SPELLS KNOWN</t>
  </si>
  <si>
    <t>Cantrips</t>
  </si>
  <si>
    <t>SORCERER METAMAGICS</t>
  </si>
  <si>
    <t>WARLOCK ELDRITCH INVOCATIONS</t>
  </si>
  <si>
    <t>RANGER FAVORED ENEMIES</t>
  </si>
  <si>
    <t>FIGHTING STYLES</t>
  </si>
  <si>
    <t>INVOCATIONS</t>
  </si>
  <si>
    <t>ELDRITCH INVOCATIONS</t>
  </si>
  <si>
    <t>Agonizing Blast</t>
  </si>
  <si>
    <t>Armor of Shadows</t>
  </si>
  <si>
    <t>Ascendant Step</t>
  </si>
  <si>
    <t>Beast Speech</t>
  </si>
  <si>
    <t>Beguiling Influence</t>
  </si>
  <si>
    <t>Bewitching Whispers</t>
  </si>
  <si>
    <t>Book of Ancient Secrets</t>
  </si>
  <si>
    <t>Chains of Carceri</t>
  </si>
  <si>
    <t>Devil’s Sight</t>
  </si>
  <si>
    <t>Dreadful Word</t>
  </si>
  <si>
    <t>Eldritch Sight</t>
  </si>
  <si>
    <t>Eldritch Spear</t>
  </si>
  <si>
    <t>Eyes of the Rune Keeper</t>
  </si>
  <si>
    <t>Fiendish Vigor</t>
  </si>
  <si>
    <t>Gaze of Two Minds</t>
  </si>
  <si>
    <t>Lifedrinker</t>
  </si>
  <si>
    <t>Mask of Many Faces</t>
  </si>
  <si>
    <t>Master of Myriad Forms</t>
  </si>
  <si>
    <t>Minions of Chaos</t>
  </si>
  <si>
    <t>Mire the Mind</t>
  </si>
  <si>
    <t>Misty Visions</t>
  </si>
  <si>
    <t>One with Shadows</t>
  </si>
  <si>
    <t>Otherworldly Leap</t>
  </si>
  <si>
    <t>Repelling Blast</t>
  </si>
  <si>
    <t>Sculptor of Flesh</t>
  </si>
  <si>
    <t>Sign of Ill Omen</t>
  </si>
  <si>
    <t>Thief of Five Fates</t>
  </si>
  <si>
    <t>Thirsting Blade</t>
  </si>
  <si>
    <t>Whispers of the Grave</t>
  </si>
  <si>
    <t>Witch Sight</t>
  </si>
  <si>
    <t>Visions of Distant Realms</t>
  </si>
  <si>
    <t>Warlock Pact Boon</t>
  </si>
  <si>
    <t>Voice of the Chain Master</t>
  </si>
  <si>
    <t>PACT BOON</t>
  </si>
  <si>
    <t>Pact of the Chain</t>
  </si>
  <si>
    <t>Pact of the Blade</t>
  </si>
  <si>
    <t>Pact of the Tome</t>
  </si>
  <si>
    <t xml:space="preserve">   You can use your action to create a pact weapon in your empty hand, choose the form that this melee weapon
   takes each time you create it and the weapon counts as magical for the purpose of overcoming resistance and
   immunity to nonmagical attacks and damage. You are proficient with it while you wield it. Your pact weapon
   disappears if it is more than 5 feet away from you for 1 minute or more, if you use this feature again, if you
   dismiss the weapon (no action required), or if you die. You can transform one magic weapon into your pact
   weapon by performing a 1-hour ritual while you hold the weapon, which can be done during a short rest. You
   can then dismiss the weapon, shunting it into an extradimensional space, and it appears whenever you create
   your pact weapon thereafter. You can’t affect an artifact or a sentient weapon in this way. The weapon ceases 
   being your pact weapon if you die, perform the 1-hour ritual on a different weapon, or use a 1-hour ritual to
   break the bond. The weapon appears at your feet if it is in the extradimensional space when the bond breaks.</t>
  </si>
  <si>
    <t xml:space="preserve">   You learn the find familiar spell and can cast it as a ritual. The spell doesn’t count against your number of
   spells known. When you cast the spell, you can choose one of the normal forms for your familiar or one
   of the following special forms: imp, pseudodragon, quasit, or sprite. Additionally, when you take the
   Attack action, you can forgo one of your own attacks to allow your familiar to make one attack of its own.</t>
  </si>
  <si>
    <t xml:space="preserve">   Your patron gives you a grimoire called a Book of Shadows. When you gain this feature, choose three cantrips
   from any class’s spell list. While the book is on your person, you can cast those cantrips at will. They don’t
   count against your number of cantrips known. If you lose your Book of Shadows, you can perform a 1-hour
   ceremony to receive a replacement from your patron. This ceremony can be performed during a short or long
   rest, and it destroys the previous book. The book turns to ash when you die.</t>
  </si>
  <si>
    <t xml:space="preserve">   You can cast mage armor on yourself at will, without expending a spell slot or material components.</t>
  </si>
  <si>
    <t xml:space="preserve">   When you cast eldritch blast, add your Charisma modifier to the damage it deals on a hit.</t>
  </si>
  <si>
    <t xml:space="preserve">   You can cast levitate on yourself at will, without expending a spell slot or material components.</t>
  </si>
  <si>
    <t xml:space="preserve">   You can cast speak with animals at will, without expending a spell slot.</t>
  </si>
  <si>
    <t xml:space="preserve">   You gain proficiency in the Deception and Persuasion skills.</t>
  </si>
  <si>
    <t xml:space="preserve">   You can cast compulsion once using a warlock spell slot. You can’t do so again until you finish a long rest.</t>
  </si>
  <si>
    <t>VARIANT HUMAN</t>
  </si>
  <si>
    <t>1 PP = 10 GP</t>
  </si>
  <si>
    <t>1 GP = 2 EP</t>
  </si>
  <si>
    <t>1 EP = 5 SP</t>
  </si>
  <si>
    <t>1 SP = 10 CP</t>
  </si>
  <si>
    <t>EXCHANGE</t>
  </si>
  <si>
    <t>10th</t>
  </si>
  <si>
    <t>17th</t>
  </si>
  <si>
    <t xml:space="preserve">   You can see normally in darkness, both magical and nonmagical, to a distance of 120 feet.</t>
  </si>
  <si>
    <t xml:space="preserve">   You can cast confusion once using a warlock spell slot. You can’t do so again until you finish a long rest.</t>
  </si>
  <si>
    <t xml:space="preserve">   You can cast detect magic at will, without expending a spell slot.</t>
  </si>
  <si>
    <t xml:space="preserve">   When you cast eldritch blast, its range is 300 feet.</t>
  </si>
  <si>
    <t xml:space="preserve">   You can read all writing.</t>
  </si>
  <si>
    <t xml:space="preserve">   You can cast false life on yourself at will as a 1st-level spell, without expending a spell slot or material components.</t>
  </si>
  <si>
    <t xml:space="preserve">   You can cast disguise self at will, without expending a spell slot.</t>
  </si>
  <si>
    <t xml:space="preserve">   You can cast alter self at will, without expending a spell slot.</t>
  </si>
  <si>
    <t xml:space="preserve">   You can cast conjure elemental once using a warlock spell slot. You can’t do so again until you finish a long rest.</t>
  </si>
  <si>
    <t xml:space="preserve">   You can cast slow once using a warlock spell slot. You can’t do so again until you finish a long rest.</t>
  </si>
  <si>
    <t xml:space="preserve">   You can cast silent image at will, without expending a spell slot or material components.</t>
  </si>
  <si>
    <t xml:space="preserve">   When you hit a creature with eldritch blast, you can push the creature up to 10 feet away from you in a straight line.</t>
  </si>
  <si>
    <t xml:space="preserve">   You can cast hold monster at will—targeting a celestial, fiend, or elemental—without expending a spell slot or material
   components. You must finish a long rest before you can use this invocation on the same creature again.</t>
  </si>
  <si>
    <t xml:space="preserve">   You can use your action to touch a willing humanoid and perceive through its senses until the end of your next turn.
   As long as the creature is on the same plane of existence as you, you can use your action on subsequent turns to
   maintain this connection, extending the duration until the end of your next turn. While perceiving through the other
   creature’s senses, you benefit from any special senses possessed by that creature, and you are blinded and deafened
   to your own surroundings.</t>
  </si>
  <si>
    <t xml:space="preserve">   You can cast jump on yourself at will, without expending a spell slot or material components.</t>
  </si>
  <si>
    <t xml:space="preserve">   You can communicate telepathically with your familiar and perceive through your familiar’s senses as long as you are
   on the same plane of existence. Additionally, while perceiving through your familiar’s senses, you can also speak
   through your familiar in your own voice, even if your familiar is normally incapable of speech.</t>
  </si>
  <si>
    <t xml:space="preserve">   You can cast polymorph once using a warlock spell slot. You can’t do so again until you finish a long rest.</t>
  </si>
  <si>
    <t xml:space="preserve">   You can cast bestow curse once using a warlock spell slot. You can’t do so again until you finish a long rest.</t>
  </si>
  <si>
    <t xml:space="preserve">   You can cast bane once using a warlock spell slot. You can’t do so again until you finish a long rest.</t>
  </si>
  <si>
    <t xml:space="preserve">   You can attack with your pact weapon twice, instead of once, whenever you take the Attack action on your turn.</t>
  </si>
  <si>
    <t xml:space="preserve">   You can cast arcane eye at will, without expending a spell slot.</t>
  </si>
  <si>
    <t xml:space="preserve">   You can cast speak with dead at will, without expending a spell slot.</t>
  </si>
  <si>
    <t xml:space="preserve">   You can see the true form of any shapechanger or creature concealed by illusion or transmutation magic while the
   creature is within 30 feet of you and within line of sight.</t>
  </si>
  <si>
    <t>A beam of crackling energy streaks toward a creature within range. Make a ranged spell attack against the target. On a hit, the target takes 1d10 force damage. 
The spell creates more than one beam when you reach Higher Levels: two beams at 5th level, three beams at 11th level, and four beams at 17th level. You can direct the beams at the same target or at different ones. Make a separate attack roll for each beam.</t>
  </si>
  <si>
    <t>You unleash a string of insults laced with subtle enchantments at a creature you can see within range. If the target can hear you (though it need not understand you), it must succeed on a Wisdom saving throw or take 1d4 psychic damage and have disadvantage on the next attack roll it makes before the end of its next turn. 
This spell’s damage increases by 1d4 when you reach 5th level (2d4), 11th level (3d4), and 17th level (4d4).</t>
  </si>
  <si>
    <t xml:space="preserve">   When you are in an area of dim light or darkness, you can use your action to become invisible until you move or take
   an action or a reaction.</t>
  </si>
  <si>
    <t>Imp</t>
  </si>
  <si>
    <t>20 ft, fly 40 ft</t>
  </si>
  <si>
    <t>Deception +4, Insight +3, Persuation +4, Stealth +5</t>
  </si>
  <si>
    <t>imp, pseudodragon, quasit, or sprite</t>
  </si>
  <si>
    <t>Pseudodragon</t>
  </si>
  <si>
    <t>Quasit</t>
  </si>
  <si>
    <t>Sprite</t>
  </si>
  <si>
    <t>Mastiff</t>
  </si>
  <si>
    <t>40 ft</t>
  </si>
  <si>
    <t>Bite melee +3, reach 5ft, 1d6+1 piercing
DC 11 Str save or prone</t>
  </si>
  <si>
    <r>
      <t xml:space="preserve">Sting melee +5, reach 5ft, 1d4+3 piercing
DC11 Con save </t>
    </r>
    <r>
      <rPr>
        <sz val="8"/>
        <rFont val="Calibri"/>
        <family val="2"/>
      </rPr>
      <t>½</t>
    </r>
    <r>
      <rPr>
        <sz val="8"/>
        <rFont val="Arial"/>
        <family val="2"/>
      </rPr>
      <t>, 3d6 poison</t>
    </r>
  </si>
  <si>
    <t>Beast</t>
  </si>
  <si>
    <t>Stealth +5</t>
  </si>
  <si>
    <t>passive Perception 10, darkvision 120 ft</t>
  </si>
  <si>
    <t>Dragon</t>
  </si>
  <si>
    <t>15 ft, fly 60 ft</t>
  </si>
  <si>
    <t>Claw melee +4, reach 5ft, 1d4+2 piercing
Sting melee +4, reach 5ft, 1d4+2 piercing
DC 11 Con save, poisoned 1hr (&lt;6 unconcious)</t>
  </si>
  <si>
    <t>Bite melee +4, reach 5ft, 1d4+3
DC 10 Con save, 2d4 poison, poisoned 1 min</t>
  </si>
  <si>
    <t>Invisiblity. Use action turn invisible (see spell)
Immunities. poison (poisoned). Resistances. cold, fire, lightning; bludgeon, pierce, slash (magic)
Scare. Use action 1/day, 1 creature within 20ft, DC 10 Wis save or frightened (1 min)
Shapechange. Use action to polymorph into a bat, centipede or toad. Equipment not transformed
Magic Resistance: Advantage on saving throws against spells and magical effects</t>
  </si>
  <si>
    <t>Invisiblity. Use action turn invisible (see spell)
Immunities. fire, poison (poisoned). Resistances. cold; bludgeon, pierce, slash (silver)
Shapechange. Use action to polymorph into a rat, raven or spider. Equipment not transformed
Magic Resistance: Advantage on saving throws against spells and magical effects</t>
  </si>
  <si>
    <t>Keen Sight. Advantage on Wisdom (Perception) checks that rely on sight</t>
  </si>
  <si>
    <t>Echolocation. No blindsight while deafened
Keen Hearing. Advantage on Wisdom (Perception) checks that rely on hearing</t>
  </si>
  <si>
    <t>Keen Smell. Advantage on Wisdom (Perception) checks that rely on smell</t>
  </si>
  <si>
    <t>Amphibious. Can breathe air and water</t>
  </si>
  <si>
    <t>Amphibious. Can breathe air and water
Standing Leap. Can long jump up to 10 feet and high jump up to 5 feet</t>
  </si>
  <si>
    <t>Keen Hearing and Smell. Advantage on Wisdom (Perception) checks that rely on hearing or smell</t>
  </si>
  <si>
    <t>Hold Breath. While out of water can hold its breath for 30 minutes
Underwater Camouflage. Advantage on Dexterity (Stealth) checks made while underwater
Water Breathing. Can breathe only underwater</t>
  </si>
  <si>
    <t>Flyby. Provokes no opportunity attacks when it flies out of an enemy’s reach
Keen Sight. Advantage on Wisdom (Perception) checks that rely on sight</t>
  </si>
  <si>
    <t>Blood Frenzy. Advantage on melee attack rolls against any creature that doesn't have all its hit points
Water Breathing. Can breathe only underwater</t>
  </si>
  <si>
    <t>Mimicry. Mimic simple sounds, such as a person whispering, a baby crying, or an animal chittering
A creature that hears the sounds can tell they are imitations with a DC 10 Wisdom (Insight) check</t>
  </si>
  <si>
    <t>Spider Climb. Climb difficult surfaces, upside down on ceilings, without needing an ability check
Web Sense. Knows the exact location of any other creature in contact with the same web
Web Walker. Ignores movement restrictions caused by webbing</t>
  </si>
  <si>
    <t>Keen Senses. Advantage on Wisdom (Perception) checks that rely on sight, hearing, or smell
Magic Resistance: Advantage on saving throws against spells and magical effect
Limited Telepathy. Can communicate simple ideas telepathically to any creature within 100 feet.</t>
  </si>
  <si>
    <t>SELECT</t>
  </si>
  <si>
    <t>Large</t>
  </si>
  <si>
    <t>passive Perception 13, darkvision 60 ft, blindsight 10 ft</t>
  </si>
  <si>
    <t>passive Perception 11, darkvision 120 ft (devil's sight)</t>
  </si>
  <si>
    <t>OPTIONS</t>
  </si>
  <si>
    <t>PROFICENT</t>
  </si>
  <si>
    <t>proficient</t>
  </si>
  <si>
    <t>Proficiency List</t>
  </si>
  <si>
    <t>not proficient</t>
  </si>
  <si>
    <t>MANEUVERS</t>
  </si>
  <si>
    <t>Commander’s Strike</t>
  </si>
  <si>
    <t>Disarming Attack</t>
  </si>
  <si>
    <t>Distracting Strike</t>
  </si>
  <si>
    <t>Evasive Footwork</t>
  </si>
  <si>
    <t>Feinting Attack</t>
  </si>
  <si>
    <t>Goading Attack</t>
  </si>
  <si>
    <t>Lunging Attack</t>
  </si>
  <si>
    <t>Maneuvering Attack</t>
  </si>
  <si>
    <t>Menacing Attack</t>
  </si>
  <si>
    <t>Parry</t>
  </si>
  <si>
    <t>Precision Attack</t>
  </si>
  <si>
    <t>Pushing Attack</t>
  </si>
  <si>
    <t>Rally</t>
  </si>
  <si>
    <t>Riposte</t>
  </si>
  <si>
    <t>Sweeping Attack</t>
  </si>
  <si>
    <t>Trip Attack</t>
  </si>
  <si>
    <t xml:space="preserve">   When you move, expend one superiority die, adding the number rolled to your AC until you stop moving.</t>
  </si>
  <si>
    <t>FIGHTER BATTLE MASTER MANEUVERS</t>
  </si>
  <si>
    <t xml:space="preserve">  - Increase one ability score of your choice by 2, or increase two ability scores of your choice by 1.</t>
  </si>
  <si>
    <t xml:space="preserve">  - Gain a +5 bonus to initiative. 
  - You can’t be surprised while you are conscious. 
  - Other creatures don’t gain advantage on attack rolls against you as a result of being hidden from you.</t>
  </si>
  <si>
    <t xml:space="preserve">  - When you use your action to Dash, you can use a bonus action to make one melee weapon attack or to shove a creature. 
  - If you move at least 10 feet in a straight line immediately before taking this bonus action, you either 
    - Gain a +5 bonus to the attack’s damage roll (if you chose to make a melee attack and hit) 
    - Push the target up to 10 feet away from you (if you chose to shove and you succeed).</t>
  </si>
  <si>
    <t xml:space="preserve">  - Increase your Charisma score by 1, to a maximum of 20. 
  - Advantage on Charisma (Deception) and Charisma (Performance) checks when trying to pass as a different person. 
  - You can mimic the speech of another person or the sounds made by other creatures. You must have heard the person
     speaking, or heard the creature make the sound, for at least 1 minute. A successful Wisdom (Insight) check contested
     by your Charisma (Deception) check allows a listener to determine that the effect is faked.</t>
  </si>
  <si>
    <t xml:space="preserve">  - Ignore the loading quality of crossbows with which you are proficient. 
  - Being within 5 feet of a hostile creature doesn’t impose disadvantage on your ranged attack rolls. 
  - When you use the Attack action and attack with a one-handed weapon, you can use a bonus action to attack with a loaded
     hand crossbow you are holding.</t>
  </si>
  <si>
    <t xml:space="preserve">  - When wielding a finesse weapon with which you are proficient and another creature hits you with a melee attack,  you can
     use your reaction to add your proficiency bonus to your AC for that attack, potentially causing the attack to miss you.</t>
  </si>
  <si>
    <t xml:space="preserve">  - Advantage on Wisdom (Perception) and Intelligence (Investigation) checks made to detect the presence of secret doors. 
  - You have advantage on saving throws made to avoid or resist traps. 
  - You have resistance to the damage dealt by traps.
  - You can search for traps while traveling at a normal pace, instead of only at a slow pace.</t>
  </si>
  <si>
    <t xml:space="preserve">  - Increase your Constitution score by 1, to a maximum of 20.
  - When you roll a Hit Die to regain hit points, the minimum number of hit points you regain from the roll equals twice your
     Constitution modifier (minimum of 2).</t>
  </si>
  <si>
    <t xml:space="preserve">  - You have advantage on attack rolls against a creature you are grappling. 
  - You can use your action to try to pin a creature grappled by you. To do so, make another grapple check. If you succeed, you
     and the creature are both restrained until the grapple ends. 
  - Creatures that are one size larger than you don’t automatically succeed on checks to escape your grapple.</t>
  </si>
  <si>
    <t xml:space="preserve">  - On your turn, when you score a critical hit with a melee weapon or reduce a creature to 0 hit points with one,
     you can make one melee weapon attack as a bonus action. 
  - Before you make a melee attack with a heavy weapon that you are proficient with, you can choose to take a -5 penalty to
     the attack roll. If the attack hits, you add +10 to the attack’s damage.</t>
  </si>
  <si>
    <t xml:space="preserve">  - When you use a healer’s kit to stabilize a dying creature, that creature also regains 1 hit point. 
  - As an action, you can spend one use of a healer’s kit to tend to a creature and restore 1d6+4 hit points to it, plus additional
     hit points equal to the creature’s maximum number of Hit Dice. The creature can’t regain hit points from this feat again until
     it finishes a short or long rest.</t>
  </si>
  <si>
    <t xml:space="preserve">  - Increase your Strength score by 1, to a maximum of 20. 
  - While wearing heavy armor, bludgeoning, piercing, and slashing damage taken from non magical weapons is reduced by 3.</t>
  </si>
  <si>
    <t xml:space="preserve">  - You can spend 10 minutes inspiring your companions, shoring up their resolve to fight. Choose up to 6 friendly creatures
     (which can include yourself) within 30 feet who can see or hear you and who  can understand you. Each creature can gain
     temporary hit points equal to your level + your Charisma modifier. A creature can’t gain temporary hit points from this
     feat again until it has finished a short or long rest.</t>
  </si>
  <si>
    <t xml:space="preserve">  - You have 3 luck points. 
  - Whenever you make an attack roll, an ability check, or a saving throw, you can spend one luck point to roll an additional d20.
     You can choose to spend one of your luck points after you roll the die, but before the outcome is determined. You choose
     which of the d20s is used for the attack roll, ability check, or saving throw. 
  - You can also spend one luck point when an attack roll is made against you. Roll a d20, and then choose whether the attack
     uses the attacker’s roll or yours. 
  - If more than one creature spends a luck point to influence the outcome of a roll, the points cancel each other out; no
     additional dice are rolled. 
  - You regain your expended luck points when you finish a long rest.</t>
  </si>
  <si>
    <t xml:space="preserve">  - When a creature within 5 feet of you casts a spell, use your reaction to make a melee weapon attack against that creature. 
  - When you damage a creature that is concentrating on a spell, that creature has disadvantage on the saving throw it makes
     to maintain its concentration. 
  - You have advantage on saving throws against spells cast by creatures within 5 feet of you.</t>
  </si>
  <si>
    <t xml:space="preserve">  - Choose a class: bard, cleric, druid, sorcerer, warlock, or wizard. 
  - You learn two cantrips of your choice from that class’s spell list. 
  - In addition, choose one 1st-level spell from that same list. You learn that spell and can cast it at its lowest level. Once you cast
     it, you must finish a long rest before you can cast it again. 
  - Your spellcasting ability for these spells depends on the class chosen: Charisma for bard, sorcerer, or warlock; Wisdom for
     cleric or druid: or Intelligence for wizard.</t>
  </si>
  <si>
    <t xml:space="preserve">  - Your speed increases by 10 feet.
  - When you use the Dash action, difficult terrain doesn’t cost you extra movement on that turn. 
  - When you make a melee attack against a creature, you don’t provoke opportunity attacks from that creature for the rest of
     the turn, whether you hit or not.</t>
  </si>
  <si>
    <t xml:space="preserve">  - You have advantage on melee attack rolls against any unmounted creature that is smaller than your mount. 
  - You can force an attack targeted at your mount to target you instead. 
  - If your mount is subjected to an effect that allows it to  make a Dexterity saving throw to take only half damage, it instead
     takes no damage if it succeeds on the saving throw, and only half damage if it fails.</t>
  </si>
  <si>
    <t xml:space="preserve">  - Increase your Intelligence or Wisdom score by 1, to a maximum of 20. 
  - If you can see a creature’s mouth while it is speaking a language you understand, you can interpret what it’s saying by
     reading its lips. 
  - You have a +5 bonus to your passive Wisdom (Perception) and passive Intelligence (Investigation) scores.</t>
  </si>
  <si>
    <t xml:space="preserve">  - When you take the Attack action and attack with only a glaive, halberd, or quarterstaff, you can use a bonus action to make a
     melee attack with the opposite end of the weapon. The weapon’s damage die for this attack is a d4, and the attack deal
     bludgeoning damage. 
  - While you are wielding a glaive, halberd, pike, or quarterstaff, other creatures provoke an opportunity attack from you
     when they enter your reach.</t>
  </si>
  <si>
    <t xml:space="preserve">  - You acquire a ritual book holding two 1st-level spells of your choice. Choose one of the following classes: bard, cleric, druid,
     sorcerer, warlock, or wizard. You must choose your spells from that class’s spell list, and the spells you choose must have
     the ritual tag. The class you choose determines your spellcasting ability for these spells: Charisma for bard, sorcerer, or
     warlock; Wisdom for cleric or druid; or Intelligence for wizard. 
  - If you come across a spell in written form, such as a magical spell scroll or a wizard’s spellbook, you might be able to add it
     to your ritual book. The spell must be on the spell list for the class you chose, the spell’s level can be no higher than half your
     level (rounded up), and it must have the ritual tag. The process of copying spells into your ritual book takes 2 hours per level
     of the spell and 50 gp per level. The cost represents material components expended as you experiment with the spell to
     master it, as well as fine inks you need to record it.</t>
  </si>
  <si>
    <t xml:space="preserve">  - Once per turn when you roll damage for a melee weapon attack, reroll the weapon’s damage dice and use either total.</t>
  </si>
  <si>
    <t xml:space="preserve">  - When you hit a creature with an opportunity attack, the creature’s speed becomes 0 for the rest of the turn.
  - Creatures within 5 feet of you provoke opportunity attacks even if they take the Disengage action before leaving your reach. 
  - When a creature within 5 feet of you makes an attack against a target other than you (and that target doesn’t have this feat),
     you can use your reaction to make a melee weapon attack against the attacking creature.</t>
  </si>
  <si>
    <t xml:space="preserve">  - Attacking at long range doesn't impose disadvantage on your ranged weapon attack rolls. 
  - Your ranged weapon attacks ignore half cover and three-quarters cover. 
  - Before you make an attack with a ranged weapon that you are proficient with, you can choose to take a -5 penalty to the
     attack roll. If the attack hits, you add +10 to the attack’s damage.</t>
  </si>
  <si>
    <t xml:space="preserve">  - If you take the Attack action on your turn, use a bonus action to try to shove a creature within 5 feet of you with your shield. 
  - If you aren’t incapacitated, add your shield’s AC bonus to any Dexterity saving throw you make against a spell or other
     harmful effect that targets only you. 
  - If you are subjected to an effect that allows you to make a Dexterity saving throw to take only half damage, use your reaction
     to take no damage if you succeed on the saving throw, interposing your shield between you and the source of the effect.</t>
  </si>
  <si>
    <t xml:space="preserve">  - You can try to hide when you are lightly obscured from the creature from which you are hiding. 
  - When you are hidden from a creature and miss it with a ranged weapon attack, making the attack doesn't reveal your position. 
  - Dim light doesn’t impose disadvantage on your Wisdom (Perception) checks relying on sight.</t>
  </si>
  <si>
    <t xml:space="preserve">  - When you cast a spell that requires you to make an attack roll, the spell’s range is doubled. 
  - Your ranged spell attacks ignore half cover and three-quarters cover. 
  - You learn one cantrip that requires an attack roll. Choose the cantrip from the bard, cleric, druid, sorcerer, warlock, or wizard
     spell list. Your spellcasting ability for this cantrip depends on the spell list chosen: Charisma for bard, sorcerer, or warlock;
     Wisdom for cleric or druid; or Intelligence for wizard.</t>
  </si>
  <si>
    <t xml:space="preserve">  - Increase your Strength or Constitution score by 1, to a maximum of 20. 
  - You are proficient with improvised weapons and unarmed strikes. 
  - Your unarmed strike uses a d4 for damage. 
  - When you hit a creature with an unarmed strike or an improvised weapon on your turn, use a bonus action to attempt to
     grapple the target.</t>
  </si>
  <si>
    <t xml:space="preserve">  - Your hit point maximum increases by an amount equal to twice your level when you gain this feat. Whenever you gain a level
    thereafter, your hit point maximum increases by an additional 2 hit points.</t>
  </si>
  <si>
    <t xml:space="preserve">  - Advantage on Constitution saving throws that you make to maintain your concentration on a spell when you take damage. 
  - You can perform the somatic components of spells even when you have weapons or a shield in one or both hands. 
  - When a hostile creature’s movement provokes an opportunity attack, use your reaction to cast a spell at the creature, rather
     than making an opportunity attack. The spell must have a casting time of 1 action and must target only that creature.</t>
  </si>
  <si>
    <t xml:space="preserve">   When you roll damage for a spell, spend 1 sorcery point to reroll a number of the damage dice up to your Charisma modifier
   (minimum of one). You must use the new rolls. You can use Empowered Spell even if you have already used a different
   Metamagic option during the casting of the spell.</t>
  </si>
  <si>
    <t xml:space="preserve">   When you cast a spell that has a duration of 1 minute or longer, spend 1 sorcery point to double its duration, to a maximum
   duration of 24 hours.</t>
  </si>
  <si>
    <t xml:space="preserve">   When you cast a spell that forces a creature to make a saving throw to resist its effects, spend 3 sorcery points to give one
   target of the spell disadvantage on its first saving throw made against the spell.</t>
  </si>
  <si>
    <t xml:space="preserve">   When you cast a spell that forces other creatures to make a saving throw, you can protect some of those creatures from the
   spell’s full force. Spend 1 sorcery point and choose a number of those creatures up to your Charisma modifier (minimum of
   one creature). A chosen creature automatically succeeds on its saving throw against the spell.</t>
  </si>
  <si>
    <t xml:space="preserve">   When you cast a spell that has a range of 5 feet or greater, you can spend 1 sorcery point to double the range of the spell.
   When you cast a spell that has a range of touch, spend 1 sorcery point to make the range of the spell 30 feet.</t>
  </si>
  <si>
    <t xml:space="preserve">   When you cast a spell that has a casting time of 1 action, spend 2 sorcery points to change the casting time to 1 bonus action.</t>
  </si>
  <si>
    <t xml:space="preserve">   When you cast a spell, spend 1 sorcery point to cast it without any somatic or verbal components.</t>
  </si>
  <si>
    <t xml:space="preserve">   When you cast a spell that targets only one creature and doesn’t have a range of self, spend a number of sorcery points
   equal to the spell’s level to target a second creature in range with the same spell (1 sorcery point if the spell is a cantrip).</t>
  </si>
  <si>
    <t xml:space="preserve">   When you take the Attack action on your turn, forgo one of your attacks and use a bonus action to direct one of your
   companions to strike. Choose a friendly creature who can see or hear you and expend one superiority die. That creature can
   immediately use its reaction to make one weapon attack, adding the superiority die to the damage roll.</t>
  </si>
  <si>
    <t xml:space="preserve">   When you hit a creature with a weapon attack, expend one superiority die to attempt to disarm the target, forcing it to drop
   one item of your choice that it’s holding. Add the superiority die to the damage roll, and the target must make a Strength saving
   throw. On a failed save, it drops the object you choose. The object lands at its feet.</t>
  </si>
  <si>
    <t xml:space="preserve">   When you hit a creature with a weapon attack, expend one superiority die to distract the creature, giving allies an opening.
   Add the superiority die to the damage roll. The next attack roll against the target by an attacker other than you has advantage
   if the attack is made before the start of your next turn.</t>
  </si>
  <si>
    <t xml:space="preserve">   Expend one superiority die and use a bonus action on your turn to feint, choose one creature within 5 feet of you as your
   target. You have advantage on your next attack roll against that creature. If that attack hits, add the superiority die to the
   damage roll.</t>
  </si>
  <si>
    <t xml:space="preserve">   When you hit a creature with a weapon attack, expend one superiority die to attempt to goad the target into attacking you.
   Add the superiority die to the damage roll, and the target must make a Wisdom saving throw. On a failed save, the target has
   disadvantage on all attack rolls against targets other than you until the end of your next turn.</t>
  </si>
  <si>
    <t xml:space="preserve">   When you make a melee weapon attack on your turn, expend one superiority die to increase your reach for that attack by
   5 feet. If you hit, you add the superiority die to the damage roll.</t>
  </si>
  <si>
    <t xml:space="preserve">   When you hit a creature with a weapon attack, expend one superiority die to maneuver one of your comrades into a more
   advantageous position. Add the superiority die to the damage roll, and choose a friendly creature who can see or hear you.
   It can use its reaction to move up to half its speed without provoking opportunity attacks from the target of your attack.</t>
  </si>
  <si>
    <t xml:space="preserve">   When you hit a creature with a weapon attack, expend one superiority die to attempt to frighten the target. Add the superiority
   die to the damage roll, the target must make a Wisdom saving throw. On a failed save, it is frightened of you until the end of
   your next turn.</t>
  </si>
  <si>
    <t xml:space="preserve">   When another creature damages you with a melee attack, use your reaction and expend one superiority die to reduce the
   damage by the number you roll on your superiority die + your Dexterity modifier.</t>
  </si>
  <si>
    <t xml:space="preserve">   When you make a weapon attack roll against a creature, expend one superiority die to add it to the roll. You can use this
   maneuver before or after making the attack roll, but before any effects of the attack are applied.</t>
  </si>
  <si>
    <t xml:space="preserve">   When you hit a creature with a weapon attack, expend one superiority die to attempt to drive the target back. Add the
   superiority die to the damage roll,  if the target is Large or smaller, it must make a Strength saving throw. On a failed save,
   you push the target up to 15 feet away from you.</t>
  </si>
  <si>
    <t xml:space="preserve">   When a creature misses you with a melee attack, use your reaction and expend one superiority die to make a melee weapon
   attack against the creature. If you hit, add the superiority die to the damage roll.</t>
  </si>
  <si>
    <t xml:space="preserve">   When you hit a creature with a melee weapon attack, expend one superiority die to attempt to damage another creature with
   the same attack. Choose another creature within 5 feet of the original target and within your reach. If the original attack roll
   would hit the second creature, it takes damage equal to the number you roll on your superiority die.</t>
  </si>
  <si>
    <t xml:space="preserve">   When you hit a creature with a weapon attack, expend one superiority die to attempt to knock the target down. Add the
   superiority die to the damage roll, and if the target is Large or smaller, it must make a Strength saving throw. On a failed save,
   you knock the target prone.</t>
  </si>
  <si>
    <t xml:space="preserve">   Spend 6 ki points to cast cone of cold.</t>
  </si>
  <si>
    <t xml:space="preserve">   Spend 3 ki points to cast hold person.</t>
  </si>
  <si>
    <t xml:space="preserve">   Use your action to briefly control elemental forces nearby, causing one of the following effects of your choice:
     • Create a harmless, instantaneous sensory effect related to air, earth, fire, or water, such as a shower of sparks, a puff of
        wind, a spray of light mist, or a gentle rumbling of stone.
     • Instantaneously light or snuff out a candle, a torch, or a small campfire.
     • Chill or warm up to 1 pound of nonliving material for up to 1 hour.
     • Cause earth, fire, water, or mist that can fit within a 1 ft cube to shape itself into a crude form you designate for 1 minute.</t>
  </si>
  <si>
    <t xml:space="preserve">   Spend 5 ki points to cast stoneskin, targeting yourself.</t>
  </si>
  <si>
    <t xml:space="preserve">   When you use the Attack action on your turn, spend 1 ki point to cause tendrils of flame to stretch out from your fists and feet.
   Your reach with your unarmed strikes increases by 10 feet for that action, as well as the rest of the turn. A hit with such an
   attack deals fire damage instead of bludgeoning damage, and if you spend 1 ki point when the attack hits, it also deals an
   extra 1d10 fire damage.</t>
  </si>
  <si>
    <t xml:space="preserve">   Spend 2 ki points to cast thunderwave. </t>
  </si>
  <si>
    <t xml:space="preserve">   Create a blast of compressed air that strikes like a mighty fist. As an action, spend 2 ki points and choose a creature within 30 feet
   of you. It must make a Strength saving throw. On a failed save, the creature takes 3d10 bludgeoning damage, plus an extra
   1d10 bludgeoning damage for each additional ki point you spend, and you can push the creature up to 20 feet away from you
   and knock it prone. On a successful save, the creature takes half as much damage, and is not pushed or knock it prone.</t>
  </si>
  <si>
    <t xml:space="preserve">   Spend 4 ki points to cast fireball.</t>
  </si>
  <si>
    <t xml:space="preserve">   Spend 3 ki points to cast shatter.</t>
  </si>
  <si>
    <t xml:space="preserve">   Spend 4 ki points to cast gaseous form, targeting yourself.</t>
  </si>
  <si>
    <t xml:space="preserve">   Spend 4 ki points to cast fly, targeting yourself.</t>
  </si>
  <si>
    <t xml:space="preserve">   Send 5 ki points to cast wall of fire.</t>
  </si>
  <si>
    <t xml:space="preserve">   Spend 2 ki points to cast gust of wind.</t>
  </si>
  <si>
    <t xml:space="preserve">   As an action, spend 1 ki point to choose an area of ice or water no larger than 30 feet on a side within 120 feet of you. You
   can change water to ice within the area and vice versa, and you can reshape ice in the area in any manner you choose. You
   can raise or lower the ice’s elevation, create or fill in a trench, erect or flatten a wall, or form a pillar. The extent of any such
   changes can’t exceed half the area’s largest dimension. For example, if you affect a 30-foot square, you can create a pillar up
   to 15 feet high, raise or lower the square’s elevation by up to 15 feet, dig a trench up to 15 feet deep, and so on. You can’t
   shape the ice to trap or injure a creature in the area.</t>
  </si>
  <si>
    <t xml:space="preserve">   Spend 2 ki points to cast burning hands.</t>
  </si>
  <si>
    <t xml:space="preserve">   Spend 2 ki points as a bonus action to create a whip of water that shoves and pulls a creature to unbalance it. A creature you
   can see that is within 30 feet must make a Dexterity saving throw. On a failed save, it takes 3d10 bludgeoning damage, plus
   an extra 1d10 bludgeoning damage for each additional ki point you spend, and you can either knock it prone or pull it up to
   25 feet closer to you. On a successful save, the creature takes half as much damage, and you don’t pull it or knock it prone.</t>
  </si>
  <si>
    <t xml:space="preserve">   Spend 6 ki points to cast wall of stone.</t>
  </si>
  <si>
    <t>Elemental Attument</t>
  </si>
  <si>
    <t xml:space="preserve">   On your turn, use a bonus action and expend one superiority die to bolster the resolve of one of your companions. Choose a
   friendly creature who can see or hear you. It gains temporary HP equal to the superiority die roll + your Charisma modifier.</t>
  </si>
  <si>
    <r>
      <rPr>
        <b/>
        <sz val="14"/>
        <rFont val="Arial"/>
        <family val="2"/>
      </rPr>
      <t>B</t>
    </r>
    <r>
      <rPr>
        <b/>
        <sz val="12"/>
        <rFont val="Arial"/>
        <family val="2"/>
      </rPr>
      <t>LINDED</t>
    </r>
    <r>
      <rPr>
        <sz val="14"/>
        <rFont val="Arial"/>
        <family val="2"/>
      </rPr>
      <t xml:space="preserve">
• A blinded creature can’t see and automatically fails any ability
  check that requires sight.
• Attack rolls against the creature have advantage, and the
  creature’s attack rolls have disadvantage.
</t>
    </r>
    <r>
      <rPr>
        <sz val="8"/>
        <rFont val="Arial"/>
        <family val="2"/>
      </rPr>
      <t xml:space="preserve">
</t>
    </r>
    <r>
      <rPr>
        <b/>
        <sz val="14"/>
        <rFont val="Arial"/>
        <family val="2"/>
      </rPr>
      <t>C</t>
    </r>
    <r>
      <rPr>
        <b/>
        <sz val="12"/>
        <rFont val="Arial"/>
        <family val="2"/>
      </rPr>
      <t>HARMED</t>
    </r>
    <r>
      <rPr>
        <sz val="14"/>
        <rFont val="Arial"/>
        <family val="2"/>
      </rPr>
      <t xml:space="preserve">
• The charmer has advantage on any ability check to interact
  socially with the creature.
• A charmed creature can't attack the charmer or target the
  charmer with harmful abilities or magical effects.
</t>
    </r>
    <r>
      <rPr>
        <sz val="8"/>
        <rFont val="Arial"/>
        <family val="2"/>
      </rPr>
      <t xml:space="preserve">
</t>
    </r>
    <r>
      <rPr>
        <b/>
        <sz val="14"/>
        <rFont val="Arial"/>
        <family val="2"/>
      </rPr>
      <t>D</t>
    </r>
    <r>
      <rPr>
        <b/>
        <sz val="12"/>
        <rFont val="Arial"/>
        <family val="2"/>
      </rPr>
      <t>EAFENED</t>
    </r>
    <r>
      <rPr>
        <sz val="14"/>
        <rFont val="Arial"/>
        <family val="2"/>
      </rPr>
      <t xml:space="preserve"> 
• A deafened creature can’t hear and automatically fails any ability
  check that requires hearing.
</t>
    </r>
    <r>
      <rPr>
        <sz val="8"/>
        <rFont val="Arial"/>
        <family val="2"/>
      </rPr>
      <t xml:space="preserve">
</t>
    </r>
    <r>
      <rPr>
        <b/>
        <sz val="14"/>
        <rFont val="Arial"/>
        <family val="2"/>
      </rPr>
      <t>F</t>
    </r>
    <r>
      <rPr>
        <b/>
        <sz val="12"/>
        <rFont val="Arial"/>
        <family val="2"/>
      </rPr>
      <t>RIGHTENED</t>
    </r>
    <r>
      <rPr>
        <sz val="14"/>
        <rFont val="Arial"/>
        <family val="2"/>
      </rPr>
      <t xml:space="preserve">
• A frightened creature has disadvantage on ability checks &amp; attack
  rolls while the source of its fear is within line of sight.
• The creature can’t willingly move closer to the source of its fear.
</t>
    </r>
    <r>
      <rPr>
        <sz val="8"/>
        <rFont val="Arial"/>
        <family val="2"/>
      </rPr>
      <t xml:space="preserve">
</t>
    </r>
    <r>
      <rPr>
        <b/>
        <sz val="14"/>
        <rFont val="Arial"/>
        <family val="2"/>
      </rPr>
      <t>G</t>
    </r>
    <r>
      <rPr>
        <b/>
        <sz val="12"/>
        <rFont val="Arial"/>
        <family val="2"/>
      </rPr>
      <t>RAPPLED</t>
    </r>
    <r>
      <rPr>
        <sz val="12"/>
        <rFont val="Arial"/>
        <family val="2"/>
      </rPr>
      <t xml:space="preserve"> </t>
    </r>
    <r>
      <rPr>
        <sz val="14"/>
        <rFont val="Arial"/>
        <family val="2"/>
      </rPr>
      <t xml:space="preserve">
• A grappled creature’s speed becomes 0, and it can't benefit from
  any bonus to its speed.
• The condition ends if the grappler is </t>
    </r>
    <r>
      <rPr>
        <b/>
        <i/>
        <sz val="14"/>
        <rFont val="Arial"/>
        <family val="2"/>
      </rPr>
      <t>incapacitated</t>
    </r>
    <r>
      <rPr>
        <sz val="14"/>
        <rFont val="Arial"/>
        <family val="2"/>
      </rPr>
      <t xml:space="preserve">.
• The condition ends if an effect removes the grappled creature
  from the reach of the grappler or grappling effect, such as when
  a creature is hurled away by the thunderwave spell.
</t>
    </r>
    <r>
      <rPr>
        <sz val="8"/>
        <rFont val="Arial"/>
        <family val="2"/>
      </rPr>
      <t xml:space="preserve">
</t>
    </r>
    <r>
      <rPr>
        <b/>
        <sz val="14"/>
        <rFont val="Arial"/>
        <family val="2"/>
      </rPr>
      <t>I</t>
    </r>
    <r>
      <rPr>
        <b/>
        <sz val="12"/>
        <rFont val="Arial"/>
        <family val="2"/>
      </rPr>
      <t>NCAPACITATED</t>
    </r>
    <r>
      <rPr>
        <sz val="14"/>
        <rFont val="Arial"/>
        <family val="2"/>
      </rPr>
      <t xml:space="preserve">
• An incapacitated creature can’t take actions or reactions.
</t>
    </r>
    <r>
      <rPr>
        <sz val="8"/>
        <rFont val="Arial"/>
        <family val="2"/>
      </rPr>
      <t xml:space="preserve">
</t>
    </r>
    <r>
      <rPr>
        <b/>
        <sz val="14"/>
        <rFont val="Arial"/>
        <family val="2"/>
      </rPr>
      <t>I</t>
    </r>
    <r>
      <rPr>
        <b/>
        <sz val="12"/>
        <rFont val="Arial"/>
        <family val="2"/>
      </rPr>
      <t>NVISIBLE</t>
    </r>
    <r>
      <rPr>
        <sz val="14"/>
        <rFont val="Arial"/>
        <family val="2"/>
      </rPr>
      <t xml:space="preserve">
• An invisible creature is impossible to see without the aid of magic
  or a special sense. For the purpose of hiding, the creature is
  heavily obscured. The creature’s location can be detected by any
  noise it makes or any tracks it leaves.
• Attack rolls against the creature have disadvantage, and the
  creature’s attack rolls have advantage.
</t>
    </r>
    <r>
      <rPr>
        <sz val="8"/>
        <rFont val="Arial"/>
        <family val="2"/>
      </rPr>
      <t xml:space="preserve">
</t>
    </r>
    <r>
      <rPr>
        <b/>
        <sz val="14"/>
        <rFont val="Arial"/>
        <family val="2"/>
      </rPr>
      <t>P</t>
    </r>
    <r>
      <rPr>
        <b/>
        <sz val="12"/>
        <rFont val="Arial"/>
        <family val="2"/>
      </rPr>
      <t>ARALYZED</t>
    </r>
    <r>
      <rPr>
        <sz val="14"/>
        <rFont val="Arial"/>
        <family val="2"/>
      </rPr>
      <t xml:space="preserve">
• A paralyzed creature is </t>
    </r>
    <r>
      <rPr>
        <b/>
        <i/>
        <sz val="14"/>
        <rFont val="Arial"/>
        <family val="2"/>
      </rPr>
      <t>incapacitated</t>
    </r>
    <r>
      <rPr>
        <sz val="14"/>
        <rFont val="Arial"/>
        <family val="2"/>
      </rPr>
      <t xml:space="preserve"> and can’t move or speak.
• The creature automatically fails Strength &amp; Dexterity saving throws.
• Attack rolls against the creature have advantage.
• Any attack that hits the creature is a critical hit if the attacker is
  within 5 feet of the creature.
</t>
    </r>
    <r>
      <rPr>
        <sz val="8"/>
        <rFont val="Arial"/>
        <family val="2"/>
      </rPr>
      <t xml:space="preserve">
</t>
    </r>
    <r>
      <rPr>
        <b/>
        <sz val="14"/>
        <rFont val="Arial"/>
        <family val="2"/>
      </rPr>
      <t>P</t>
    </r>
    <r>
      <rPr>
        <b/>
        <sz val="12"/>
        <rFont val="Arial"/>
        <family val="2"/>
      </rPr>
      <t>ETRIFIED</t>
    </r>
    <r>
      <rPr>
        <sz val="14"/>
        <rFont val="Arial"/>
        <family val="2"/>
      </rPr>
      <t xml:space="preserve">
• A petrified creature is transformed, along with any nonmagical
  object it is wearing or carrying, into a solid inanimate substance
  (usually stone). Its weight increases by a factor of ten, and it
  ceases aging.
• The creature is </t>
    </r>
    <r>
      <rPr>
        <b/>
        <i/>
        <sz val="14"/>
        <rFont val="Arial"/>
        <family val="2"/>
      </rPr>
      <t>incapacitated</t>
    </r>
    <r>
      <rPr>
        <sz val="14"/>
        <rFont val="Arial"/>
        <family val="2"/>
      </rPr>
      <t>, can’t move or speak, and is
  unaware of its surroundings.
• Attack rolls against the creature have advantage.
• The creature automatically fails Strength &amp; Dexterity saving throws.
• The creature has resistance to all damage.
• The creature is immune to poison and disease, although a poison
  or disease already in its system is suspended, not neutralized.</t>
    </r>
  </si>
  <si>
    <t xml:space="preserve">   When you roll a 1 or 2 on a damage roll using a melee attack with a two-handed or versile melee weapon with two hands,
   you can reroll the die. You must use the new roll.</t>
  </si>
  <si>
    <t xml:space="preserve">   When a creature you can see attacks a target other than you within 5 feet, you can use your reaction to impose a
   disadvantage on the attack roll. You must be wielding a shield.</t>
  </si>
  <si>
    <t>While raging and not wearing heavy armor, other creatures have disadvantage on opportunity attack rolls. Use the Dash
   action as a bonus action.</t>
  </si>
  <si>
    <t>While raging, creatures within 5 feet have disadvantage on attack rolls against other targets. Enemy is immune if it can’t see,
   hear or be frightened.</t>
  </si>
  <si>
    <t>• +2 Constitution
• Size: Medium
• Speed: 25ft, speed not reduced when wearing heavy armor
• Darkvision 60ft
• Dwarven Resilience: advantage on saving throws against poison, and resistance against poison damage
• Dwarven Combat Training: proficient with battleaxe, handaxe, throwing hammer, and warhammer
• Tool Proficiency: gain proficiency with either smith's tools, brewer's supplies, or mason's tools
• Stonecunning: add double proficiency bonus to Intelligence (History) check on any stonework.
• Languages: Dwarvish, Common</t>
  </si>
  <si>
    <t>• +2 Strength, +1 Constition
• Size: Medium
• Speed: 30ft
• Darkvision 60ft
• Menacing: advantage on Charisma [Intimidation] checks
• Relentless Endurance: if reduced to 0 hit points but not killed outright, drop to 1 hit point. Long rest to reuse. 
• Savage Attacks: critical hits with a melee weapon attack allows one additional roll of one of the weapon’s damage dice and
   add to the damage of the critical hit
• Languages: Orcish, Common</t>
  </si>
  <si>
    <t xml:space="preserve">   As an acolyte, you command the respect of those who share your faith, and you can perform the religious ceremonies of
   your deity.</t>
  </si>
  <si>
    <t xml:space="preserve">   You have created a second identity that includes documentation, established acquaintances, and disguises that allow you to
   assume that persona. Additionally, you can forge documents including official papers and personal letters, as long as you
   have seen an example of the kind of document or the handwriting you are trying to copy.</t>
  </si>
  <si>
    <t xml:space="preserve">   You can always find a place to perform, usually in an inn or tavern but possibly with a circus, at a theater, or even in a noble’s
   court. You receive free lodging and food of a modest or comfortable standard, as long as you perform each night. Your
   performance makes you something of a local figure. When strangers recognize you in a town where you have performed
   they typically take a liking to you.</t>
  </si>
  <si>
    <t xml:space="preserve">   As a member of a guild, you can rely on certain benefits that membership provides. Your fellow guild members will provide
   lodging and food if necessary. If you are accused of a crime, your guild will support you if a good case can be made for you
   innocence or the crime is justifiable. You must pay dues of 5 gp per month to the guild to remain in the guild’s good graces.</t>
  </si>
  <si>
    <t xml:space="preserve">   The quiet seclusion of your extended hermitage gave you access to a unique and powerful discovery. It might be a great truth
   about the cosmos, the deities, the powerful beings of the outer planes, or the forces of nature. It could be a site that no one
   else has ever seen. You might have uncovered a fact that has long been forgotten, or unearthed some relic of the past that
   could rewrite history...</t>
  </si>
  <si>
    <t xml:space="preserve">   Thanks to your noble birth, people are inclined to think the best of you. You are welcome in high society, and people assume
   you have the right to be wherever you are.</t>
  </si>
  <si>
    <t xml:space="preserve">   You have an excellent memory for maps and geography, and can always recall the general layout of terrain, settlements, and
   other features around you. In addition, you can find food and fresh water for yourself and up to five other people each day,
   provided that the land offers berries, small game, water, and so forth.</t>
  </si>
  <si>
    <t xml:space="preserve">   When you attempt to learn or recall a piece of lore, if you do not know that information, you often know where and from
   whom you can obtain it.</t>
  </si>
  <si>
    <t xml:space="preserve">   You can secure free passage on a sailing ship for yourself and your adventuring companions. You might sail on the ship you
   served on, or another ship you have good relations with. Because you’re calling in a favor, you can’t be certain of a schedule
   or route that will meet your every need. In return for your free passage, you and your companions are expected to assist the
   crew during the voyage.</t>
  </si>
  <si>
    <t xml:space="preserve">   You have a military rank from your career as a soldier. Soldiers loyal to your former military organization still recognize your
   authority and influence, and they defer to you if they are of a lower rank.</t>
  </si>
  <si>
    <t xml:space="preserve">   You know the secret patterns and flow to cities and can find passages through the urban sprawl that others would miss.
   When you are not in combat, you (and companions you lead) can travel between any two locations in the city twice as fast
   as your speed would normally allow.</t>
  </si>
  <si>
    <t>SUB CLASS SELECT</t>
  </si>
  <si>
    <t>Decription</t>
  </si>
  <si>
    <t>Host</t>
  </si>
  <si>
    <t>goddess of fertility</t>
  </si>
  <si>
    <t>NG</t>
  </si>
  <si>
    <t>Sheaf of wheat tied with green ribbon</t>
  </si>
  <si>
    <t>god of law and knowledge</t>
  </si>
  <si>
    <t>Open tome</t>
  </si>
  <si>
    <t>god of beasts and the hunt</t>
  </si>
  <si>
    <t>Pair of antlers</t>
  </si>
  <si>
    <t>goddess of community and home</t>
  </si>
  <si>
    <t>LG</t>
  </si>
  <si>
    <t>Fire in a stone hearth</t>
  </si>
  <si>
    <t>goddess of sunlight and honor</t>
  </si>
  <si>
    <t>Light, War</t>
  </si>
  <si>
    <t>Rising sun</t>
  </si>
  <si>
    <t>god of strength at arms</t>
  </si>
  <si>
    <t>CG</t>
  </si>
  <si>
    <t>Longsword crossed over a shield</t>
  </si>
  <si>
    <t>god of trade and wealth</t>
  </si>
  <si>
    <t>Nine-sided gold coin</t>
  </si>
  <si>
    <t>goddess of good fortune</t>
  </si>
  <si>
    <t>Life, Trickery</t>
  </si>
  <si>
    <t>Domino</t>
  </si>
  <si>
    <t>Crossed hammer and tongs</t>
  </si>
  <si>
    <t>god of nature’s wrath</t>
  </si>
  <si>
    <t>NE</t>
  </si>
  <si>
    <t>Bundle of five sharpened bones</t>
  </si>
  <si>
    <t>goddess of wrath and madness</t>
  </si>
  <si>
    <t>Winged wyrm with woman’s head and upper body</t>
  </si>
  <si>
    <t>god of greed and death</t>
  </si>
  <si>
    <t>Dragonshard stone in the shape of a fang</t>
  </si>
  <si>
    <t>god of violence and treachery</t>
  </si>
  <si>
    <t>god of dark magic</t>
  </si>
  <si>
    <t>CE</t>
  </si>
  <si>
    <t>Obsidian tower</t>
  </si>
  <si>
    <t>deity of chaos and change</t>
  </si>
  <si>
    <t>CN</t>
  </si>
  <si>
    <t>Four crossed, rune-inscribed bones</t>
  </si>
  <si>
    <t>deity of protection and good</t>
  </si>
  <si>
    <t>Life, Light, War</t>
  </si>
  <si>
    <t>Flame drawn on silver or molded from silver</t>
  </si>
  <si>
    <t>philosophy of immortality and undeath</t>
  </si>
  <si>
    <t>LN</t>
  </si>
  <si>
    <t>Death, Life</t>
  </si>
  <si>
    <t>Stylized dragon skull on red teardrop gem</t>
  </si>
  <si>
    <t>deities of madness</t>
  </si>
  <si>
    <t>Varies</t>
  </si>
  <si>
    <t>philosophy of light and self-improvement</t>
  </si>
  <si>
    <t>Brilliant crystal</t>
  </si>
  <si>
    <t>elven ancestors</t>
  </si>
  <si>
    <t>--The Dark Six</t>
  </si>
  <si>
    <t>--The Sovereign</t>
  </si>
  <si>
    <t>--Other Faiths of Eberron</t>
  </si>
  <si>
    <t>LE</t>
  </si>
  <si>
    <t>Arawai (NG)</t>
  </si>
  <si>
    <t>Aureon (LN)</t>
  </si>
  <si>
    <t>Balinor (N)</t>
  </si>
  <si>
    <t>Boldrei (LG)</t>
  </si>
  <si>
    <t>Dol Arrah (LG)</t>
  </si>
  <si>
    <t>Dol Dorn (CG)</t>
  </si>
  <si>
    <t>Kol Korran (N)</t>
  </si>
  <si>
    <t>Olladra (NG)</t>
  </si>
  <si>
    <t>Onatar (NG)</t>
  </si>
  <si>
    <t>The Devourer (NE)</t>
  </si>
  <si>
    <t>The Fury (NE)</t>
  </si>
  <si>
    <t>The Keeper (NE)</t>
  </si>
  <si>
    <t>The Mockery (NE)</t>
  </si>
  <si>
    <t>The Shadow (CE)</t>
  </si>
  <si>
    <t>The Traveler (CN)</t>
  </si>
  <si>
    <t>The Silver Flame (LG)</t>
  </si>
  <si>
    <t>The Blood of Vol (LN)</t>
  </si>
  <si>
    <t>Cults of the Dragon Below (NE)</t>
  </si>
  <si>
    <t>The Path of Light (LN)</t>
  </si>
  <si>
    <t>The Undying Court (NG)</t>
  </si>
  <si>
    <t>The Spirits of the Past (CG)</t>
  </si>
  <si>
    <t>--------------------EBERRON--------------------</t>
  </si>
  <si>
    <t>--------------------NON HUMAN--------------------</t>
  </si>
  <si>
    <t>dragon god of good</t>
  </si>
  <si>
    <t>Dragon’s head in profile</t>
  </si>
  <si>
    <t>kuo-toa goddess</t>
  </si>
  <si>
    <t>Lobster head or black pearl</t>
  </si>
  <si>
    <t>elf deity of art and magic</t>
  </si>
  <si>
    <t>Quarter moon or starburst</t>
  </si>
  <si>
    <t>elf god of the sea</t>
  </si>
  <si>
    <t>Dolphin</t>
  </si>
  <si>
    <t>merfolk deity of the sea</t>
  </si>
  <si>
    <t>Spiral design</t>
  </si>
  <si>
    <t>gnome god of trickery and wiles</t>
  </si>
  <si>
    <t>Gold nugget</t>
  </si>
  <si>
    <t>hill giant god of war</t>
  </si>
  <si>
    <t>Wooden club</t>
  </si>
  <si>
    <t>orc god of storms and war</t>
  </si>
  <si>
    <t>Unblinking eye</t>
  </si>
  <si>
    <t>bugbear god of violence</t>
  </si>
  <si>
    <t>kobold god of war and mining</t>
  </si>
  <si>
    <t>Gnome skull</t>
  </si>
  <si>
    <t>troglodyte god of hunger</t>
  </si>
  <si>
    <t>Image of the lizard/toad god</t>
  </si>
  <si>
    <t>drow goddess of spiders</t>
  </si>
  <si>
    <t>goblinoid god of war</t>
  </si>
  <si>
    <t>Bloody axe</t>
  </si>
  <si>
    <t>dwarf god of creation</t>
  </si>
  <si>
    <t>wood elf god of nature</t>
  </si>
  <si>
    <t>Oak</t>
  </si>
  <si>
    <t>elf goddess of the moon</t>
  </si>
  <si>
    <t>Crescent moon</t>
  </si>
  <si>
    <t>sahuagin god of the hunt</t>
  </si>
  <si>
    <t>Shark</t>
  </si>
  <si>
    <t>lizardfolk deity of survival</t>
  </si>
  <si>
    <t>Egg</t>
  </si>
  <si>
    <t>centaur and satyr god of nature</t>
  </si>
  <si>
    <t>Oak growing from acorn</t>
  </si>
  <si>
    <t>god of stone giants and art</t>
  </si>
  <si>
    <t>Stalactite</t>
  </si>
  <si>
    <t>god of fire giants and craft</t>
  </si>
  <si>
    <t>Knowledge, War</t>
  </si>
  <si>
    <t>Flaming sword</t>
  </si>
  <si>
    <t>god of frost giants and strength</t>
  </si>
  <si>
    <t>White double-bladed axe</t>
  </si>
  <si>
    <t>dragon goddess of evil</t>
  </si>
  <si>
    <t>Dragon head with five claw marks</t>
  </si>
  <si>
    <t>halfling goddess of fertility and protection</t>
  </si>
  <si>
    <t>Bahamut (LG)</t>
  </si>
  <si>
    <t>Blibdoolpoolp (NE)</t>
  </si>
  <si>
    <t>Corellon Larethian (CG)</t>
  </si>
  <si>
    <t>Deep Sashelas (CG)</t>
  </si>
  <si>
    <t>Eadro (N)</t>
  </si>
  <si>
    <t>Garl Glittergold (LG)</t>
  </si>
  <si>
    <t>Grolantor (CE)</t>
  </si>
  <si>
    <t>Gruumsh (CE)</t>
  </si>
  <si>
    <t>Hruggek (CE)</t>
  </si>
  <si>
    <t>Kurtulmak (LE)</t>
  </si>
  <si>
    <t>Laogzed (CE)</t>
  </si>
  <si>
    <t>Lolth (CE)</t>
  </si>
  <si>
    <t>Maglubiyet (LE)</t>
  </si>
  <si>
    <t>Moradin (LG)</t>
  </si>
  <si>
    <t>Rillifane Rallathil (CG)</t>
  </si>
  <si>
    <t>Sehanine Moonbow (CG)</t>
  </si>
  <si>
    <t>Sekolah (LE)</t>
  </si>
  <si>
    <t>Semuanya (N)</t>
  </si>
  <si>
    <t>Skerrit (N)</t>
  </si>
  <si>
    <t>koraeus Stonebones (N)</t>
  </si>
  <si>
    <t>Surtur (LE)</t>
  </si>
  <si>
    <t>Thrym (CE)</t>
  </si>
  <si>
    <t>Tiamat (LE)</t>
  </si>
  <si>
    <t>Yondalla (LG)</t>
  </si>
  <si>
    <t>Five blood-spattered tools</t>
  </si>
  <si>
    <t>Hammer and anvil</t>
  </si>
  <si>
    <t>ABILITY SCORE IMPROVEMENT &amp; FEATS</t>
  </si>
  <si>
    <t>ABILITITY SCORES</t>
  </si>
  <si>
    <t>CHARACTER DETAILS</t>
  </si>
  <si>
    <t>CLASS &amp; LEVEL</t>
  </si>
  <si>
    <t>ARMOR &amp; SHIELD</t>
  </si>
  <si>
    <t>WEAPON TABLE</t>
  </si>
  <si>
    <t>You have studied languages and codes, gaining the following benefits:
• Increase your Intelligence score by 1, to a maximum of 20. 
• You learn three languages of your choice. 
• You can ably create written ciphers. Others can’t decipher a code you create unless you teach them, they succeed on an Intelligence check (DC = Intelligence score + your proficiency bonus), or they use magic to decipher it.</t>
  </si>
  <si>
    <t>Aasimar</t>
  </si>
  <si>
    <t>Celestial, Common</t>
  </si>
  <si>
    <t>Aasimar mature at the same rate as humans but live a few years longer.</t>
  </si>
  <si>
    <t>Eladrin</t>
  </si>
  <si>
    <t>• +1 Intelligence
• Elf Weapon Training: proficiency with longsword, shortsword, shortbow, and longbow
• Fey Step: cast the spell misty step using this trait, regain ability after a short or long rest</t>
  </si>
  <si>
    <t>Assimar</t>
  </si>
  <si>
    <t>•</t>
  </si>
  <si>
    <t xml:space="preserve"> RESET ALL: CTRL+SHIFT+S
 REQUIRES EXCEL 2010-2013</t>
  </si>
  <si>
    <t>BACKGROUNDS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</si>
</sst>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
    <numFmt numFmtId="165" formatCode="0&quot; ft&quot;"/>
    <numFmt numFmtId="166" formatCode="0&quot; lbs&quot;"/>
    <numFmt numFmtId="167" formatCode="&quot;d&quot;0"/>
    <numFmt numFmtId="168" formatCode="0&quot;st&quot;"/>
    <numFmt numFmtId="169" formatCode="0&quot;th&quot;"/>
    <numFmt numFmtId="170" formatCode="0&quot;nd&quot;"/>
    <numFmt numFmtId="171" formatCode="0&quot;rd&quot;"/>
    <numFmt numFmtId="172" formatCode="0&quot; HP&quot;"/>
    <numFmt numFmtId="173" formatCode="0.0&quot; lbs&quot;"/>
    <numFmt numFmtId="174" formatCode="\+0;\-0"/>
    <numFmt numFmtId="175" formatCode="0;\-0;;@"/>
  </numFmts>
  <fonts count="80" x14ac:knownFonts="1">
    <font>
      <sz val="10"/>
      <name val="Arial"/>
      <family val="2"/>
    </font>
    <font>
      <sz val="10"/>
      <name val="Arial"/>
      <family val="2"/>
    </font>
    <font>
      <sz val="11"/>
      <name val="Arial"/>
      <family val="2"/>
    </font>
    <font>
      <b/>
      <sz val="22"/>
      <name val="Arial"/>
      <family val="2"/>
    </font>
    <font>
      <sz val="22"/>
      <name val="Arial"/>
      <family val="2"/>
    </font>
    <font>
      <sz val="20"/>
      <name val="Arial"/>
      <family val="2"/>
    </font>
    <font>
      <b/>
      <sz val="20"/>
      <name val="Arial"/>
      <family val="2"/>
    </font>
    <font>
      <b/>
      <sz val="18"/>
      <name val="Arial"/>
      <family val="2"/>
    </font>
    <font>
      <sz val="8"/>
      <name val="Arial"/>
      <family val="2"/>
    </font>
    <font>
      <b/>
      <sz val="11"/>
      <name val="Arial"/>
      <family val="2"/>
    </font>
    <font>
      <b/>
      <sz val="18"/>
      <color indexed="9"/>
      <name val="Arial"/>
      <family val="2"/>
    </font>
    <font>
      <sz val="14"/>
      <name val="Arial"/>
      <family val="2"/>
    </font>
    <font>
      <sz val="16"/>
      <name val="Arial"/>
      <family val="2"/>
    </font>
    <font>
      <b/>
      <sz val="16"/>
      <name val="Arial"/>
      <family val="2"/>
    </font>
    <font>
      <b/>
      <sz val="10"/>
      <color indexed="9"/>
      <name val="Arial"/>
      <family val="2"/>
    </font>
    <font>
      <sz val="18"/>
      <name val="Arial"/>
      <family val="2"/>
    </font>
    <font>
      <b/>
      <sz val="12"/>
      <name val="Arial"/>
      <family val="2"/>
    </font>
    <font>
      <sz val="12"/>
      <name val="Wingdings 2"/>
      <family val="1"/>
      <charset val="2"/>
    </font>
    <font>
      <b/>
      <sz val="14"/>
      <name val="Arial"/>
      <family val="2"/>
    </font>
    <font>
      <sz val="12"/>
      <name val="Arial"/>
      <family val="2"/>
    </font>
    <font>
      <sz val="13"/>
      <name val="Arial"/>
      <family val="2"/>
    </font>
    <font>
      <sz val="28"/>
      <name val="Arial"/>
      <family val="2"/>
    </font>
    <font>
      <b/>
      <sz val="8"/>
      <name val="Arial"/>
      <family val="2"/>
    </font>
    <font>
      <b/>
      <sz val="8"/>
      <color theme="0"/>
      <name val="Arial"/>
      <family val="2"/>
    </font>
    <font>
      <sz val="8"/>
      <color theme="1"/>
      <name val="Arial"/>
      <family val="2"/>
    </font>
    <font>
      <b/>
      <sz val="8"/>
      <color theme="1"/>
      <name val="Arial"/>
      <family val="2"/>
    </font>
    <font>
      <sz val="8"/>
      <color theme="1" tint="0.499984740745262"/>
      <name val="Arial"/>
      <family val="2"/>
    </font>
    <font>
      <sz val="8"/>
      <color theme="0" tint="-0.249977111117893"/>
      <name val="Arial"/>
      <family val="2"/>
    </font>
    <font>
      <sz val="8"/>
      <color theme="0"/>
      <name val="Arial"/>
      <family val="2"/>
    </font>
    <font>
      <sz val="6"/>
      <name val="Arial"/>
      <family val="2"/>
    </font>
    <font>
      <sz val="6"/>
      <color theme="0"/>
      <name val="Arial"/>
      <family val="2"/>
    </font>
    <font>
      <sz val="10"/>
      <color theme="0"/>
      <name val="Arial"/>
      <family val="2"/>
    </font>
    <font>
      <sz val="24"/>
      <name val="Arial"/>
      <family val="2"/>
    </font>
    <font>
      <b/>
      <sz val="10"/>
      <name val="Arial"/>
      <family val="2"/>
    </font>
    <font>
      <sz val="8"/>
      <name val="Calibri"/>
      <family val="2"/>
    </font>
    <font>
      <sz val="12"/>
      <name val="Arial Narrow"/>
      <family val="2"/>
    </font>
    <font>
      <sz val="24"/>
      <name val="Arial Narrow"/>
      <family val="2"/>
    </font>
    <font>
      <sz val="10"/>
      <name val="Arial Narrow"/>
      <family val="2"/>
    </font>
    <font>
      <sz val="8"/>
      <name val="Arial Narrow"/>
      <family val="2"/>
    </font>
    <font>
      <b/>
      <sz val="16"/>
      <name val="Arial Narrow"/>
      <family val="2"/>
    </font>
    <font>
      <sz val="8"/>
      <color theme="0"/>
      <name val="Arial Narrow"/>
      <family val="2"/>
    </font>
    <font>
      <sz val="16"/>
      <name val="Arial Narrow"/>
      <family val="2"/>
    </font>
    <font>
      <sz val="10"/>
      <color theme="1"/>
      <name val="Arial"/>
      <family val="2"/>
    </font>
    <font>
      <b/>
      <sz val="8"/>
      <name val="Arial Narrow"/>
      <family val="2"/>
    </font>
    <font>
      <b/>
      <sz val="12"/>
      <color indexed="9"/>
      <name val="Arial"/>
      <family val="2"/>
    </font>
    <font>
      <sz val="6"/>
      <name val="Arial Narrow"/>
      <family val="2"/>
    </font>
    <font>
      <sz val="8"/>
      <color rgb="FFFF0000"/>
      <name val="Arial"/>
      <family val="2"/>
    </font>
    <font>
      <sz val="8"/>
      <color rgb="FFFF0000"/>
      <name val="Arial Narrow"/>
      <family val="2"/>
    </font>
    <font>
      <sz val="10"/>
      <color theme="0"/>
      <name val="Arial Narrow"/>
      <family val="2"/>
    </font>
    <font>
      <sz val="6"/>
      <color theme="0"/>
      <name val="Arial Narrow"/>
      <family val="2"/>
    </font>
    <font>
      <sz val="13"/>
      <name val="Arial Narrow"/>
      <family val="2"/>
    </font>
    <font>
      <b/>
      <sz val="13"/>
      <name val="Arial"/>
      <family val="2"/>
    </font>
    <font>
      <sz val="8"/>
      <color rgb="FF00B050"/>
      <name val="Arial"/>
      <family val="2"/>
    </font>
    <font>
      <u/>
      <sz val="10"/>
      <color theme="10"/>
      <name val="Arial"/>
      <family val="2"/>
    </font>
    <font>
      <u/>
      <sz val="8"/>
      <color theme="10"/>
      <name val="Arial"/>
      <family val="2"/>
    </font>
    <font>
      <sz val="8"/>
      <color rgb="FF00B050"/>
      <name val="Arial Narrow"/>
      <family val="2"/>
    </font>
    <font>
      <sz val="7"/>
      <name val="Arial Narrow"/>
      <family val="2"/>
    </font>
    <font>
      <sz val="7"/>
      <color rgb="FFFF0000"/>
      <name val="Arial Narrow"/>
      <family val="2"/>
    </font>
    <font>
      <sz val="7"/>
      <color theme="0"/>
      <name val="Arial Narrow"/>
      <family val="2"/>
    </font>
    <font>
      <sz val="8"/>
      <color theme="1"/>
      <name val="Arial Narrow"/>
      <family val="2"/>
    </font>
    <font>
      <sz val="14"/>
      <name val="Arial Narrow"/>
      <family val="2"/>
    </font>
    <font>
      <sz val="18"/>
      <name val="Arial Narrow"/>
      <family val="2"/>
    </font>
    <font>
      <b/>
      <i/>
      <sz val="14"/>
      <name val="Arial"/>
      <family val="2"/>
    </font>
    <font>
      <sz val="7"/>
      <color theme="1"/>
      <name val="Arial Narrow"/>
      <family val="2"/>
    </font>
    <font>
      <sz val="7"/>
      <color theme="1"/>
      <name val="Arial"/>
      <family val="2"/>
    </font>
    <font>
      <sz val="10"/>
      <color theme="1"/>
      <name val="Arial Narrow"/>
      <family val="2"/>
    </font>
    <font>
      <sz val="6"/>
      <color theme="1"/>
      <name val="Arial Narrow"/>
      <family val="2"/>
    </font>
    <font>
      <sz val="12"/>
      <name val="Calibri"/>
      <family val="2"/>
    </font>
    <font>
      <sz val="8"/>
      <color theme="0" tint="-0.249977111117893"/>
      <name val="Arial Narrow"/>
      <family val="2"/>
    </font>
    <font>
      <sz val="6"/>
      <color theme="0" tint="-0.249977111117893"/>
      <name val="Arial Narrow"/>
      <family val="2"/>
    </font>
    <font>
      <sz val="8"/>
      <color rgb="FF33CC33"/>
      <name val="Arial Narrow"/>
      <family val="2"/>
    </font>
    <font>
      <b/>
      <sz val="8"/>
      <color theme="0"/>
      <name val="Arial Narrow"/>
      <family val="2"/>
    </font>
    <font>
      <sz val="6"/>
      <color theme="0" tint="-0.34998626667073579"/>
      <name val="Arial Narrow"/>
      <family val="2"/>
    </font>
    <font>
      <sz val="1"/>
      <color theme="0"/>
      <name val="Arial Narrow"/>
      <family val="2"/>
    </font>
    <font>
      <sz val="8"/>
      <color theme="1" tint="0.499984740745262"/>
      <name val="Arial Narrow"/>
      <family val="2"/>
    </font>
    <font>
      <sz val="11"/>
      <name val="Arial Narrow"/>
      <family val="2"/>
    </font>
    <font>
      <sz val="9"/>
      <color theme="1"/>
      <name val="Arial"/>
      <family val="2"/>
    </font>
    <font>
      <b/>
      <sz val="16"/>
      <color theme="0"/>
      <name val="Arial"/>
      <family val="2"/>
    </font>
    <font>
      <sz val="7"/>
      <name val="Arial"/>
      <family val="2"/>
    </font>
    <font>
      <sz val="16"/>
      <name val="Calibri"/>
      <family val="2"/>
    </font>
  </fonts>
  <fills count="20">
    <fill>
      <patternFill patternType="none"/>
    </fill>
    <fill>
      <patternFill patternType="gray125"/>
    </fill>
    <fill>
      <patternFill patternType="solid">
        <fgColor indexed="8"/>
        <bgColor indexed="64"/>
      </patternFill>
    </fill>
    <fill>
      <patternFill patternType="solid">
        <fgColor theme="0" tint="-4.9989318521683403E-2"/>
        <bgColor indexed="64"/>
      </patternFill>
    </fill>
    <fill>
      <patternFill patternType="solid">
        <fgColor indexed="13"/>
        <bgColor indexed="64"/>
      </patternFill>
    </fill>
    <fill>
      <patternFill patternType="solid">
        <fgColor rgb="FFFFFFCC"/>
        <bgColor indexed="64"/>
      </patternFill>
    </fill>
    <fill>
      <patternFill patternType="solid">
        <fgColor theme="1"/>
        <bgColor indexed="64"/>
      </patternFill>
    </fill>
    <fill>
      <patternFill patternType="solid">
        <fgColor theme="6" tint="0.79998168889431442"/>
        <bgColor theme="6" tint="0.79998168889431442"/>
      </patternFill>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rgb="FFCC99FF"/>
        <bgColor indexed="64"/>
      </patternFill>
    </fill>
    <fill>
      <patternFill patternType="solid">
        <fgColor rgb="FF33CC33"/>
        <bgColor indexed="64"/>
      </patternFill>
    </fill>
    <fill>
      <patternFill patternType="solid">
        <fgColor rgb="FFFF99FF"/>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00FF"/>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6"/>
      </left>
      <right/>
      <top style="medium">
        <color theme="0"/>
      </top>
      <bottom/>
      <diagonal/>
    </border>
    <border>
      <left style="thin">
        <color theme="6"/>
      </left>
      <right/>
      <top style="thin">
        <color theme="6"/>
      </top>
      <bottom/>
      <diagonal/>
    </border>
    <border>
      <left style="thin">
        <color theme="6"/>
      </left>
      <right/>
      <top style="thin">
        <color theme="6"/>
      </top>
      <bottom style="thin">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medium">
        <color theme="0"/>
      </top>
      <bottom/>
      <diagonal/>
    </border>
    <border>
      <left style="thin">
        <color theme="6"/>
      </left>
      <right/>
      <top style="medium">
        <color theme="6"/>
      </top>
      <bottom/>
      <diagonal/>
    </border>
    <border>
      <left style="thin">
        <color theme="6"/>
      </left>
      <right style="thin">
        <color theme="6"/>
      </right>
      <top style="medium">
        <color theme="6"/>
      </top>
      <bottom/>
      <diagonal/>
    </border>
    <border>
      <left style="thin">
        <color theme="6"/>
      </left>
      <right style="thin">
        <color theme="6"/>
      </right>
      <top style="thin">
        <color theme="6"/>
      </top>
      <bottom/>
      <diagonal/>
    </border>
    <border>
      <left style="thin">
        <color theme="6"/>
      </left>
      <right/>
      <top/>
      <bottom/>
      <diagonal/>
    </border>
    <border>
      <left style="thin">
        <color theme="6"/>
      </left>
      <right style="thin">
        <color theme="6"/>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style="medium">
        <color indexed="64"/>
      </right>
      <top style="medium">
        <color indexed="64"/>
      </top>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style="thick">
        <color theme="0"/>
      </top>
      <bottom/>
      <diagonal/>
    </border>
    <border>
      <left/>
      <right style="thick">
        <color theme="0"/>
      </right>
      <top/>
      <bottom/>
      <diagonal/>
    </border>
    <border>
      <left/>
      <right/>
      <top/>
      <bottom style="thick">
        <color theme="0"/>
      </bottom>
      <diagonal/>
    </border>
    <border>
      <left/>
      <right/>
      <top style="thin">
        <color indexed="64"/>
      </top>
      <bottom style="thin">
        <color indexed="64"/>
      </bottom>
      <diagonal/>
    </border>
    <border>
      <left style="thick">
        <color theme="0"/>
      </left>
      <right style="thin">
        <color auto="1"/>
      </right>
      <top/>
      <bottom/>
      <diagonal/>
    </border>
    <border>
      <left style="thick">
        <color theme="0"/>
      </left>
      <right style="thick">
        <color theme="0"/>
      </right>
      <top style="thick">
        <color theme="0"/>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ck">
        <color theme="0"/>
      </left>
      <right/>
      <top/>
      <bottom/>
      <diagonal/>
    </border>
    <border>
      <left style="thick">
        <color theme="0"/>
      </left>
      <right/>
      <top/>
      <bottom style="thick">
        <color theme="0"/>
      </bottom>
      <diagonal/>
    </border>
    <border>
      <left style="thin">
        <color indexed="64"/>
      </left>
      <right style="thin">
        <color indexed="64"/>
      </right>
      <top/>
      <bottom/>
      <diagonal/>
    </border>
    <border>
      <left style="medium">
        <color theme="0"/>
      </left>
      <right/>
      <top/>
      <bottom/>
      <diagonal/>
    </border>
    <border>
      <left/>
      <right style="medium">
        <color theme="0"/>
      </right>
      <top/>
      <bottom/>
      <diagonal/>
    </border>
  </borders>
  <cellStyleXfs count="4">
    <xf numFmtId="0" fontId="0" fillId="0" borderId="0"/>
    <xf numFmtId="0" fontId="1" fillId="0" borderId="0"/>
    <xf numFmtId="0" fontId="53" fillId="0" borderId="0" applyNumberFormat="0" applyFill="0" applyBorder="0" applyAlignment="0" applyProtection="0"/>
    <xf numFmtId="9" fontId="1" fillId="0" borderId="0" applyFont="0" applyFill="0" applyBorder="0" applyAlignment="0" applyProtection="0"/>
  </cellStyleXfs>
  <cellXfs count="1451">
    <xf numFmtId="0" fontId="0" fillId="0" borderId="0" xfId="0"/>
    <xf numFmtId="0" fontId="1" fillId="0" borderId="0" xfId="0" applyFont="1" applyFill="1" applyProtection="1">
      <protection hidden="1"/>
    </xf>
    <xf numFmtId="0" fontId="1" fillId="0" borderId="0" xfId="0" applyFont="1" applyFill="1" applyBorder="1" applyProtection="1">
      <protection hidden="1"/>
    </xf>
    <xf numFmtId="0" fontId="6" fillId="0" borderId="0" xfId="0" applyFont="1" applyFill="1" applyBorder="1" applyAlignment="1" applyProtection="1">
      <alignment vertical="center"/>
      <protection hidden="1"/>
    </xf>
    <xf numFmtId="0" fontId="1" fillId="0" borderId="0" xfId="0" applyFont="1" applyFill="1" applyBorder="1" applyAlignment="1" applyProtection="1">
      <alignment vertical="center"/>
      <protection hidden="1"/>
    </xf>
    <xf numFmtId="0" fontId="1" fillId="0" borderId="0" xfId="0" applyFont="1" applyBorder="1" applyProtection="1">
      <protection hidden="1"/>
    </xf>
    <xf numFmtId="0" fontId="1" fillId="0" borderId="0" xfId="0" applyFont="1" applyProtection="1">
      <protection hidden="1"/>
    </xf>
    <xf numFmtId="0" fontId="1" fillId="0" borderId="0" xfId="0" applyFont="1" applyBorder="1" applyAlignment="1" applyProtection="1">
      <alignment horizontal="left"/>
      <protection hidden="1"/>
    </xf>
    <xf numFmtId="164" fontId="1" fillId="0" borderId="0" xfId="0" applyNumberFormat="1" applyFont="1" applyProtection="1">
      <protection hidden="1"/>
    </xf>
    <xf numFmtId="0" fontId="1" fillId="0" borderId="0" xfId="0" applyFont="1" applyBorder="1" applyAlignment="1" applyProtection="1">
      <protection hidden="1"/>
    </xf>
    <xf numFmtId="0" fontId="1" fillId="4" borderId="0" xfId="0" applyFont="1" applyFill="1" applyProtection="1">
      <protection hidden="1"/>
    </xf>
    <xf numFmtId="0" fontId="1" fillId="0" borderId="0" xfId="0" applyFont="1" applyBorder="1" applyAlignment="1" applyProtection="1">
      <alignment vertical="center"/>
      <protection hidden="1"/>
    </xf>
    <xf numFmtId="0" fontId="2" fillId="0" borderId="0" xfId="0" applyFont="1" applyFill="1" applyBorder="1" applyAlignment="1" applyProtection="1">
      <alignment vertical="center"/>
      <protection hidden="1"/>
    </xf>
    <xf numFmtId="0" fontId="1" fillId="0" borderId="0" xfId="0" applyFont="1" applyFill="1" applyBorder="1" applyAlignment="1" applyProtection="1">
      <alignment vertical="top" wrapText="1"/>
      <protection hidden="1"/>
    </xf>
    <xf numFmtId="0" fontId="8" fillId="0" borderId="0" xfId="0" applyFont="1"/>
    <xf numFmtId="0" fontId="8" fillId="0" borderId="0" xfId="0" applyFont="1" applyAlignment="1">
      <alignment horizontal="center"/>
    </xf>
    <xf numFmtId="0" fontId="8" fillId="0" borderId="0" xfId="0" applyFont="1" applyFill="1" applyBorder="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lignment horizontal="center" vertical="center"/>
    </xf>
    <xf numFmtId="0" fontId="24" fillId="0" borderId="23" xfId="0" applyFont="1" applyBorder="1" applyAlignment="1">
      <alignment vertical="center"/>
    </xf>
    <xf numFmtId="0" fontId="24" fillId="7" borderId="25" xfId="0" applyFont="1" applyFill="1" applyBorder="1" applyAlignment="1">
      <alignment horizontal="center" vertical="center"/>
    </xf>
    <xf numFmtId="0" fontId="25" fillId="0" borderId="22" xfId="0" applyFont="1" applyBorder="1" applyAlignment="1">
      <alignment horizontal="left" vertical="center"/>
    </xf>
    <xf numFmtId="0" fontId="25" fillId="0" borderId="22" xfId="0" applyFont="1" applyBorder="1" applyAlignment="1">
      <alignment horizontal="center" vertical="center"/>
    </xf>
    <xf numFmtId="0" fontId="25" fillId="0" borderId="26" xfId="0" applyFont="1" applyBorder="1" applyAlignment="1">
      <alignment horizontal="left" vertical="center"/>
    </xf>
    <xf numFmtId="0" fontId="24" fillId="7" borderId="27" xfId="0" applyFont="1" applyFill="1" applyBorder="1" applyAlignment="1">
      <alignment horizontal="center" vertical="center"/>
    </xf>
    <xf numFmtId="0" fontId="24" fillId="7" borderId="28" xfId="0" applyFont="1" applyFill="1" applyBorder="1" applyAlignment="1">
      <alignment horizontal="center" vertical="center"/>
    </xf>
    <xf numFmtId="0" fontId="24" fillId="0" borderId="23" xfId="0" applyFont="1" applyBorder="1" applyAlignment="1">
      <alignment horizontal="center" vertical="center"/>
    </xf>
    <xf numFmtId="0" fontId="24" fillId="0" borderId="29" xfId="0" applyFont="1" applyBorder="1" applyAlignment="1">
      <alignment horizontal="center" vertical="center"/>
    </xf>
    <xf numFmtId="0" fontId="24" fillId="7" borderId="23" xfId="0" applyFont="1" applyFill="1" applyBorder="1" applyAlignment="1">
      <alignment vertical="center"/>
    </xf>
    <xf numFmtId="0" fontId="24" fillId="7" borderId="23" xfId="0" applyFont="1" applyFill="1" applyBorder="1" applyAlignment="1">
      <alignment horizontal="center" vertical="center"/>
    </xf>
    <xf numFmtId="0" fontId="24" fillId="7" borderId="29" xfId="0" applyFont="1" applyFill="1" applyBorder="1" applyAlignment="1">
      <alignment horizontal="center" vertical="center"/>
    </xf>
    <xf numFmtId="0" fontId="24" fillId="7" borderId="23" xfId="0" applyFont="1" applyFill="1" applyBorder="1" applyAlignment="1">
      <alignment horizontal="left" vertical="center"/>
    </xf>
    <xf numFmtId="0" fontId="24" fillId="7" borderId="24" xfId="0" applyFont="1" applyFill="1" applyBorder="1" applyAlignment="1">
      <alignment horizontal="center" vertical="center"/>
    </xf>
    <xf numFmtId="0" fontId="25" fillId="0" borderId="30" xfId="0" applyFont="1" applyBorder="1" applyAlignment="1">
      <alignment horizontal="left" vertical="center"/>
    </xf>
    <xf numFmtId="0" fontId="25" fillId="0" borderId="30" xfId="0" applyFont="1" applyBorder="1" applyAlignment="1">
      <alignment horizontal="center" vertical="center"/>
    </xf>
    <xf numFmtId="0" fontId="25" fillId="0" borderId="31" xfId="0" applyFont="1" applyBorder="1" applyAlignment="1">
      <alignment horizontal="left" vertical="center"/>
    </xf>
    <xf numFmtId="0" fontId="24" fillId="0" borderId="30" xfId="0" applyFont="1" applyBorder="1" applyAlignment="1">
      <alignment horizontal="left" vertical="center"/>
    </xf>
    <xf numFmtId="0" fontId="23" fillId="6" borderId="33" xfId="0" applyFont="1" applyFill="1" applyBorder="1" applyAlignment="1">
      <alignment horizontal="center" vertical="center"/>
    </xf>
    <xf numFmtId="0" fontId="11" fillId="0" borderId="0" xfId="0" applyFont="1" applyFill="1" applyBorder="1" applyProtection="1">
      <protection hidden="1"/>
    </xf>
    <xf numFmtId="0" fontId="11" fillId="0" borderId="0" xfId="0" quotePrefix="1" applyFont="1" applyFill="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164" fontId="24" fillId="7" borderId="25" xfId="0" applyNumberFormat="1" applyFont="1" applyFill="1" applyBorder="1" applyAlignment="1">
      <alignment horizontal="center" vertical="center"/>
    </xf>
    <xf numFmtId="164" fontId="24" fillId="7" borderId="23" xfId="0" applyNumberFormat="1" applyFont="1" applyFill="1" applyBorder="1" applyAlignment="1">
      <alignment horizontal="center" vertical="center"/>
    </xf>
    <xf numFmtId="164" fontId="24" fillId="7" borderId="27" xfId="0" applyNumberFormat="1" applyFont="1" applyFill="1" applyBorder="1" applyAlignment="1">
      <alignment horizontal="center" vertical="center"/>
    </xf>
    <xf numFmtId="164" fontId="24" fillId="0" borderId="23" xfId="0" applyNumberFormat="1" applyFont="1" applyBorder="1" applyAlignment="1">
      <alignment horizontal="center" vertical="center"/>
    </xf>
    <xf numFmtId="0" fontId="24" fillId="0" borderId="23" xfId="0" quotePrefix="1" applyFont="1" applyBorder="1" applyAlignment="1">
      <alignment horizontal="center" vertical="center"/>
    </xf>
    <xf numFmtId="0" fontId="24" fillId="7" borderId="23" xfId="0" quotePrefix="1" applyFont="1" applyFill="1" applyBorder="1" applyAlignment="1">
      <alignment horizontal="center" vertical="center"/>
    </xf>
    <xf numFmtId="0" fontId="24" fillId="7" borderId="27" xfId="0" quotePrefix="1" applyFont="1" applyFill="1" applyBorder="1" applyAlignment="1">
      <alignment horizontal="center" vertical="center"/>
    </xf>
    <xf numFmtId="167" fontId="8" fillId="0" borderId="0" xfId="0" applyNumberFormat="1" applyFont="1" applyAlignment="1">
      <alignment horizontal="center" vertical="center"/>
    </xf>
    <xf numFmtId="0" fontId="8" fillId="0" borderId="0" xfId="0" applyNumberFormat="1" applyFont="1" applyFill="1" applyBorder="1" applyAlignment="1" applyProtection="1">
      <alignment horizontal="center" vertical="center"/>
      <protection hidden="1"/>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3" fillId="6" borderId="33" xfId="0" applyFont="1" applyFill="1" applyBorder="1" applyAlignment="1">
      <alignment vertical="center"/>
    </xf>
    <xf numFmtId="0" fontId="0" fillId="0" borderId="0" xfId="0" applyProtection="1">
      <protection hidden="1"/>
    </xf>
    <xf numFmtId="0" fontId="0" fillId="0" borderId="0" xfId="0" applyBorder="1" applyProtection="1">
      <protection hidden="1"/>
    </xf>
    <xf numFmtId="0" fontId="23" fillId="6" borderId="32" xfId="0" applyFont="1" applyFill="1" applyBorder="1" applyAlignment="1">
      <alignment horizontal="center" vertical="center"/>
    </xf>
    <xf numFmtId="0" fontId="12" fillId="0" borderId="0" xfId="0" applyFont="1" applyBorder="1" applyAlignment="1" applyProtection="1">
      <alignment vertical="center"/>
      <protection hidden="1"/>
    </xf>
    <xf numFmtId="0" fontId="0" fillId="0" borderId="0" xfId="0" applyFont="1" applyProtection="1">
      <protection hidden="1"/>
    </xf>
    <xf numFmtId="0" fontId="8" fillId="0" borderId="0" xfId="0" applyFont="1" applyAlignment="1">
      <alignment vertical="center"/>
    </xf>
    <xf numFmtId="0" fontId="8" fillId="0" borderId="0" xfId="0" applyFont="1" applyAlignment="1">
      <alignment horizontal="left" vertical="center"/>
    </xf>
    <xf numFmtId="3" fontId="8" fillId="0" borderId="0" xfId="0" applyNumberFormat="1" applyFont="1" applyAlignment="1">
      <alignment vertical="center"/>
    </xf>
    <xf numFmtId="0" fontId="22" fillId="0" borderId="0" xfId="0" applyFont="1" applyAlignment="1">
      <alignment horizontal="left" vertical="center"/>
    </xf>
    <xf numFmtId="0" fontId="24" fillId="7" borderId="27" xfId="0" applyFont="1" applyFill="1" applyBorder="1" applyAlignment="1">
      <alignment vertical="center"/>
    </xf>
    <xf numFmtId="0" fontId="24" fillId="7" borderId="27" xfId="0" applyFont="1" applyFill="1" applyBorder="1" applyAlignment="1">
      <alignment horizontal="left" vertical="center"/>
    </xf>
    <xf numFmtId="164" fontId="8" fillId="0" borderId="0" xfId="0" applyNumberFormat="1" applyFont="1" applyAlignment="1">
      <alignment horizontal="center" vertical="center"/>
    </xf>
    <xf numFmtId="0" fontId="24" fillId="7" borderId="27" xfId="0" quotePrefix="1" applyFont="1" applyFill="1" applyBorder="1" applyAlignment="1">
      <alignment vertical="center"/>
    </xf>
    <xf numFmtId="0" fontId="24" fillId="7" borderId="27" xfId="0" applyNumberFormat="1" applyFont="1" applyFill="1" applyBorder="1" applyAlignment="1">
      <alignment horizontal="center" vertical="center"/>
    </xf>
    <xf numFmtId="0" fontId="24" fillId="0" borderId="23" xfId="0" applyFont="1" applyBorder="1" applyAlignment="1">
      <alignment horizontal="left" vertical="center"/>
    </xf>
    <xf numFmtId="0" fontId="24" fillId="0" borderId="23" xfId="0" applyNumberFormat="1" applyFont="1" applyBorder="1" applyAlignment="1">
      <alignment horizontal="center" vertical="center"/>
    </xf>
    <xf numFmtId="0" fontId="24" fillId="7" borderId="23" xfId="0" applyNumberFormat="1" applyFont="1" applyFill="1" applyBorder="1" applyAlignment="1">
      <alignment horizontal="center" vertical="center"/>
    </xf>
    <xf numFmtId="167" fontId="8" fillId="0" borderId="0" xfId="0" applyNumberFormat="1" applyFont="1" applyAlignment="1">
      <alignment vertical="center"/>
    </xf>
    <xf numFmtId="0" fontId="24" fillId="7" borderId="24" xfId="0" applyFont="1" applyFill="1" applyBorder="1" applyAlignment="1">
      <alignment vertical="center"/>
    </xf>
    <xf numFmtId="0" fontId="24" fillId="7" borderId="24" xfId="0" applyFont="1" applyFill="1" applyBorder="1" applyAlignment="1">
      <alignment horizontal="left" vertical="center"/>
    </xf>
    <xf numFmtId="0" fontId="8" fillId="0" borderId="0" xfId="0" quotePrefix="1" applyFont="1" applyAlignment="1">
      <alignment horizontal="left" vertical="center"/>
    </xf>
    <xf numFmtId="0" fontId="23" fillId="6" borderId="32" xfId="0" applyFont="1" applyFill="1" applyBorder="1" applyAlignment="1">
      <alignment horizontal="center" vertical="center"/>
    </xf>
    <xf numFmtId="0" fontId="23" fillId="6" borderId="34" xfId="0" applyFont="1" applyFill="1" applyBorder="1" applyAlignment="1">
      <alignment horizontal="center" vertical="center"/>
    </xf>
    <xf numFmtId="0" fontId="23" fillId="6" borderId="33" xfId="0" applyFont="1" applyFill="1" applyBorder="1" applyAlignment="1">
      <alignment horizontal="center" vertical="center"/>
    </xf>
    <xf numFmtId="0" fontId="23" fillId="6" borderId="32" xfId="0" applyFont="1" applyFill="1" applyBorder="1" applyAlignment="1">
      <alignment horizontal="center" vertical="center"/>
    </xf>
    <xf numFmtId="0" fontId="23" fillId="6" borderId="33" xfId="0" applyFont="1" applyFill="1" applyBorder="1" applyAlignment="1">
      <alignment horizontal="center" vertical="center"/>
    </xf>
    <xf numFmtId="0" fontId="23" fillId="6" borderId="33" xfId="0" applyFont="1" applyFill="1" applyBorder="1" applyAlignment="1" applyProtection="1">
      <alignment vertical="center"/>
      <protection hidden="1"/>
    </xf>
    <xf numFmtId="0" fontId="8" fillId="0" borderId="0" xfId="0" applyFont="1" applyBorder="1" applyAlignment="1">
      <alignment horizontal="center" vertical="center"/>
    </xf>
    <xf numFmtId="0" fontId="23" fillId="6" borderId="32" xfId="0" applyFont="1" applyFill="1" applyBorder="1" applyAlignment="1">
      <alignment horizontal="left" vertical="center"/>
    </xf>
    <xf numFmtId="0" fontId="23" fillId="6" borderId="33" xfId="0" applyFont="1" applyFill="1" applyBorder="1" applyAlignment="1">
      <alignment horizontal="left" vertical="center"/>
    </xf>
    <xf numFmtId="0" fontId="23" fillId="6" borderId="33" xfId="0" applyFont="1" applyFill="1" applyBorder="1" applyAlignment="1">
      <alignment horizontal="center" vertical="center"/>
    </xf>
    <xf numFmtId="0" fontId="22" fillId="0" borderId="11" xfId="0" applyFont="1" applyFill="1" applyBorder="1" applyAlignment="1" applyProtection="1">
      <alignment vertical="center"/>
      <protection hidden="1"/>
    </xf>
    <xf numFmtId="0" fontId="8" fillId="0" borderId="0" xfId="0" applyFont="1" applyAlignment="1">
      <alignment horizontal="right" vertical="center"/>
    </xf>
    <xf numFmtId="0" fontId="24" fillId="0" borderId="11" xfId="0" applyFont="1" applyFill="1" applyBorder="1" applyAlignment="1">
      <alignment vertical="center"/>
    </xf>
    <xf numFmtId="0" fontId="24" fillId="0" borderId="14" xfId="0" applyFont="1" applyFill="1" applyBorder="1" applyAlignment="1">
      <alignment vertical="center"/>
    </xf>
    <xf numFmtId="0" fontId="24" fillId="0" borderId="15" xfId="0" applyFont="1" applyFill="1" applyBorder="1" applyAlignment="1">
      <alignment vertical="center"/>
    </xf>
    <xf numFmtId="0" fontId="24" fillId="0" borderId="16" xfId="0" applyFont="1" applyFill="1" applyBorder="1" applyAlignment="1">
      <alignment vertical="center"/>
    </xf>
    <xf numFmtId="0" fontId="24" fillId="5" borderId="13" xfId="0" applyFont="1" applyFill="1" applyBorder="1" applyAlignment="1">
      <alignment vertical="center"/>
    </xf>
    <xf numFmtId="0" fontId="24" fillId="5" borderId="17" xfId="0" applyFont="1" applyFill="1" applyBorder="1" applyAlignment="1">
      <alignment vertical="center"/>
    </xf>
    <xf numFmtId="0" fontId="8" fillId="0" borderId="0" xfId="0" applyFont="1" applyFill="1" applyAlignment="1">
      <alignment horizontal="left" vertical="center"/>
    </xf>
    <xf numFmtId="0" fontId="8" fillId="0" borderId="15" xfId="0" applyFont="1" applyBorder="1" applyAlignment="1">
      <alignment horizontal="left" vertical="center"/>
    </xf>
    <xf numFmtId="0" fontId="8" fillId="0" borderId="0" xfId="0" applyNumberFormat="1" applyFont="1" applyFill="1" applyBorder="1" applyAlignment="1" applyProtection="1">
      <alignment horizontal="left" vertical="center"/>
      <protection hidden="1"/>
    </xf>
    <xf numFmtId="0" fontId="0" fillId="0" borderId="0" xfId="0" applyFont="1" applyFill="1" applyAlignment="1">
      <alignment horizontal="left"/>
    </xf>
    <xf numFmtId="3" fontId="8" fillId="0" borderId="0" xfId="0" applyNumberFormat="1" applyFont="1" applyFill="1" applyAlignment="1">
      <alignment horizontal="left" vertical="center"/>
    </xf>
    <xf numFmtId="0" fontId="23" fillId="6" borderId="33" xfId="0" applyFont="1" applyFill="1" applyBorder="1" applyAlignment="1">
      <alignment horizontal="center" vertical="center"/>
    </xf>
    <xf numFmtId="0" fontId="8" fillId="0" borderId="0" xfId="0" quotePrefix="1" applyFont="1" applyAlignment="1">
      <alignment horizontal="center" vertical="center"/>
    </xf>
    <xf numFmtId="3" fontId="8" fillId="0" borderId="0" xfId="0" applyNumberFormat="1" applyFont="1" applyAlignment="1">
      <alignment horizontal="left" vertical="center"/>
    </xf>
    <xf numFmtId="0" fontId="0" fillId="0" borderId="0" xfId="0" applyFont="1" applyAlignment="1">
      <alignment horizontal="left"/>
    </xf>
    <xf numFmtId="0" fontId="8" fillId="0" borderId="12" xfId="0" applyFont="1" applyBorder="1" applyAlignment="1">
      <alignment horizontal="center" vertical="center"/>
    </xf>
    <xf numFmtId="0" fontId="8" fillId="5" borderId="10" xfId="0" applyFont="1" applyFill="1" applyBorder="1" applyAlignment="1">
      <alignment horizontal="center" vertical="center"/>
    </xf>
    <xf numFmtId="0" fontId="8" fillId="0" borderId="0" xfId="0" applyFont="1" applyAlignment="1">
      <alignment horizontal="left" vertical="top"/>
    </xf>
    <xf numFmtId="167" fontId="8" fillId="0" borderId="0" xfId="0" applyNumberFormat="1" applyFont="1" applyAlignment="1">
      <alignment horizontal="left" vertical="center"/>
    </xf>
    <xf numFmtId="0" fontId="8" fillId="0" borderId="0" xfId="0" applyFont="1" applyAlignment="1" applyProtection="1">
      <protection hidden="1"/>
    </xf>
    <xf numFmtId="0" fontId="22" fillId="0" borderId="11" xfId="0" applyFont="1" applyBorder="1" applyAlignment="1" applyProtection="1">
      <protection hidden="1"/>
    </xf>
    <xf numFmtId="0" fontId="29" fillId="0" borderId="12" xfId="0" applyFont="1" applyBorder="1" applyAlignment="1" applyProtection="1">
      <protection hidden="1"/>
    </xf>
    <xf numFmtId="0" fontId="8" fillId="0" borderId="12" xfId="0" applyFont="1" applyBorder="1" applyAlignment="1" applyProtection="1">
      <alignment vertical="center"/>
      <protection hidden="1"/>
    </xf>
    <xf numFmtId="0" fontId="8" fillId="0" borderId="0" xfId="0" applyFont="1" applyBorder="1" applyAlignment="1" applyProtection="1">
      <protection hidden="1"/>
    </xf>
    <xf numFmtId="0" fontId="8" fillId="0" borderId="0" xfId="0" applyFont="1" applyBorder="1" applyAlignment="1" applyProtection="1">
      <alignment vertical="center"/>
      <protection hidden="1"/>
    </xf>
    <xf numFmtId="0" fontId="8" fillId="0" borderId="0" xfId="0" applyFont="1" applyProtection="1">
      <protection hidden="1"/>
    </xf>
    <xf numFmtId="0" fontId="22" fillId="0" borderId="11" xfId="0" applyFont="1" applyBorder="1" applyProtection="1">
      <protection hidden="1"/>
    </xf>
    <xf numFmtId="0" fontId="8" fillId="0" borderId="12" xfId="0" applyFont="1" applyBorder="1" applyProtection="1">
      <protection hidden="1"/>
    </xf>
    <xf numFmtId="0" fontId="8" fillId="0" borderId="0" xfId="0" applyFont="1" applyBorder="1" applyProtection="1">
      <protection hidden="1"/>
    </xf>
    <xf numFmtId="3" fontId="8" fillId="0" borderId="0" xfId="0" applyNumberFormat="1" applyFont="1" applyBorder="1" applyAlignment="1" applyProtection="1">
      <alignment vertical="center"/>
      <protection hidden="1"/>
    </xf>
    <xf numFmtId="0" fontId="26" fillId="0" borderId="0" xfId="0" applyFont="1" applyBorder="1" applyAlignment="1" applyProtection="1">
      <alignment horizontal="center" vertical="center"/>
      <protection hidden="1"/>
    </xf>
    <xf numFmtId="0" fontId="22"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22" fillId="0" borderId="15" xfId="0" applyFont="1" applyBorder="1" applyProtection="1">
      <protection hidden="1"/>
    </xf>
    <xf numFmtId="0" fontId="8" fillId="0" borderId="0" xfId="0" applyFont="1" applyFill="1" applyBorder="1" applyAlignment="1" applyProtection="1">
      <alignment vertical="top" wrapText="1"/>
      <protection hidden="1"/>
    </xf>
    <xf numFmtId="0" fontId="8" fillId="0" borderId="0" xfId="0" applyFont="1" applyBorder="1" applyAlignment="1" applyProtection="1">
      <alignment vertical="top" wrapText="1"/>
      <protection hidden="1"/>
    </xf>
    <xf numFmtId="0" fontId="8" fillId="0" borderId="0" xfId="0" applyFont="1" applyFill="1" applyBorder="1" applyAlignment="1" applyProtection="1">
      <protection hidden="1"/>
    </xf>
    <xf numFmtId="0" fontId="8" fillId="0" borderId="10" xfId="0" applyFont="1" applyBorder="1" applyProtection="1">
      <protection hidden="1"/>
    </xf>
    <xf numFmtId="0" fontId="19" fillId="0" borderId="0" xfId="0" applyFont="1" applyFill="1" applyBorder="1" applyAlignment="1" applyProtection="1">
      <alignment vertical="top" wrapText="1"/>
      <protection hidden="1"/>
    </xf>
    <xf numFmtId="164" fontId="5" fillId="0" borderId="0" xfId="0" applyNumberFormat="1" applyFont="1" applyFill="1" applyBorder="1" applyAlignment="1" applyProtection="1">
      <alignment vertical="center" shrinkToFit="1"/>
      <protection hidden="1"/>
    </xf>
    <xf numFmtId="0" fontId="5" fillId="0" borderId="0" xfId="0" applyNumberFormat="1" applyFont="1" applyFill="1" applyBorder="1" applyAlignment="1" applyProtection="1">
      <alignment vertical="center"/>
      <protection hidden="1"/>
    </xf>
    <xf numFmtId="164" fontId="5" fillId="0" borderId="0" xfId="0"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 fillId="0" borderId="0" xfId="0" applyFont="1" applyFill="1" applyBorder="1" applyAlignment="1" applyProtection="1">
      <alignment horizontal="left" vertical="center"/>
      <protection hidden="1"/>
    </xf>
    <xf numFmtId="0" fontId="0" fillId="0" borderId="0" xfId="0" applyFill="1" applyBorder="1" applyProtection="1">
      <protection hidden="1"/>
    </xf>
    <xf numFmtId="0" fontId="16" fillId="0" borderId="0" xfId="0" applyFont="1" applyFill="1" applyBorder="1" applyAlignment="1" applyProtection="1">
      <alignment horizontal="center"/>
      <protection hidden="1"/>
    </xf>
    <xf numFmtId="0" fontId="17" fillId="0" borderId="0" xfId="0" applyFont="1" applyFill="1" applyBorder="1" applyAlignment="1" applyProtection="1">
      <alignment horizontal="center"/>
      <protection hidden="1"/>
    </xf>
    <xf numFmtId="3" fontId="15" fillId="0" borderId="0" xfId="0" applyNumberFormat="1" applyFont="1" applyFill="1" applyBorder="1" applyAlignment="1" applyProtection="1">
      <alignment horizontal="center" vertical="center"/>
      <protection hidden="1"/>
    </xf>
    <xf numFmtId="0" fontId="22" fillId="0" borderId="11" xfId="0" applyFont="1" applyBorder="1" applyAlignment="1" applyProtection="1">
      <alignment vertical="center"/>
      <protection hidden="1"/>
    </xf>
    <xf numFmtId="3" fontId="15" fillId="0" borderId="0" xfId="0" applyNumberFormat="1" applyFont="1" applyBorder="1" applyAlignment="1" applyProtection="1">
      <alignment vertical="center"/>
      <protection hidden="1"/>
    </xf>
    <xf numFmtId="3" fontId="15" fillId="0" borderId="10" xfId="0" applyNumberFormat="1" applyFont="1" applyBorder="1" applyAlignment="1" applyProtection="1">
      <alignment vertical="center"/>
      <protection hidden="1"/>
    </xf>
    <xf numFmtId="0" fontId="5" fillId="0" borderId="0" xfId="0" applyFont="1" applyBorder="1" applyProtection="1">
      <protection hidden="1"/>
    </xf>
    <xf numFmtId="0" fontId="5" fillId="0" borderId="0" xfId="0" applyFont="1" applyBorder="1" applyAlignment="1" applyProtection="1">
      <alignment horizontal="right"/>
      <protection hidden="1"/>
    </xf>
    <xf numFmtId="0" fontId="19" fillId="0" borderId="0" xfId="0" applyFont="1" applyFill="1" applyBorder="1" applyAlignment="1" applyProtection="1">
      <alignment vertical="center" wrapText="1"/>
      <protection hidden="1"/>
    </xf>
    <xf numFmtId="0" fontId="8" fillId="0" borderId="0" xfId="0" applyFont="1" applyAlignment="1">
      <alignment horizontal="left" vertical="center" wrapText="1"/>
    </xf>
    <xf numFmtId="0" fontId="8" fillId="0" borderId="15" xfId="0" applyFont="1" applyBorder="1" applyAlignment="1" applyProtection="1">
      <protection hidden="1"/>
    </xf>
    <xf numFmtId="0" fontId="0" fillId="0" borderId="0" xfId="0" applyFont="1" applyAlignment="1" applyProtection="1">
      <protection hidden="1"/>
    </xf>
    <xf numFmtId="0" fontId="0" fillId="0" borderId="0" xfId="0" applyFont="1" applyAlignment="1" applyProtection="1">
      <alignment horizontal="left"/>
      <protection hidden="1"/>
    </xf>
    <xf numFmtId="0" fontId="0" fillId="0" borderId="12" xfId="0" applyFont="1" applyBorder="1" applyAlignment="1" applyProtection="1">
      <protection hidden="1"/>
    </xf>
    <xf numFmtId="0" fontId="0" fillId="0" borderId="14" xfId="0" applyFont="1" applyBorder="1" applyAlignment="1" applyProtection="1">
      <protection hidden="1"/>
    </xf>
    <xf numFmtId="0" fontId="0" fillId="0" borderId="0" xfId="0" applyFont="1" applyBorder="1" applyAlignment="1" applyProtection="1">
      <protection hidden="1"/>
    </xf>
    <xf numFmtId="0" fontId="0" fillId="0" borderId="16" xfId="0" applyFont="1" applyBorder="1" applyAlignment="1" applyProtection="1">
      <protection hidden="1"/>
    </xf>
    <xf numFmtId="0" fontId="0" fillId="0" borderId="10" xfId="0" applyFont="1" applyBorder="1" applyAlignment="1" applyProtection="1">
      <protection hidden="1"/>
    </xf>
    <xf numFmtId="0" fontId="0" fillId="0" borderId="16" xfId="0" applyFont="1" applyFill="1" applyBorder="1" applyAlignment="1" applyProtection="1">
      <protection hidden="1"/>
    </xf>
    <xf numFmtId="0" fontId="0" fillId="0" borderId="0" xfId="0" applyFont="1" applyBorder="1" applyAlignment="1" applyProtection="1">
      <alignment horizontal="left"/>
      <protection hidden="1"/>
    </xf>
    <xf numFmtId="0" fontId="0" fillId="0" borderId="15" xfId="0" applyFont="1" applyFill="1" applyBorder="1" applyAlignment="1" applyProtection="1">
      <protection hidden="1"/>
    </xf>
    <xf numFmtId="0" fontId="0" fillId="0" borderId="0" xfId="0" applyFont="1" applyFill="1" applyBorder="1" applyAlignment="1" applyProtection="1">
      <protection hidden="1"/>
    </xf>
    <xf numFmtId="0" fontId="8" fillId="0" borderId="15" xfId="0" applyFont="1" applyBorder="1" applyProtection="1">
      <protection hidden="1"/>
    </xf>
    <xf numFmtId="0" fontId="22" fillId="8" borderId="11" xfId="0" applyFont="1" applyFill="1" applyBorder="1" applyAlignment="1" applyProtection="1">
      <protection hidden="1"/>
    </xf>
    <xf numFmtId="0" fontId="0" fillId="8" borderId="0" xfId="0" applyFont="1" applyFill="1" applyBorder="1" applyAlignment="1" applyProtection="1">
      <protection hidden="1"/>
    </xf>
    <xf numFmtId="0" fontId="23" fillId="6" borderId="33" xfId="0" applyFont="1" applyFill="1" applyBorder="1" applyAlignment="1">
      <alignment horizontal="center" vertical="center"/>
    </xf>
    <xf numFmtId="173" fontId="14" fillId="0" borderId="0" xfId="0" applyNumberFormat="1" applyFont="1" applyFill="1" applyBorder="1" applyAlignment="1" applyProtection="1">
      <alignment vertical="center"/>
      <protection hidden="1"/>
    </xf>
    <xf numFmtId="0" fontId="23" fillId="6" borderId="37" xfId="0" applyFont="1" applyFill="1" applyBorder="1" applyAlignment="1">
      <alignment horizontal="center" vertical="center"/>
    </xf>
    <xf numFmtId="0" fontId="12" fillId="0" borderId="0" xfId="0" applyFont="1" applyFill="1" applyBorder="1" applyAlignment="1" applyProtection="1">
      <alignment horizontal="left" vertical="center"/>
      <protection hidden="1"/>
    </xf>
    <xf numFmtId="0" fontId="4" fillId="0" borderId="0" xfId="0" applyFont="1" applyFill="1" applyBorder="1" applyAlignment="1" applyProtection="1">
      <alignment vertical="center"/>
      <protection hidden="1"/>
    </xf>
    <xf numFmtId="0" fontId="0" fillId="0" borderId="0" xfId="0" applyFont="1" applyBorder="1" applyAlignment="1" applyProtection="1">
      <alignment vertical="center"/>
      <protection hidden="1"/>
    </xf>
    <xf numFmtId="0" fontId="8" fillId="0" borderId="0" xfId="0" applyFont="1" applyBorder="1" applyAlignment="1" applyProtection="1">
      <alignment vertical="center" wrapText="1"/>
      <protection hidden="1"/>
    </xf>
    <xf numFmtId="0" fontId="11" fillId="0" borderId="0" xfId="0" applyFont="1" applyBorder="1" applyAlignment="1" applyProtection="1">
      <alignment vertical="center"/>
      <protection hidden="1"/>
    </xf>
    <xf numFmtId="0" fontId="0" fillId="0" borderId="0" xfId="0" applyFont="1" applyFill="1" applyBorder="1" applyAlignment="1" applyProtection="1">
      <alignment vertical="center"/>
      <protection hidden="1"/>
    </xf>
    <xf numFmtId="0" fontId="23" fillId="6" borderId="0" xfId="0" applyFont="1" applyFill="1" applyBorder="1" applyAlignment="1">
      <alignment horizontal="center" vertical="center"/>
    </xf>
    <xf numFmtId="49" fontId="11" fillId="0" borderId="0" xfId="0" applyNumberFormat="1" applyFont="1" applyFill="1" applyBorder="1" applyAlignment="1" applyProtection="1">
      <protection hidden="1"/>
    </xf>
    <xf numFmtId="49" fontId="12" fillId="0" borderId="0" xfId="0" applyNumberFormat="1" applyFont="1" applyFill="1" applyBorder="1" applyAlignment="1" applyProtection="1">
      <alignment horizontal="left" vertical="center"/>
      <protection hidden="1"/>
    </xf>
    <xf numFmtId="166" fontId="12" fillId="0" borderId="0" xfId="0" applyNumberFormat="1" applyFont="1" applyFill="1" applyBorder="1" applyAlignment="1" applyProtection="1">
      <alignment horizontal="right" vertical="center"/>
      <protection hidden="1"/>
    </xf>
    <xf numFmtId="0" fontId="13" fillId="0" borderId="0" xfId="0" applyFont="1" applyFill="1" applyBorder="1" applyAlignment="1" applyProtection="1">
      <alignment vertical="center"/>
      <protection hidden="1"/>
    </xf>
    <xf numFmtId="0" fontId="11" fillId="0" borderId="0" xfId="0" applyNumberFormat="1" applyFont="1" applyFill="1" applyBorder="1" applyAlignment="1" applyProtection="1">
      <alignment vertical="top" wrapText="1"/>
      <protection hidden="1"/>
    </xf>
    <xf numFmtId="0" fontId="15" fillId="0" borderId="0" xfId="0" applyNumberFormat="1" applyFont="1" applyFill="1" applyBorder="1" applyAlignment="1" applyProtection="1">
      <alignment vertical="top" wrapText="1"/>
      <protection hidden="1"/>
    </xf>
    <xf numFmtId="49" fontId="12" fillId="0" borderId="0" xfId="0" applyNumberFormat="1" applyFont="1" applyFill="1" applyBorder="1" applyAlignment="1" applyProtection="1">
      <alignment vertical="center"/>
      <protection hidden="1"/>
    </xf>
    <xf numFmtId="0" fontId="23" fillId="6" borderId="37" xfId="0" applyFont="1" applyFill="1" applyBorder="1" applyAlignment="1">
      <alignment vertical="center"/>
    </xf>
    <xf numFmtId="0" fontId="23" fillId="6" borderId="36" xfId="0" applyFont="1" applyFill="1" applyBorder="1" applyAlignment="1">
      <alignment horizontal="left" vertical="center"/>
    </xf>
    <xf numFmtId="0" fontId="31" fillId="8" borderId="0" xfId="0" applyFont="1" applyFill="1" applyBorder="1" applyAlignment="1" applyProtection="1">
      <protection hidden="1"/>
    </xf>
    <xf numFmtId="0" fontId="30" fillId="8" borderId="0" xfId="0" applyFont="1" applyFill="1" applyBorder="1" applyAlignment="1" applyProtection="1">
      <alignment horizontal="right"/>
      <protection hidden="1"/>
    </xf>
    <xf numFmtId="0" fontId="8" fillId="0" borderId="0" xfId="0" applyFont="1" applyAlignment="1">
      <alignment horizontal="right" vertical="center" wrapText="1"/>
    </xf>
    <xf numFmtId="0" fontId="8" fillId="8" borderId="0" xfId="0" applyFont="1" applyFill="1" applyBorder="1" applyAlignment="1" applyProtection="1">
      <alignment horizontal="center"/>
      <protection hidden="1"/>
    </xf>
    <xf numFmtId="169" fontId="8" fillId="8" borderId="0" xfId="0" applyNumberFormat="1" applyFont="1" applyFill="1" applyBorder="1" applyAlignment="1" applyProtection="1">
      <alignment horizontal="center"/>
      <protection hidden="1"/>
    </xf>
    <xf numFmtId="0" fontId="23" fillId="6" borderId="37" xfId="0" applyFont="1" applyFill="1" applyBorder="1" applyAlignment="1">
      <alignment horizontal="center" vertical="center"/>
    </xf>
    <xf numFmtId="0" fontId="0" fillId="0" borderId="0" xfId="0" applyFont="1" applyFill="1" applyBorder="1" applyAlignment="1" applyProtection="1">
      <alignment horizontal="left" vertical="center"/>
      <protection hidden="1"/>
    </xf>
    <xf numFmtId="0" fontId="4" fillId="0" borderId="0" xfId="0" applyFont="1" applyFill="1" applyBorder="1" applyAlignment="1" applyProtection="1">
      <alignment vertical="center" shrinkToFit="1"/>
      <protection hidden="1"/>
    </xf>
    <xf numFmtId="0" fontId="8" fillId="0" borderId="12" xfId="0" applyFont="1" applyBorder="1" applyAlignment="1" applyProtection="1">
      <protection hidden="1"/>
    </xf>
    <xf numFmtId="0" fontId="29" fillId="0" borderId="0" xfId="0" applyFont="1" applyBorder="1" applyAlignment="1" applyProtection="1">
      <protection hidden="1"/>
    </xf>
    <xf numFmtId="0" fontId="8" fillId="0" borderId="15" xfId="0" applyFont="1" applyFill="1" applyBorder="1" applyAlignment="1" applyProtection="1">
      <alignment horizontal="left" vertical="center"/>
      <protection hidden="1"/>
    </xf>
    <xf numFmtId="0" fontId="28" fillId="0" borderId="15" xfId="0" applyFont="1" applyFill="1" applyBorder="1" applyAlignment="1" applyProtection="1">
      <alignment horizontal="left" vertical="center"/>
      <protection hidden="1"/>
    </xf>
    <xf numFmtId="0" fontId="0" fillId="0" borderId="12" xfId="0" applyBorder="1" applyProtection="1">
      <protection hidden="1"/>
    </xf>
    <xf numFmtId="0" fontId="0" fillId="0" borderId="14" xfId="0" applyBorder="1" applyProtection="1">
      <protection hidden="1"/>
    </xf>
    <xf numFmtId="0" fontId="0" fillId="0" borderId="16" xfId="0" applyBorder="1" applyProtection="1">
      <protection hidden="1"/>
    </xf>
    <xf numFmtId="0" fontId="29" fillId="0" borderId="15" xfId="0" applyFont="1" applyBorder="1" applyProtection="1">
      <protection hidden="1"/>
    </xf>
    <xf numFmtId="0" fontId="0" fillId="0" borderId="15" xfId="0" applyBorder="1" applyProtection="1">
      <protection hidden="1"/>
    </xf>
    <xf numFmtId="0" fontId="29" fillId="0" borderId="15" xfId="0" applyFont="1" applyBorder="1" applyAlignment="1" applyProtection="1">
      <alignment horizontal="center"/>
      <protection hidden="1"/>
    </xf>
    <xf numFmtId="0" fontId="0" fillId="0" borderId="0" xfId="0" applyBorder="1" applyAlignment="1" applyProtection="1">
      <alignment vertical="center"/>
      <protection hidden="1"/>
    </xf>
    <xf numFmtId="0" fontId="30" fillId="0" borderId="0" xfId="0" applyFont="1" applyBorder="1" applyAlignment="1" applyProtection="1">
      <alignment horizontal="right" vertical="center"/>
      <protection hidden="1"/>
    </xf>
    <xf numFmtId="0" fontId="0" fillId="0" borderId="15" xfId="0" applyBorder="1" applyAlignment="1" applyProtection="1">
      <alignment horizontal="center"/>
      <protection hidden="1"/>
    </xf>
    <xf numFmtId="0" fontId="0" fillId="0" borderId="0" xfId="0" applyBorder="1" applyAlignment="1" applyProtection="1">
      <alignment horizontal="center" vertical="center"/>
      <protection hidden="1"/>
    </xf>
    <xf numFmtId="0" fontId="0" fillId="0" borderId="13" xfId="0" applyBorder="1" applyProtection="1">
      <protection hidden="1"/>
    </xf>
    <xf numFmtId="0" fontId="0" fillId="0" borderId="10" xfId="0" applyBorder="1" applyProtection="1">
      <protection hidden="1"/>
    </xf>
    <xf numFmtId="0" fontId="0" fillId="0" borderId="17" xfId="0" applyBorder="1" applyProtection="1">
      <protection hidden="1"/>
    </xf>
    <xf numFmtId="0" fontId="29" fillId="0" borderId="13" xfId="0" applyFont="1" applyBorder="1" applyAlignment="1" applyProtection="1">
      <alignment horizontal="center"/>
      <protection hidden="1"/>
    </xf>
    <xf numFmtId="0" fontId="8" fillId="0" borderId="10" xfId="0" applyFont="1" applyBorder="1" applyAlignment="1" applyProtection="1">
      <alignment vertical="center"/>
      <protection hidden="1"/>
    </xf>
    <xf numFmtId="0" fontId="0" fillId="0" borderId="10" xfId="0" applyBorder="1" applyAlignment="1" applyProtection="1">
      <alignment horizontal="center" vertical="center"/>
      <protection hidden="1"/>
    </xf>
    <xf numFmtId="0" fontId="0" fillId="0" borderId="10" xfId="0" applyBorder="1" applyAlignment="1" applyProtection="1">
      <alignment vertical="center"/>
      <protection hidden="1"/>
    </xf>
    <xf numFmtId="0" fontId="8" fillId="0" borderId="0" xfId="0" applyFont="1" applyBorder="1" applyAlignment="1" applyProtection="1">
      <alignment vertical="top"/>
      <protection hidden="1"/>
    </xf>
    <xf numFmtId="0" fontId="29" fillId="0" borderId="0" xfId="0" applyFont="1" applyProtection="1">
      <protection hidden="1"/>
    </xf>
    <xf numFmtId="0" fontId="22" fillId="8" borderId="12" xfId="0" applyFont="1" applyFill="1" applyBorder="1" applyAlignment="1" applyProtection="1">
      <protection hidden="1"/>
    </xf>
    <xf numFmtId="0" fontId="8" fillId="0" borderId="0" xfId="0" quotePrefix="1" applyFont="1" applyAlignment="1">
      <alignment vertical="center"/>
    </xf>
    <xf numFmtId="0" fontId="8" fillId="0" borderId="13" xfId="0" applyFont="1" applyBorder="1" applyProtection="1">
      <protection hidden="1"/>
    </xf>
    <xf numFmtId="0" fontId="8" fillId="0" borderId="16" xfId="0" applyFont="1" applyBorder="1" applyAlignment="1" applyProtection="1">
      <alignment vertical="center"/>
      <protection hidden="1"/>
    </xf>
    <xf numFmtId="0" fontId="1" fillId="0" borderId="0" xfId="0" applyNumberFormat="1" applyFont="1" applyFill="1" applyBorder="1" applyAlignment="1" applyProtection="1">
      <alignment horizontal="left" vertical="center"/>
      <protection hidden="1"/>
    </xf>
    <xf numFmtId="0" fontId="11" fillId="0" borderId="0" xfId="0" applyNumberFormat="1" applyFont="1" applyFill="1" applyBorder="1" applyAlignment="1" applyProtection="1">
      <protection hidden="1"/>
    </xf>
    <xf numFmtId="0" fontId="29" fillId="0" borderId="0" xfId="0" applyFont="1" applyBorder="1" applyAlignment="1" applyProtection="1">
      <alignment vertical="top" wrapText="1"/>
      <protection hidden="1"/>
    </xf>
    <xf numFmtId="0" fontId="8" fillId="0" borderId="0" xfId="0" applyFont="1" applyAlignment="1">
      <alignment vertical="center" wrapText="1"/>
    </xf>
    <xf numFmtId="0" fontId="8" fillId="0" borderId="0" xfId="0" applyFont="1" applyFill="1" applyBorder="1" applyAlignment="1" applyProtection="1">
      <alignment horizontal="center" vertical="center"/>
      <protection hidden="1"/>
    </xf>
    <xf numFmtId="0" fontId="5" fillId="0" borderId="0" xfId="0" applyNumberFormat="1" applyFont="1" applyFill="1" applyBorder="1" applyAlignment="1" applyProtection="1">
      <alignment horizontal="left" vertical="center" shrinkToFit="1"/>
      <protection hidden="1"/>
    </xf>
    <xf numFmtId="0" fontId="8" fillId="0" borderId="0" xfId="0" applyFont="1" applyFill="1" applyBorder="1" applyAlignment="1" applyProtection="1">
      <alignment horizontal="center" vertical="center"/>
      <protection hidden="1"/>
    </xf>
    <xf numFmtId="0" fontId="23" fillId="6" borderId="33" xfId="0" applyFont="1" applyFill="1" applyBorder="1" applyAlignment="1">
      <alignment horizontal="center" vertical="center"/>
    </xf>
    <xf numFmtId="0" fontId="8" fillId="0" borderId="0" xfId="0" applyFont="1" applyFill="1" applyBorder="1" applyAlignment="1" applyProtection="1">
      <alignment horizontal="center" vertical="center"/>
      <protection hidden="1"/>
    </xf>
    <xf numFmtId="0" fontId="23" fillId="6" borderId="33" xfId="0" applyFont="1" applyFill="1" applyBorder="1" applyAlignment="1">
      <alignment horizontal="center" vertical="center"/>
    </xf>
    <xf numFmtId="0" fontId="1" fillId="0" borderId="0" xfId="0" applyFont="1" applyBorder="1" applyAlignment="1" applyProtection="1">
      <alignment horizontal="center" vertical="top" wrapText="1"/>
      <protection hidden="1"/>
    </xf>
    <xf numFmtId="0" fontId="0" fillId="0" borderId="0"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0" fontId="1" fillId="0" borderId="0" xfId="0" applyFont="1" applyFill="1" applyBorder="1" applyAlignment="1" applyProtection="1">
      <protection hidden="1"/>
    </xf>
    <xf numFmtId="0" fontId="0" fillId="0" borderId="0" xfId="0" applyFont="1" applyBorder="1" applyAlignment="1" applyProtection="1">
      <alignment vertical="top" wrapText="1"/>
      <protection hidden="1"/>
    </xf>
    <xf numFmtId="0" fontId="1" fillId="0" borderId="0" xfId="0" applyFont="1" applyBorder="1" applyAlignment="1" applyProtection="1">
      <alignment vertical="top" wrapText="1"/>
      <protection hidden="1"/>
    </xf>
    <xf numFmtId="49" fontId="24" fillId="0" borderId="23" xfId="0" applyNumberFormat="1" applyFont="1" applyBorder="1" applyAlignment="1">
      <alignment horizontal="center" vertical="center"/>
    </xf>
    <xf numFmtId="49" fontId="24" fillId="7" borderId="23" xfId="0" applyNumberFormat="1" applyFont="1" applyFill="1" applyBorder="1" applyAlignment="1">
      <alignment horizontal="center" vertical="center"/>
    </xf>
    <xf numFmtId="49" fontId="24" fillId="7" borderId="23" xfId="0" quotePrefix="1" applyNumberFormat="1" applyFont="1" applyFill="1" applyBorder="1" applyAlignment="1">
      <alignment horizontal="center" vertical="center"/>
    </xf>
    <xf numFmtId="0" fontId="24" fillId="0" borderId="23" xfId="0" quotePrefix="1" applyNumberFormat="1" applyFont="1" applyBorder="1" applyAlignment="1">
      <alignment horizontal="center" vertical="center"/>
    </xf>
    <xf numFmtId="0" fontId="24" fillId="7" borderId="23" xfId="0" quotePrefix="1" applyNumberFormat="1" applyFont="1" applyFill="1" applyBorder="1" applyAlignment="1">
      <alignment horizontal="center" vertical="center"/>
    </xf>
    <xf numFmtId="0" fontId="24" fillId="7" borderId="25" xfId="0" applyNumberFormat="1" applyFont="1" applyFill="1" applyBorder="1" applyAlignment="1">
      <alignment horizontal="center" vertical="center"/>
    </xf>
    <xf numFmtId="0" fontId="24" fillId="7" borderId="27" xfId="0" quotePrefix="1" applyNumberFormat="1" applyFont="1" applyFill="1" applyBorder="1" applyAlignment="1">
      <alignment horizontal="center" vertical="center"/>
    </xf>
    <xf numFmtId="0" fontId="24" fillId="0" borderId="30" xfId="0" quotePrefix="1" applyFont="1" applyBorder="1" applyAlignment="1">
      <alignment horizontal="center" vertical="center"/>
    </xf>
    <xf numFmtId="0" fontId="24" fillId="7" borderId="28" xfId="0" quotePrefix="1" applyFont="1" applyFill="1" applyBorder="1" applyAlignment="1">
      <alignment horizontal="center" vertical="center"/>
    </xf>
    <xf numFmtId="0" fontId="9" fillId="0" borderId="0" xfId="0" applyFont="1" applyBorder="1" applyAlignment="1" applyProtection="1">
      <alignment vertical="top" wrapText="1"/>
      <protection hidden="1"/>
    </xf>
    <xf numFmtId="0" fontId="12" fillId="0" borderId="0" xfId="0" applyFont="1" applyBorder="1" applyProtection="1">
      <protection hidden="1"/>
    </xf>
    <xf numFmtId="0" fontId="2" fillId="0" borderId="0" xfId="0" applyFont="1" applyBorder="1" applyProtection="1">
      <protection hidden="1"/>
    </xf>
    <xf numFmtId="0" fontId="11" fillId="0" borderId="0" xfId="0" applyFont="1" applyBorder="1" applyAlignment="1" applyProtection="1">
      <protection hidden="1"/>
    </xf>
    <xf numFmtId="0" fontId="15" fillId="0" borderId="0" xfId="0" applyFont="1" applyFill="1" applyBorder="1" applyAlignment="1" applyProtection="1">
      <alignment wrapText="1"/>
      <protection hidden="1"/>
    </xf>
    <xf numFmtId="0" fontId="15" fillId="0" borderId="0" xfId="0" applyFont="1" applyBorder="1" applyAlignment="1" applyProtection="1">
      <protection hidden="1"/>
    </xf>
    <xf numFmtId="0" fontId="5" fillId="0" borderId="0" xfId="0" applyFont="1" applyFill="1" applyBorder="1" applyAlignment="1" applyProtection="1">
      <alignment horizontal="right" vertical="top"/>
      <protection hidden="1"/>
    </xf>
    <xf numFmtId="0" fontId="1" fillId="0" borderId="0" xfId="0" applyFont="1" applyFill="1" applyBorder="1" applyAlignment="1" applyProtection="1">
      <alignment horizontal="left"/>
      <protection hidden="1"/>
    </xf>
    <xf numFmtId="0" fontId="33" fillId="0" borderId="0" xfId="0" applyFont="1" applyAlignment="1" applyProtection="1">
      <protection hidden="1"/>
    </xf>
    <xf numFmtId="0" fontId="3" fillId="0" borderId="0" xfId="0" applyFont="1" applyFill="1" applyBorder="1" applyAlignment="1" applyProtection="1">
      <alignment shrinkToFit="1"/>
      <protection hidden="1"/>
    </xf>
    <xf numFmtId="0" fontId="0" fillId="0" borderId="0" xfId="0" applyBorder="1" applyAlignment="1" applyProtection="1">
      <protection hidden="1"/>
    </xf>
    <xf numFmtId="0" fontId="2" fillId="0" borderId="0" xfId="0" applyFont="1" applyFill="1" applyBorder="1" applyAlignment="1" applyProtection="1">
      <alignment horizontal="center"/>
      <protection hidden="1"/>
    </xf>
    <xf numFmtId="0" fontId="8" fillId="0" borderId="0" xfId="0" applyFont="1" applyAlignment="1">
      <alignment horizontal="center" vertical="center" wrapText="1"/>
    </xf>
    <xf numFmtId="0" fontId="0" fillId="0" borderId="0" xfId="0" applyFont="1" applyFill="1" applyBorder="1" applyAlignment="1" applyProtection="1">
      <alignment vertical="center" wrapText="1"/>
      <protection hidden="1"/>
    </xf>
    <xf numFmtId="0" fontId="4"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protection hidden="1"/>
    </xf>
    <xf numFmtId="0" fontId="23" fillId="6" borderId="33" xfId="0" applyFont="1" applyFill="1" applyBorder="1" applyAlignment="1">
      <alignment horizontal="center" vertical="center"/>
    </xf>
    <xf numFmtId="0" fontId="8"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25" fillId="9" borderId="26" xfId="0" applyFont="1" applyFill="1" applyBorder="1" applyAlignment="1">
      <alignment horizontal="left" vertical="center"/>
    </xf>
    <xf numFmtId="0" fontId="25" fillId="10" borderId="26" xfId="0" applyFont="1" applyFill="1" applyBorder="1" applyAlignment="1">
      <alignment horizontal="left" vertical="center"/>
    </xf>
    <xf numFmtId="0" fontId="8" fillId="0" borderId="0" xfId="0" quotePrefix="1" applyFont="1" applyAlignment="1">
      <alignment horizontal="right" vertical="center"/>
    </xf>
    <xf numFmtId="0" fontId="38" fillId="0" borderId="0" xfId="0" applyFont="1" applyBorder="1" applyAlignment="1" applyProtection="1">
      <alignment vertical="center" wrapText="1"/>
      <protection hidden="1"/>
    </xf>
    <xf numFmtId="0" fontId="38" fillId="0" borderId="0" xfId="0" applyFont="1" applyBorder="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Fill="1" applyBorder="1" applyAlignment="1" applyProtection="1">
      <alignment vertical="center"/>
      <protection hidden="1"/>
    </xf>
    <xf numFmtId="0" fontId="37" fillId="0" borderId="0" xfId="0" applyFont="1" applyBorder="1" applyProtection="1">
      <protection hidden="1"/>
    </xf>
    <xf numFmtId="0" fontId="37" fillId="0" borderId="0" xfId="0" applyFont="1" applyFill="1" applyBorder="1" applyProtection="1">
      <protection hidden="1"/>
    </xf>
    <xf numFmtId="0" fontId="37" fillId="0" borderId="0" xfId="0" applyFont="1" applyFill="1" applyBorder="1" applyAlignment="1" applyProtection="1">
      <alignment horizontal="right" vertical="center"/>
      <protection hidden="1"/>
    </xf>
    <xf numFmtId="0" fontId="39" fillId="0" borderId="0" xfId="0" applyFont="1" applyFill="1" applyBorder="1" applyAlignment="1" applyProtection="1">
      <alignment vertical="center"/>
      <protection hidden="1"/>
    </xf>
    <xf numFmtId="0" fontId="8" fillId="0" borderId="0" xfId="0" applyFont="1" applyFill="1" applyBorder="1" applyAlignment="1" applyProtection="1">
      <alignment horizontal="center" vertical="center"/>
      <protection hidden="1"/>
    </xf>
    <xf numFmtId="0" fontId="23" fillId="6" borderId="33" xfId="0" applyFont="1" applyFill="1" applyBorder="1" applyAlignment="1">
      <alignment horizontal="center" vertical="center"/>
    </xf>
    <xf numFmtId="0" fontId="22" fillId="0" borderId="0" xfId="0" applyFont="1" applyAlignment="1">
      <alignment horizontal="center" textRotation="90"/>
    </xf>
    <xf numFmtId="0" fontId="8" fillId="0" borderId="0" xfId="0" applyFont="1" applyFill="1" applyBorder="1" applyAlignment="1" applyProtection="1">
      <alignment horizontal="left" vertical="center"/>
      <protection hidden="1"/>
    </xf>
    <xf numFmtId="0" fontId="23" fillId="6" borderId="33" xfId="0" applyFont="1" applyFill="1" applyBorder="1" applyAlignment="1">
      <alignment horizontal="center" vertical="center"/>
    </xf>
    <xf numFmtId="0" fontId="8" fillId="0" borderId="0" xfId="0" applyFont="1" applyFill="1" applyBorder="1" applyAlignment="1" applyProtection="1">
      <alignment horizontal="left" vertical="center"/>
      <protection hidden="1"/>
    </xf>
    <xf numFmtId="0" fontId="8" fillId="0" borderId="0" xfId="0" applyFont="1" applyAlignment="1">
      <alignment horizontal="center" vertical="top"/>
    </xf>
    <xf numFmtId="0" fontId="8" fillId="0" borderId="0" xfId="0" applyNumberFormat="1" applyFont="1" applyAlignment="1">
      <alignment horizontal="left" vertical="center"/>
    </xf>
    <xf numFmtId="0" fontId="8" fillId="0" borderId="11" xfId="0" quotePrefix="1" applyFont="1" applyBorder="1" applyAlignment="1">
      <alignment horizontal="left" vertical="center"/>
    </xf>
    <xf numFmtId="0" fontId="8" fillId="0" borderId="15" xfId="0" quotePrefix="1" applyFont="1" applyBorder="1" applyAlignment="1">
      <alignment horizontal="left" vertical="center"/>
    </xf>
    <xf numFmtId="0" fontId="8" fillId="0" borderId="16" xfId="0" applyFont="1" applyBorder="1" applyAlignment="1" applyProtection="1">
      <protection hidden="1"/>
    </xf>
    <xf numFmtId="0" fontId="22" fillId="0" borderId="12" xfId="0" applyFont="1" applyBorder="1" applyAlignment="1" applyProtection="1">
      <alignment horizontal="left"/>
      <protection hidden="1"/>
    </xf>
    <xf numFmtId="0" fontId="8" fillId="0" borderId="12" xfId="0" applyFont="1" applyFill="1" applyBorder="1" applyAlignment="1" applyProtection="1">
      <alignment vertical="top" wrapText="1"/>
      <protection hidden="1"/>
    </xf>
    <xf numFmtId="0" fontId="8" fillId="0" borderId="14" xfId="0" applyFont="1" applyFill="1" applyBorder="1" applyAlignment="1" applyProtection="1">
      <alignment vertical="top" wrapText="1"/>
      <protection hidden="1"/>
    </xf>
    <xf numFmtId="0" fontId="23" fillId="6" borderId="37" xfId="0" applyFont="1" applyFill="1" applyBorder="1" applyAlignment="1">
      <alignment horizontal="center" vertical="center"/>
    </xf>
    <xf numFmtId="0" fontId="23" fillId="6" borderId="37" xfId="0" applyFont="1" applyFill="1" applyBorder="1" applyAlignment="1">
      <alignment horizontal="center" vertical="center"/>
    </xf>
    <xf numFmtId="0" fontId="38" fillId="0" borderId="16" xfId="0" applyFont="1" applyBorder="1" applyAlignment="1" applyProtection="1">
      <alignment vertical="top" wrapText="1"/>
      <protection hidden="1"/>
    </xf>
    <xf numFmtId="0" fontId="38" fillId="0" borderId="10" xfId="0" applyFont="1" applyBorder="1" applyAlignment="1" applyProtection="1">
      <alignment vertical="top" wrapText="1"/>
      <protection hidden="1"/>
    </xf>
    <xf numFmtId="0" fontId="38" fillId="0" borderId="17" xfId="0" applyFont="1" applyBorder="1" applyAlignment="1" applyProtection="1">
      <alignment vertical="top" wrapText="1"/>
      <protection hidden="1"/>
    </xf>
    <xf numFmtId="0" fontId="0" fillId="0" borderId="0" xfId="0" applyFont="1" applyBorder="1" applyAlignment="1" applyProtection="1">
      <alignment vertical="top"/>
      <protection hidden="1"/>
    </xf>
    <xf numFmtId="0" fontId="8" fillId="0" borderId="0" xfId="0" applyFont="1" applyFill="1" applyBorder="1" applyAlignment="1" applyProtection="1">
      <alignment horizontal="center" vertical="center"/>
      <protection hidden="1"/>
    </xf>
    <xf numFmtId="0" fontId="23" fillId="6" borderId="32" xfId="0" applyFont="1" applyFill="1" applyBorder="1" applyAlignment="1">
      <alignment horizontal="center" vertical="center"/>
    </xf>
    <xf numFmtId="0" fontId="23" fillId="6" borderId="33" xfId="0" applyFont="1" applyFill="1" applyBorder="1" applyAlignment="1">
      <alignment horizontal="center" vertical="center"/>
    </xf>
    <xf numFmtId="0" fontId="23" fillId="6" borderId="33" xfId="0" applyFont="1" applyFill="1" applyBorder="1" applyAlignment="1">
      <alignment horizontal="left" vertical="center"/>
    </xf>
    <xf numFmtId="0" fontId="8" fillId="0" borderId="0" xfId="0" applyFont="1" applyFill="1" applyBorder="1" applyAlignment="1" applyProtection="1">
      <alignment horizontal="center" vertical="center"/>
      <protection hidden="1"/>
    </xf>
    <xf numFmtId="0" fontId="23" fillId="6" borderId="33" xfId="0" applyFont="1" applyFill="1" applyBorder="1" applyAlignment="1">
      <alignment horizontal="center" vertical="center"/>
    </xf>
    <xf numFmtId="0" fontId="23" fillId="6" borderId="33" xfId="0" applyFont="1" applyFill="1" applyBorder="1" applyAlignment="1">
      <alignment horizontal="left" vertical="center"/>
    </xf>
    <xf numFmtId="0" fontId="23" fillId="6" borderId="37" xfId="0"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Border="1" applyAlignment="1">
      <alignment horizontal="center" vertical="center"/>
    </xf>
    <xf numFmtId="168" fontId="8" fillId="0" borderId="0" xfId="0" applyNumberFormat="1" applyFont="1" applyFill="1" applyBorder="1" applyAlignment="1" applyProtection="1">
      <alignment vertical="center"/>
      <protection hidden="1"/>
    </xf>
    <xf numFmtId="170" fontId="8" fillId="0" borderId="0" xfId="0" applyNumberFormat="1" applyFont="1" applyFill="1" applyBorder="1" applyAlignment="1" applyProtection="1">
      <alignment vertical="center"/>
      <protection hidden="1"/>
    </xf>
    <xf numFmtId="171" fontId="8" fillId="0" borderId="0" xfId="0" applyNumberFormat="1" applyFont="1" applyFill="1" applyBorder="1" applyAlignment="1" applyProtection="1">
      <alignment vertical="center"/>
      <protection hidden="1"/>
    </xf>
    <xf numFmtId="169" fontId="8" fillId="0" borderId="0" xfId="0" applyNumberFormat="1" applyFont="1" applyFill="1" applyBorder="1" applyAlignment="1" applyProtection="1">
      <alignment vertical="center"/>
      <protection hidden="1"/>
    </xf>
    <xf numFmtId="0" fontId="8" fillId="0" borderId="0" xfId="0" applyFont="1" applyFill="1" applyBorder="1" applyAlignment="1">
      <alignment vertical="center"/>
    </xf>
    <xf numFmtId="0" fontId="8" fillId="0" borderId="0" xfId="0" quotePrefix="1" applyFont="1" applyFill="1" applyBorder="1" applyAlignment="1">
      <alignment horizontal="center" vertical="center"/>
    </xf>
    <xf numFmtId="0" fontId="25" fillId="11" borderId="26" xfId="0" applyFont="1" applyFill="1" applyBorder="1" applyAlignment="1">
      <alignment horizontal="left" vertical="center"/>
    </xf>
    <xf numFmtId="0" fontId="25" fillId="12" borderId="26" xfId="0" applyFont="1" applyFill="1" applyBorder="1" applyAlignment="1">
      <alignment horizontal="left" vertical="center"/>
    </xf>
    <xf numFmtId="0" fontId="29" fillId="0" borderId="44" xfId="0" applyFont="1" applyBorder="1" applyAlignment="1" applyProtection="1">
      <alignment horizontal="center" vertical="center"/>
      <protection hidden="1"/>
    </xf>
    <xf numFmtId="0" fontId="30" fillId="0" borderId="0" xfId="0" applyFont="1" applyBorder="1" applyAlignment="1" applyProtection="1">
      <alignment horizontal="center"/>
      <protection hidden="1"/>
    </xf>
    <xf numFmtId="0" fontId="8" fillId="0" borderId="38" xfId="0" applyFont="1" applyBorder="1" applyAlignment="1">
      <alignment horizontal="left" vertical="center"/>
    </xf>
    <xf numFmtId="0" fontId="8" fillId="0" borderId="38" xfId="0" applyFont="1" applyBorder="1" applyAlignment="1">
      <alignment horizontal="center" vertical="center"/>
    </xf>
    <xf numFmtId="0" fontId="22" fillId="0" borderId="0" xfId="0" applyFont="1" applyFill="1" applyBorder="1" applyAlignment="1">
      <alignment horizontal="center" vertical="center"/>
    </xf>
    <xf numFmtId="168" fontId="22" fillId="0" borderId="0" xfId="0" applyNumberFormat="1" applyFont="1" applyFill="1" applyBorder="1" applyAlignment="1" applyProtection="1">
      <alignment vertical="center"/>
      <protection hidden="1"/>
    </xf>
    <xf numFmtId="170" fontId="22" fillId="0" borderId="0" xfId="0" applyNumberFormat="1" applyFont="1" applyFill="1" applyBorder="1" applyAlignment="1" applyProtection="1">
      <alignment vertical="center"/>
      <protection hidden="1"/>
    </xf>
    <xf numFmtId="171" fontId="22" fillId="0" borderId="0" xfId="0" applyNumberFormat="1" applyFont="1" applyFill="1" applyBorder="1" applyAlignment="1" applyProtection="1">
      <alignment vertical="center"/>
      <protection hidden="1"/>
    </xf>
    <xf numFmtId="169" fontId="22" fillId="0" borderId="0" xfId="0" applyNumberFormat="1" applyFont="1" applyFill="1" applyBorder="1" applyAlignment="1" applyProtection="1">
      <alignment vertical="center"/>
      <protection hidden="1"/>
    </xf>
    <xf numFmtId="0" fontId="8" fillId="0" borderId="0" xfId="0" applyFont="1" applyBorder="1" applyAlignment="1">
      <alignment horizontal="left" vertical="center"/>
    </xf>
    <xf numFmtId="0" fontId="8" fillId="0" borderId="0" xfId="0" applyFont="1" applyBorder="1" applyAlignment="1">
      <alignment vertical="center"/>
    </xf>
    <xf numFmtId="0" fontId="29" fillId="0" borderId="0" xfId="0" applyFont="1" applyBorder="1" applyAlignment="1" applyProtection="1">
      <alignment horizontal="center" vertical="center"/>
      <protection hidden="1"/>
    </xf>
    <xf numFmtId="0" fontId="40" fillId="6" borderId="33" xfId="0" applyFont="1" applyFill="1" applyBorder="1" applyAlignment="1">
      <alignment horizontal="center" vertical="center"/>
    </xf>
    <xf numFmtId="0" fontId="40" fillId="6" borderId="33" xfId="0" applyFont="1" applyFill="1" applyBorder="1" applyAlignment="1">
      <alignment vertical="center"/>
    </xf>
    <xf numFmtId="0" fontId="38" fillId="0" borderId="0" xfId="0" applyFont="1" applyAlignment="1">
      <alignment horizontal="left" vertical="center"/>
    </xf>
    <xf numFmtId="0" fontId="38" fillId="0" borderId="0" xfId="0" applyFont="1" applyAlignment="1">
      <alignment horizontal="center" vertical="center"/>
    </xf>
    <xf numFmtId="0" fontId="38" fillId="0" borderId="38" xfId="0" applyFont="1" applyBorder="1" applyAlignment="1">
      <alignment textRotation="90"/>
    </xf>
    <xf numFmtId="0" fontId="38" fillId="0" borderId="0" xfId="0" applyFont="1" applyAlignment="1">
      <alignment textRotation="90"/>
    </xf>
    <xf numFmtId="0" fontId="38" fillId="0" borderId="0" xfId="0" applyFont="1" applyAlignment="1">
      <alignment horizontal="center" textRotation="90"/>
    </xf>
    <xf numFmtId="0" fontId="43" fillId="0" borderId="0" xfId="0" applyFont="1" applyAlignment="1">
      <alignment horizontal="center" textRotation="90"/>
    </xf>
    <xf numFmtId="0" fontId="37" fillId="0" borderId="0" xfId="0" applyFont="1" applyFill="1" applyBorder="1" applyAlignment="1" applyProtection="1">
      <protection hidden="1"/>
    </xf>
    <xf numFmtId="0" fontId="8" fillId="0" borderId="0" xfId="0" quotePrefix="1" applyFont="1" applyAlignment="1">
      <alignment horizontal="left" vertical="center" wrapText="1"/>
    </xf>
    <xf numFmtId="0" fontId="37" fillId="0" borderId="0" xfId="1" applyFont="1" applyFill="1" applyBorder="1" applyAlignment="1" applyProtection="1">
      <alignment vertical="center"/>
      <protection hidden="1"/>
    </xf>
    <xf numFmtId="0" fontId="1" fillId="0" borderId="0" xfId="1" applyFont="1" applyBorder="1" applyProtection="1">
      <protection hidden="1"/>
    </xf>
    <xf numFmtId="0" fontId="11" fillId="0" borderId="2" xfId="0" applyNumberFormat="1" applyFont="1" applyFill="1" applyBorder="1" applyAlignment="1" applyProtection="1">
      <alignment vertical="top" wrapText="1"/>
      <protection hidden="1"/>
    </xf>
    <xf numFmtId="0" fontId="11" fillId="0" borderId="2" xfId="0" applyNumberFormat="1" applyFont="1" applyFill="1" applyBorder="1" applyAlignment="1" applyProtection="1">
      <alignment vertical="center" wrapText="1"/>
      <protection hidden="1"/>
    </xf>
    <xf numFmtId="0" fontId="23" fillId="6" borderId="33" xfId="0" applyFont="1" applyFill="1" applyBorder="1" applyAlignment="1">
      <alignment horizontal="center" vertical="center"/>
    </xf>
    <xf numFmtId="0" fontId="38" fillId="0" borderId="0" xfId="0" applyFont="1" applyBorder="1" applyAlignment="1" applyProtection="1">
      <alignment horizontal="right"/>
      <protection hidden="1"/>
    </xf>
    <xf numFmtId="174" fontId="45" fillId="0" borderId="0" xfId="0" applyNumberFormat="1" applyFont="1" applyBorder="1" applyAlignment="1" applyProtection="1">
      <alignment horizontal="center"/>
      <protection hidden="1"/>
    </xf>
    <xf numFmtId="0" fontId="45" fillId="0" borderId="0" xfId="0" applyFont="1" applyBorder="1" applyAlignment="1" applyProtection="1">
      <protection hidden="1"/>
    </xf>
    <xf numFmtId="0" fontId="38" fillId="0" borderId="0" xfId="0" applyFont="1" applyBorder="1" applyAlignment="1" applyProtection="1">
      <protection hidden="1"/>
    </xf>
    <xf numFmtId="0" fontId="23" fillId="6" borderId="33" xfId="0" applyFont="1" applyFill="1" applyBorder="1" applyAlignment="1">
      <alignment horizontal="center" vertical="center"/>
    </xf>
    <xf numFmtId="0" fontId="23" fillId="6" borderId="33" xfId="0" applyFont="1" applyFill="1" applyBorder="1" applyAlignment="1">
      <alignment horizontal="left" vertical="center"/>
    </xf>
    <xf numFmtId="0" fontId="46" fillId="0" borderId="0" xfId="0" applyFont="1" applyAlignment="1">
      <alignment horizontal="center" vertical="center"/>
    </xf>
    <xf numFmtId="0" fontId="46" fillId="0" borderId="0" xfId="0" applyFont="1" applyAlignment="1">
      <alignment horizontal="left" vertical="center"/>
    </xf>
    <xf numFmtId="0" fontId="46" fillId="0" borderId="0" xfId="0" applyNumberFormat="1" applyFont="1" applyFill="1" applyBorder="1" applyAlignment="1" applyProtection="1">
      <alignment horizontal="center" vertical="center"/>
      <protection hidden="1"/>
    </xf>
    <xf numFmtId="167" fontId="46" fillId="0" borderId="0" xfId="0" applyNumberFormat="1" applyFont="1" applyAlignment="1">
      <alignment horizontal="center" vertical="center"/>
    </xf>
    <xf numFmtId="0" fontId="46" fillId="0" borderId="0" xfId="0" applyFont="1" applyAlignment="1">
      <alignment horizontal="left" vertical="center" wrapText="1"/>
    </xf>
    <xf numFmtId="0" fontId="3" fillId="0" borderId="5" xfId="0" applyNumberFormat="1" applyFont="1" applyFill="1" applyBorder="1" applyAlignment="1" applyProtection="1">
      <alignment vertical="center" shrinkToFit="1"/>
      <protection hidden="1"/>
    </xf>
    <xf numFmtId="0" fontId="37" fillId="0" borderId="0" xfId="0" applyFont="1" applyBorder="1" applyAlignment="1" applyProtection="1">
      <alignment vertical="top" wrapText="1"/>
      <protection hidden="1"/>
    </xf>
    <xf numFmtId="0" fontId="8" fillId="0" borderId="0" xfId="0" applyFont="1" applyFill="1" applyAlignment="1">
      <alignment horizontal="right" vertical="center"/>
    </xf>
    <xf numFmtId="0" fontId="8" fillId="0" borderId="0" xfId="0" applyFont="1" applyFill="1" applyBorder="1" applyAlignment="1" applyProtection="1">
      <alignment horizontal="center" vertical="center"/>
      <protection hidden="1"/>
    </xf>
    <xf numFmtId="0" fontId="38" fillId="0" borderId="0" xfId="0" applyFont="1" applyBorder="1" applyAlignment="1" applyProtection="1">
      <alignment vertical="top" wrapText="1"/>
      <protection hidden="1"/>
    </xf>
    <xf numFmtId="0" fontId="29" fillId="0" borderId="0" xfId="0" applyFont="1" applyBorder="1" applyProtection="1">
      <protection hidden="1"/>
    </xf>
    <xf numFmtId="0" fontId="49" fillId="0" borderId="0" xfId="0" applyFont="1" applyBorder="1" applyAlignment="1" applyProtection="1">
      <alignment horizontal="right" vertical="center"/>
      <protection hidden="1"/>
    </xf>
    <xf numFmtId="0" fontId="34" fillId="0" borderId="0" xfId="0" applyFont="1" applyAlignment="1">
      <alignment horizontal="center" vertical="center"/>
    </xf>
    <xf numFmtId="0" fontId="8" fillId="0" borderId="47" xfId="0" applyFont="1" applyBorder="1" applyAlignment="1" applyProtection="1">
      <alignment horizontal="left" vertical="center"/>
      <protection hidden="1"/>
    </xf>
    <xf numFmtId="0" fontId="37" fillId="0" borderId="0" xfId="0" applyFont="1" applyFill="1" applyBorder="1" applyAlignment="1" applyProtection="1">
      <alignment vertical="center" wrapText="1"/>
      <protection hidden="1"/>
    </xf>
    <xf numFmtId="175" fontId="41" fillId="0" borderId="9" xfId="0" applyNumberFormat="1" applyFont="1" applyFill="1" applyBorder="1" applyAlignment="1" applyProtection="1">
      <alignment vertical="center" wrapText="1"/>
      <protection hidden="1"/>
    </xf>
    <xf numFmtId="0" fontId="38" fillId="0" borderId="0" xfId="0" applyFont="1" applyBorder="1" applyAlignment="1" applyProtection="1">
      <alignment horizontal="center" vertical="center"/>
      <protection hidden="1"/>
    </xf>
    <xf numFmtId="0" fontId="12" fillId="0" borderId="0" xfId="0" applyFont="1" applyBorder="1" applyAlignment="1" applyProtection="1">
      <alignment horizontal="left" vertical="center"/>
      <protection hidden="1"/>
    </xf>
    <xf numFmtId="0" fontId="12" fillId="0" borderId="0" xfId="0" applyFont="1" applyBorder="1" applyAlignment="1" applyProtection="1">
      <alignment horizontal="left"/>
      <protection hidden="1"/>
    </xf>
    <xf numFmtId="0" fontId="9" fillId="0" borderId="0" xfId="0" applyFont="1" applyBorder="1" applyAlignment="1" applyProtection="1">
      <alignment horizontal="center" vertical="top" wrapText="1"/>
      <protection hidden="1"/>
    </xf>
    <xf numFmtId="0" fontId="2" fillId="0" borderId="0" xfId="0" applyFont="1" applyFill="1" applyBorder="1" applyAlignment="1" applyProtection="1">
      <alignment horizontal="center" vertical="center"/>
      <protection hidden="1"/>
    </xf>
    <xf numFmtId="0" fontId="12" fillId="0" borderId="0" xfId="0" applyFont="1" applyBorder="1" applyAlignment="1" applyProtection="1">
      <protection hidden="1"/>
    </xf>
    <xf numFmtId="0" fontId="8" fillId="0" borderId="0" xfId="0"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49" fontId="18" fillId="0" borderId="0" xfId="0" applyNumberFormat="1" applyFont="1" applyFill="1" applyBorder="1" applyAlignment="1" applyProtection="1">
      <alignment horizontal="left"/>
      <protection hidden="1"/>
    </xf>
    <xf numFmtId="49" fontId="18" fillId="0" borderId="0" xfId="0" applyNumberFormat="1" applyFont="1" applyFill="1" applyBorder="1" applyAlignment="1" applyProtection="1">
      <alignment horizontal="center"/>
      <protection hidden="1"/>
    </xf>
    <xf numFmtId="164" fontId="5" fillId="0" borderId="0" xfId="0" applyNumberFormat="1" applyFont="1" applyFill="1" applyBorder="1" applyAlignment="1" applyProtection="1">
      <alignment horizontal="center" vertical="center"/>
      <protection hidden="1"/>
    </xf>
    <xf numFmtId="0" fontId="13" fillId="0" borderId="0" xfId="0" applyFont="1" applyFill="1" applyBorder="1" applyAlignment="1" applyProtection="1">
      <protection hidden="1"/>
    </xf>
    <xf numFmtId="0" fontId="9" fillId="0" borderId="0" xfId="0" applyFont="1" applyFill="1" applyBorder="1" applyAlignment="1" applyProtection="1">
      <alignment vertical="center"/>
      <protection hidden="1"/>
    </xf>
    <xf numFmtId="0" fontId="37" fillId="0" borderId="0" xfId="0" applyFont="1" applyFill="1" applyBorder="1" applyAlignment="1" applyProtection="1">
      <alignment horizontal="left"/>
      <protection hidden="1"/>
    </xf>
    <xf numFmtId="0" fontId="37" fillId="0" borderId="2" xfId="0" applyFont="1" applyFill="1" applyBorder="1" applyAlignment="1" applyProtection="1">
      <protection hidden="1"/>
    </xf>
    <xf numFmtId="0" fontId="0" fillId="0" borderId="0" xfId="0" applyBorder="1"/>
    <xf numFmtId="0" fontId="15" fillId="0" borderId="0" xfId="0" applyFont="1" applyFill="1" applyBorder="1" applyProtection="1">
      <protection hidden="1"/>
    </xf>
    <xf numFmtId="0" fontId="37" fillId="0" borderId="0" xfId="0" applyFont="1" applyFill="1" applyBorder="1" applyAlignment="1" applyProtection="1">
      <alignment horizontal="center"/>
      <protection hidden="1"/>
    </xf>
    <xf numFmtId="0" fontId="37" fillId="0" borderId="0" xfId="0" applyFont="1" applyBorder="1" applyAlignment="1" applyProtection="1">
      <alignment horizontal="center"/>
      <protection hidden="1"/>
    </xf>
    <xf numFmtId="0" fontId="0"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vertical="top"/>
      <protection hidden="1"/>
    </xf>
    <xf numFmtId="0" fontId="37" fillId="0" borderId="0" xfId="0" applyFont="1" applyFill="1" applyBorder="1" applyAlignment="1" applyProtection="1">
      <alignment vertical="top"/>
      <protection hidden="1"/>
    </xf>
    <xf numFmtId="0" fontId="38" fillId="0" borderId="0" xfId="0" applyFont="1" applyBorder="1" applyProtection="1">
      <protection hidden="1"/>
    </xf>
    <xf numFmtId="0" fontId="1" fillId="0" borderId="15" xfId="0" applyFont="1" applyBorder="1" applyProtection="1">
      <protection hidden="1"/>
    </xf>
    <xf numFmtId="0" fontId="11" fillId="0" borderId="52" xfId="0" applyNumberFormat="1" applyFont="1" applyFill="1" applyBorder="1" applyAlignment="1" applyProtection="1">
      <alignment vertical="center" wrapText="1"/>
      <protection hidden="1"/>
    </xf>
    <xf numFmtId="0" fontId="11" fillId="0" borderId="52" xfId="0" applyNumberFormat="1" applyFont="1" applyFill="1" applyBorder="1" applyAlignment="1" applyProtection="1">
      <alignment vertical="top" wrapText="1"/>
      <protection hidden="1"/>
    </xf>
    <xf numFmtId="0" fontId="8"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protection hidden="1"/>
    </xf>
    <xf numFmtId="0" fontId="23" fillId="6" borderId="33" xfId="0" applyFont="1" applyFill="1" applyBorder="1" applyAlignment="1">
      <alignment horizontal="center" vertical="center"/>
    </xf>
    <xf numFmtId="0" fontId="8" fillId="0" borderId="0" xfId="0" applyFont="1" applyFill="1" applyBorder="1" applyAlignment="1" applyProtection="1">
      <alignment horizontal="left" vertical="center"/>
      <protection hidden="1"/>
    </xf>
    <xf numFmtId="0" fontId="1" fillId="0" borderId="0" xfId="0" applyFont="1" applyBorder="1" applyAlignment="1" applyProtection="1">
      <alignment horizontal="center"/>
      <protection hidden="1"/>
    </xf>
    <xf numFmtId="0" fontId="0" fillId="0" borderId="18" xfId="0" applyFont="1" applyBorder="1" applyAlignment="1" applyProtection="1">
      <alignment horizontal="center"/>
      <protection locked="0"/>
    </xf>
    <xf numFmtId="0" fontId="8" fillId="0" borderId="0" xfId="0" applyNumberFormat="1" applyFont="1" applyFill="1" applyBorder="1" applyAlignment="1" applyProtection="1">
      <alignment horizontal="center" vertical="center"/>
      <protection hidden="1"/>
    </xf>
    <xf numFmtId="167" fontId="46" fillId="0" borderId="0" xfId="0" applyNumberFormat="1" applyFont="1" applyAlignment="1">
      <alignment horizontal="left" vertical="center"/>
    </xf>
    <xf numFmtId="0" fontId="52" fillId="0" borderId="0" xfId="0" applyFont="1" applyFill="1" applyBorder="1" applyAlignment="1" applyProtection="1">
      <alignment horizontal="left" vertical="center"/>
      <protection hidden="1"/>
    </xf>
    <xf numFmtId="0" fontId="52" fillId="0" borderId="0" xfId="0" applyFont="1" applyAlignment="1">
      <alignment horizontal="center" vertical="center"/>
    </xf>
    <xf numFmtId="0" fontId="52" fillId="0" borderId="0" xfId="0" applyFont="1" applyAlignment="1">
      <alignment vertical="center"/>
    </xf>
    <xf numFmtId="0" fontId="52" fillId="0" borderId="0" xfId="0" applyFont="1" applyAlignment="1">
      <alignment horizontal="left" vertical="center"/>
    </xf>
    <xf numFmtId="0" fontId="52" fillId="0" borderId="0" xfId="0" applyFont="1" applyFill="1" applyBorder="1" applyAlignment="1" applyProtection="1">
      <alignment horizontal="center" vertical="center"/>
      <protection hidden="1"/>
    </xf>
    <xf numFmtId="167" fontId="52" fillId="0" borderId="0" xfId="0" applyNumberFormat="1" applyFont="1" applyFill="1" applyBorder="1" applyAlignment="1" applyProtection="1">
      <alignment horizontal="center" vertical="center"/>
      <protection hidden="1"/>
    </xf>
    <xf numFmtId="0" fontId="52" fillId="0" borderId="0" xfId="0" applyNumberFormat="1" applyFont="1" applyFill="1" applyBorder="1" applyAlignment="1" applyProtection="1">
      <alignment horizontal="center" vertical="center"/>
      <protection hidden="1"/>
    </xf>
    <xf numFmtId="0" fontId="52" fillId="0" borderId="0" xfId="0" applyNumberFormat="1" applyFont="1" applyFill="1" applyBorder="1" applyAlignment="1" applyProtection="1">
      <alignment horizontal="left" vertical="center"/>
      <protection hidden="1"/>
    </xf>
    <xf numFmtId="167" fontId="52" fillId="0" borderId="0" xfId="0" applyNumberFormat="1" applyFont="1" applyAlignment="1">
      <alignment horizontal="center" vertical="center"/>
    </xf>
    <xf numFmtId="0" fontId="52" fillId="0" borderId="0" xfId="0" applyFont="1" applyAlignment="1">
      <alignment horizontal="left" vertical="center" wrapText="1"/>
    </xf>
    <xf numFmtId="0" fontId="25" fillId="13" borderId="26" xfId="0" applyFont="1" applyFill="1" applyBorder="1" applyAlignment="1">
      <alignment horizontal="left" vertical="center"/>
    </xf>
    <xf numFmtId="0" fontId="25" fillId="14" borderId="26" xfId="0" applyFont="1" applyFill="1" applyBorder="1" applyAlignment="1">
      <alignment horizontal="left" vertical="center"/>
    </xf>
    <xf numFmtId="164" fontId="52" fillId="0" borderId="0" xfId="0" applyNumberFormat="1" applyFont="1" applyAlignment="1">
      <alignment horizontal="center" vertical="center"/>
    </xf>
    <xf numFmtId="0" fontId="54" fillId="0" borderId="0" xfId="2" applyFont="1" applyProtection="1">
      <protection hidden="1"/>
    </xf>
    <xf numFmtId="0" fontId="52" fillId="0" borderId="0" xfId="0" quotePrefix="1" applyFont="1" applyAlignment="1">
      <alignment horizontal="left" vertical="center"/>
    </xf>
    <xf numFmtId="0" fontId="23" fillId="6" borderId="33" xfId="0" applyFont="1" applyFill="1" applyBorder="1" applyAlignment="1">
      <alignment horizontal="center" vertical="center"/>
    </xf>
    <xf numFmtId="0" fontId="8" fillId="0"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center"/>
      <protection hidden="1"/>
    </xf>
    <xf numFmtId="0" fontId="0" fillId="0" borderId="0" xfId="0" applyAlignment="1" applyProtection="1">
      <alignment horizontal="center"/>
      <protection hidden="1"/>
    </xf>
    <xf numFmtId="0" fontId="1" fillId="0" borderId="0" xfId="0" applyFont="1" applyAlignment="1" applyProtection="1">
      <alignment horizontal="center"/>
      <protection hidden="1"/>
    </xf>
    <xf numFmtId="0" fontId="0" fillId="0" borderId="16" xfId="0" applyFill="1" applyBorder="1" applyProtection="1">
      <protection hidden="1"/>
    </xf>
    <xf numFmtId="0" fontId="49" fillId="0" borderId="0" xfId="0" applyFont="1" applyFill="1" applyBorder="1" applyAlignment="1" applyProtection="1">
      <alignment horizontal="right"/>
      <protection hidden="1"/>
    </xf>
    <xf numFmtId="0" fontId="49" fillId="0" borderId="0" xfId="0" applyFont="1" applyFill="1" applyBorder="1" applyAlignment="1" applyProtection="1">
      <alignment horizontal="right" vertical="center"/>
      <protection hidden="1"/>
    </xf>
    <xf numFmtId="0" fontId="48" fillId="0" borderId="0" xfId="0" applyFont="1" applyFill="1" applyBorder="1" applyAlignment="1" applyProtection="1">
      <protection hidden="1"/>
    </xf>
    <xf numFmtId="0" fontId="0" fillId="0" borderId="15" xfId="0" applyFont="1" applyFill="1" applyBorder="1" applyAlignment="1" applyProtection="1">
      <alignment horizontal="center"/>
      <protection hidden="1"/>
    </xf>
    <xf numFmtId="0" fontId="0" fillId="0" borderId="15" xfId="0" applyFill="1" applyBorder="1" applyAlignment="1" applyProtection="1">
      <alignment horizontal="center"/>
      <protection hidden="1"/>
    </xf>
    <xf numFmtId="0" fontId="22" fillId="0" borderId="11" xfId="0" applyFont="1" applyFill="1" applyBorder="1" applyAlignment="1" applyProtection="1">
      <protection hidden="1"/>
    </xf>
    <xf numFmtId="0" fontId="0" fillId="0" borderId="12" xfId="0" applyFont="1" applyFill="1" applyBorder="1" applyAlignment="1" applyProtection="1">
      <protection hidden="1"/>
    </xf>
    <xf numFmtId="0" fontId="22" fillId="0" borderId="15" xfId="0" applyFont="1" applyFill="1" applyBorder="1" applyAlignment="1" applyProtection="1">
      <protection hidden="1"/>
    </xf>
    <xf numFmtId="0" fontId="0" fillId="0" borderId="0" xfId="0" applyFill="1" applyProtection="1">
      <protection hidden="1"/>
    </xf>
    <xf numFmtId="0" fontId="0" fillId="0" borderId="15" xfId="0" applyFill="1" applyBorder="1" applyProtection="1">
      <protection hidden="1"/>
    </xf>
    <xf numFmtId="0" fontId="0" fillId="0" borderId="13" xfId="0" applyFont="1" applyFill="1" applyBorder="1" applyAlignment="1" applyProtection="1">
      <protection hidden="1"/>
    </xf>
    <xf numFmtId="0" fontId="0" fillId="0" borderId="14" xfId="0" applyFont="1" applyFill="1" applyBorder="1" applyAlignment="1" applyProtection="1">
      <protection hidden="1"/>
    </xf>
    <xf numFmtId="0" fontId="37" fillId="0" borderId="0" xfId="1" applyFont="1" applyBorder="1" applyAlignment="1" applyProtection="1">
      <alignment horizontal="center"/>
      <protection hidden="1"/>
    </xf>
    <xf numFmtId="0" fontId="19" fillId="0" borderId="0" xfId="1" applyFont="1" applyBorder="1" applyAlignment="1" applyProtection="1">
      <alignment wrapText="1"/>
      <protection hidden="1"/>
    </xf>
    <xf numFmtId="0" fontId="37" fillId="0" borderId="0" xfId="1" applyFont="1" applyBorder="1" applyAlignment="1" applyProtection="1">
      <alignment horizontal="left"/>
      <protection hidden="1"/>
    </xf>
    <xf numFmtId="0" fontId="37" fillId="0" borderId="0" xfId="1" applyFont="1" applyFill="1" applyBorder="1" applyProtection="1">
      <protection hidden="1"/>
    </xf>
    <xf numFmtId="0" fontId="37" fillId="0" borderId="0" xfId="1" applyFont="1" applyFill="1" applyBorder="1" applyAlignment="1" applyProtection="1">
      <alignment wrapText="1"/>
      <protection hidden="1"/>
    </xf>
    <xf numFmtId="0" fontId="52" fillId="0" borderId="0" xfId="0" applyFont="1" applyAlignment="1">
      <alignment vertical="center" wrapText="1"/>
    </xf>
    <xf numFmtId="0" fontId="23" fillId="6" borderId="37" xfId="0" applyFont="1" applyFill="1" applyBorder="1" applyAlignment="1">
      <alignment horizontal="center" vertical="center"/>
    </xf>
    <xf numFmtId="0" fontId="25" fillId="15" borderId="26" xfId="0" applyFont="1" applyFill="1" applyBorder="1" applyAlignment="1">
      <alignment horizontal="left" vertical="center"/>
    </xf>
    <xf numFmtId="0" fontId="25" fillId="16" borderId="26" xfId="0" applyFont="1" applyFill="1" applyBorder="1" applyAlignment="1">
      <alignment horizontal="left" vertical="center"/>
    </xf>
    <xf numFmtId="0" fontId="25" fillId="17" borderId="26" xfId="0" applyFont="1" applyFill="1" applyBorder="1" applyAlignment="1">
      <alignment horizontal="left" vertical="center"/>
    </xf>
    <xf numFmtId="0" fontId="23" fillId="6" borderId="37" xfId="0" applyFont="1" applyFill="1" applyBorder="1" applyAlignment="1">
      <alignment horizontal="center" vertical="center"/>
    </xf>
    <xf numFmtId="0" fontId="23" fillId="6" borderId="37" xfId="0" applyFont="1" applyFill="1" applyBorder="1" applyAlignment="1">
      <alignment horizontal="center" vertical="center"/>
    </xf>
    <xf numFmtId="0" fontId="23" fillId="6" borderId="37" xfId="0" applyFont="1" applyFill="1" applyBorder="1" applyAlignment="1">
      <alignment horizontal="center" vertical="center"/>
    </xf>
    <xf numFmtId="0" fontId="8" fillId="0" borderId="0"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horizontal="left" vertical="center"/>
      <protection hidden="1"/>
    </xf>
    <xf numFmtId="0" fontId="23" fillId="6" borderId="33" xfId="0" applyFont="1" applyFill="1" applyBorder="1" applyAlignment="1">
      <alignment horizontal="center" vertical="center"/>
    </xf>
    <xf numFmtId="0" fontId="23" fillId="6" borderId="33" xfId="0" applyFont="1" applyFill="1" applyBorder="1" applyAlignment="1">
      <alignment horizontal="left" vertical="center"/>
    </xf>
    <xf numFmtId="0" fontId="23" fillId="6" borderId="33" xfId="0" applyFont="1" applyFill="1" applyBorder="1" applyAlignment="1">
      <alignment horizontal="center" vertical="top"/>
    </xf>
    <xf numFmtId="0" fontId="8" fillId="0" borderId="0" xfId="0" applyNumberFormat="1" applyFont="1" applyAlignment="1">
      <alignment horizontal="left" vertical="top" wrapText="1"/>
    </xf>
    <xf numFmtId="0" fontId="8" fillId="0" borderId="0" xfId="0" applyFont="1" applyAlignment="1">
      <alignment vertical="top"/>
    </xf>
    <xf numFmtId="0" fontId="8" fillId="0" borderId="0" xfId="0" applyFont="1" applyAlignment="1">
      <alignment vertical="top" wrapText="1"/>
    </xf>
    <xf numFmtId="0" fontId="52" fillId="0" borderId="0" xfId="0" applyFont="1" applyAlignment="1">
      <alignment horizontal="left" vertical="top"/>
    </xf>
    <xf numFmtId="0" fontId="56" fillId="0" borderId="0" xfId="0" applyFont="1" applyBorder="1" applyAlignment="1" applyProtection="1">
      <alignment vertical="top" wrapText="1"/>
      <protection hidden="1"/>
    </xf>
    <xf numFmtId="0" fontId="57" fillId="0" borderId="43" xfId="0" applyFont="1" applyBorder="1" applyAlignment="1" applyProtection="1">
      <protection hidden="1"/>
    </xf>
    <xf numFmtId="0" fontId="47" fillId="0" borderId="43" xfId="0" applyFont="1" applyBorder="1" applyAlignment="1" applyProtection="1">
      <protection hidden="1"/>
    </xf>
    <xf numFmtId="0" fontId="56" fillId="0" borderId="16" xfId="0" applyFont="1" applyBorder="1" applyAlignment="1" applyProtection="1">
      <alignment vertical="top" wrapText="1"/>
      <protection hidden="1"/>
    </xf>
    <xf numFmtId="0" fontId="38" fillId="0" borderId="0" xfId="0" applyFont="1" applyBorder="1" applyAlignment="1" applyProtection="1">
      <alignment wrapText="1"/>
      <protection hidden="1"/>
    </xf>
    <xf numFmtId="0" fontId="58" fillId="0" borderId="0" xfId="0" applyFont="1" applyBorder="1" applyAlignment="1" applyProtection="1">
      <alignment horizontal="center" vertical="center" wrapText="1"/>
      <protection hidden="1"/>
    </xf>
    <xf numFmtId="0" fontId="58" fillId="0" borderId="16" xfId="0" applyFont="1" applyBorder="1" applyAlignment="1" applyProtection="1">
      <alignment horizontal="center" vertical="center" wrapText="1"/>
      <protection hidden="1"/>
    </xf>
    <xf numFmtId="0" fontId="56" fillId="0" borderId="0" xfId="0" applyFont="1" applyBorder="1" applyAlignment="1" applyProtection="1">
      <protection hidden="1"/>
    </xf>
    <xf numFmtId="0" fontId="37" fillId="0" borderId="39" xfId="0" applyFont="1" applyBorder="1" applyAlignment="1" applyProtection="1">
      <protection hidden="1"/>
    </xf>
    <xf numFmtId="0" fontId="8" fillId="0" borderId="0" xfId="0" applyFont="1" applyFill="1" applyBorder="1" applyAlignment="1" applyProtection="1">
      <alignment horizontal="left" vertical="center"/>
      <protection hidden="1"/>
    </xf>
    <xf numFmtId="0" fontId="8" fillId="0" borderId="0" xfId="0" applyNumberFormat="1" applyFont="1" applyFill="1" applyBorder="1" applyAlignment="1" applyProtection="1">
      <alignment horizontal="left" vertical="center"/>
      <protection hidden="1"/>
    </xf>
    <xf numFmtId="0" fontId="23" fillId="6" borderId="37" xfId="0" applyFont="1" applyFill="1" applyBorder="1" applyAlignment="1">
      <alignment horizontal="center" vertical="center"/>
    </xf>
    <xf numFmtId="0" fontId="8" fillId="0"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0" applyFont="1" applyBorder="1" applyAlignment="1" applyProtection="1">
      <alignment horizontal="left" vertical="center"/>
      <protection hidden="1"/>
    </xf>
    <xf numFmtId="0" fontId="23" fillId="6" borderId="32" xfId="0" applyFont="1" applyFill="1" applyBorder="1" applyAlignment="1">
      <alignment horizontal="center" vertical="center"/>
    </xf>
    <xf numFmtId="0" fontId="23" fillId="6" borderId="33" xfId="0" applyFont="1" applyFill="1" applyBorder="1" applyAlignment="1">
      <alignment horizontal="center" vertical="center"/>
    </xf>
    <xf numFmtId="0" fontId="23" fillId="6" borderId="33" xfId="0" applyFont="1" applyFill="1" applyBorder="1" applyAlignment="1">
      <alignment horizontal="left" vertical="center"/>
    </xf>
    <xf numFmtId="0" fontId="23" fillId="6" borderId="37" xfId="0" applyFont="1" applyFill="1" applyBorder="1" applyAlignment="1">
      <alignment horizontal="center" vertical="center"/>
    </xf>
    <xf numFmtId="0" fontId="61" fillId="0" borderId="0" xfId="1" applyNumberFormat="1" applyFont="1" applyFill="1" applyBorder="1" applyAlignment="1" applyProtection="1">
      <protection hidden="1"/>
    </xf>
    <xf numFmtId="0" fontId="61" fillId="0" borderId="0" xfId="1" applyFont="1" applyBorder="1" applyAlignment="1" applyProtection="1">
      <protection hidden="1"/>
    </xf>
    <xf numFmtId="0" fontId="61" fillId="0" borderId="0" xfId="0" applyFont="1" applyProtection="1">
      <protection hidden="1"/>
    </xf>
    <xf numFmtId="0" fontId="61" fillId="0" borderId="0" xfId="1" applyFont="1" applyBorder="1" applyAlignment="1" applyProtection="1">
      <alignment horizontal="center"/>
      <protection hidden="1"/>
    </xf>
    <xf numFmtId="0" fontId="13" fillId="0" borderId="2" xfId="0" applyFont="1" applyFill="1" applyBorder="1" applyAlignment="1" applyProtection="1">
      <alignment vertical="center"/>
      <protection hidden="1"/>
    </xf>
    <xf numFmtId="49" fontId="18" fillId="0" borderId="0" xfId="0" applyNumberFormat="1" applyFont="1" applyFill="1" applyBorder="1" applyAlignment="1" applyProtection="1">
      <protection hidden="1"/>
    </xf>
    <xf numFmtId="0" fontId="60" fillId="0" borderId="0" xfId="1" applyFont="1" applyFill="1" applyBorder="1" applyAlignment="1" applyProtection="1">
      <protection hidden="1"/>
    </xf>
    <xf numFmtId="0" fontId="37" fillId="0" borderId="0" xfId="0" applyFont="1" applyAlignment="1" applyProtection="1">
      <alignment vertical="center"/>
      <protection hidden="1"/>
    </xf>
    <xf numFmtId="0" fontId="37" fillId="0" borderId="0" xfId="0" applyFont="1" applyAlignment="1" applyProtection="1">
      <protection hidden="1"/>
    </xf>
    <xf numFmtId="0" fontId="37" fillId="0" borderId="0" xfId="0" applyFont="1" applyProtection="1">
      <protection hidden="1"/>
    </xf>
    <xf numFmtId="174" fontId="56" fillId="0" borderId="0" xfId="0" applyNumberFormat="1" applyFont="1" applyBorder="1" applyAlignment="1" applyProtection="1">
      <alignment horizontal="center"/>
      <protection hidden="1"/>
    </xf>
    <xf numFmtId="0" fontId="38"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center"/>
      <protection hidden="1"/>
    </xf>
    <xf numFmtId="0" fontId="38" fillId="0" borderId="0" xfId="0" applyFont="1" applyBorder="1" applyAlignment="1" applyProtection="1">
      <alignment horizontal="center"/>
      <protection hidden="1"/>
    </xf>
    <xf numFmtId="3" fontId="38" fillId="0" borderId="44" xfId="0" applyNumberFormat="1" applyFont="1" applyFill="1" applyBorder="1" applyAlignment="1" applyProtection="1">
      <protection hidden="1"/>
    </xf>
    <xf numFmtId="0" fontId="8" fillId="0" borderId="0" xfId="0" applyFont="1" applyFill="1" applyBorder="1" applyAlignment="1" applyProtection="1">
      <alignment vertical="top"/>
      <protection hidden="1"/>
    </xf>
    <xf numFmtId="164" fontId="8" fillId="0" borderId="0" xfId="0" applyNumberFormat="1" applyFont="1" applyBorder="1" applyAlignment="1" applyProtection="1">
      <alignment vertical="center"/>
      <protection hidden="1"/>
    </xf>
    <xf numFmtId="174" fontId="23" fillId="6" borderId="34" xfId="0" applyNumberFormat="1" applyFont="1" applyFill="1" applyBorder="1" applyAlignment="1">
      <alignment horizontal="left" vertical="center"/>
    </xf>
    <xf numFmtId="0" fontId="11" fillId="0" borderId="0" xfId="0" applyNumberFormat="1" applyFont="1" applyFill="1" applyBorder="1" applyAlignment="1" applyProtection="1">
      <alignment wrapText="1"/>
      <protection hidden="1"/>
    </xf>
    <xf numFmtId="0" fontId="11" fillId="0" borderId="16" xfId="0" applyNumberFormat="1" applyFont="1" applyFill="1" applyBorder="1" applyAlignment="1" applyProtection="1">
      <alignment wrapText="1"/>
      <protection hidden="1"/>
    </xf>
    <xf numFmtId="0" fontId="11" fillId="0" borderId="51" xfId="0" applyNumberFormat="1" applyFont="1" applyFill="1" applyBorder="1" applyAlignment="1" applyProtection="1">
      <alignment vertical="top" wrapText="1"/>
      <protection hidden="1"/>
    </xf>
    <xf numFmtId="0" fontId="11" fillId="0" borderId="15" xfId="0" applyNumberFormat="1" applyFont="1" applyFill="1" applyBorder="1" applyAlignment="1" applyProtection="1">
      <alignment vertical="top" wrapText="1"/>
      <protection hidden="1"/>
    </xf>
    <xf numFmtId="0" fontId="11" fillId="0" borderId="13" xfId="0" applyNumberFormat="1" applyFont="1" applyFill="1" applyBorder="1" applyAlignment="1" applyProtection="1">
      <alignment vertical="top" wrapText="1"/>
      <protection hidden="1"/>
    </xf>
    <xf numFmtId="0" fontId="24" fillId="0" borderId="0" xfId="0" applyFont="1" applyFill="1" applyBorder="1" applyAlignment="1" applyProtection="1">
      <alignment horizontal="center" vertical="top" wrapText="1"/>
      <protection hidden="1"/>
    </xf>
    <xf numFmtId="0" fontId="24" fillId="0" borderId="0" xfId="0" applyFont="1" applyFill="1" applyBorder="1" applyAlignment="1" applyProtection="1">
      <alignment horizontal="center" vertical="center"/>
      <protection hidden="1"/>
    </xf>
    <xf numFmtId="0" fontId="63" fillId="0" borderId="0" xfId="0" applyFont="1" applyBorder="1" applyAlignment="1" applyProtection="1">
      <alignment horizontal="center" vertical="center" wrapText="1"/>
      <protection hidden="1"/>
    </xf>
    <xf numFmtId="0" fontId="63" fillId="0" borderId="16" xfId="0" applyFont="1" applyBorder="1" applyAlignment="1" applyProtection="1">
      <alignment horizontal="center" vertical="center" wrapText="1"/>
      <protection hidden="1"/>
    </xf>
    <xf numFmtId="0" fontId="63" fillId="0" borderId="0" xfId="0" applyFont="1" applyBorder="1" applyAlignment="1" applyProtection="1">
      <alignment horizontal="center" vertical="top" wrapText="1"/>
      <protection hidden="1"/>
    </xf>
    <xf numFmtId="0" fontId="63" fillId="0" borderId="16" xfId="0" applyFont="1" applyBorder="1" applyAlignment="1" applyProtection="1">
      <alignment horizontal="center" vertical="top" wrapText="1"/>
      <protection hidden="1"/>
    </xf>
    <xf numFmtId="0" fontId="58" fillId="0" borderId="0" xfId="0" applyFont="1" applyFill="1" applyBorder="1" applyAlignment="1" applyProtection="1">
      <alignment horizontal="center" vertical="center" wrapText="1"/>
      <protection hidden="1"/>
    </xf>
    <xf numFmtId="0" fontId="42" fillId="0" borderId="0" xfId="0" applyFont="1" applyBorder="1" applyAlignment="1" applyProtection="1">
      <alignment vertical="center"/>
      <protection hidden="1"/>
    </xf>
    <xf numFmtId="0" fontId="64" fillId="0" borderId="0" xfId="0" applyFont="1" applyBorder="1" applyAlignment="1" applyProtection="1">
      <alignment vertical="center"/>
      <protection hidden="1"/>
    </xf>
    <xf numFmtId="0" fontId="45"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right" vertical="center"/>
      <protection hidden="1"/>
    </xf>
    <xf numFmtId="49" fontId="18" fillId="0" borderId="0" xfId="0" applyNumberFormat="1" applyFont="1" applyFill="1" applyBorder="1" applyAlignment="1" applyProtection="1">
      <alignment horizontal="center"/>
      <protection hidden="1"/>
    </xf>
    <xf numFmtId="0" fontId="38" fillId="0" borderId="0" xfId="0" applyFont="1" applyFill="1" applyBorder="1" applyAlignment="1" applyProtection="1">
      <alignment horizontal="left" vertical="center"/>
      <protection hidden="1"/>
    </xf>
    <xf numFmtId="0" fontId="37" fillId="0" borderId="16" xfId="0" applyFont="1" applyBorder="1" applyProtection="1">
      <protection hidden="1"/>
    </xf>
    <xf numFmtId="0" fontId="38" fillId="0" borderId="0" xfId="0" applyNumberFormat="1" applyFont="1" applyFill="1" applyBorder="1" applyAlignment="1" applyProtection="1">
      <alignment horizontal="left" vertical="center"/>
      <protection hidden="1"/>
    </xf>
    <xf numFmtId="0" fontId="40" fillId="0" borderId="0" xfId="0" applyNumberFormat="1" applyFont="1" applyFill="1" applyBorder="1" applyAlignment="1" applyProtection="1">
      <alignment horizontal="left" vertical="center"/>
      <protection hidden="1"/>
    </xf>
    <xf numFmtId="0" fontId="40" fillId="0" borderId="0" xfId="0" applyFont="1" applyFill="1" applyBorder="1" applyAlignment="1" applyProtection="1">
      <alignment horizontal="left" vertical="center"/>
      <protection hidden="1"/>
    </xf>
    <xf numFmtId="0" fontId="48" fillId="0" borderId="0" xfId="0" applyFont="1" applyFill="1" applyBorder="1" applyProtection="1">
      <protection hidden="1"/>
    </xf>
    <xf numFmtId="0" fontId="48" fillId="0" borderId="0" xfId="0" applyFont="1" applyBorder="1" applyProtection="1">
      <protection hidden="1"/>
    </xf>
    <xf numFmtId="0" fontId="40" fillId="0" borderId="0" xfId="0"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center" vertical="center"/>
      <protection hidden="1"/>
    </xf>
    <xf numFmtId="0" fontId="49" fillId="0" borderId="0" xfId="0" applyFont="1" applyFill="1" applyBorder="1" applyAlignment="1" applyProtection="1">
      <alignment horizontal="center"/>
      <protection hidden="1"/>
    </xf>
    <xf numFmtId="0" fontId="48" fillId="0" borderId="0" xfId="0" applyFont="1" applyFill="1" applyBorder="1" applyAlignment="1" applyProtection="1">
      <alignment horizontal="center" vertical="center"/>
      <protection hidden="1"/>
    </xf>
    <xf numFmtId="0" fontId="37" fillId="0" borderId="16" xfId="0" applyFont="1" applyFill="1" applyBorder="1" applyProtection="1">
      <protection hidden="1"/>
    </xf>
    <xf numFmtId="0" fontId="59" fillId="0" borderId="0" xfId="0" applyFont="1" applyFill="1" applyBorder="1" applyAlignment="1" applyProtection="1">
      <alignment horizontal="left" vertical="center"/>
      <protection hidden="1"/>
    </xf>
    <xf numFmtId="0" fontId="49" fillId="0" borderId="16" xfId="0" applyFont="1" applyFill="1" applyBorder="1" applyAlignment="1" applyProtection="1">
      <alignment horizontal="right"/>
      <protection hidden="1"/>
    </xf>
    <xf numFmtId="0" fontId="40" fillId="0" borderId="0" xfId="0" applyFont="1" applyFill="1" applyBorder="1" applyAlignment="1" applyProtection="1">
      <protection hidden="1"/>
    </xf>
    <xf numFmtId="0" fontId="49" fillId="0" borderId="16" xfId="0" applyFont="1" applyFill="1" applyBorder="1" applyAlignment="1" applyProtection="1">
      <alignment horizontal="right" vertical="center"/>
      <protection hidden="1"/>
    </xf>
    <xf numFmtId="0" fontId="49" fillId="0" borderId="16" xfId="0" applyFont="1" applyBorder="1" applyAlignment="1" applyProtection="1">
      <alignment horizontal="right" vertical="center"/>
      <protection hidden="1"/>
    </xf>
    <xf numFmtId="0" fontId="65" fillId="0" borderId="0" xfId="0" applyFont="1" applyFill="1" applyBorder="1" applyAlignment="1" applyProtection="1">
      <protection hidden="1"/>
    </xf>
    <xf numFmtId="0" fontId="48" fillId="0" borderId="16" xfId="0" applyFont="1" applyFill="1" applyBorder="1" applyAlignment="1" applyProtection="1">
      <protection hidden="1"/>
    </xf>
    <xf numFmtId="0" fontId="66" fillId="0" borderId="0" xfId="0" applyFont="1" applyFill="1" applyBorder="1" applyAlignment="1" applyProtection="1">
      <protection hidden="1"/>
    </xf>
    <xf numFmtId="0" fontId="37" fillId="0" borderId="16" xfId="0" applyFont="1" applyFill="1" applyBorder="1" applyAlignment="1" applyProtection="1">
      <protection hidden="1"/>
    </xf>
    <xf numFmtId="169" fontId="38" fillId="0" borderId="0" xfId="0" applyNumberFormat="1" applyFont="1" applyFill="1" applyBorder="1" applyAlignment="1" applyProtection="1">
      <alignment horizontal="center"/>
      <protection hidden="1"/>
    </xf>
    <xf numFmtId="169" fontId="38" fillId="0" borderId="16" xfId="0" applyNumberFormat="1" applyFont="1" applyFill="1" applyBorder="1" applyAlignment="1" applyProtection="1">
      <alignment horizontal="center"/>
      <protection hidden="1"/>
    </xf>
    <xf numFmtId="0" fontId="38" fillId="0" borderId="16" xfId="0" applyFont="1" applyFill="1" applyBorder="1" applyAlignment="1" applyProtection="1">
      <alignment horizontal="center"/>
      <protection hidden="1"/>
    </xf>
    <xf numFmtId="0" fontId="38" fillId="0" borderId="10" xfId="0" applyFont="1" applyFill="1" applyBorder="1" applyAlignment="1" applyProtection="1">
      <alignment vertical="center"/>
      <protection hidden="1"/>
    </xf>
    <xf numFmtId="0" fontId="37" fillId="0" borderId="17" xfId="0" applyFont="1" applyFill="1" applyBorder="1" applyAlignment="1" applyProtection="1">
      <protection hidden="1"/>
    </xf>
    <xf numFmtId="0" fontId="43" fillId="0" borderId="15" xfId="0" applyFont="1" applyBorder="1" applyProtection="1">
      <protection hidden="1"/>
    </xf>
    <xf numFmtId="0" fontId="45" fillId="0" borderId="0" xfId="0" applyFont="1" applyProtection="1">
      <protection hidden="1"/>
    </xf>
    <xf numFmtId="0" fontId="38" fillId="0" borderId="0" xfId="0" applyFont="1" applyProtection="1">
      <protection hidden="1"/>
    </xf>
    <xf numFmtId="0" fontId="45" fillId="0" borderId="0" xfId="0" applyFont="1" applyBorder="1" applyProtection="1">
      <protection hidden="1"/>
    </xf>
    <xf numFmtId="0" fontId="38" fillId="0" borderId="16" xfId="0" applyFont="1" applyBorder="1" applyProtection="1">
      <protection hidden="1"/>
    </xf>
    <xf numFmtId="0" fontId="45" fillId="0" borderId="15" xfId="0" applyFont="1" applyBorder="1" applyProtection="1">
      <protection hidden="1"/>
    </xf>
    <xf numFmtId="0" fontId="43" fillId="0" borderId="0" xfId="0" applyFont="1" applyBorder="1" applyAlignment="1" applyProtection="1">
      <alignment horizontal="right"/>
      <protection hidden="1"/>
    </xf>
    <xf numFmtId="0" fontId="37" fillId="0" borderId="15" xfId="0" applyFont="1" applyBorder="1" applyProtection="1">
      <protection hidden="1"/>
    </xf>
    <xf numFmtId="0" fontId="45" fillId="0" borderId="0" xfId="0" applyFont="1" applyBorder="1" applyAlignment="1" applyProtection="1">
      <alignment vertical="top"/>
      <protection hidden="1"/>
    </xf>
    <xf numFmtId="173" fontId="11" fillId="0" borderId="0" xfId="0" applyNumberFormat="1" applyFont="1" applyFill="1" applyBorder="1" applyAlignment="1" applyProtection="1">
      <protection hidden="1"/>
    </xf>
    <xf numFmtId="0" fontId="23" fillId="6" borderId="37" xfId="0" applyFont="1" applyFill="1" applyBorder="1" applyAlignment="1">
      <alignment horizontal="left" vertical="center"/>
    </xf>
    <xf numFmtId="0" fontId="38" fillId="0" borderId="0" xfId="0" quotePrefix="1" applyFont="1" applyAlignment="1">
      <alignment horizontal="left" vertical="center"/>
    </xf>
    <xf numFmtId="0" fontId="38" fillId="0" borderId="0" xfId="0" applyFont="1" applyAlignment="1">
      <alignment horizontal="left" vertical="center" wrapText="1"/>
    </xf>
    <xf numFmtId="0" fontId="38" fillId="0" borderId="0" xfId="0" applyFont="1" applyFill="1" applyAlignment="1">
      <alignment horizontal="left" vertical="center"/>
    </xf>
    <xf numFmtId="0" fontId="38" fillId="0" borderId="0" xfId="0" applyFont="1" applyFill="1" applyBorder="1" applyAlignment="1" applyProtection="1">
      <alignment vertical="top"/>
      <protection hidden="1"/>
    </xf>
    <xf numFmtId="0" fontId="37" fillId="0" borderId="0" xfId="0" applyFont="1" applyBorder="1" applyAlignment="1" applyProtection="1">
      <alignment horizontal="left"/>
      <protection hidden="1"/>
    </xf>
    <xf numFmtId="0" fontId="1" fillId="0" borderId="0" xfId="0" applyFont="1" applyAlignment="1" applyProtection="1">
      <alignment horizontal="left"/>
      <protection hidden="1"/>
    </xf>
    <xf numFmtId="0" fontId="8" fillId="0" borderId="0" xfId="0" applyFont="1" applyAlignment="1">
      <alignment horizontal="left" vertical="top" wrapText="1"/>
    </xf>
    <xf numFmtId="0" fontId="38" fillId="0" borderId="0" xfId="0" applyFont="1" applyFill="1" applyBorder="1" applyAlignment="1" applyProtection="1">
      <alignment vertical="center"/>
      <protection hidden="1"/>
    </xf>
    <xf numFmtId="0" fontId="23" fillId="6" borderId="37" xfId="0" applyFont="1" applyFill="1" applyBorder="1" applyAlignment="1">
      <alignment horizontal="left" vertical="center"/>
    </xf>
    <xf numFmtId="0" fontId="41" fillId="0" borderId="0" xfId="1" applyFont="1" applyFill="1" applyBorder="1" applyAlignment="1" applyProtection="1">
      <alignment shrinkToFit="1"/>
      <protection hidden="1"/>
    </xf>
    <xf numFmtId="0" fontId="61" fillId="0" borderId="0" xfId="1" applyFont="1" applyFill="1" applyBorder="1" applyAlignment="1" applyProtection="1">
      <alignment shrinkToFit="1"/>
      <protection hidden="1"/>
    </xf>
    <xf numFmtId="0" fontId="8" fillId="0" borderId="0" xfId="0" applyFont="1" applyFill="1" applyBorder="1" applyAlignment="1" applyProtection="1">
      <alignment horizontal="center" vertical="center"/>
      <protection hidden="1"/>
    </xf>
    <xf numFmtId="0" fontId="23" fillId="6" borderId="37" xfId="0" applyFont="1" applyFill="1" applyBorder="1" applyAlignment="1">
      <alignment horizontal="left" vertical="center"/>
    </xf>
    <xf numFmtId="9" fontId="8" fillId="0" borderId="0" xfId="3" applyFont="1" applyAlignment="1">
      <alignment vertical="center"/>
    </xf>
    <xf numFmtId="10" fontId="8" fillId="0" borderId="0" xfId="0" applyNumberFormat="1" applyFont="1" applyAlignment="1">
      <alignment vertical="center"/>
    </xf>
    <xf numFmtId="1" fontId="8" fillId="0" borderId="0" xfId="0" applyNumberFormat="1" applyFont="1" applyAlignment="1">
      <alignment vertical="center"/>
    </xf>
    <xf numFmtId="0" fontId="23" fillId="6" borderId="33" xfId="0" applyFont="1" applyFill="1" applyBorder="1" applyAlignment="1">
      <alignment horizontal="center" vertical="center"/>
    </xf>
    <xf numFmtId="0" fontId="38" fillId="0" borderId="0" xfId="0" applyFont="1" applyFill="1" applyBorder="1" applyAlignment="1" applyProtection="1">
      <alignment vertical="center"/>
      <protection hidden="1"/>
    </xf>
    <xf numFmtId="0" fontId="46" fillId="0" borderId="0" xfId="0" applyNumberFormat="1" applyFont="1" applyFill="1" applyBorder="1" applyAlignment="1" applyProtection="1">
      <alignment horizontal="left" vertical="center"/>
      <protection hidden="1"/>
    </xf>
    <xf numFmtId="0" fontId="46" fillId="0" borderId="0" xfId="0" applyFont="1" applyFill="1" applyBorder="1" applyAlignment="1" applyProtection="1">
      <alignment horizontal="center" vertical="center"/>
      <protection hidden="1"/>
    </xf>
    <xf numFmtId="0" fontId="23" fillId="6" borderId="32" xfId="0" applyFont="1" applyFill="1" applyBorder="1" applyAlignment="1">
      <alignment horizontal="center" vertical="center"/>
    </xf>
    <xf numFmtId="0" fontId="23" fillId="6" borderId="33" xfId="0" applyFont="1" applyFill="1" applyBorder="1" applyAlignment="1">
      <alignment horizontal="left" vertical="center"/>
    </xf>
    <xf numFmtId="0" fontId="37" fillId="0" borderId="0" xfId="0" applyFont="1" applyBorder="1" applyAlignment="1" applyProtection="1">
      <alignment vertical="top"/>
      <protection hidden="1"/>
    </xf>
    <xf numFmtId="0" fontId="37" fillId="0" borderId="0" xfId="0" applyFont="1" applyAlignment="1" applyProtection="1">
      <alignment vertical="top"/>
      <protection hidden="1"/>
    </xf>
    <xf numFmtId="0" fontId="24"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center" vertical="center"/>
      <protection hidden="1"/>
    </xf>
    <xf numFmtId="0" fontId="38" fillId="0" borderId="0" xfId="0" applyFont="1" applyAlignment="1">
      <alignment horizontal="center" textRotation="90"/>
    </xf>
    <xf numFmtId="0" fontId="23" fillId="6" borderId="32" xfId="0" applyFont="1" applyFill="1" applyBorder="1" applyAlignment="1">
      <alignment horizontal="center" vertical="center"/>
    </xf>
    <xf numFmtId="0" fontId="69" fillId="0" borderId="39" xfId="0" applyFont="1" applyBorder="1" applyAlignment="1" applyProtection="1">
      <alignment vertical="center"/>
      <protection hidden="1"/>
    </xf>
    <xf numFmtId="167" fontId="52" fillId="0" borderId="0" xfId="0" applyNumberFormat="1" applyFont="1" applyAlignment="1">
      <alignment vertical="center"/>
    </xf>
    <xf numFmtId="167" fontId="52" fillId="0" borderId="0" xfId="0" applyNumberFormat="1" applyFont="1" applyAlignment="1">
      <alignment horizontal="left" vertical="center"/>
    </xf>
    <xf numFmtId="0" fontId="25" fillId="18" borderId="26" xfId="0" applyFont="1" applyFill="1" applyBorder="1" applyAlignment="1">
      <alignment horizontal="left" vertical="center"/>
    </xf>
    <xf numFmtId="0" fontId="23" fillId="6" borderId="33" xfId="0" applyFont="1" applyFill="1" applyBorder="1" applyAlignment="1">
      <alignment horizontal="center" vertical="center"/>
    </xf>
    <xf numFmtId="0" fontId="38" fillId="0" borderId="0" xfId="0" applyFont="1" applyAlignment="1">
      <alignment horizontal="center" textRotation="90"/>
    </xf>
    <xf numFmtId="0" fontId="23" fillId="6" borderId="33" xfId="0" applyFont="1" applyFill="1" applyBorder="1" applyAlignment="1">
      <alignment horizontal="center" vertical="center"/>
    </xf>
    <xf numFmtId="0" fontId="23" fillId="6" borderId="33" xfId="0" applyFont="1" applyFill="1" applyBorder="1" applyAlignment="1">
      <alignment horizontal="left" vertical="center"/>
    </xf>
    <xf numFmtId="0" fontId="23" fillId="19" borderId="26" xfId="0" applyFont="1" applyFill="1" applyBorder="1" applyAlignment="1">
      <alignment horizontal="left" vertical="center"/>
    </xf>
    <xf numFmtId="0" fontId="38" fillId="0" borderId="0" xfId="0" applyFont="1" applyFill="1" applyBorder="1" applyAlignment="1">
      <alignment horizontal="center" vertical="center"/>
    </xf>
    <xf numFmtId="0" fontId="38" fillId="0" borderId="0" xfId="0" applyFont="1" applyBorder="1" applyAlignment="1">
      <alignment horizontal="center" vertical="center"/>
    </xf>
    <xf numFmtId="0" fontId="38" fillId="0" borderId="0" xfId="0" applyNumberFormat="1" applyFont="1" applyFill="1" applyBorder="1" applyAlignment="1" applyProtection="1">
      <alignment horizontal="right"/>
      <protection hidden="1"/>
    </xf>
    <xf numFmtId="0" fontId="38" fillId="0" borderId="0" xfId="0"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38" fillId="0" borderId="0" xfId="0" applyFont="1" applyFill="1" applyBorder="1" applyAlignment="1" applyProtection="1">
      <protection hidden="1"/>
    </xf>
    <xf numFmtId="0" fontId="38" fillId="0" borderId="0" xfId="0" applyFont="1" applyBorder="1" applyAlignment="1">
      <alignment horizontal="right" vertical="center"/>
    </xf>
    <xf numFmtId="0" fontId="38" fillId="0" borderId="0"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vertical="center"/>
      <protection hidden="1"/>
    </xf>
    <xf numFmtId="0" fontId="49" fillId="0" borderId="0" xfId="0" applyFont="1" applyFill="1" applyBorder="1" applyAlignment="1" applyProtection="1">
      <alignment vertical="center"/>
      <protection hidden="1"/>
    </xf>
    <xf numFmtId="0" fontId="48" fillId="0" borderId="0" xfId="0" applyFont="1" applyFill="1" applyBorder="1" applyAlignment="1" applyProtection="1">
      <alignment wrapText="1"/>
      <protection hidden="1"/>
    </xf>
    <xf numFmtId="0" fontId="49" fillId="0" borderId="0" xfId="0" applyFont="1" applyFill="1" applyBorder="1" applyAlignment="1" applyProtection="1">
      <protection hidden="1"/>
    </xf>
    <xf numFmtId="0" fontId="23" fillId="6" borderId="33" xfId="0" applyFont="1" applyFill="1" applyBorder="1" applyAlignment="1">
      <alignment horizontal="left" vertical="center"/>
    </xf>
    <xf numFmtId="0" fontId="8" fillId="0" borderId="0" xfId="0" applyFont="1" applyBorder="1" applyAlignment="1" applyProtection="1">
      <alignment horizontal="center" vertical="center"/>
      <protection hidden="1"/>
    </xf>
    <xf numFmtId="0" fontId="29" fillId="0" borderId="0" xfId="0" applyFont="1" applyBorder="1" applyAlignment="1" applyProtection="1">
      <alignment horizontal="center"/>
      <protection hidden="1"/>
    </xf>
    <xf numFmtId="0" fontId="8" fillId="0" borderId="10" xfId="0" applyFont="1" applyBorder="1" applyAlignment="1" applyProtection="1">
      <alignment horizontal="center" vertical="center"/>
      <protection hidden="1"/>
    </xf>
    <xf numFmtId="0" fontId="38" fillId="0" borderId="0" xfId="0" applyFont="1" applyFill="1" applyBorder="1" applyAlignment="1" applyProtection="1">
      <alignment horizontal="left" vertical="center"/>
      <protection hidden="1"/>
    </xf>
    <xf numFmtId="0" fontId="38" fillId="0" borderId="0" xfId="0" applyFont="1" applyBorder="1" applyAlignment="1" applyProtection="1">
      <alignment horizontal="center" vertical="center"/>
      <protection hidden="1"/>
    </xf>
    <xf numFmtId="0" fontId="38" fillId="0" borderId="0" xfId="0" applyFont="1" applyBorder="1" applyAlignment="1" applyProtection="1">
      <alignment horizontal="left"/>
      <protection hidden="1"/>
    </xf>
    <xf numFmtId="0" fontId="38" fillId="0" borderId="0" xfId="0" applyFont="1" applyBorder="1" applyAlignment="1" applyProtection="1">
      <alignment horizontal="right" vertical="center"/>
      <protection hidden="1"/>
    </xf>
    <xf numFmtId="0" fontId="38" fillId="0" borderId="0" xfId="0" applyFont="1" applyFill="1" applyBorder="1" applyAlignment="1" applyProtection="1">
      <alignment horizontal="left"/>
      <protection hidden="1"/>
    </xf>
    <xf numFmtId="0" fontId="23" fillId="6" borderId="33" xfId="0" applyFont="1" applyFill="1" applyBorder="1" applyAlignment="1">
      <alignment horizontal="left" vertical="center"/>
    </xf>
    <xf numFmtId="0" fontId="27" fillId="0" borderId="0" xfId="0" applyFont="1" applyBorder="1" applyAlignment="1" applyProtection="1">
      <protection hidden="1"/>
    </xf>
    <xf numFmtId="0" fontId="43" fillId="0" borderId="15" xfId="0" applyFont="1" applyBorder="1" applyAlignment="1" applyProtection="1">
      <protection hidden="1"/>
    </xf>
    <xf numFmtId="0" fontId="37" fillId="0" borderId="0" xfId="0" applyFont="1" applyBorder="1" applyAlignment="1" applyProtection="1">
      <protection hidden="1"/>
    </xf>
    <xf numFmtId="0" fontId="37" fillId="0" borderId="16" xfId="0" applyFont="1" applyBorder="1" applyAlignment="1" applyProtection="1">
      <protection hidden="1"/>
    </xf>
    <xf numFmtId="0" fontId="37" fillId="0" borderId="15" xfId="0" applyFont="1" applyBorder="1" applyAlignment="1" applyProtection="1">
      <protection hidden="1"/>
    </xf>
    <xf numFmtId="0" fontId="38" fillId="0" borderId="16" xfId="0" applyFont="1" applyFill="1" applyBorder="1" applyAlignment="1" applyProtection="1">
      <alignment vertical="center"/>
      <protection hidden="1"/>
    </xf>
    <xf numFmtId="0" fontId="38" fillId="0" borderId="16" xfId="0" applyFont="1" applyFill="1" applyBorder="1" applyAlignment="1" applyProtection="1">
      <protection hidden="1"/>
    </xf>
    <xf numFmtId="0" fontId="56" fillId="0" borderId="16" xfId="0" applyFont="1" applyFill="1" applyBorder="1" applyAlignment="1" applyProtection="1">
      <alignment vertical="top" wrapText="1"/>
      <protection hidden="1"/>
    </xf>
    <xf numFmtId="165" fontId="45" fillId="0" borderId="39" xfId="0" applyNumberFormat="1" applyFont="1" applyFill="1" applyBorder="1" applyAlignment="1" applyProtection="1">
      <protection hidden="1"/>
    </xf>
    <xf numFmtId="165" fontId="38" fillId="0" borderId="39" xfId="0" applyNumberFormat="1" applyFont="1" applyFill="1" applyBorder="1" applyAlignment="1" applyProtection="1">
      <protection hidden="1"/>
    </xf>
    <xf numFmtId="0" fontId="38" fillId="0" borderId="15" xfId="0" applyFont="1" applyFill="1" applyBorder="1" applyAlignment="1" applyProtection="1">
      <alignment horizontal="left" vertical="top"/>
      <protection hidden="1"/>
    </xf>
    <xf numFmtId="0" fontId="40" fillId="0" borderId="15" xfId="0" applyFont="1" applyBorder="1" applyAlignment="1" applyProtection="1">
      <protection hidden="1"/>
    </xf>
    <xf numFmtId="0" fontId="45" fillId="0" borderId="0" xfId="0" applyFont="1" applyFill="1" applyBorder="1" applyAlignment="1" applyProtection="1">
      <alignment vertical="top" wrapText="1"/>
      <protection hidden="1"/>
    </xf>
    <xf numFmtId="0" fontId="45" fillId="0" borderId="16" xfId="0" applyFont="1" applyFill="1" applyBorder="1" applyAlignment="1" applyProtection="1">
      <alignment vertical="top" wrapText="1"/>
      <protection hidden="1"/>
    </xf>
    <xf numFmtId="0" fontId="38" fillId="0" borderId="39" xfId="0" applyFont="1" applyFill="1" applyBorder="1" applyAlignment="1" applyProtection="1">
      <alignment horizontal="left" vertical="center"/>
      <protection hidden="1"/>
    </xf>
    <xf numFmtId="0" fontId="38" fillId="0" borderId="39" xfId="0" applyFont="1" applyBorder="1" applyAlignment="1" applyProtection="1">
      <alignment horizontal="left"/>
      <protection hidden="1"/>
    </xf>
    <xf numFmtId="0" fontId="72" fillId="0" borderId="0" xfId="0" applyFont="1" applyBorder="1" applyAlignment="1" applyProtection="1">
      <protection hidden="1"/>
    </xf>
    <xf numFmtId="0" fontId="37" fillId="0" borderId="13" xfId="0" applyFont="1" applyBorder="1" applyAlignment="1" applyProtection="1">
      <protection hidden="1"/>
    </xf>
    <xf numFmtId="0" fontId="37" fillId="0" borderId="10" xfId="0" applyFont="1" applyBorder="1" applyAlignment="1" applyProtection="1">
      <protection hidden="1"/>
    </xf>
    <xf numFmtId="0" fontId="37" fillId="0" borderId="17" xfId="0" applyFont="1" applyBorder="1" applyAlignment="1" applyProtection="1">
      <protection hidden="1"/>
    </xf>
    <xf numFmtId="0" fontId="38" fillId="0" borderId="0" xfId="0" applyFont="1" applyFill="1" applyBorder="1" applyAlignment="1" applyProtection="1">
      <alignment vertical="top" wrapText="1"/>
      <protection hidden="1"/>
    </xf>
    <xf numFmtId="0" fontId="38" fillId="5" borderId="39" xfId="0" applyNumberFormat="1" applyFont="1" applyFill="1" applyBorder="1" applyAlignment="1" applyProtection="1">
      <alignment horizontal="center" vertical="center"/>
      <protection locked="0"/>
    </xf>
    <xf numFmtId="164" fontId="38" fillId="0" borderId="0" xfId="0" applyNumberFormat="1" applyFont="1" applyBorder="1" applyAlignment="1" applyProtection="1">
      <alignment vertical="center"/>
      <protection hidden="1"/>
    </xf>
    <xf numFmtId="174" fontId="45" fillId="0" borderId="39" xfId="0" applyNumberFormat="1" applyFont="1" applyBorder="1" applyAlignment="1" applyProtection="1">
      <alignment horizontal="center"/>
      <protection hidden="1"/>
    </xf>
    <xf numFmtId="0" fontId="73" fillId="0" borderId="10" xfId="0" applyFont="1" applyBorder="1" applyAlignment="1" applyProtection="1">
      <alignment vertical="center"/>
      <protection hidden="1"/>
    </xf>
    <xf numFmtId="0" fontId="30" fillId="0" borderId="10" xfId="0" applyFont="1" applyBorder="1" applyAlignment="1" applyProtection="1">
      <alignment horizontal="center" vertical="top" wrapText="1"/>
      <protection hidden="1"/>
    </xf>
    <xf numFmtId="0" fontId="38" fillId="0" borderId="15" xfId="0" applyFont="1" applyBorder="1" applyAlignment="1" applyProtection="1">
      <alignment vertical="center"/>
      <protection hidden="1"/>
    </xf>
    <xf numFmtId="0" fontId="38" fillId="0" borderId="13" xfId="0" applyFont="1" applyBorder="1" applyAlignment="1" applyProtection="1">
      <alignment vertical="center"/>
      <protection hidden="1"/>
    </xf>
    <xf numFmtId="0" fontId="71" fillId="0" borderId="16" xfId="0" applyFont="1" applyBorder="1" applyAlignment="1" applyProtection="1">
      <alignment vertical="center" wrapText="1"/>
      <protection hidden="1"/>
    </xf>
    <xf numFmtId="0" fontId="40" fillId="0" borderId="0" xfId="0" applyFont="1" applyBorder="1" applyAlignment="1" applyProtection="1">
      <alignment horizontal="right" vertical="center"/>
      <protection hidden="1"/>
    </xf>
    <xf numFmtId="0" fontId="40" fillId="0" borderId="16" xfId="0" applyFont="1" applyBorder="1" applyAlignment="1" applyProtection="1">
      <alignment horizontal="right" vertical="center"/>
      <protection hidden="1"/>
    </xf>
    <xf numFmtId="172" fontId="43" fillId="0" borderId="0" xfId="0" applyNumberFormat="1" applyFont="1" applyFill="1" applyBorder="1" applyAlignment="1" applyProtection="1">
      <alignment vertical="center"/>
      <protection hidden="1"/>
    </xf>
    <xf numFmtId="3" fontId="38" fillId="0" borderId="16" xfId="0" applyNumberFormat="1" applyFont="1" applyBorder="1" applyAlignment="1" applyProtection="1">
      <alignment vertical="center"/>
      <protection hidden="1"/>
    </xf>
    <xf numFmtId="0" fontId="40" fillId="0" borderId="15" xfId="0" applyFont="1" applyFill="1" applyBorder="1" applyAlignment="1" applyProtection="1">
      <alignment horizontal="center" vertical="center"/>
      <protection hidden="1"/>
    </xf>
    <xf numFmtId="0" fontId="38" fillId="0" borderId="0" xfId="0" applyFont="1" applyFill="1" applyBorder="1" applyAlignment="1" applyProtection="1">
      <alignment horizontal="left" vertical="top" wrapText="1"/>
      <protection hidden="1"/>
    </xf>
    <xf numFmtId="0" fontId="40" fillId="0" borderId="16" xfId="0" applyFont="1" applyFill="1" applyBorder="1" applyAlignment="1" applyProtection="1">
      <alignment horizontal="right"/>
      <protection hidden="1"/>
    </xf>
    <xf numFmtId="0" fontId="38" fillId="0" borderId="15" xfId="0" applyFont="1" applyBorder="1" applyAlignment="1" applyProtection="1">
      <protection hidden="1"/>
    </xf>
    <xf numFmtId="0" fontId="38" fillId="0" borderId="16" xfId="0" applyFont="1" applyBorder="1" applyAlignment="1" applyProtection="1">
      <protection hidden="1"/>
    </xf>
    <xf numFmtId="0" fontId="38" fillId="0" borderId="0" xfId="0" applyFont="1" applyAlignment="1" applyProtection="1">
      <protection hidden="1"/>
    </xf>
    <xf numFmtId="0" fontId="40" fillId="0" borderId="0" xfId="0" applyFont="1" applyBorder="1" applyAlignment="1" applyProtection="1">
      <protection hidden="1"/>
    </xf>
    <xf numFmtId="174" fontId="38" fillId="0" borderId="0" xfId="0" applyNumberFormat="1" applyFont="1" applyBorder="1" applyAlignment="1" applyProtection="1">
      <alignment horizontal="center" vertical="center"/>
      <protection hidden="1"/>
    </xf>
    <xf numFmtId="0" fontId="38" fillId="0" borderId="15" xfId="0" applyFont="1" applyFill="1" applyBorder="1" applyAlignment="1" applyProtection="1">
      <protection hidden="1"/>
    </xf>
    <xf numFmtId="0" fontId="40" fillId="0" borderId="16" xfId="0" applyFont="1" applyFill="1" applyBorder="1" applyAlignment="1" applyProtection="1">
      <protection hidden="1"/>
    </xf>
    <xf numFmtId="0" fontId="38" fillId="0" borderId="13" xfId="0" applyFont="1" applyBorder="1" applyAlignment="1" applyProtection="1">
      <protection hidden="1"/>
    </xf>
    <xf numFmtId="0" fontId="38" fillId="0" borderId="10" xfId="0" applyFont="1" applyBorder="1" applyAlignment="1" applyProtection="1">
      <protection hidden="1"/>
    </xf>
    <xf numFmtId="0" fontId="38" fillId="0" borderId="17" xfId="0" applyFont="1" applyBorder="1" applyAlignment="1" applyProtection="1">
      <protection hidden="1"/>
    </xf>
    <xf numFmtId="0" fontId="43" fillId="0" borderId="15" xfId="0" applyFont="1" applyBorder="1" applyAlignment="1" applyProtection="1">
      <alignment horizontal="left"/>
      <protection hidden="1"/>
    </xf>
    <xf numFmtId="0" fontId="43" fillId="0" borderId="0" xfId="0" applyFont="1" applyFill="1" applyBorder="1" applyAlignment="1" applyProtection="1">
      <alignment horizontal="left" vertical="center"/>
      <protection hidden="1"/>
    </xf>
    <xf numFmtId="0" fontId="38" fillId="0" borderId="16" xfId="0" applyFont="1" applyFill="1" applyBorder="1" applyAlignment="1" applyProtection="1">
      <alignment vertical="top" wrapText="1"/>
      <protection hidden="1"/>
    </xf>
    <xf numFmtId="0" fontId="38" fillId="0" borderId="0" xfId="0" applyFont="1" applyFill="1" applyBorder="1" applyAlignment="1" applyProtection="1">
      <alignment horizontal="center"/>
      <protection locked="0"/>
    </xf>
    <xf numFmtId="0" fontId="38" fillId="0" borderId="0" xfId="0" applyFont="1" applyFill="1" applyBorder="1" applyAlignment="1" applyProtection="1">
      <alignment horizontal="left" wrapText="1"/>
      <protection hidden="1"/>
    </xf>
    <xf numFmtId="0" fontId="74" fillId="0" borderId="39" xfId="0" applyFont="1" applyBorder="1" applyAlignment="1" applyProtection="1">
      <alignment horizontal="center" vertical="center"/>
      <protection hidden="1"/>
    </xf>
    <xf numFmtId="0" fontId="74" fillId="0" borderId="0" xfId="0" applyFont="1" applyBorder="1" applyAlignment="1" applyProtection="1">
      <alignment horizontal="center" vertical="center"/>
      <protection hidden="1"/>
    </xf>
    <xf numFmtId="0" fontId="38" fillId="0" borderId="15" xfId="0" applyFont="1" applyBorder="1" applyAlignment="1" applyProtection="1">
      <alignment horizontal="left" vertical="center"/>
      <protection hidden="1"/>
    </xf>
    <xf numFmtId="0" fontId="38" fillId="0" borderId="39" xfId="0" applyFont="1" applyBorder="1" applyAlignment="1" applyProtection="1">
      <protection hidden="1"/>
    </xf>
    <xf numFmtId="0" fontId="68" fillId="0" borderId="0" xfId="0" applyFont="1" applyFill="1" applyBorder="1" applyAlignment="1" applyProtection="1">
      <protection hidden="1"/>
    </xf>
    <xf numFmtId="0" fontId="38" fillId="0" borderId="0" xfId="0" applyFont="1" applyAlignment="1" applyProtection="1">
      <alignment vertical="center"/>
      <protection hidden="1"/>
    </xf>
    <xf numFmtId="0" fontId="38" fillId="0" borderId="15" xfId="0" applyFont="1" applyBorder="1" applyAlignment="1" applyProtection="1">
      <alignment vertical="top" wrapText="1"/>
      <protection hidden="1"/>
    </xf>
    <xf numFmtId="0" fontId="0" fillId="0" borderId="11" xfId="0" applyFont="1" applyBorder="1" applyAlignment="1" applyProtection="1">
      <protection hidden="1"/>
    </xf>
    <xf numFmtId="0" fontId="40" fillId="0" borderId="0" xfId="0" applyFont="1" applyFill="1" applyBorder="1" applyAlignment="1" applyProtection="1">
      <alignment vertical="top" wrapText="1"/>
      <protection hidden="1"/>
    </xf>
    <xf numFmtId="0" fontId="37" fillId="0" borderId="0" xfId="0" applyFont="1" applyAlignment="1" applyProtection="1">
      <alignment wrapText="1"/>
      <protection hidden="1"/>
    </xf>
    <xf numFmtId="0" fontId="0" fillId="0" borderId="0" xfId="0" applyFont="1" applyAlignment="1" applyProtection="1">
      <alignment wrapText="1"/>
      <protection hidden="1"/>
    </xf>
    <xf numFmtId="0" fontId="8" fillId="0" borderId="10" xfId="0" applyFont="1" applyBorder="1" applyAlignment="1" applyProtection="1">
      <protection hidden="1"/>
    </xf>
    <xf numFmtId="0" fontId="8" fillId="0" borderId="17" xfId="0" applyFont="1" applyBorder="1" applyAlignment="1" applyProtection="1">
      <protection hidden="1"/>
    </xf>
    <xf numFmtId="3" fontId="38" fillId="0" borderId="0" xfId="0" applyNumberFormat="1" applyFont="1" applyFill="1" applyBorder="1" applyAlignment="1" applyProtection="1">
      <alignment vertical="center"/>
      <protection hidden="1"/>
    </xf>
    <xf numFmtId="3" fontId="38" fillId="0" borderId="10" xfId="0" applyNumberFormat="1" applyFont="1" applyFill="1" applyBorder="1" applyAlignment="1" applyProtection="1">
      <alignment vertical="center"/>
      <protection hidden="1"/>
    </xf>
    <xf numFmtId="0" fontId="45" fillId="0" borderId="15" xfId="0" applyFont="1" applyBorder="1" applyAlignment="1" applyProtection="1">
      <alignment vertical="center"/>
      <protection hidden="1"/>
    </xf>
    <xf numFmtId="0" fontId="38" fillId="0" borderId="15" xfId="0" applyFont="1" applyFill="1" applyBorder="1" applyAlignment="1" applyProtection="1">
      <alignment horizontal="left" vertical="center"/>
      <protection hidden="1"/>
    </xf>
    <xf numFmtId="0" fontId="43" fillId="0" borderId="16" xfId="0" applyFont="1" applyBorder="1" applyAlignment="1" applyProtection="1">
      <protection hidden="1"/>
    </xf>
    <xf numFmtId="0" fontId="43" fillId="0" borderId="0" xfId="0" applyFont="1" applyFill="1" applyBorder="1" applyAlignment="1" applyProtection="1">
      <alignment horizontal="right" vertical="center"/>
      <protection hidden="1"/>
    </xf>
    <xf numFmtId="0" fontId="43" fillId="0" borderId="0" xfId="0" applyFont="1" applyFill="1" applyBorder="1" applyAlignment="1" applyProtection="1">
      <alignment vertical="top"/>
      <protection hidden="1"/>
    </xf>
    <xf numFmtId="0" fontId="38" fillId="0" borderId="0" xfId="0" applyFont="1" applyFill="1" applyBorder="1" applyAlignment="1" applyProtection="1">
      <alignment horizontal="right" vertical="top"/>
      <protection hidden="1"/>
    </xf>
    <xf numFmtId="0" fontId="37" fillId="0" borderId="15" xfId="0" applyFont="1" applyBorder="1" applyAlignment="1" applyProtection="1">
      <alignment horizontal="right"/>
      <protection hidden="1"/>
    </xf>
    <xf numFmtId="0" fontId="37" fillId="0" borderId="0" xfId="0" applyFont="1" applyBorder="1" applyAlignment="1" applyProtection="1">
      <alignment wrapText="1"/>
      <protection hidden="1"/>
    </xf>
    <xf numFmtId="0" fontId="37" fillId="0" borderId="0" xfId="0" applyNumberFormat="1" applyFont="1" applyBorder="1" applyAlignment="1" applyProtection="1">
      <protection hidden="1"/>
    </xf>
    <xf numFmtId="0" fontId="43" fillId="0" borderId="0" xfId="0" applyFont="1" applyFill="1" applyBorder="1" applyAlignment="1" applyProtection="1">
      <alignment vertical="center"/>
      <protection hidden="1"/>
    </xf>
    <xf numFmtId="0" fontId="38" fillId="0" borderId="15" xfId="0" applyFont="1" applyBorder="1" applyAlignment="1" applyProtection="1">
      <alignment horizontal="left"/>
      <protection hidden="1"/>
    </xf>
    <xf numFmtId="0" fontId="37" fillId="0" borderId="15" xfId="0" applyFont="1" applyBorder="1" applyAlignment="1">
      <alignment vertical="center"/>
    </xf>
    <xf numFmtId="0" fontId="75" fillId="0" borderId="0" xfId="0" applyFont="1" applyBorder="1"/>
    <xf numFmtId="0" fontId="75" fillId="0" borderId="0" xfId="0" applyFont="1" applyBorder="1" applyAlignment="1">
      <alignment vertical="top"/>
    </xf>
    <xf numFmtId="0" fontId="43" fillId="0" borderId="0" xfId="0" applyFont="1" applyBorder="1" applyAlignment="1" applyProtection="1">
      <protection hidden="1"/>
    </xf>
    <xf numFmtId="0" fontId="43" fillId="0" borderId="0" xfId="0" applyFont="1" applyBorder="1" applyAlignment="1" applyProtection="1">
      <alignment vertical="center"/>
      <protection hidden="1"/>
    </xf>
    <xf numFmtId="0" fontId="43" fillId="0" borderId="44" xfId="0" applyFont="1" applyFill="1" applyBorder="1" applyAlignment="1" applyProtection="1">
      <alignment vertical="center"/>
      <protection hidden="1"/>
    </xf>
    <xf numFmtId="0" fontId="45" fillId="0" borderId="0" xfId="0" applyFont="1" applyBorder="1" applyAlignment="1" applyProtection="1">
      <alignment vertical="top" wrapText="1"/>
      <protection hidden="1"/>
    </xf>
    <xf numFmtId="0" fontId="38" fillId="0" borderId="13" xfId="0" applyFont="1" applyFill="1" applyBorder="1" applyAlignment="1" applyProtection="1">
      <alignment vertical="center"/>
      <protection hidden="1"/>
    </xf>
    <xf numFmtId="0" fontId="38" fillId="0" borderId="10" xfId="0" applyFont="1" applyBorder="1" applyProtection="1">
      <protection hidden="1"/>
    </xf>
    <xf numFmtId="0" fontId="43" fillId="0" borderId="15" xfId="0" applyFont="1" applyFill="1" applyBorder="1" applyAlignment="1" applyProtection="1">
      <alignment vertical="center"/>
      <protection hidden="1"/>
    </xf>
    <xf numFmtId="0" fontId="40" fillId="0" borderId="0" xfId="0" applyFont="1" applyBorder="1" applyAlignment="1" applyProtection="1">
      <alignment horizontal="center" vertical="center"/>
      <protection hidden="1"/>
    </xf>
    <xf numFmtId="0" fontId="30" fillId="0" borderId="0" xfId="0" applyFont="1" applyBorder="1" applyAlignment="1" applyProtection="1">
      <protection hidden="1"/>
    </xf>
    <xf numFmtId="0" fontId="69" fillId="0" borderId="0" xfId="0" applyFont="1" applyBorder="1" applyAlignment="1" applyProtection="1">
      <alignment vertical="center"/>
      <protection hidden="1"/>
    </xf>
    <xf numFmtId="0" fontId="38" fillId="0" borderId="0" xfId="0" applyFont="1" applyBorder="1" applyAlignment="1" applyProtection="1">
      <alignment horizontal="center" vertical="center"/>
      <protection hidden="1"/>
    </xf>
    <xf numFmtId="0" fontId="59" fillId="0" borderId="0" xfId="0" applyFont="1" applyBorder="1" applyAlignment="1" applyProtection="1">
      <alignment horizontal="center" vertical="center"/>
      <protection hidden="1"/>
    </xf>
    <xf numFmtId="0" fontId="19" fillId="0" borderId="0" xfId="0" applyFont="1" applyProtection="1">
      <protection hidden="1"/>
    </xf>
    <xf numFmtId="0" fontId="19" fillId="0" borderId="0" xfId="1" applyFont="1" applyBorder="1" applyProtection="1">
      <protection hidden="1"/>
    </xf>
    <xf numFmtId="0" fontId="35" fillId="0" borderId="0" xfId="1" applyFont="1" applyFill="1" applyBorder="1" applyAlignment="1" applyProtection="1">
      <protection hidden="1"/>
    </xf>
    <xf numFmtId="0" fontId="38" fillId="0" borderId="15" xfId="0" applyFont="1" applyBorder="1" applyProtection="1">
      <protection hidden="1"/>
    </xf>
    <xf numFmtId="0" fontId="38" fillId="0" borderId="15" xfId="0" applyFont="1" applyFill="1" applyBorder="1" applyProtection="1">
      <protection hidden="1"/>
    </xf>
    <xf numFmtId="174" fontId="38" fillId="0" borderId="0" xfId="0" applyNumberFormat="1" applyFont="1" applyBorder="1" applyAlignment="1" applyProtection="1">
      <alignment horizontal="center"/>
      <protection hidden="1"/>
    </xf>
    <xf numFmtId="0" fontId="0" fillId="0" borderId="0" xfId="0" applyAlignment="1">
      <alignment vertical="center"/>
    </xf>
    <xf numFmtId="0" fontId="78" fillId="0" borderId="0" xfId="0" applyFont="1" applyProtection="1">
      <protection hidden="1"/>
    </xf>
    <xf numFmtId="0" fontId="56" fillId="0" borderId="0" xfId="0" applyFont="1" applyAlignment="1" applyProtection="1">
      <alignment vertical="center"/>
      <protection hidden="1"/>
    </xf>
    <xf numFmtId="0" fontId="56" fillId="0" borderId="0" xfId="0" applyFont="1" applyBorder="1" applyAlignment="1" applyProtection="1">
      <alignment vertical="center"/>
      <protection hidden="1"/>
    </xf>
    <xf numFmtId="0" fontId="45" fillId="0" borderId="0" xfId="0" applyFont="1" applyBorder="1" applyAlignment="1" applyProtection="1">
      <alignment horizontal="center"/>
      <protection hidden="1"/>
    </xf>
    <xf numFmtId="0" fontId="38" fillId="0" borderId="0" xfId="0" applyFont="1" applyBorder="1" applyAlignment="1" applyProtection="1">
      <alignment horizontal="left"/>
      <protection hidden="1"/>
    </xf>
    <xf numFmtId="0" fontId="38" fillId="0" borderId="10" xfId="0" applyFont="1" applyBorder="1" applyAlignment="1" applyProtection="1">
      <alignment vertical="center"/>
      <protection hidden="1"/>
    </xf>
    <xf numFmtId="0" fontId="0" fillId="0" borderId="15" xfId="0" applyFont="1" applyBorder="1" applyAlignment="1" applyProtection="1">
      <protection hidden="1"/>
    </xf>
    <xf numFmtId="0" fontId="45" fillId="0" borderId="0" xfId="0" applyFont="1" applyBorder="1" applyAlignment="1" applyProtection="1">
      <alignment wrapText="1"/>
      <protection hidden="1"/>
    </xf>
    <xf numFmtId="0" fontId="8" fillId="0" borderId="55" xfId="0" applyFont="1" applyBorder="1" applyAlignment="1" applyProtection="1">
      <alignment vertical="center"/>
      <protection hidden="1"/>
    </xf>
    <xf numFmtId="0" fontId="0" fillId="0" borderId="55" xfId="0" applyFont="1" applyBorder="1" applyAlignment="1" applyProtection="1">
      <protection hidden="1"/>
    </xf>
    <xf numFmtId="0" fontId="37" fillId="0" borderId="55" xfId="0" applyFont="1" applyBorder="1" applyAlignment="1" applyProtection="1">
      <protection hidden="1"/>
    </xf>
    <xf numFmtId="0" fontId="38" fillId="0" borderId="0" xfId="0" applyFont="1" applyFill="1" applyBorder="1" applyAlignment="1" applyProtection="1">
      <alignment horizontal="center" vertical="center"/>
      <protection hidden="1"/>
    </xf>
    <xf numFmtId="0" fontId="38" fillId="0" borderId="15" xfId="0" applyFont="1" applyBorder="1" applyAlignment="1">
      <alignment horizontal="right" vertical="center"/>
    </xf>
    <xf numFmtId="0" fontId="38" fillId="0" borderId="44" xfId="0" applyFont="1" applyBorder="1" applyAlignment="1">
      <alignment horizontal="right" vertical="center"/>
    </xf>
    <xf numFmtId="0" fontId="38" fillId="0" borderId="0" xfId="0" applyFont="1" applyBorder="1" applyAlignment="1" applyProtection="1">
      <alignment horizontal="center"/>
      <protection hidden="1"/>
    </xf>
    <xf numFmtId="0" fontId="38" fillId="0" borderId="0" xfId="0" applyFont="1" applyFill="1" applyBorder="1" applyAlignment="1" applyProtection="1">
      <alignment horizontal="right" vertical="center"/>
      <protection hidden="1"/>
    </xf>
    <xf numFmtId="0" fontId="38" fillId="0" borderId="0" xfId="0" applyFont="1" applyBorder="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38" fillId="0" borderId="0" xfId="0" applyFont="1" applyBorder="1" applyAlignment="1" applyProtection="1">
      <alignment horizontal="left"/>
      <protection hidden="1"/>
    </xf>
    <xf numFmtId="0" fontId="38" fillId="0" borderId="0" xfId="0" applyFont="1" applyFill="1" applyBorder="1" applyAlignment="1" applyProtection="1">
      <alignment vertical="center"/>
      <protection hidden="1"/>
    </xf>
    <xf numFmtId="167" fontId="52" fillId="0" borderId="0" xfId="0" applyNumberFormat="1" applyFont="1" applyFill="1" applyAlignment="1">
      <alignment horizontal="center" vertical="center"/>
    </xf>
    <xf numFmtId="0" fontId="0" fillId="0" borderId="13" xfId="0" applyFont="1" applyBorder="1" applyAlignment="1" applyProtection="1">
      <protection hidden="1"/>
    </xf>
    <xf numFmtId="0" fontId="0" fillId="0" borderId="17" xfId="0" applyFont="1" applyBorder="1" applyAlignment="1" applyProtection="1">
      <protection hidden="1"/>
    </xf>
    <xf numFmtId="0" fontId="38" fillId="0" borderId="15" xfId="0" applyFont="1" applyBorder="1" applyAlignment="1">
      <alignment vertical="center"/>
    </xf>
    <xf numFmtId="0" fontId="0" fillId="0" borderId="0" xfId="0" applyFont="1" applyBorder="1" applyProtection="1">
      <protection hidden="1"/>
    </xf>
    <xf numFmtId="0" fontId="0" fillId="0" borderId="16" xfId="0" applyFont="1" applyBorder="1" applyProtection="1">
      <protection hidden="1"/>
    </xf>
    <xf numFmtId="0" fontId="38" fillId="0" borderId="0" xfId="0" applyFont="1" applyFill="1" applyBorder="1" applyAlignment="1" applyProtection="1">
      <alignment horizontal="left" vertical="top" wrapText="1"/>
      <protection hidden="1"/>
    </xf>
    <xf numFmtId="0" fontId="38" fillId="0" borderId="0" xfId="0" applyFont="1" applyFill="1" applyBorder="1" applyAlignment="1" applyProtection="1">
      <alignment horizontal="center" vertical="center"/>
      <protection hidden="1"/>
    </xf>
    <xf numFmtId="3" fontId="38" fillId="0" borderId="0" xfId="0" applyNumberFormat="1" applyFont="1" applyBorder="1" applyAlignment="1" applyProtection="1">
      <alignment horizontal="center" vertical="center"/>
      <protection hidden="1"/>
    </xf>
    <xf numFmtId="0" fontId="68" fillId="0" borderId="0" xfId="0" applyFont="1" applyBorder="1" applyAlignment="1" applyProtection="1">
      <alignment horizontal="left"/>
      <protection hidden="1"/>
    </xf>
    <xf numFmtId="0" fontId="38" fillId="0" borderId="0" xfId="0" applyFont="1" applyFill="1" applyBorder="1" applyAlignment="1" applyProtection="1">
      <alignment horizontal="left"/>
      <protection hidden="1"/>
    </xf>
    <xf numFmtId="0" fontId="38" fillId="0" borderId="0" xfId="0" applyFont="1" applyAlignment="1" applyProtection="1">
      <alignment horizontal="left"/>
      <protection hidden="1"/>
    </xf>
    <xf numFmtId="0" fontId="38" fillId="0" borderId="0" xfId="0" applyFont="1" applyFill="1" applyBorder="1" applyAlignment="1" applyProtection="1">
      <alignment horizontal="left" vertical="center"/>
      <protection hidden="1"/>
    </xf>
    <xf numFmtId="0" fontId="38" fillId="0" borderId="0" xfId="0" applyFont="1" applyBorder="1" applyAlignment="1" applyProtection="1">
      <alignment horizontal="left"/>
      <protection hidden="1"/>
    </xf>
    <xf numFmtId="0" fontId="38" fillId="0" borderId="0" xfId="0" applyFont="1" applyAlignment="1" applyProtection="1">
      <alignment horizontal="left" vertical="center"/>
      <protection hidden="1"/>
    </xf>
    <xf numFmtId="0" fontId="23" fillId="6" borderId="33" xfId="0" applyFont="1" applyFill="1" applyBorder="1" applyAlignment="1">
      <alignment horizontal="left" vertical="center"/>
    </xf>
    <xf numFmtId="0" fontId="38" fillId="0" borderId="0" xfId="0" applyFont="1" applyFill="1" applyBorder="1" applyAlignment="1" applyProtection="1">
      <alignment vertical="center"/>
      <protection hidden="1"/>
    </xf>
    <xf numFmtId="3" fontId="8" fillId="0" borderId="0" xfId="0" applyNumberFormat="1" applyFont="1" applyAlignment="1">
      <alignment horizontal="left" vertical="center" wrapText="1"/>
    </xf>
    <xf numFmtId="0" fontId="38" fillId="0" borderId="0" xfId="0" applyFont="1" applyAlignment="1" applyProtection="1">
      <alignment horizontal="center" vertical="center"/>
      <protection hidden="1"/>
    </xf>
    <xf numFmtId="0" fontId="23" fillId="6" borderId="33" xfId="0" applyFont="1" applyFill="1" applyBorder="1" applyAlignment="1">
      <alignment horizontal="left" vertical="center"/>
    </xf>
    <xf numFmtId="0" fontId="38" fillId="0" borderId="0" xfId="0" applyFont="1" applyBorder="1" applyAlignment="1" applyProtection="1">
      <alignment horizontal="left"/>
      <protection hidden="1"/>
    </xf>
    <xf numFmtId="0" fontId="23" fillId="6" borderId="32" xfId="0" applyFont="1" applyFill="1" applyBorder="1" applyAlignment="1">
      <alignment horizontal="left" vertical="center"/>
    </xf>
    <xf numFmtId="0" fontId="23" fillId="6" borderId="33" xfId="0" applyFont="1" applyFill="1" applyBorder="1" applyAlignment="1">
      <alignment horizontal="left" vertical="center"/>
    </xf>
    <xf numFmtId="0" fontId="23" fillId="6" borderId="33" xfId="0" applyFont="1" applyFill="1" applyBorder="1" applyAlignment="1">
      <alignment horizontal="left" vertical="center"/>
    </xf>
    <xf numFmtId="0" fontId="23" fillId="6" borderId="37" xfId="0" applyFont="1" applyFill="1" applyBorder="1" applyAlignment="1">
      <alignment horizontal="left" vertical="center"/>
    </xf>
    <xf numFmtId="0" fontId="8" fillId="0" borderId="0" xfId="0" applyFont="1" applyFill="1" applyBorder="1" applyAlignment="1" applyProtection="1">
      <alignment horizontal="left" vertical="center" wrapText="1"/>
      <protection hidden="1"/>
    </xf>
    <xf numFmtId="164" fontId="8" fillId="0" borderId="0" xfId="0" applyNumberFormat="1" applyFont="1" applyAlignment="1">
      <alignment horizontal="left" vertical="center"/>
    </xf>
    <xf numFmtId="164" fontId="52" fillId="0" borderId="0" xfId="0" applyNumberFormat="1" applyFont="1" applyAlignment="1">
      <alignment horizontal="left" vertical="center"/>
    </xf>
    <xf numFmtId="0" fontId="52" fillId="0" borderId="0" xfId="0" applyFont="1" applyFill="1" applyBorder="1" applyAlignment="1" applyProtection="1">
      <alignment vertical="center"/>
      <protection hidden="1"/>
    </xf>
    <xf numFmtId="0" fontId="8" fillId="0" borderId="0" xfId="0" applyNumberFormat="1" applyFont="1" applyFill="1" applyBorder="1" applyAlignment="1" applyProtection="1">
      <alignment vertical="center"/>
      <protection hidden="1"/>
    </xf>
    <xf numFmtId="0" fontId="52" fillId="0" borderId="0" xfId="0" applyNumberFormat="1" applyFont="1" applyFill="1" applyBorder="1" applyAlignment="1" applyProtection="1">
      <alignment vertical="center"/>
      <protection hidden="1"/>
    </xf>
    <xf numFmtId="167" fontId="52" fillId="0" borderId="0" xfId="0" applyNumberFormat="1" applyFont="1" applyFill="1" applyAlignment="1">
      <alignment vertical="center"/>
    </xf>
    <xf numFmtId="0" fontId="38" fillId="0" borderId="0" xfId="0" applyFont="1" applyBorder="1" applyAlignment="1" applyProtection="1">
      <alignment vertical="top"/>
      <protection hidden="1"/>
    </xf>
    <xf numFmtId="0" fontId="0" fillId="0" borderId="46" xfId="0" applyFont="1" applyBorder="1" applyAlignment="1" applyProtection="1">
      <protection hidden="1"/>
    </xf>
    <xf numFmtId="0" fontId="38" fillId="0" borderId="0" xfId="0" applyFont="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49" fontId="11" fillId="0" borderId="0" xfId="0" applyNumberFormat="1" applyFont="1" applyFill="1" applyBorder="1" applyAlignment="1" applyProtection="1">
      <protection locked="0"/>
    </xf>
    <xf numFmtId="0" fontId="37" fillId="0" borderId="0" xfId="0" applyFont="1" applyFill="1" applyBorder="1" applyAlignment="1" applyProtection="1">
      <alignment vertical="top" wrapText="1"/>
      <protection hidden="1"/>
    </xf>
    <xf numFmtId="0" fontId="9" fillId="0" borderId="0" xfId="0" applyFont="1" applyFill="1" applyBorder="1" applyAlignment="1" applyProtection="1">
      <alignment vertical="top" wrapText="1"/>
      <protection hidden="1"/>
    </xf>
    <xf numFmtId="0" fontId="9" fillId="0" borderId="6" xfId="0" applyFont="1" applyFill="1" applyBorder="1" applyAlignment="1" applyProtection="1">
      <alignment vertical="top" wrapText="1"/>
      <protection hidden="1"/>
    </xf>
    <xf numFmtId="0" fontId="37" fillId="0" borderId="0" xfId="0" applyFont="1" applyBorder="1" applyAlignment="1" applyProtection="1">
      <alignment vertical="center" wrapText="1"/>
      <protection hidden="1"/>
    </xf>
    <xf numFmtId="0" fontId="73" fillId="0" borderId="15" xfId="0" applyFont="1" applyFill="1" applyBorder="1" applyAlignment="1" applyProtection="1">
      <alignment horizontal="center" vertical="center"/>
      <protection hidden="1"/>
    </xf>
    <xf numFmtId="0" fontId="45" fillId="0" borderId="15" xfId="0" applyFont="1" applyBorder="1" applyAlignment="1" applyProtection="1">
      <protection hidden="1"/>
    </xf>
    <xf numFmtId="164" fontId="45" fillId="0" borderId="0" xfId="0" applyNumberFormat="1" applyFont="1" applyBorder="1" applyAlignment="1" applyProtection="1">
      <alignment vertical="center"/>
      <protection hidden="1"/>
    </xf>
    <xf numFmtId="0" fontId="45" fillId="0" borderId="16" xfId="0" applyFont="1" applyBorder="1" applyAlignment="1" applyProtection="1">
      <protection hidden="1"/>
    </xf>
    <xf numFmtId="0" fontId="38" fillId="5" borderId="43" xfId="0" applyFont="1" applyFill="1" applyBorder="1" applyAlignment="1" applyProtection="1">
      <alignment horizontal="center" vertical="top" wrapText="1"/>
      <protection locked="0"/>
    </xf>
    <xf numFmtId="0" fontId="38" fillId="5" borderId="0" xfId="0" applyFont="1" applyFill="1" applyBorder="1" applyAlignment="1" applyProtection="1">
      <alignment horizontal="center" vertical="top" wrapText="1"/>
      <protection locked="0"/>
    </xf>
    <xf numFmtId="1" fontId="38" fillId="5" borderId="39" xfId="0" applyNumberFormat="1" applyFont="1" applyFill="1" applyBorder="1" applyAlignment="1" applyProtection="1">
      <alignment horizontal="center" vertical="center"/>
      <protection locked="0"/>
    </xf>
    <xf numFmtId="0" fontId="38" fillId="5" borderId="39" xfId="0" applyFont="1" applyFill="1" applyBorder="1" applyAlignment="1" applyProtection="1">
      <alignment horizontal="center" vertical="center"/>
      <protection locked="0"/>
    </xf>
    <xf numFmtId="166" fontId="38" fillId="5" borderId="39" xfId="0" applyNumberFormat="1" applyFont="1" applyFill="1" applyBorder="1" applyAlignment="1" applyProtection="1">
      <alignment horizontal="center" vertical="center"/>
      <protection locked="0"/>
    </xf>
    <xf numFmtId="0" fontId="38" fillId="5" borderId="0" xfId="0" applyFont="1" applyFill="1" applyBorder="1" applyAlignment="1" applyProtection="1">
      <alignment horizontal="left" vertical="center"/>
      <protection locked="0"/>
    </xf>
    <xf numFmtId="0" fontId="38" fillId="5" borderId="43" xfId="0" quotePrefix="1" applyFont="1" applyFill="1" applyBorder="1" applyAlignment="1" applyProtection="1">
      <alignment horizontal="center" vertical="top" wrapText="1"/>
      <protection locked="0"/>
    </xf>
    <xf numFmtId="0" fontId="38" fillId="5" borderId="0" xfId="0" quotePrefix="1" applyFont="1" applyFill="1" applyBorder="1" applyAlignment="1" applyProtection="1">
      <alignment horizontal="center" vertical="top" wrapText="1"/>
      <protection locked="0"/>
    </xf>
    <xf numFmtId="0" fontId="38" fillId="5" borderId="39" xfId="0" applyFont="1" applyFill="1" applyBorder="1" applyAlignment="1" applyProtection="1">
      <alignment horizontal="center" vertical="center" wrapText="1"/>
      <protection locked="0"/>
    </xf>
    <xf numFmtId="174" fontId="38" fillId="5" borderId="39" xfId="0" applyNumberFormat="1" applyFont="1" applyFill="1" applyBorder="1" applyAlignment="1" applyProtection="1">
      <alignment horizontal="center" vertical="center"/>
      <protection locked="0"/>
    </xf>
    <xf numFmtId="0" fontId="68" fillId="0" borderId="0" xfId="0" applyFont="1" applyFill="1" applyBorder="1" applyAlignment="1" applyProtection="1">
      <alignment horizontal="left"/>
      <protection hidden="1"/>
    </xf>
    <xf numFmtId="0" fontId="68" fillId="0" borderId="44" xfId="0" applyFont="1" applyFill="1" applyBorder="1" applyAlignment="1" applyProtection="1">
      <alignment horizontal="left"/>
      <protection hidden="1"/>
    </xf>
    <xf numFmtId="0" fontId="68" fillId="0" borderId="40" xfId="0" applyFont="1" applyFill="1" applyBorder="1" applyAlignment="1" applyProtection="1">
      <alignment horizontal="left"/>
      <protection locked="0"/>
    </xf>
    <xf numFmtId="0" fontId="68" fillId="0" borderId="41" xfId="0" applyFont="1" applyFill="1" applyBorder="1" applyAlignment="1" applyProtection="1">
      <alignment horizontal="left"/>
      <protection locked="0"/>
    </xf>
    <xf numFmtId="0" fontId="68" fillId="0" borderId="42" xfId="0" applyFont="1" applyFill="1" applyBorder="1" applyAlignment="1" applyProtection="1">
      <alignment horizontal="left"/>
      <protection locked="0"/>
    </xf>
    <xf numFmtId="0" fontId="68" fillId="0" borderId="0" xfId="0" applyFont="1" applyBorder="1" applyAlignment="1" applyProtection="1">
      <alignment horizontal="left"/>
      <protection hidden="1"/>
    </xf>
    <xf numFmtId="0" fontId="68" fillId="0" borderId="0" xfId="0" applyFont="1" applyBorder="1" applyAlignment="1" applyProtection="1">
      <alignment horizontal="left" vertical="center"/>
      <protection hidden="1"/>
    </xf>
    <xf numFmtId="0" fontId="38" fillId="0" borderId="0" xfId="0" applyFont="1" applyBorder="1" applyAlignment="1" applyProtection="1">
      <alignment horizontal="center"/>
      <protection hidden="1"/>
    </xf>
    <xf numFmtId="0" fontId="68" fillId="0" borderId="48" xfId="0" applyFont="1" applyFill="1" applyBorder="1" applyAlignment="1" applyProtection="1">
      <alignment horizontal="left"/>
      <protection locked="0"/>
    </xf>
    <xf numFmtId="0" fontId="68" fillId="0" borderId="0" xfId="0" applyFont="1" applyBorder="1" applyAlignment="1" applyProtection="1">
      <alignment horizontal="left"/>
      <protection locked="0"/>
    </xf>
    <xf numFmtId="0" fontId="40" fillId="0" borderId="39" xfId="0" applyFont="1" applyFill="1" applyBorder="1" applyAlignment="1" applyProtection="1">
      <alignment horizontal="left"/>
      <protection locked="0"/>
    </xf>
    <xf numFmtId="0" fontId="38" fillId="5" borderId="39" xfId="0" applyFont="1" applyFill="1" applyBorder="1" applyAlignment="1" applyProtection="1">
      <alignment horizontal="center" vertical="top" wrapText="1"/>
      <protection locked="0"/>
    </xf>
    <xf numFmtId="166" fontId="38" fillId="0" borderId="0" xfId="0" applyNumberFormat="1" applyFont="1" applyFill="1" applyBorder="1" applyAlignment="1" applyProtection="1">
      <alignment horizontal="center" vertical="center"/>
      <protection hidden="1"/>
    </xf>
    <xf numFmtId="0" fontId="38" fillId="0" borderId="0" xfId="0" applyFont="1" applyBorder="1" applyAlignment="1" applyProtection="1">
      <alignment horizontal="center" vertical="top" wrapText="1"/>
      <protection hidden="1"/>
    </xf>
    <xf numFmtId="0" fontId="38" fillId="0" borderId="0" xfId="0" applyFont="1" applyFill="1" applyBorder="1" applyAlignment="1" applyProtection="1">
      <alignment horizontal="right" vertical="center"/>
      <protection hidden="1"/>
    </xf>
    <xf numFmtId="0" fontId="38" fillId="0" borderId="0" xfId="0" applyFont="1" applyFill="1" applyBorder="1" applyAlignment="1" applyProtection="1">
      <alignment horizontal="left" vertical="top" wrapText="1"/>
      <protection hidden="1"/>
    </xf>
    <xf numFmtId="0" fontId="38" fillId="0" borderId="0" xfId="0" applyFont="1" applyBorder="1" applyAlignment="1" applyProtection="1">
      <alignment horizontal="left" vertical="top" wrapText="1"/>
      <protection hidden="1"/>
    </xf>
    <xf numFmtId="0" fontId="38" fillId="0" borderId="16" xfId="0" applyFont="1" applyBorder="1" applyAlignment="1" applyProtection="1">
      <alignment horizontal="left" vertical="top" wrapText="1"/>
      <protection hidden="1"/>
    </xf>
    <xf numFmtId="0" fontId="38" fillId="0" borderId="0" xfId="0" applyFont="1" applyFill="1" applyBorder="1" applyAlignment="1" applyProtection="1">
      <alignment horizontal="center" vertical="top" wrapText="1"/>
      <protection hidden="1"/>
    </xf>
    <xf numFmtId="0" fontId="38" fillId="0" borderId="0" xfId="0" applyNumberFormat="1" applyFont="1" applyFill="1" applyBorder="1" applyAlignment="1" applyProtection="1">
      <alignment horizontal="center" vertical="center"/>
      <protection hidden="1"/>
    </xf>
    <xf numFmtId="0" fontId="68" fillId="0" borderId="40" xfId="0" applyFont="1" applyBorder="1" applyAlignment="1" applyProtection="1">
      <alignment horizontal="left"/>
      <protection locked="0"/>
    </xf>
    <xf numFmtId="0" fontId="68" fillId="0" borderId="41" xfId="0" applyFont="1" applyBorder="1" applyAlignment="1" applyProtection="1">
      <alignment horizontal="left"/>
      <protection locked="0"/>
    </xf>
    <xf numFmtId="0" fontId="68" fillId="0" borderId="42" xfId="0" applyFont="1" applyBorder="1" applyAlignment="1" applyProtection="1">
      <alignment horizontal="left"/>
      <protection locked="0"/>
    </xf>
    <xf numFmtId="0" fontId="38" fillId="0" borderId="0"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protection hidden="1"/>
    </xf>
    <xf numFmtId="0" fontId="38" fillId="0" borderId="0" xfId="0" applyFont="1" applyAlignment="1" applyProtection="1">
      <alignment horizontal="left" vertical="top" wrapText="1"/>
      <protection hidden="1"/>
    </xf>
    <xf numFmtId="0" fontId="40" fillId="0" borderId="48" xfId="0" applyFont="1" applyFill="1" applyBorder="1" applyAlignment="1" applyProtection="1">
      <alignment horizontal="left"/>
      <protection locked="0"/>
    </xf>
    <xf numFmtId="164" fontId="38" fillId="5" borderId="39" xfId="0" applyNumberFormat="1" applyFont="1" applyFill="1" applyBorder="1" applyAlignment="1" applyProtection="1">
      <alignment horizontal="center" vertical="center"/>
      <protection locked="0"/>
    </xf>
    <xf numFmtId="0" fontId="68" fillId="0" borderId="39" xfId="0" applyFont="1" applyFill="1" applyBorder="1" applyAlignment="1" applyProtection="1">
      <alignment horizontal="left"/>
      <protection locked="0"/>
    </xf>
    <xf numFmtId="0" fontId="38" fillId="5" borderId="39" xfId="0" applyFont="1" applyFill="1" applyBorder="1" applyAlignment="1" applyProtection="1">
      <alignment horizontal="center" vertical="center" shrinkToFit="1"/>
      <protection locked="0"/>
    </xf>
    <xf numFmtId="164" fontId="38" fillId="0" borderId="0" xfId="0" applyNumberFormat="1" applyFont="1" applyBorder="1" applyAlignment="1" applyProtection="1">
      <alignment horizontal="center"/>
      <protection hidden="1"/>
    </xf>
    <xf numFmtId="3" fontId="38" fillId="5" borderId="40" xfId="0" applyNumberFormat="1" applyFont="1" applyFill="1" applyBorder="1" applyAlignment="1" applyProtection="1">
      <alignment horizontal="center"/>
      <protection locked="0"/>
    </xf>
    <xf numFmtId="3" fontId="38" fillId="5" borderId="41" xfId="0" applyNumberFormat="1" applyFont="1" applyFill="1" applyBorder="1" applyAlignment="1" applyProtection="1">
      <alignment horizontal="center"/>
      <protection locked="0"/>
    </xf>
    <xf numFmtId="0" fontId="38" fillId="0" borderId="45" xfId="0" applyFont="1" applyBorder="1" applyAlignment="1" applyProtection="1">
      <alignment horizontal="center"/>
      <protection hidden="1"/>
    </xf>
    <xf numFmtId="0" fontId="68" fillId="0" borderId="0" xfId="0" applyFont="1" applyBorder="1" applyAlignment="1" applyProtection="1">
      <alignment horizontal="center"/>
      <protection hidden="1"/>
    </xf>
    <xf numFmtId="0" fontId="68" fillId="0" borderId="40" xfId="0" applyFont="1" applyFill="1" applyBorder="1" applyAlignment="1" applyProtection="1">
      <alignment horizontal="right" vertical="center"/>
      <protection locked="0"/>
    </xf>
    <xf numFmtId="0" fontId="68" fillId="0" borderId="41" xfId="0" applyFont="1" applyFill="1" applyBorder="1" applyAlignment="1" applyProtection="1">
      <alignment horizontal="right" vertical="center"/>
      <protection locked="0"/>
    </xf>
    <xf numFmtId="0" fontId="68" fillId="0" borderId="42" xfId="0" applyFont="1" applyFill="1" applyBorder="1" applyAlignment="1" applyProtection="1">
      <alignment horizontal="right" vertical="center"/>
      <protection locked="0"/>
    </xf>
    <xf numFmtId="0" fontId="45" fillId="0" borderId="0" xfId="0" applyFont="1" applyBorder="1" applyAlignment="1" applyProtection="1">
      <alignment horizontal="center"/>
      <protection hidden="1"/>
    </xf>
    <xf numFmtId="0" fontId="45" fillId="0" borderId="16" xfId="0" applyFont="1" applyBorder="1" applyAlignment="1" applyProtection="1">
      <alignment horizontal="center"/>
      <protection hidden="1"/>
    </xf>
    <xf numFmtId="0" fontId="45" fillId="0" borderId="0" xfId="0" quotePrefix="1" applyFont="1" applyBorder="1" applyAlignment="1" applyProtection="1">
      <alignment horizontal="left"/>
      <protection hidden="1"/>
    </xf>
    <xf numFmtId="0" fontId="45" fillId="0" borderId="16" xfId="0" quotePrefix="1" applyFont="1" applyBorder="1" applyAlignment="1" applyProtection="1">
      <alignment horizontal="left"/>
      <protection hidden="1"/>
    </xf>
    <xf numFmtId="0" fontId="68" fillId="0" borderId="53"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8" fillId="0" borderId="16" xfId="0" applyFont="1" applyFill="1" applyBorder="1" applyAlignment="1" applyProtection="1">
      <alignment horizontal="center" vertical="center"/>
      <protection hidden="1"/>
    </xf>
    <xf numFmtId="3" fontId="68" fillId="0" borderId="40" xfId="0" applyNumberFormat="1" applyFont="1" applyFill="1" applyBorder="1" applyAlignment="1" applyProtection="1">
      <alignment horizontal="center"/>
      <protection locked="0"/>
    </xf>
    <xf numFmtId="3" fontId="68" fillId="0" borderId="41" xfId="0" applyNumberFormat="1" applyFont="1" applyFill="1" applyBorder="1" applyAlignment="1" applyProtection="1">
      <alignment horizontal="center"/>
      <protection locked="0"/>
    </xf>
    <xf numFmtId="3" fontId="68" fillId="0" borderId="42" xfId="0" applyNumberFormat="1" applyFont="1" applyFill="1" applyBorder="1" applyAlignment="1" applyProtection="1">
      <alignment horizontal="center"/>
      <protection locked="0"/>
    </xf>
    <xf numFmtId="0" fontId="45" fillId="0" borderId="0" xfId="0" applyFont="1" applyBorder="1" applyAlignment="1" applyProtection="1">
      <alignment horizontal="left" vertical="top" wrapText="1"/>
      <protection hidden="1"/>
    </xf>
    <xf numFmtId="0" fontId="38" fillId="0" borderId="0" xfId="0" applyFont="1" applyBorder="1" applyAlignment="1" applyProtection="1">
      <alignment horizontal="center" vertical="top"/>
      <protection hidden="1"/>
    </xf>
    <xf numFmtId="0" fontId="38" fillId="0" borderId="0" xfId="0" applyFont="1" applyBorder="1" applyAlignment="1" applyProtection="1">
      <alignment horizontal="left" vertical="top"/>
      <protection hidden="1"/>
    </xf>
    <xf numFmtId="0" fontId="38" fillId="0" borderId="16" xfId="0" applyFont="1" applyBorder="1" applyAlignment="1" applyProtection="1">
      <alignment horizontal="left" vertical="top"/>
      <protection hidden="1"/>
    </xf>
    <xf numFmtId="0" fontId="38" fillId="0" borderId="0" xfId="0" applyNumberFormat="1" applyFont="1" applyFill="1" applyBorder="1" applyAlignment="1" applyProtection="1">
      <alignment horizontal="center" vertical="top" wrapText="1"/>
      <protection hidden="1"/>
    </xf>
    <xf numFmtId="0" fontId="38" fillId="5" borderId="39" xfId="0" applyFont="1" applyFill="1" applyBorder="1" applyAlignment="1" applyProtection="1">
      <alignment horizontal="left" vertical="center" wrapText="1"/>
      <protection locked="0"/>
    </xf>
    <xf numFmtId="0" fontId="38" fillId="5" borderId="40" xfId="0" applyFont="1" applyFill="1" applyBorder="1" applyAlignment="1" applyProtection="1">
      <alignment horizontal="left"/>
      <protection locked="0"/>
    </xf>
    <xf numFmtId="0" fontId="38" fillId="5" borderId="41" xfId="0" applyFont="1" applyFill="1" applyBorder="1" applyAlignment="1" applyProtection="1">
      <alignment horizontal="left"/>
      <protection locked="0"/>
    </xf>
    <xf numFmtId="0" fontId="38" fillId="5" borderId="42" xfId="0" applyFont="1" applyFill="1" applyBorder="1" applyAlignment="1" applyProtection="1">
      <alignment horizontal="left"/>
      <protection locked="0"/>
    </xf>
    <xf numFmtId="0" fontId="29" fillId="0" borderId="0" xfId="0" applyFont="1" applyFill="1" applyBorder="1" applyAlignment="1" applyProtection="1">
      <alignment horizontal="left" vertical="center" wrapText="1"/>
      <protection hidden="1"/>
    </xf>
    <xf numFmtId="0" fontId="29" fillId="0" borderId="16" xfId="0" applyFont="1" applyFill="1" applyBorder="1" applyAlignment="1" applyProtection="1">
      <alignment horizontal="left" vertical="center" wrapText="1"/>
      <protection hidden="1"/>
    </xf>
    <xf numFmtId="167" fontId="38" fillId="0" borderId="0" xfId="0" applyNumberFormat="1" applyFont="1" applyBorder="1" applyAlignment="1" applyProtection="1">
      <alignment horizontal="center" vertical="center"/>
      <protection hidden="1"/>
    </xf>
    <xf numFmtId="0" fontId="68" fillId="0" borderId="0" xfId="0" applyFont="1" applyFill="1" applyBorder="1" applyAlignment="1" applyProtection="1">
      <alignment horizontal="left" vertical="center"/>
      <protection locked="0"/>
    </xf>
    <xf numFmtId="0" fontId="45" fillId="0" borderId="0" xfId="0" applyFont="1" applyBorder="1" applyAlignment="1" applyProtection="1">
      <alignment horizontal="center" wrapText="1"/>
      <protection hidden="1"/>
    </xf>
    <xf numFmtId="164" fontId="38" fillId="0" borderId="0" xfId="0" applyNumberFormat="1" applyFont="1" applyBorder="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43" fillId="0" borderId="0" xfId="0" applyFont="1" applyFill="1" applyBorder="1" applyAlignment="1" applyProtection="1">
      <alignment horizontal="center"/>
      <protection hidden="1"/>
    </xf>
    <xf numFmtId="0" fontId="79" fillId="5" borderId="40" xfId="0" applyFont="1" applyFill="1" applyBorder="1" applyAlignment="1" applyProtection="1">
      <alignment horizontal="center" vertical="center"/>
      <protection locked="0"/>
    </xf>
    <xf numFmtId="0" fontId="79" fillId="5" borderId="42" xfId="0" applyFont="1" applyFill="1" applyBorder="1" applyAlignment="1" applyProtection="1">
      <alignment horizontal="center" vertical="center"/>
      <protection locked="0"/>
    </xf>
    <xf numFmtId="0" fontId="45" fillId="0" borderId="15" xfId="0" applyFont="1" applyBorder="1" applyAlignment="1" applyProtection="1">
      <alignment horizontal="left" wrapText="1"/>
      <protection hidden="1"/>
    </xf>
    <xf numFmtId="0" fontId="45" fillId="0" borderId="0" xfId="0" applyFont="1" applyBorder="1" applyAlignment="1" applyProtection="1">
      <alignment horizontal="left" wrapText="1"/>
      <protection hidden="1"/>
    </xf>
    <xf numFmtId="0" fontId="45" fillId="0" borderId="16" xfId="0" applyFont="1" applyBorder="1" applyAlignment="1" applyProtection="1">
      <alignment horizontal="left" wrapText="1"/>
      <protection hidden="1"/>
    </xf>
    <xf numFmtId="0" fontId="45" fillId="0" borderId="13" xfId="0" applyFont="1" applyBorder="1" applyAlignment="1" applyProtection="1">
      <alignment horizontal="left" wrapText="1"/>
      <protection hidden="1"/>
    </xf>
    <xf numFmtId="0" fontId="45" fillId="0" borderId="10" xfId="0" applyFont="1" applyBorder="1" applyAlignment="1" applyProtection="1">
      <alignment horizontal="left" wrapText="1"/>
      <protection hidden="1"/>
    </xf>
    <xf numFmtId="0" fontId="45" fillId="0" borderId="17" xfId="0" applyFont="1" applyBorder="1" applyAlignment="1" applyProtection="1">
      <alignment horizontal="left" wrapText="1"/>
      <protection hidden="1"/>
    </xf>
    <xf numFmtId="0" fontId="68" fillId="0" borderId="40" xfId="0" applyFont="1" applyFill="1" applyBorder="1" applyAlignment="1" applyProtection="1">
      <alignment horizontal="center" vertical="center"/>
      <protection locked="0"/>
    </xf>
    <xf numFmtId="0" fontId="68" fillId="0" borderId="41" xfId="0" applyFont="1" applyFill="1" applyBorder="1" applyAlignment="1" applyProtection="1">
      <alignment horizontal="center" vertical="center"/>
      <protection locked="0"/>
    </xf>
    <xf numFmtId="0" fontId="68" fillId="0" borderId="42" xfId="0" applyFont="1" applyFill="1" applyBorder="1" applyAlignment="1" applyProtection="1">
      <alignment horizontal="center" vertical="center"/>
      <protection locked="0"/>
    </xf>
    <xf numFmtId="3" fontId="38" fillId="0" borderId="0" xfId="0" applyNumberFormat="1" applyFont="1" applyFill="1" applyBorder="1" applyAlignment="1" applyProtection="1">
      <alignment horizontal="right" vertical="center"/>
      <protection hidden="1"/>
    </xf>
    <xf numFmtId="3" fontId="38" fillId="0" borderId="10" xfId="0" applyNumberFormat="1" applyFont="1" applyFill="1" applyBorder="1" applyAlignment="1" applyProtection="1">
      <alignment horizontal="right" vertical="center"/>
      <protection hidden="1"/>
    </xf>
    <xf numFmtId="0" fontId="38" fillId="0" borderId="0" xfId="0" applyFont="1" applyBorder="1" applyAlignment="1" applyProtection="1">
      <alignment horizontal="center" vertical="center" wrapText="1"/>
      <protection hidden="1"/>
    </xf>
    <xf numFmtId="0" fontId="38" fillId="0" borderId="16" xfId="0" applyFont="1" applyBorder="1" applyAlignment="1" applyProtection="1">
      <alignment horizontal="center" vertical="center" wrapText="1"/>
      <protection hidden="1"/>
    </xf>
    <xf numFmtId="0" fontId="40"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protection hidden="1"/>
    </xf>
    <xf numFmtId="0" fontId="40" fillId="0" borderId="44" xfId="0" applyFont="1" applyFill="1" applyBorder="1" applyAlignment="1" applyProtection="1">
      <alignment horizontal="center" vertical="center"/>
      <protection hidden="1"/>
    </xf>
    <xf numFmtId="0" fontId="40" fillId="0" borderId="44" xfId="0" applyFont="1" applyFill="1" applyBorder="1" applyAlignment="1" applyProtection="1">
      <alignment horizontal="left" vertical="center"/>
      <protection locked="0"/>
    </xf>
    <xf numFmtId="0" fontId="68" fillId="0" borderId="0" xfId="0" applyFont="1" applyFill="1" applyBorder="1" applyAlignment="1" applyProtection="1">
      <alignment horizontal="left"/>
      <protection locked="0"/>
    </xf>
    <xf numFmtId="0" fontId="68" fillId="0" borderId="44" xfId="0" applyFont="1" applyFill="1" applyBorder="1" applyAlignment="1" applyProtection="1">
      <alignment horizontal="left"/>
      <protection locked="0"/>
    </xf>
    <xf numFmtId="0" fontId="40" fillId="0" borderId="0" xfId="0" applyFont="1" applyBorder="1" applyAlignment="1" applyProtection="1">
      <alignment horizontal="left"/>
      <protection hidden="1"/>
    </xf>
    <xf numFmtId="0" fontId="38" fillId="0" borderId="0" xfId="0" applyFont="1" applyBorder="1" applyAlignment="1" applyProtection="1">
      <alignment horizontal="center" vertical="center"/>
      <protection hidden="1"/>
    </xf>
    <xf numFmtId="0" fontId="59" fillId="0" borderId="40" xfId="0" applyFont="1" applyBorder="1" applyAlignment="1" applyProtection="1">
      <alignment horizontal="center"/>
      <protection hidden="1"/>
    </xf>
    <xf numFmtId="0" fontId="59" fillId="0" borderId="41" xfId="0" applyFont="1" applyBorder="1" applyAlignment="1" applyProtection="1">
      <alignment horizontal="center"/>
      <protection hidden="1"/>
    </xf>
    <xf numFmtId="0" fontId="59" fillId="0" borderId="42" xfId="0" applyFont="1" applyBorder="1" applyAlignment="1" applyProtection="1">
      <alignment horizontal="center"/>
      <protection hidden="1"/>
    </xf>
    <xf numFmtId="3" fontId="38" fillId="5" borderId="0" xfId="0" applyNumberFormat="1" applyFont="1" applyFill="1" applyBorder="1" applyAlignment="1" applyProtection="1">
      <alignment horizontal="center" vertical="center"/>
      <protection locked="0"/>
    </xf>
    <xf numFmtId="3" fontId="38" fillId="0" borderId="0" xfId="0" applyNumberFormat="1" applyFont="1" applyBorder="1" applyAlignment="1" applyProtection="1">
      <alignment horizontal="center" vertical="center"/>
      <protection hidden="1"/>
    </xf>
    <xf numFmtId="0" fontId="38" fillId="0" borderId="12" xfId="0" applyFont="1" applyBorder="1" applyAlignment="1" applyProtection="1">
      <alignment horizontal="left" vertical="top" wrapText="1"/>
      <protection hidden="1"/>
    </xf>
    <xf numFmtId="0" fontId="38" fillId="0" borderId="14" xfId="0" applyFont="1" applyBorder="1" applyAlignment="1" applyProtection="1">
      <alignment horizontal="left" vertical="top" wrapText="1"/>
      <protection hidden="1"/>
    </xf>
    <xf numFmtId="0" fontId="38" fillId="0" borderId="10" xfId="0" applyFont="1" applyBorder="1" applyAlignment="1" applyProtection="1">
      <alignment horizontal="left" vertical="top" wrapText="1"/>
      <protection hidden="1"/>
    </xf>
    <xf numFmtId="0" fontId="38" fillId="0" borderId="17" xfId="0" applyFont="1" applyBorder="1" applyAlignment="1" applyProtection="1">
      <alignment horizontal="left" vertical="top" wrapText="1"/>
      <protection hidden="1"/>
    </xf>
    <xf numFmtId="3" fontId="38" fillId="0" borderId="0" xfId="0" applyNumberFormat="1" applyFont="1" applyBorder="1" applyAlignment="1" applyProtection="1">
      <alignment horizontal="left" vertical="center"/>
      <protection hidden="1"/>
    </xf>
    <xf numFmtId="0" fontId="40" fillId="0" borderId="0" xfId="0" applyFont="1" applyFill="1" applyBorder="1" applyAlignment="1" applyProtection="1">
      <alignment horizontal="left" vertical="center"/>
      <protection hidden="1"/>
    </xf>
    <xf numFmtId="0" fontId="40" fillId="0" borderId="0" xfId="0" applyFont="1" applyBorder="1" applyAlignment="1" applyProtection="1">
      <alignment horizontal="left"/>
      <protection locked="0"/>
    </xf>
    <xf numFmtId="165" fontId="38" fillId="5" borderId="39" xfId="0" applyNumberFormat="1" applyFont="1" applyFill="1" applyBorder="1" applyAlignment="1" applyProtection="1">
      <alignment horizontal="center" vertical="center"/>
      <protection locked="0"/>
    </xf>
    <xf numFmtId="0" fontId="38" fillId="5" borderId="39" xfId="0" quotePrefix="1" applyFont="1" applyFill="1" applyBorder="1" applyAlignment="1" applyProtection="1">
      <alignment horizontal="center" vertical="top" wrapText="1"/>
      <protection locked="0"/>
    </xf>
    <xf numFmtId="164" fontId="38" fillId="5" borderId="40" xfId="0" applyNumberFormat="1" applyFont="1" applyFill="1" applyBorder="1" applyAlignment="1" applyProtection="1">
      <alignment horizontal="center" vertical="center"/>
      <protection locked="0"/>
    </xf>
    <xf numFmtId="164" fontId="38" fillId="5" borderId="41" xfId="0" applyNumberFormat="1" applyFont="1" applyFill="1" applyBorder="1" applyAlignment="1" applyProtection="1">
      <alignment horizontal="center" vertical="center"/>
      <protection locked="0"/>
    </xf>
    <xf numFmtId="164" fontId="38" fillId="5" borderId="42" xfId="0" applyNumberFormat="1" applyFont="1" applyFill="1" applyBorder="1" applyAlignment="1" applyProtection="1">
      <alignment horizontal="center" vertical="center"/>
      <protection locked="0"/>
    </xf>
    <xf numFmtId="165" fontId="38" fillId="5" borderId="40" xfId="0" applyNumberFormat="1" applyFont="1" applyFill="1" applyBorder="1" applyAlignment="1" applyProtection="1">
      <alignment horizontal="center" vertical="center"/>
      <protection locked="0"/>
    </xf>
    <xf numFmtId="165" fontId="38" fillId="5" borderId="41" xfId="0" applyNumberFormat="1" applyFont="1" applyFill="1" applyBorder="1" applyAlignment="1" applyProtection="1">
      <alignment horizontal="center" vertical="center"/>
      <protection locked="0"/>
    </xf>
    <xf numFmtId="165" fontId="38" fillId="5" borderId="42" xfId="0" applyNumberFormat="1" applyFont="1" applyFill="1" applyBorder="1" applyAlignment="1" applyProtection="1">
      <alignment horizontal="center" vertical="center"/>
      <protection locked="0"/>
    </xf>
    <xf numFmtId="164" fontId="38" fillId="5" borderId="0" xfId="0" applyNumberFormat="1" applyFont="1" applyFill="1" applyBorder="1" applyAlignment="1" applyProtection="1">
      <alignment horizontal="center" vertical="center"/>
      <protection locked="0"/>
    </xf>
    <xf numFmtId="0" fontId="38" fillId="0" borderId="0" xfId="0" applyFont="1" applyFill="1" applyBorder="1" applyAlignment="1" applyProtection="1">
      <alignment horizontal="center" wrapText="1"/>
      <protection hidden="1"/>
    </xf>
    <xf numFmtId="0" fontId="38" fillId="0" borderId="15" xfId="0" applyFont="1" applyBorder="1" applyAlignment="1" applyProtection="1">
      <alignment horizontal="center" vertical="center"/>
      <protection hidden="1"/>
    </xf>
    <xf numFmtId="0" fontId="29" fillId="0" borderId="0" xfId="0" applyFont="1" applyBorder="1" applyAlignment="1" applyProtection="1">
      <alignment horizontal="left" vertical="top" wrapText="1"/>
      <protection hidden="1"/>
    </xf>
    <xf numFmtId="0" fontId="29" fillId="0" borderId="16" xfId="0" applyFont="1" applyBorder="1" applyAlignment="1" applyProtection="1">
      <alignment horizontal="left" vertical="top" wrapText="1"/>
      <protection hidden="1"/>
    </xf>
    <xf numFmtId="0" fontId="38" fillId="0" borderId="16" xfId="0" applyFont="1" applyBorder="1" applyAlignment="1" applyProtection="1">
      <alignment horizontal="center"/>
      <protection hidden="1"/>
    </xf>
    <xf numFmtId="0" fontId="38" fillId="5" borderId="39" xfId="0" applyFont="1" applyFill="1" applyBorder="1" applyAlignment="1" applyProtection="1">
      <alignment horizontal="center"/>
      <protection locked="0"/>
    </xf>
    <xf numFmtId="0" fontId="45" fillId="0" borderId="45" xfId="0" applyFont="1" applyBorder="1" applyAlignment="1" applyProtection="1">
      <alignment horizontal="center" wrapText="1"/>
      <protection hidden="1"/>
    </xf>
    <xf numFmtId="164" fontId="38" fillId="0" borderId="40" xfId="0" applyNumberFormat="1" applyFont="1" applyBorder="1" applyAlignment="1" applyProtection="1">
      <alignment horizontal="center" vertical="center"/>
      <protection hidden="1"/>
    </xf>
    <xf numFmtId="164" fontId="38" fillId="0" borderId="41" xfId="0" applyNumberFormat="1" applyFont="1" applyBorder="1" applyAlignment="1" applyProtection="1">
      <alignment horizontal="center" vertical="center"/>
      <protection hidden="1"/>
    </xf>
    <xf numFmtId="0" fontId="40" fillId="0" borderId="41" xfId="0" applyFont="1" applyBorder="1" applyAlignment="1" applyProtection="1">
      <alignment horizontal="center" vertical="center"/>
      <protection locked="0"/>
    </xf>
    <xf numFmtId="0" fontId="49" fillId="0" borderId="0" xfId="0" applyFont="1" applyBorder="1" applyAlignment="1" applyProtection="1">
      <alignment horizontal="right" vertical="center" wrapText="1"/>
      <protection hidden="1"/>
    </xf>
    <xf numFmtId="0" fontId="49" fillId="0" borderId="10" xfId="0" applyFont="1" applyBorder="1" applyAlignment="1" applyProtection="1">
      <alignment horizontal="right" vertical="center" wrapText="1"/>
      <protection hidden="1"/>
    </xf>
    <xf numFmtId="164" fontId="38" fillId="0" borderId="42" xfId="0" applyNumberFormat="1" applyFont="1" applyBorder="1" applyAlignment="1" applyProtection="1">
      <alignment horizontal="center" vertical="center"/>
      <protection hidden="1"/>
    </xf>
    <xf numFmtId="0" fontId="40" fillId="0" borderId="10" xfId="0" applyFont="1" applyBorder="1" applyAlignment="1" applyProtection="1">
      <alignment horizontal="center" vertical="center"/>
      <protection locked="0"/>
    </xf>
    <xf numFmtId="0" fontId="38" fillId="5" borderId="39" xfId="0" applyFont="1" applyFill="1" applyBorder="1" applyAlignment="1" applyProtection="1">
      <alignment horizontal="left" vertical="center"/>
      <protection locked="0"/>
    </xf>
    <xf numFmtId="0" fontId="38" fillId="0" borderId="40" xfId="0" applyFont="1" applyFill="1" applyBorder="1" applyAlignment="1" applyProtection="1">
      <alignment horizontal="left"/>
      <protection hidden="1"/>
    </xf>
    <xf numFmtId="0" fontId="38" fillId="0" borderId="41" xfId="0" applyFont="1" applyFill="1" applyBorder="1" applyAlignment="1" applyProtection="1">
      <alignment horizontal="left"/>
      <protection hidden="1"/>
    </xf>
    <xf numFmtId="0" fontId="38" fillId="0" borderId="42" xfId="0" applyFont="1" applyFill="1" applyBorder="1" applyAlignment="1" applyProtection="1">
      <alignment horizontal="left"/>
      <protection hidden="1"/>
    </xf>
    <xf numFmtId="165" fontId="38" fillId="0" borderId="40" xfId="0" applyNumberFormat="1" applyFont="1" applyFill="1" applyBorder="1" applyAlignment="1" applyProtection="1">
      <alignment horizontal="left"/>
      <protection hidden="1"/>
    </xf>
    <xf numFmtId="165" fontId="38" fillId="0" borderId="41" xfId="0" applyNumberFormat="1" applyFont="1" applyFill="1" applyBorder="1" applyAlignment="1" applyProtection="1">
      <alignment horizontal="left"/>
      <protection hidden="1"/>
    </xf>
    <xf numFmtId="165" fontId="38" fillId="0" borderId="42" xfId="0" applyNumberFormat="1" applyFont="1" applyFill="1" applyBorder="1" applyAlignment="1" applyProtection="1">
      <alignment horizontal="left"/>
      <protection hidden="1"/>
    </xf>
    <xf numFmtId="0" fontId="38" fillId="5" borderId="39" xfId="0" applyFont="1" applyFill="1" applyBorder="1" applyAlignment="1" applyProtection="1">
      <alignment horizontal="left"/>
      <protection locked="0"/>
    </xf>
    <xf numFmtId="0" fontId="38" fillId="0" borderId="39" xfId="0" applyFont="1" applyBorder="1" applyAlignment="1" applyProtection="1">
      <alignment horizontal="left"/>
      <protection hidden="1"/>
    </xf>
    <xf numFmtId="0" fontId="40" fillId="0" borderId="0" xfId="0" applyFont="1" applyFill="1" applyBorder="1" applyAlignment="1" applyProtection="1">
      <alignment horizontal="left"/>
      <protection hidden="1"/>
    </xf>
    <xf numFmtId="0" fontId="40" fillId="0" borderId="44" xfId="0" applyFont="1" applyFill="1" applyBorder="1" applyAlignment="1" applyProtection="1">
      <alignment horizontal="left"/>
      <protection hidden="1"/>
    </xf>
    <xf numFmtId="0" fontId="40" fillId="8" borderId="39" xfId="0" applyFont="1" applyFill="1" applyBorder="1" applyAlignment="1" applyProtection="1">
      <alignment horizontal="left"/>
      <protection locked="0"/>
    </xf>
    <xf numFmtId="0" fontId="68" fillId="0" borderId="39" xfId="0" applyFont="1" applyFill="1" applyBorder="1" applyAlignment="1" applyProtection="1">
      <alignment horizontal="left" vertical="center"/>
      <protection locked="0"/>
    </xf>
    <xf numFmtId="0" fontId="68" fillId="0" borderId="45" xfId="0" applyFont="1" applyBorder="1" applyAlignment="1" applyProtection="1">
      <alignment horizontal="left" vertical="center"/>
      <protection hidden="1"/>
    </xf>
    <xf numFmtId="0" fontId="68" fillId="0" borderId="0" xfId="0" applyFont="1" applyBorder="1" applyAlignment="1" applyProtection="1">
      <alignment horizontal="left" vertical="center"/>
      <protection locked="0"/>
    </xf>
    <xf numFmtId="0" fontId="56" fillId="0" borderId="0" xfId="0" applyFont="1" applyBorder="1" applyAlignment="1" applyProtection="1">
      <alignment horizontal="left" vertical="top" wrapText="1"/>
      <protection hidden="1"/>
    </xf>
    <xf numFmtId="0" fontId="38" fillId="0" borderId="0" xfId="0" applyFont="1" applyBorder="1" applyAlignment="1" applyProtection="1">
      <alignment horizontal="left"/>
      <protection hidden="1"/>
    </xf>
    <xf numFmtId="0" fontId="56" fillId="0" borderId="0" xfId="0" applyFont="1" applyBorder="1" applyAlignment="1" applyProtection="1">
      <alignment horizontal="center" vertical="center"/>
      <protection hidden="1"/>
    </xf>
    <xf numFmtId="0" fontId="57" fillId="0" borderId="43" xfId="0" applyFont="1" applyBorder="1" applyAlignment="1" applyProtection="1">
      <alignment horizontal="left"/>
      <protection hidden="1"/>
    </xf>
    <xf numFmtId="0" fontId="56" fillId="0" borderId="0" xfId="0" applyFont="1" applyBorder="1" applyAlignment="1" applyProtection="1">
      <alignment horizontal="left" vertical="center"/>
      <protection hidden="1"/>
    </xf>
    <xf numFmtId="0" fontId="38" fillId="0" borderId="0" xfId="0" applyFont="1" applyAlignment="1" applyProtection="1">
      <alignment horizontal="left"/>
      <protection hidden="1"/>
    </xf>
    <xf numFmtId="0" fontId="38" fillId="0" borderId="0" xfId="0" applyFont="1" applyFill="1" applyBorder="1" applyAlignment="1" applyProtection="1">
      <alignment horizontal="center"/>
      <protection hidden="1"/>
    </xf>
    <xf numFmtId="0" fontId="63" fillId="0" borderId="0" xfId="0" applyFont="1" applyBorder="1" applyAlignment="1" applyProtection="1">
      <alignment horizontal="center" vertical="center"/>
      <protection hidden="1"/>
    </xf>
    <xf numFmtId="0" fontId="38" fillId="0" borderId="0"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center" vertical="center"/>
      <protection hidden="1"/>
    </xf>
    <xf numFmtId="0" fontId="59" fillId="0" borderId="0" xfId="0" applyNumberFormat="1" applyFont="1" applyFill="1" applyBorder="1" applyAlignment="1" applyProtection="1">
      <alignment horizontal="left" vertical="center"/>
      <protection hidden="1"/>
    </xf>
    <xf numFmtId="0" fontId="59"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left"/>
      <protection hidden="1"/>
    </xf>
    <xf numFmtId="0" fontId="56" fillId="0" borderId="0" xfId="0" applyFont="1" applyFill="1" applyBorder="1" applyAlignment="1" applyProtection="1">
      <alignment horizontal="center" vertical="center"/>
      <protection hidden="1"/>
    </xf>
    <xf numFmtId="169" fontId="38" fillId="0" borderId="0" xfId="0" applyNumberFormat="1" applyFont="1" applyFill="1" applyBorder="1" applyAlignment="1" applyProtection="1">
      <alignment horizontal="center"/>
      <protection hidden="1"/>
    </xf>
    <xf numFmtId="0" fontId="38" fillId="0" borderId="45" xfId="0" applyFont="1" applyBorder="1" applyAlignment="1" applyProtection="1">
      <alignment horizontal="left" vertical="center"/>
      <protection hidden="1"/>
    </xf>
    <xf numFmtId="0" fontId="40" fillId="0" borderId="40" xfId="0" applyFont="1" applyFill="1" applyBorder="1" applyAlignment="1" applyProtection="1">
      <alignment horizontal="left" vertical="center"/>
      <protection locked="0"/>
    </xf>
    <xf numFmtId="0" fontId="40" fillId="0" borderId="41" xfId="0" applyFont="1" applyFill="1" applyBorder="1" applyAlignment="1" applyProtection="1">
      <alignment horizontal="left" vertical="center"/>
      <protection locked="0"/>
    </xf>
    <xf numFmtId="0" fontId="40" fillId="0" borderId="42" xfId="0" applyFont="1" applyFill="1" applyBorder="1" applyAlignment="1" applyProtection="1">
      <alignment horizontal="left" vertical="center"/>
      <protection locked="0"/>
    </xf>
    <xf numFmtId="0" fontId="45" fillId="0" borderId="45" xfId="0" applyFont="1" applyBorder="1" applyAlignment="1" applyProtection="1">
      <alignment horizontal="center"/>
      <protection hidden="1"/>
    </xf>
    <xf numFmtId="0" fontId="63" fillId="5" borderId="40" xfId="0" applyFont="1" applyFill="1" applyBorder="1" applyAlignment="1" applyProtection="1">
      <alignment horizontal="left"/>
      <protection locked="0"/>
    </xf>
    <xf numFmtId="0" fontId="63" fillId="5" borderId="41" xfId="0" applyFont="1" applyFill="1" applyBorder="1" applyAlignment="1" applyProtection="1">
      <alignment horizontal="left"/>
      <protection locked="0"/>
    </xf>
    <xf numFmtId="0" fontId="63" fillId="5" borderId="42" xfId="0" applyFont="1" applyFill="1" applyBorder="1" applyAlignment="1" applyProtection="1">
      <alignment horizontal="left"/>
      <protection locked="0"/>
    </xf>
    <xf numFmtId="0" fontId="59" fillId="0" borderId="0" xfId="0" applyFont="1" applyBorder="1" applyAlignment="1" applyProtection="1">
      <alignment horizontal="left"/>
      <protection hidden="1"/>
    </xf>
    <xf numFmtId="168" fontId="38" fillId="0" borderId="0" xfId="0" applyNumberFormat="1" applyFont="1" applyFill="1" applyBorder="1" applyAlignment="1" applyProtection="1">
      <alignment horizontal="center"/>
      <protection hidden="1"/>
    </xf>
    <xf numFmtId="170" fontId="38" fillId="0" borderId="0" xfId="0" applyNumberFormat="1" applyFont="1" applyFill="1" applyBorder="1" applyAlignment="1" applyProtection="1">
      <alignment horizontal="center"/>
      <protection hidden="1"/>
    </xf>
    <xf numFmtId="171" fontId="38" fillId="0" borderId="0" xfId="0" applyNumberFormat="1" applyFont="1" applyFill="1" applyBorder="1" applyAlignment="1" applyProtection="1">
      <alignment horizontal="center"/>
      <protection hidden="1"/>
    </xf>
    <xf numFmtId="0" fontId="38" fillId="0" borderId="54" xfId="0" applyFont="1" applyFill="1" applyBorder="1" applyAlignment="1" applyProtection="1">
      <alignment horizontal="center"/>
      <protection hidden="1"/>
    </xf>
    <xf numFmtId="0" fontId="38" fillId="0" borderId="45" xfId="0" applyFont="1" applyFill="1" applyBorder="1" applyAlignment="1" applyProtection="1">
      <alignment horizontal="center"/>
      <protection hidden="1"/>
    </xf>
    <xf numFmtId="0" fontId="38" fillId="0" borderId="0" xfId="0" applyFont="1" applyFill="1" applyAlignment="1" applyProtection="1">
      <alignment horizontal="left"/>
      <protection hidden="1"/>
    </xf>
    <xf numFmtId="0" fontId="63" fillId="0" borderId="0" xfId="0" applyFont="1" applyBorder="1" applyAlignment="1" applyProtection="1">
      <alignment horizontal="left"/>
      <protection hidden="1"/>
    </xf>
    <xf numFmtId="0" fontId="63" fillId="0" borderId="45" xfId="0" applyFont="1" applyBorder="1" applyAlignment="1" applyProtection="1">
      <alignment horizontal="left" vertical="center"/>
      <protection hidden="1"/>
    </xf>
    <xf numFmtId="0" fontId="59" fillId="0" borderId="0" xfId="0" applyFont="1" applyBorder="1" applyAlignment="1" applyProtection="1">
      <alignment horizontal="left" vertical="center"/>
      <protection hidden="1"/>
    </xf>
    <xf numFmtId="0" fontId="38" fillId="5" borderId="53" xfId="0" applyFont="1" applyFill="1" applyBorder="1" applyAlignment="1" applyProtection="1">
      <alignment horizontal="left"/>
      <protection locked="0"/>
    </xf>
    <xf numFmtId="0" fontId="38" fillId="5" borderId="0" xfId="0" applyFont="1" applyFill="1" applyBorder="1" applyAlignment="1" applyProtection="1">
      <alignment horizontal="left"/>
      <protection locked="0"/>
    </xf>
    <xf numFmtId="0" fontId="56" fillId="0" borderId="0" xfId="0" applyFont="1" applyBorder="1" applyAlignment="1" applyProtection="1">
      <alignment horizontal="left" vertical="center" wrapText="1"/>
      <protection hidden="1"/>
    </xf>
    <xf numFmtId="0" fontId="38" fillId="0" borderId="10" xfId="0" applyFont="1" applyFill="1" applyBorder="1" applyAlignment="1" applyProtection="1">
      <alignment horizontal="left" vertical="center"/>
      <protection hidden="1"/>
    </xf>
    <xf numFmtId="0" fontId="38" fillId="0" borderId="0" xfId="0" applyFont="1" applyBorder="1" applyAlignment="1" applyProtection="1">
      <alignment horizontal="left" vertical="center"/>
      <protection hidden="1"/>
    </xf>
    <xf numFmtId="0" fontId="38" fillId="0" borderId="0" xfId="0" applyFont="1" applyAlignment="1" applyProtection="1">
      <alignment horizontal="left" vertical="center"/>
      <protection hidden="1"/>
    </xf>
    <xf numFmtId="0" fontId="38" fillId="5" borderId="54" xfId="0" applyFont="1" applyFill="1" applyBorder="1" applyAlignment="1" applyProtection="1">
      <alignment horizontal="left"/>
      <protection locked="0"/>
    </xf>
    <xf numFmtId="0" fontId="38" fillId="5" borderId="45" xfId="0" applyFont="1" applyFill="1" applyBorder="1" applyAlignment="1" applyProtection="1">
      <alignment horizontal="left"/>
      <protection locked="0"/>
    </xf>
    <xf numFmtId="0" fontId="56" fillId="5" borderId="40" xfId="0" applyFont="1" applyFill="1" applyBorder="1" applyAlignment="1" applyProtection="1">
      <alignment horizontal="left" wrapText="1"/>
      <protection locked="0"/>
    </xf>
    <xf numFmtId="0" fontId="56" fillId="5" borderId="41" xfId="0" applyFont="1" applyFill="1" applyBorder="1" applyAlignment="1" applyProtection="1">
      <alignment horizontal="left" wrapText="1"/>
      <protection locked="0"/>
    </xf>
    <xf numFmtId="0" fontId="56" fillId="5" borderId="42" xfId="0" applyFont="1" applyFill="1" applyBorder="1" applyAlignment="1" applyProtection="1">
      <alignment horizontal="left" wrapText="1"/>
      <protection locked="0"/>
    </xf>
    <xf numFmtId="0" fontId="38" fillId="5" borderId="40" xfId="0" applyFont="1" applyFill="1" applyBorder="1" applyAlignment="1" applyProtection="1">
      <alignment horizontal="center" vertical="center"/>
      <protection locked="0"/>
    </xf>
    <xf numFmtId="0" fontId="38" fillId="5" borderId="42" xfId="0" applyFont="1" applyFill="1" applyBorder="1" applyAlignment="1" applyProtection="1">
      <alignment horizontal="center" vertical="center"/>
      <protection locked="0"/>
    </xf>
    <xf numFmtId="0" fontId="56" fillId="5" borderId="40" xfId="0" applyFont="1" applyFill="1" applyBorder="1" applyAlignment="1" applyProtection="1">
      <alignment horizontal="left"/>
      <protection locked="0"/>
    </xf>
    <xf numFmtId="0" fontId="56" fillId="5" borderId="41" xfId="0" applyFont="1" applyFill="1" applyBorder="1" applyAlignment="1" applyProtection="1">
      <alignment horizontal="left"/>
      <protection locked="0"/>
    </xf>
    <xf numFmtId="0" fontId="56" fillId="5" borderId="42" xfId="0" applyFont="1" applyFill="1" applyBorder="1" applyAlignment="1" applyProtection="1">
      <alignment horizontal="left"/>
      <protection locked="0"/>
    </xf>
    <xf numFmtId="0" fontId="56" fillId="0" borderId="16" xfId="0" applyFont="1" applyBorder="1" applyAlignment="1" applyProtection="1">
      <alignment horizontal="left" vertical="top" wrapText="1"/>
      <protection hidden="1"/>
    </xf>
    <xf numFmtId="0" fontId="56" fillId="5" borderId="43" xfId="0" applyFont="1" applyFill="1" applyBorder="1" applyAlignment="1" applyProtection="1">
      <alignment horizontal="left" vertical="top" wrapText="1"/>
      <protection locked="0"/>
    </xf>
    <xf numFmtId="0" fontId="56" fillId="5" borderId="0" xfId="0" applyFont="1" applyFill="1" applyBorder="1" applyAlignment="1" applyProtection="1">
      <alignment horizontal="left" vertical="top" wrapText="1"/>
      <protection locked="0"/>
    </xf>
    <xf numFmtId="0" fontId="45" fillId="0" borderId="0" xfId="0" applyNumberFormat="1" applyFont="1" applyFill="1" applyBorder="1" applyAlignment="1" applyProtection="1">
      <alignment horizontal="left"/>
      <protection hidden="1"/>
    </xf>
    <xf numFmtId="0" fontId="68" fillId="0" borderId="40" xfId="0" applyFont="1" applyFill="1" applyBorder="1" applyAlignment="1" applyProtection="1">
      <alignment horizontal="left" vertical="center"/>
      <protection locked="0"/>
    </xf>
    <xf numFmtId="0" fontId="68" fillId="0" borderId="41" xfId="0" applyFont="1" applyFill="1" applyBorder="1" applyAlignment="1" applyProtection="1">
      <alignment horizontal="left" vertical="center"/>
      <protection locked="0"/>
    </xf>
    <xf numFmtId="0" fontId="68" fillId="0" borderId="42" xfId="0" applyFont="1" applyFill="1" applyBorder="1" applyAlignment="1" applyProtection="1">
      <alignment horizontal="left" vertical="center"/>
      <protection locked="0"/>
    </xf>
    <xf numFmtId="0" fontId="45" fillId="0" borderId="15" xfId="0" applyFont="1" applyBorder="1" applyAlignment="1" applyProtection="1">
      <alignment horizontal="right"/>
      <protection hidden="1"/>
    </xf>
    <xf numFmtId="0" fontId="45" fillId="0" borderId="0" xfId="0" applyFont="1" applyBorder="1" applyAlignment="1" applyProtection="1">
      <alignment horizontal="right"/>
      <protection hidden="1"/>
    </xf>
    <xf numFmtId="0" fontId="55" fillId="0" borderId="0" xfId="0" applyFont="1" applyAlignment="1">
      <alignment horizontal="center" textRotation="90"/>
    </xf>
    <xf numFmtId="0" fontId="38" fillId="0" borderId="0" xfId="0" applyFont="1" applyAlignment="1">
      <alignment horizontal="center" textRotation="90"/>
    </xf>
    <xf numFmtId="0" fontId="23" fillId="6" borderId="36" xfId="0" applyFont="1" applyFill="1" applyBorder="1" applyAlignment="1">
      <alignment horizontal="left" vertical="center"/>
    </xf>
    <xf numFmtId="0" fontId="23" fillId="6" borderId="37" xfId="0" applyFont="1" applyFill="1" applyBorder="1" applyAlignment="1">
      <alignment horizontal="left" vertical="center"/>
    </xf>
    <xf numFmtId="0" fontId="43" fillId="0" borderId="0" xfId="0" applyFont="1" applyAlignment="1">
      <alignment horizontal="center" textRotation="90"/>
    </xf>
    <xf numFmtId="0" fontId="55" fillId="0" borderId="38" xfId="0" applyFont="1" applyBorder="1" applyAlignment="1">
      <alignment horizontal="center" textRotation="90"/>
    </xf>
    <xf numFmtId="0" fontId="38" fillId="0" borderId="38" xfId="0" applyFont="1" applyBorder="1" applyAlignment="1">
      <alignment horizontal="center" textRotation="90"/>
    </xf>
    <xf numFmtId="0" fontId="23" fillId="6" borderId="32" xfId="0" applyFont="1" applyFill="1" applyBorder="1" applyAlignment="1">
      <alignment horizontal="left" vertical="center"/>
    </xf>
    <xf numFmtId="0" fontId="23" fillId="6" borderId="33" xfId="0" applyFont="1" applyFill="1" applyBorder="1" applyAlignment="1">
      <alignment horizontal="left" vertical="center"/>
    </xf>
    <xf numFmtId="0" fontId="23" fillId="6" borderId="34" xfId="0" applyFont="1" applyFill="1" applyBorder="1" applyAlignment="1">
      <alignment horizontal="left" vertical="center"/>
    </xf>
    <xf numFmtId="0" fontId="23" fillId="6" borderId="32" xfId="0" applyFont="1" applyFill="1" applyBorder="1" applyAlignment="1">
      <alignment horizontal="center" vertical="center"/>
    </xf>
    <xf numFmtId="0" fontId="23" fillId="6" borderId="33" xfId="0" applyFont="1" applyFill="1" applyBorder="1" applyAlignment="1">
      <alignment horizontal="center" vertical="center"/>
    </xf>
    <xf numFmtId="0" fontId="23" fillId="6" borderId="34" xfId="0" applyFont="1" applyFill="1" applyBorder="1" applyAlignment="1">
      <alignment horizontal="center" vertical="center"/>
    </xf>
    <xf numFmtId="0" fontId="23" fillId="6" borderId="56" xfId="0" applyFont="1" applyFill="1" applyBorder="1" applyAlignment="1">
      <alignment horizontal="left" vertical="center"/>
    </xf>
    <xf numFmtId="0" fontId="23" fillId="6" borderId="0" xfId="0" applyFont="1" applyFill="1" applyBorder="1" applyAlignment="1">
      <alignment horizontal="left" vertical="center"/>
    </xf>
    <xf numFmtId="0" fontId="23" fillId="6" borderId="57" xfId="0" applyFont="1" applyFill="1" applyBorder="1" applyAlignment="1">
      <alignment horizontal="left" vertical="center"/>
    </xf>
    <xf numFmtId="0" fontId="22" fillId="0" borderId="0" xfId="0" applyFont="1" applyAlignment="1">
      <alignment horizontal="center" textRotation="90"/>
    </xf>
    <xf numFmtId="0" fontId="55" fillId="0" borderId="0" xfId="0" applyFont="1" applyBorder="1" applyAlignment="1">
      <alignment horizontal="center" textRotation="90"/>
    </xf>
    <xf numFmtId="0" fontId="70" fillId="0" borderId="0" xfId="0" applyFont="1" applyAlignment="1">
      <alignment horizontal="center" textRotation="90"/>
    </xf>
    <xf numFmtId="164" fontId="15" fillId="0" borderId="21" xfId="0" applyNumberFormat="1" applyFont="1" applyFill="1" applyBorder="1" applyAlignment="1" applyProtection="1">
      <alignment horizontal="center" vertical="center"/>
      <protection hidden="1"/>
    </xf>
    <xf numFmtId="164" fontId="15" fillId="0" borderId="18" xfId="0" applyNumberFormat="1" applyFont="1" applyFill="1" applyBorder="1" applyAlignment="1" applyProtection="1">
      <alignment horizontal="center" vertical="center"/>
      <protection hidden="1"/>
    </xf>
    <xf numFmtId="0" fontId="14" fillId="6" borderId="6" xfId="0" applyFont="1" applyFill="1" applyBorder="1" applyAlignment="1" applyProtection="1">
      <alignment horizontal="center" vertical="center"/>
      <protection hidden="1"/>
    </xf>
    <xf numFmtId="0" fontId="14" fillId="6" borderId="8" xfId="0" applyFont="1" applyFill="1" applyBorder="1" applyAlignment="1" applyProtection="1">
      <alignment horizontal="center" vertical="center"/>
      <protection hidden="1"/>
    </xf>
    <xf numFmtId="0" fontId="15" fillId="0" borderId="18" xfId="0" applyNumberFormat="1" applyFont="1" applyFill="1" applyBorder="1" applyAlignment="1" applyProtection="1">
      <alignment horizontal="center" vertical="center"/>
      <protection hidden="1"/>
    </xf>
    <xf numFmtId="0" fontId="15" fillId="0" borderId="35" xfId="0" applyNumberFormat="1" applyFont="1" applyFill="1" applyBorder="1" applyAlignment="1" applyProtection="1">
      <alignment horizontal="center" vertical="center"/>
      <protection hidden="1"/>
    </xf>
    <xf numFmtId="0" fontId="17" fillId="0" borderId="0" xfId="0" applyFont="1" applyBorder="1" applyAlignment="1" applyProtection="1">
      <alignment horizontal="center"/>
      <protection hidden="1"/>
    </xf>
    <xf numFmtId="0" fontId="17" fillId="0" borderId="2" xfId="0" applyFont="1" applyBorder="1" applyAlignment="1" applyProtection="1">
      <alignment horizontal="center"/>
      <protection hidden="1"/>
    </xf>
    <xf numFmtId="0" fontId="14" fillId="6" borderId="7" xfId="0" applyFont="1" applyFill="1" applyBorder="1" applyAlignment="1" applyProtection="1">
      <alignment horizontal="center" vertical="center"/>
      <protection hidden="1"/>
    </xf>
    <xf numFmtId="0" fontId="12" fillId="0" borderId="0" xfId="0" applyFont="1" applyBorder="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10" fillId="2"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left" vertical="center"/>
      <protection hidden="1"/>
    </xf>
    <xf numFmtId="0" fontId="14" fillId="6" borderId="20" xfId="0" applyFont="1" applyFill="1" applyBorder="1" applyAlignment="1" applyProtection="1">
      <alignment horizontal="center" vertical="center"/>
      <protection hidden="1"/>
    </xf>
    <xf numFmtId="0" fontId="14" fillId="6" borderId="21" xfId="0" applyFont="1" applyFill="1" applyBorder="1" applyAlignment="1" applyProtection="1">
      <alignment horizontal="center" vertical="center"/>
      <protection hidden="1"/>
    </xf>
    <xf numFmtId="0" fontId="12" fillId="0" borderId="1" xfId="0" applyNumberFormat="1" applyFont="1" applyFill="1" applyBorder="1" applyAlignment="1" applyProtection="1">
      <alignment horizontal="left" vertical="center" shrinkToFit="1"/>
      <protection hidden="1"/>
    </xf>
    <xf numFmtId="0" fontId="12" fillId="0" borderId="2" xfId="0" applyNumberFormat="1" applyFont="1" applyFill="1" applyBorder="1" applyAlignment="1" applyProtection="1">
      <alignment horizontal="left" vertical="center" shrinkToFit="1"/>
      <protection hidden="1"/>
    </xf>
    <xf numFmtId="0" fontId="12" fillId="0" borderId="3" xfId="0" applyNumberFormat="1" applyFont="1" applyFill="1" applyBorder="1" applyAlignment="1" applyProtection="1">
      <alignment horizontal="left" vertical="center" shrinkToFit="1"/>
      <protection hidden="1"/>
    </xf>
    <xf numFmtId="0" fontId="12" fillId="0" borderId="4" xfId="0" applyNumberFormat="1" applyFont="1" applyFill="1" applyBorder="1" applyAlignment="1" applyProtection="1">
      <alignment horizontal="left" vertical="center" shrinkToFit="1"/>
      <protection hidden="1"/>
    </xf>
    <xf numFmtId="0" fontId="12" fillId="0" borderId="0" xfId="0" applyNumberFormat="1" applyFont="1" applyFill="1" applyBorder="1" applyAlignment="1" applyProtection="1">
      <alignment horizontal="left" vertical="center" shrinkToFit="1"/>
      <protection hidden="1"/>
    </xf>
    <xf numFmtId="0" fontId="12" fillId="0" borderId="5" xfId="0" applyNumberFormat="1" applyFont="1" applyFill="1" applyBorder="1" applyAlignment="1" applyProtection="1">
      <alignment horizontal="left" vertical="center" shrinkToFit="1"/>
      <protection hidden="1"/>
    </xf>
    <xf numFmtId="0" fontId="12" fillId="0" borderId="7" xfId="0" applyNumberFormat="1" applyFont="1" applyFill="1" applyBorder="1" applyAlignment="1" applyProtection="1">
      <alignment horizontal="left" vertical="center" shrinkToFit="1"/>
      <protection hidden="1"/>
    </xf>
    <xf numFmtId="0" fontId="12" fillId="0" borderId="6" xfId="0" applyNumberFormat="1" applyFont="1" applyFill="1" applyBorder="1" applyAlignment="1" applyProtection="1">
      <alignment horizontal="left" vertical="center" shrinkToFit="1"/>
      <protection hidden="1"/>
    </xf>
    <xf numFmtId="0" fontId="12" fillId="0" borderId="8" xfId="0" applyNumberFormat="1" applyFont="1" applyFill="1" applyBorder="1" applyAlignment="1" applyProtection="1">
      <alignment horizontal="left" vertical="center" shrinkToFit="1"/>
      <protection hidden="1"/>
    </xf>
    <xf numFmtId="3" fontId="15" fillId="0" borderId="0" xfId="0" applyNumberFormat="1" applyFont="1" applyBorder="1" applyAlignment="1" applyProtection="1">
      <alignment horizontal="right" vertical="center"/>
      <protection hidden="1"/>
    </xf>
    <xf numFmtId="3" fontId="15" fillId="0" borderId="10" xfId="0" applyNumberFormat="1" applyFont="1" applyBorder="1" applyAlignment="1" applyProtection="1">
      <alignment horizontal="right" vertical="center"/>
      <protection hidden="1"/>
    </xf>
    <xf numFmtId="0" fontId="12" fillId="0" borderId="0" xfId="0" applyFont="1" applyBorder="1" applyAlignment="1" applyProtection="1">
      <alignment horizontal="left"/>
      <protection hidden="1"/>
    </xf>
    <xf numFmtId="0" fontId="15" fillId="0" borderId="0" xfId="0" applyFont="1" applyFill="1" applyBorder="1" applyAlignment="1" applyProtection="1">
      <alignment horizontal="center" wrapText="1"/>
      <protection hidden="1"/>
    </xf>
    <xf numFmtId="0" fontId="15" fillId="0" borderId="10" xfId="0" applyFont="1" applyFill="1" applyBorder="1" applyAlignment="1" applyProtection="1">
      <alignment horizontal="center" wrapText="1"/>
      <protection hidden="1"/>
    </xf>
    <xf numFmtId="0" fontId="12" fillId="0" borderId="0" xfId="0" applyFont="1" applyBorder="1" applyAlignment="1" applyProtection="1">
      <protection hidden="1"/>
    </xf>
    <xf numFmtId="0" fontId="15" fillId="0" borderId="0" xfId="0" applyFont="1" applyBorder="1" applyAlignment="1" applyProtection="1">
      <alignment horizontal="center"/>
      <protection hidden="1"/>
    </xf>
    <xf numFmtId="0" fontId="15" fillId="0" borderId="10" xfId="0" applyFont="1" applyBorder="1" applyAlignment="1" applyProtection="1">
      <alignment horizontal="center"/>
      <protection hidden="1"/>
    </xf>
    <xf numFmtId="164" fontId="15" fillId="0" borderId="1" xfId="0" applyNumberFormat="1" applyFont="1" applyFill="1" applyBorder="1" applyAlignment="1" applyProtection="1">
      <alignment horizontal="center" vertical="center" shrinkToFit="1"/>
      <protection hidden="1"/>
    </xf>
    <xf numFmtId="164" fontId="15" fillId="0" borderId="2" xfId="0" applyNumberFormat="1" applyFont="1" applyFill="1" applyBorder="1" applyAlignment="1" applyProtection="1">
      <alignment horizontal="center" vertical="center" shrinkToFit="1"/>
      <protection hidden="1"/>
    </xf>
    <xf numFmtId="164" fontId="15" fillId="0" borderId="3" xfId="0" applyNumberFormat="1" applyFont="1" applyFill="1" applyBorder="1" applyAlignment="1" applyProtection="1">
      <alignment horizontal="center" vertical="center" shrinkToFit="1"/>
      <protection hidden="1"/>
    </xf>
    <xf numFmtId="164" fontId="15" fillId="0" borderId="4" xfId="0" applyNumberFormat="1" applyFont="1" applyFill="1" applyBorder="1" applyAlignment="1" applyProtection="1">
      <alignment horizontal="center" vertical="center" shrinkToFit="1"/>
      <protection hidden="1"/>
    </xf>
    <xf numFmtId="164" fontId="15" fillId="0" borderId="0" xfId="0" applyNumberFormat="1" applyFont="1" applyFill="1" applyBorder="1" applyAlignment="1" applyProtection="1">
      <alignment horizontal="center" vertical="center" shrinkToFit="1"/>
      <protection hidden="1"/>
    </xf>
    <xf numFmtId="164" fontId="15" fillId="0" borderId="5" xfId="0" applyNumberFormat="1" applyFont="1" applyFill="1" applyBorder="1" applyAlignment="1" applyProtection="1">
      <alignment horizontal="center" vertical="center" shrinkToFit="1"/>
      <protection hidden="1"/>
    </xf>
    <xf numFmtId="164" fontId="15" fillId="0" borderId="7" xfId="0" applyNumberFormat="1" applyFont="1" applyFill="1" applyBorder="1" applyAlignment="1" applyProtection="1">
      <alignment horizontal="center" vertical="center" shrinkToFit="1"/>
      <protection hidden="1"/>
    </xf>
    <xf numFmtId="164" fontId="15" fillId="0" borderId="6" xfId="0" applyNumberFormat="1" applyFont="1" applyFill="1" applyBorder="1" applyAlignment="1" applyProtection="1">
      <alignment horizontal="center" vertical="center" shrinkToFit="1"/>
      <protection hidden="1"/>
    </xf>
    <xf numFmtId="164" fontId="15" fillId="0" borderId="8" xfId="0" applyNumberFormat="1" applyFont="1" applyFill="1" applyBorder="1" applyAlignment="1" applyProtection="1">
      <alignment horizontal="center" vertical="center" shrinkToFit="1"/>
      <protection hidden="1"/>
    </xf>
    <xf numFmtId="0" fontId="10" fillId="6" borderId="1" xfId="0" applyFont="1" applyFill="1" applyBorder="1" applyAlignment="1" applyProtection="1">
      <alignment horizontal="center" vertical="center"/>
      <protection hidden="1"/>
    </xf>
    <xf numFmtId="0" fontId="10" fillId="6" borderId="2" xfId="0" applyFont="1" applyFill="1" applyBorder="1" applyAlignment="1" applyProtection="1">
      <alignment horizontal="center" vertical="center"/>
      <protection hidden="1"/>
    </xf>
    <xf numFmtId="0" fontId="10" fillId="6" borderId="3" xfId="0" applyFont="1" applyFill="1" applyBorder="1" applyAlignment="1" applyProtection="1">
      <alignment horizontal="center" vertical="center"/>
      <protection hidden="1"/>
    </xf>
    <xf numFmtId="0" fontId="10" fillId="6" borderId="7" xfId="0" applyFont="1" applyFill="1" applyBorder="1" applyAlignment="1" applyProtection="1">
      <alignment horizontal="center" vertical="center"/>
      <protection hidden="1"/>
    </xf>
    <xf numFmtId="0" fontId="10" fillId="6" borderId="6" xfId="0" applyFont="1" applyFill="1" applyBorder="1" applyAlignment="1" applyProtection="1">
      <alignment horizontal="center" vertical="center"/>
      <protection hidden="1"/>
    </xf>
    <xf numFmtId="0" fontId="10" fillId="6" borderId="8" xfId="0" applyFont="1" applyFill="1" applyBorder="1" applyAlignment="1" applyProtection="1">
      <alignment horizontal="center" vertical="center"/>
      <protection hidden="1"/>
    </xf>
    <xf numFmtId="0" fontId="14" fillId="6" borderId="19" xfId="0"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0" fontId="20" fillId="0" borderId="0" xfId="0" applyFont="1" applyFill="1" applyBorder="1" applyAlignment="1" applyProtection="1">
      <alignment horizontal="left" vertical="center"/>
      <protection hidden="1"/>
    </xf>
    <xf numFmtId="164" fontId="11" fillId="0" borderId="0" xfId="0" quotePrefix="1" applyNumberFormat="1" applyFont="1" applyFill="1" applyBorder="1" applyAlignment="1" applyProtection="1">
      <alignment horizontal="center" vertical="center"/>
      <protection hidden="1"/>
    </xf>
    <xf numFmtId="164" fontId="11" fillId="0" borderId="0" xfId="0" applyNumberFormat="1" applyFont="1" applyFill="1" applyBorder="1" applyAlignment="1" applyProtection="1">
      <alignment horizontal="center" vertical="center"/>
      <protection hidden="1"/>
    </xf>
    <xf numFmtId="175" fontId="11" fillId="0" borderId="0" xfId="0" applyNumberFormat="1" applyFont="1" applyFill="1" applyBorder="1" applyAlignment="1" applyProtection="1">
      <alignment horizontal="center" vertical="center"/>
      <protection hidden="1"/>
    </xf>
    <xf numFmtId="175" fontId="11" fillId="0" borderId="10"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1" fillId="0" borderId="0" xfId="0" applyNumberFormat="1" applyFont="1" applyFill="1" applyBorder="1" applyAlignment="1" applyProtection="1">
      <alignment horizontal="center" vertical="center"/>
      <protection hidden="1"/>
    </xf>
    <xf numFmtId="0" fontId="11" fillId="0" borderId="10" xfId="0" applyNumberFormat="1"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11" fillId="3" borderId="0" xfId="0" applyNumberFormat="1" applyFont="1" applyFill="1" applyBorder="1" applyAlignment="1" applyProtection="1">
      <alignment horizontal="center" vertical="center"/>
      <protection locked="0"/>
    </xf>
    <xf numFmtId="0" fontId="11" fillId="3" borderId="10" xfId="0" applyNumberFormat="1" applyFont="1" applyFill="1" applyBorder="1" applyAlignment="1" applyProtection="1">
      <alignment horizontal="center" vertical="center"/>
      <protection locked="0"/>
    </xf>
    <xf numFmtId="0" fontId="37" fillId="0" borderId="0" xfId="0" applyFont="1" applyBorder="1" applyAlignment="1" applyProtection="1">
      <alignment horizontal="center" vertical="center" wrapText="1"/>
      <protection hidden="1"/>
    </xf>
    <xf numFmtId="0" fontId="21" fillId="0" borderId="0" xfId="0" applyFont="1" applyBorder="1" applyAlignment="1" applyProtection="1">
      <alignment horizontal="center" vertical="center"/>
      <protection hidden="1"/>
    </xf>
    <xf numFmtId="0" fontId="37" fillId="0" borderId="0" xfId="0" applyFont="1" applyBorder="1" applyAlignment="1" applyProtection="1">
      <alignment horizontal="center" vertical="center"/>
      <protection hidden="1"/>
    </xf>
    <xf numFmtId="0" fontId="10" fillId="2" borderId="0" xfId="0" applyFont="1" applyFill="1" applyBorder="1" applyAlignment="1" applyProtection="1">
      <alignment horizontal="left" vertical="center"/>
      <protection hidden="1"/>
    </xf>
    <xf numFmtId="0" fontId="3" fillId="0" borderId="1" xfId="0" applyFont="1" applyFill="1" applyBorder="1" applyAlignment="1" applyProtection="1">
      <alignment horizontal="center" vertical="center"/>
      <protection hidden="1"/>
    </xf>
    <xf numFmtId="0" fontId="3" fillId="0" borderId="2" xfId="0" applyFont="1" applyFill="1" applyBorder="1" applyAlignment="1" applyProtection="1">
      <alignment horizontal="center" vertical="center"/>
      <protection hidden="1"/>
    </xf>
    <xf numFmtId="0" fontId="3" fillId="0" borderId="3" xfId="0" applyFont="1" applyFill="1" applyBorder="1" applyAlignment="1" applyProtection="1">
      <alignment horizontal="center" vertical="center"/>
      <protection hidden="1"/>
    </xf>
    <xf numFmtId="0" fontId="3" fillId="0" borderId="4"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5"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6"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wrapText="1"/>
      <protection hidden="1"/>
    </xf>
    <xf numFmtId="164" fontId="15" fillId="0" borderId="0" xfId="0" applyNumberFormat="1" applyFont="1" applyFill="1" applyBorder="1" applyAlignment="1" applyProtection="1">
      <alignment horizontal="center" vertical="center"/>
      <protection hidden="1"/>
    </xf>
    <xf numFmtId="164" fontId="15" fillId="0" borderId="10" xfId="0" applyNumberFormat="1" applyFont="1" applyFill="1" applyBorder="1" applyAlignment="1" applyProtection="1">
      <alignment horizontal="center" vertical="center"/>
      <protection hidden="1"/>
    </xf>
    <xf numFmtId="0" fontId="13" fillId="3"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hidden="1"/>
    </xf>
    <xf numFmtId="0" fontId="37" fillId="0" borderId="0" xfId="0" applyFont="1" applyFill="1" applyBorder="1" applyAlignment="1" applyProtection="1">
      <alignment horizontal="left" vertical="center"/>
      <protection hidden="1"/>
    </xf>
    <xf numFmtId="164" fontId="3" fillId="0" borderId="1" xfId="0" applyNumberFormat="1" applyFont="1" applyFill="1" applyBorder="1" applyAlignment="1" applyProtection="1">
      <alignment horizontal="center" vertical="center"/>
      <protection hidden="1"/>
    </xf>
    <xf numFmtId="164" fontId="3" fillId="0" borderId="2" xfId="0" applyNumberFormat="1" applyFont="1" applyFill="1" applyBorder="1" applyAlignment="1" applyProtection="1">
      <alignment horizontal="center" vertical="center"/>
      <protection hidden="1"/>
    </xf>
    <xf numFmtId="164" fontId="3" fillId="0" borderId="3" xfId="0" applyNumberFormat="1" applyFont="1" applyFill="1" applyBorder="1" applyAlignment="1" applyProtection="1">
      <alignment horizontal="center" vertical="center"/>
      <protection hidden="1"/>
    </xf>
    <xf numFmtId="164" fontId="3" fillId="0" borderId="4" xfId="0" applyNumberFormat="1" applyFont="1" applyFill="1" applyBorder="1" applyAlignment="1" applyProtection="1">
      <alignment horizontal="center" vertical="center"/>
      <protection hidden="1"/>
    </xf>
    <xf numFmtId="164" fontId="3" fillId="0" borderId="0" xfId="0" applyNumberFormat="1" applyFont="1" applyFill="1" applyBorder="1" applyAlignment="1" applyProtection="1">
      <alignment horizontal="center" vertical="center"/>
      <protection hidden="1"/>
    </xf>
    <xf numFmtId="164" fontId="3" fillId="0" borderId="5"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hidden="1"/>
    </xf>
    <xf numFmtId="164" fontId="3" fillId="0" borderId="8" xfId="0" applyNumberFormat="1" applyFont="1" applyFill="1" applyBorder="1" applyAlignment="1" applyProtection="1">
      <alignment horizontal="center" vertical="center"/>
      <protection hidden="1"/>
    </xf>
    <xf numFmtId="1" fontId="13" fillId="3" borderId="0" xfId="0" applyNumberFormat="1" applyFont="1" applyFill="1" applyBorder="1" applyAlignment="1" applyProtection="1">
      <alignment horizontal="center" vertical="center"/>
      <protection locked="0"/>
    </xf>
    <xf numFmtId="164" fontId="3" fillId="3" borderId="0" xfId="0" applyNumberFormat="1" applyFont="1" applyFill="1" applyBorder="1" applyAlignment="1" applyProtection="1">
      <alignment horizontal="center" vertical="center"/>
      <protection hidden="1"/>
    </xf>
    <xf numFmtId="0" fontId="37" fillId="0" borderId="6" xfId="0" applyFont="1" applyFill="1" applyBorder="1" applyAlignment="1" applyProtection="1">
      <alignment horizontal="center" vertical="center" wrapText="1"/>
      <protection hidden="1"/>
    </xf>
    <xf numFmtId="0" fontId="18" fillId="0" borderId="0" xfId="0" applyFont="1" applyBorder="1" applyAlignment="1" applyProtection="1">
      <alignment horizontal="left" vertical="center" wrapText="1"/>
      <protection hidden="1"/>
    </xf>
    <xf numFmtId="175" fontId="12" fillId="0" borderId="1" xfId="0" applyNumberFormat="1" applyFont="1" applyFill="1" applyBorder="1" applyAlignment="1" applyProtection="1">
      <alignment horizontal="center" vertical="center"/>
      <protection hidden="1"/>
    </xf>
    <xf numFmtId="175" fontId="12" fillId="0" borderId="2" xfId="0" applyNumberFormat="1" applyFont="1" applyFill="1" applyBorder="1" applyAlignment="1" applyProtection="1">
      <alignment horizontal="center" vertical="center"/>
      <protection hidden="1"/>
    </xf>
    <xf numFmtId="175" fontId="12" fillId="0" borderId="3" xfId="0" applyNumberFormat="1" applyFont="1" applyFill="1" applyBorder="1" applyAlignment="1" applyProtection="1">
      <alignment horizontal="center" vertical="center"/>
      <protection hidden="1"/>
    </xf>
    <xf numFmtId="175" fontId="12" fillId="0" borderId="4" xfId="0" applyNumberFormat="1" applyFont="1" applyFill="1" applyBorder="1" applyAlignment="1" applyProtection="1">
      <alignment horizontal="center" vertical="center"/>
      <protection hidden="1"/>
    </xf>
    <xf numFmtId="175" fontId="12" fillId="0" borderId="0" xfId="0" applyNumberFormat="1" applyFont="1" applyFill="1" applyBorder="1" applyAlignment="1" applyProtection="1">
      <alignment horizontal="center" vertical="center"/>
      <protection hidden="1"/>
    </xf>
    <xf numFmtId="175" fontId="12" fillId="0" borderId="5" xfId="0" applyNumberFormat="1" applyFont="1" applyFill="1" applyBorder="1" applyAlignment="1" applyProtection="1">
      <alignment horizontal="center" vertical="center"/>
      <protection hidden="1"/>
    </xf>
    <xf numFmtId="175" fontId="12" fillId="0" borderId="7" xfId="0" applyNumberFormat="1" applyFont="1" applyFill="1" applyBorder="1" applyAlignment="1" applyProtection="1">
      <alignment horizontal="center" vertical="center"/>
      <protection hidden="1"/>
    </xf>
    <xf numFmtId="175" fontId="12" fillId="0" borderId="6" xfId="0" applyNumberFormat="1" applyFont="1" applyFill="1" applyBorder="1" applyAlignment="1" applyProtection="1">
      <alignment horizontal="center" vertical="center"/>
      <protection hidden="1"/>
    </xf>
    <xf numFmtId="175" fontId="12" fillId="0" borderId="8" xfId="0" applyNumberFormat="1" applyFont="1" applyFill="1" applyBorder="1" applyAlignment="1" applyProtection="1">
      <alignment horizontal="center" vertical="center"/>
      <protection hidden="1"/>
    </xf>
    <xf numFmtId="164" fontId="3" fillId="0" borderId="1" xfId="0" applyNumberFormat="1" applyFont="1" applyFill="1" applyBorder="1" applyAlignment="1" applyProtection="1">
      <alignment horizontal="center" vertic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164" fontId="3" fillId="0" borderId="0" xfId="0" applyNumberFormat="1" applyFont="1" applyFill="1" applyBorder="1" applyAlignment="1" applyProtection="1">
      <alignment horizontal="center" vertical="center" shrinkToFit="1"/>
      <protection hidden="1"/>
    </xf>
    <xf numFmtId="164" fontId="3" fillId="0" borderId="5" xfId="0" applyNumberFormat="1" applyFont="1" applyFill="1" applyBorder="1" applyAlignment="1" applyProtection="1">
      <alignment horizontal="center" vertical="center" shrinkToFit="1"/>
      <protection hidden="1"/>
    </xf>
    <xf numFmtId="164" fontId="3" fillId="0" borderId="7" xfId="0" applyNumberFormat="1" applyFont="1" applyFill="1" applyBorder="1" applyAlignment="1" applyProtection="1">
      <alignment horizontal="center" vertical="center" shrinkToFit="1"/>
      <protection hidden="1"/>
    </xf>
    <xf numFmtId="164" fontId="3" fillId="0" borderId="6" xfId="0" applyNumberFormat="1" applyFont="1" applyFill="1" applyBorder="1" applyAlignment="1" applyProtection="1">
      <alignment horizontal="center" vertical="center" shrinkToFit="1"/>
      <protection hidden="1"/>
    </xf>
    <xf numFmtId="164" fontId="3" fillId="0" borderId="8" xfId="0" applyNumberFormat="1" applyFont="1" applyFill="1" applyBorder="1" applyAlignment="1" applyProtection="1">
      <alignment horizontal="center" vertical="center" shrinkToFit="1"/>
      <protection hidden="1"/>
    </xf>
    <xf numFmtId="0" fontId="11" fillId="0" borderId="9" xfId="0" quotePrefix="1" applyFont="1" applyFill="1" applyBorder="1" applyAlignment="1" applyProtection="1">
      <alignment horizontal="center" vertical="center"/>
      <protection hidden="1"/>
    </xf>
    <xf numFmtId="0" fontId="37" fillId="0" borderId="0" xfId="0" applyFont="1" applyBorder="1" applyAlignment="1" applyProtection="1">
      <alignment horizontal="center" vertical="top" wrapText="1"/>
      <protection hidden="1"/>
    </xf>
    <xf numFmtId="0" fontId="14" fillId="6" borderId="0" xfId="0" applyFont="1" applyFill="1" applyBorder="1" applyAlignment="1" applyProtection="1">
      <alignment horizontal="center" vertical="center"/>
      <protection hidden="1"/>
    </xf>
    <xf numFmtId="0" fontId="3" fillId="0" borderId="1" xfId="0" applyFont="1" applyFill="1" applyBorder="1" applyAlignment="1" applyProtection="1">
      <alignment horizontal="center" vertical="center" shrinkToFit="1"/>
      <protection hidden="1"/>
    </xf>
    <xf numFmtId="0" fontId="3" fillId="0" borderId="2" xfId="0" applyFont="1" applyFill="1" applyBorder="1" applyAlignment="1" applyProtection="1">
      <alignment horizontal="center" vertical="center" shrinkToFit="1"/>
      <protection hidden="1"/>
    </xf>
    <xf numFmtId="0" fontId="3" fillId="0" borderId="3" xfId="0" applyFont="1" applyFill="1" applyBorder="1" applyAlignment="1" applyProtection="1">
      <alignment horizontal="center" vertical="center" shrinkToFit="1"/>
      <protection hidden="1"/>
    </xf>
    <xf numFmtId="0" fontId="3" fillId="0" borderId="4" xfId="0" applyFont="1" applyFill="1" applyBorder="1" applyAlignment="1" applyProtection="1">
      <alignment horizontal="center" vertical="center" shrinkToFit="1"/>
      <protection hidden="1"/>
    </xf>
    <xf numFmtId="0" fontId="3" fillId="0" borderId="0" xfId="0" applyFont="1" applyFill="1" applyBorder="1" applyAlignment="1" applyProtection="1">
      <alignment horizontal="center" vertical="center" shrinkToFit="1"/>
      <protection hidden="1"/>
    </xf>
    <xf numFmtId="0" fontId="3" fillId="0" borderId="5" xfId="0" applyFont="1" applyFill="1" applyBorder="1" applyAlignment="1" applyProtection="1">
      <alignment horizontal="center" vertical="center" shrinkToFit="1"/>
      <protection hidden="1"/>
    </xf>
    <xf numFmtId="0" fontId="3" fillId="0" borderId="7"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center" vertical="center" shrinkToFit="1"/>
      <protection hidden="1"/>
    </xf>
    <xf numFmtId="0" fontId="3" fillId="0" borderId="8" xfId="0" applyFont="1" applyFill="1" applyBorder="1" applyAlignment="1" applyProtection="1">
      <alignment horizontal="center" vertical="center" shrinkToFit="1"/>
      <protection hidden="1"/>
    </xf>
    <xf numFmtId="0" fontId="4" fillId="0" borderId="1"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16" fillId="0" borderId="2" xfId="0" applyFont="1" applyBorder="1" applyAlignment="1" applyProtection="1">
      <alignment horizontal="left"/>
      <protection hidden="1"/>
    </xf>
    <xf numFmtId="0" fontId="16" fillId="0" borderId="0" xfId="0" applyFont="1" applyBorder="1" applyAlignment="1" applyProtection="1">
      <alignment horizontal="left"/>
      <protection hidden="1"/>
    </xf>
    <xf numFmtId="0" fontId="12" fillId="0" borderId="2" xfId="0" applyFont="1" applyBorder="1" applyAlignment="1" applyProtection="1">
      <alignment horizontal="left"/>
      <protection hidden="1"/>
    </xf>
    <xf numFmtId="0" fontId="12" fillId="0" borderId="10" xfId="0" applyFont="1" applyBorder="1" applyAlignment="1" applyProtection="1">
      <alignment horizontal="left"/>
      <protection hidden="1"/>
    </xf>
    <xf numFmtId="0" fontId="9" fillId="0" borderId="2" xfId="0" applyFont="1" applyFill="1" applyBorder="1" applyAlignment="1" applyProtection="1">
      <alignment horizontal="center" vertical="top" wrapText="1"/>
      <protection hidden="1"/>
    </xf>
    <xf numFmtId="0" fontId="3" fillId="0" borderId="1" xfId="0" applyNumberFormat="1" applyFont="1" applyFill="1" applyBorder="1" applyAlignment="1" applyProtection="1">
      <alignment horizontal="center" vertical="center" shrinkToFit="1"/>
      <protection locked="0"/>
    </xf>
    <xf numFmtId="0" fontId="3" fillId="0" borderId="2" xfId="0" applyNumberFormat="1" applyFont="1" applyFill="1" applyBorder="1" applyAlignment="1" applyProtection="1">
      <alignment horizontal="center" vertical="center" shrinkToFit="1"/>
      <protection locked="0"/>
    </xf>
    <xf numFmtId="0" fontId="3" fillId="0" borderId="3" xfId="0" applyNumberFormat="1" applyFont="1" applyFill="1" applyBorder="1" applyAlignment="1" applyProtection="1">
      <alignment horizontal="center" vertical="center" shrinkToFit="1"/>
      <protection locked="0"/>
    </xf>
    <xf numFmtId="0" fontId="3" fillId="0" borderId="4" xfId="0" applyNumberFormat="1" applyFont="1" applyFill="1" applyBorder="1" applyAlignment="1" applyProtection="1">
      <alignment horizontal="center" vertical="center" shrinkToFit="1"/>
      <protection locked="0"/>
    </xf>
    <xf numFmtId="0" fontId="3" fillId="0" borderId="0" xfId="0" applyNumberFormat="1" applyFont="1" applyFill="1" applyBorder="1" applyAlignment="1" applyProtection="1">
      <alignment horizontal="center" vertical="center" shrinkToFit="1"/>
      <protection locked="0"/>
    </xf>
    <xf numFmtId="0" fontId="3" fillId="0" borderId="5" xfId="0" applyNumberFormat="1" applyFont="1" applyFill="1" applyBorder="1" applyAlignment="1" applyProtection="1">
      <alignment horizontal="center" vertical="center" shrinkToFit="1"/>
      <protection locked="0"/>
    </xf>
    <xf numFmtId="0" fontId="3" fillId="0" borderId="7" xfId="0" applyNumberFormat="1" applyFont="1" applyFill="1" applyBorder="1" applyAlignment="1" applyProtection="1">
      <alignment horizontal="center" vertical="center" shrinkToFit="1"/>
      <protection locked="0"/>
    </xf>
    <xf numFmtId="0" fontId="3" fillId="0" borderId="6" xfId="0" applyNumberFormat="1" applyFont="1" applyFill="1" applyBorder="1" applyAlignment="1" applyProtection="1">
      <alignment horizontal="center" vertical="center" shrinkToFit="1"/>
      <protection locked="0"/>
    </xf>
    <xf numFmtId="0" fontId="3" fillId="0" borderId="8" xfId="0" applyNumberFormat="1" applyFont="1" applyFill="1" applyBorder="1" applyAlignment="1" applyProtection="1">
      <alignment horizontal="center" vertical="center" shrinkToFit="1"/>
      <protection locked="0"/>
    </xf>
    <xf numFmtId="0" fontId="3" fillId="0" borderId="1" xfId="0" applyNumberFormat="1" applyFont="1" applyFill="1" applyBorder="1" applyAlignment="1" applyProtection="1">
      <alignment horizontal="center" vertical="center"/>
      <protection hidden="1"/>
    </xf>
    <xf numFmtId="0" fontId="3" fillId="0" borderId="2" xfId="0" applyNumberFormat="1" applyFont="1" applyFill="1" applyBorder="1" applyAlignment="1" applyProtection="1">
      <alignment horizontal="center" vertical="center"/>
      <protection hidden="1"/>
    </xf>
    <xf numFmtId="0" fontId="3" fillId="0" borderId="3" xfId="0" applyNumberFormat="1" applyFont="1" applyFill="1" applyBorder="1" applyAlignment="1" applyProtection="1">
      <alignment horizontal="center" vertical="center"/>
      <protection hidden="1"/>
    </xf>
    <xf numFmtId="0" fontId="3" fillId="0" borderId="4"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center" vertical="center"/>
      <protection hidden="1"/>
    </xf>
    <xf numFmtId="0" fontId="3" fillId="0" borderId="5" xfId="0" applyNumberFormat="1" applyFont="1" applyFill="1" applyBorder="1" applyAlignment="1" applyProtection="1">
      <alignment horizontal="center" vertical="center"/>
      <protection hidden="1"/>
    </xf>
    <xf numFmtId="0" fontId="3" fillId="0" borderId="7" xfId="0" applyNumberFormat="1" applyFont="1" applyFill="1" applyBorder="1" applyAlignment="1" applyProtection="1">
      <alignment horizontal="center" vertical="center"/>
      <protection hidden="1"/>
    </xf>
    <xf numFmtId="0" fontId="3" fillId="0" borderId="6" xfId="0" applyNumberFormat="1" applyFont="1" applyFill="1" applyBorder="1" applyAlignment="1" applyProtection="1">
      <alignment horizontal="center" vertical="center"/>
      <protection hidden="1"/>
    </xf>
    <xf numFmtId="0" fontId="3" fillId="0" borderId="8" xfId="0" applyNumberFormat="1" applyFont="1" applyFill="1" applyBorder="1" applyAlignment="1" applyProtection="1">
      <alignment horizontal="center" vertical="center"/>
      <protection hidden="1"/>
    </xf>
    <xf numFmtId="0" fontId="11" fillId="0" borderId="4" xfId="0" quotePrefix="1" applyFont="1" applyFill="1" applyBorder="1" applyAlignment="1" applyProtection="1">
      <alignment horizontal="center" vertical="center"/>
      <protection hidden="1"/>
    </xf>
    <xf numFmtId="0" fontId="37" fillId="0" borderId="2" xfId="0" applyFont="1" applyFill="1" applyBorder="1" applyAlignment="1" applyProtection="1">
      <alignment horizontal="center" vertical="top" wrapText="1"/>
      <protection hidden="1"/>
    </xf>
    <xf numFmtId="0" fontId="37"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12" fillId="0" borderId="0" xfId="0" applyFont="1" applyFill="1" applyBorder="1" applyAlignment="1" applyProtection="1">
      <alignment horizontal="left" vertical="center" wrapText="1"/>
      <protection hidden="1"/>
    </xf>
    <xf numFmtId="0" fontId="12" fillId="0" borderId="10" xfId="0" applyFont="1" applyFill="1" applyBorder="1" applyAlignment="1" applyProtection="1">
      <alignment horizontal="left" vertical="center" wrapText="1"/>
      <protection hidden="1"/>
    </xf>
    <xf numFmtId="1" fontId="12" fillId="0" borderId="1" xfId="0" applyNumberFormat="1" applyFont="1" applyFill="1" applyBorder="1" applyAlignment="1" applyProtection="1">
      <alignment horizontal="center" vertical="center"/>
      <protection hidden="1"/>
    </xf>
    <xf numFmtId="1" fontId="12" fillId="0" borderId="2" xfId="0" applyNumberFormat="1" applyFont="1" applyFill="1" applyBorder="1" applyAlignment="1" applyProtection="1">
      <alignment horizontal="center" vertical="center"/>
      <protection hidden="1"/>
    </xf>
    <xf numFmtId="1" fontId="12" fillId="0" borderId="3" xfId="0" applyNumberFormat="1" applyFont="1" applyFill="1" applyBorder="1" applyAlignment="1" applyProtection="1">
      <alignment horizontal="center" vertical="center"/>
      <protection hidden="1"/>
    </xf>
    <xf numFmtId="1" fontId="12" fillId="0" borderId="4" xfId="0" applyNumberFormat="1" applyFont="1" applyFill="1" applyBorder="1" applyAlignment="1" applyProtection="1">
      <alignment horizontal="center" vertical="center"/>
      <protection hidden="1"/>
    </xf>
    <xf numFmtId="1" fontId="12" fillId="0" borderId="0" xfId="0" applyNumberFormat="1" applyFont="1" applyFill="1" applyBorder="1" applyAlignment="1" applyProtection="1">
      <alignment horizontal="center" vertical="center"/>
      <protection hidden="1"/>
    </xf>
    <xf numFmtId="1" fontId="12" fillId="0" borderId="5" xfId="0" applyNumberFormat="1" applyFont="1" applyFill="1" applyBorder="1" applyAlignment="1" applyProtection="1">
      <alignment horizontal="center" vertical="center"/>
      <protection hidden="1"/>
    </xf>
    <xf numFmtId="1" fontId="12" fillId="0" borderId="7" xfId="0" applyNumberFormat="1" applyFont="1" applyFill="1" applyBorder="1" applyAlignment="1" applyProtection="1">
      <alignment horizontal="center" vertical="center"/>
      <protection hidden="1"/>
    </xf>
    <xf numFmtId="1" fontId="12" fillId="0" borderId="6" xfId="0" applyNumberFormat="1" applyFont="1" applyFill="1" applyBorder="1" applyAlignment="1" applyProtection="1">
      <alignment horizontal="center" vertical="center"/>
      <protection hidden="1"/>
    </xf>
    <xf numFmtId="1" fontId="12" fillId="0" borderId="8" xfId="0" applyNumberFormat="1" applyFont="1" applyFill="1" applyBorder="1" applyAlignment="1" applyProtection="1">
      <alignment horizontal="center" vertical="center"/>
      <protection hidden="1"/>
    </xf>
    <xf numFmtId="175" fontId="15" fillId="0" borderId="1" xfId="0" applyNumberFormat="1" applyFont="1" applyFill="1" applyBorder="1" applyAlignment="1" applyProtection="1">
      <alignment horizontal="center" vertical="center"/>
      <protection hidden="1"/>
    </xf>
    <xf numFmtId="175" fontId="15" fillId="0" borderId="2" xfId="0" applyNumberFormat="1" applyFont="1" applyFill="1" applyBorder="1" applyAlignment="1" applyProtection="1">
      <alignment horizontal="center" vertical="center"/>
      <protection hidden="1"/>
    </xf>
    <xf numFmtId="175" fontId="15" fillId="0" borderId="3" xfId="0" applyNumberFormat="1" applyFont="1" applyFill="1" applyBorder="1" applyAlignment="1" applyProtection="1">
      <alignment horizontal="center" vertical="center"/>
      <protection hidden="1"/>
    </xf>
    <xf numFmtId="175" fontId="15" fillId="0" borderId="4" xfId="0" applyNumberFormat="1" applyFont="1" applyFill="1" applyBorder="1" applyAlignment="1" applyProtection="1">
      <alignment horizontal="center" vertical="center"/>
      <protection hidden="1"/>
    </xf>
    <xf numFmtId="175" fontId="15" fillId="0" borderId="0" xfId="0" applyNumberFormat="1" applyFont="1" applyFill="1" applyBorder="1" applyAlignment="1" applyProtection="1">
      <alignment horizontal="center" vertical="center"/>
      <protection hidden="1"/>
    </xf>
    <xf numFmtId="175" fontId="15" fillId="0" borderId="5" xfId="0" applyNumberFormat="1" applyFont="1" applyFill="1" applyBorder="1" applyAlignment="1" applyProtection="1">
      <alignment horizontal="center" vertical="center"/>
      <protection hidden="1"/>
    </xf>
    <xf numFmtId="175" fontId="15" fillId="0" borderId="7" xfId="0" applyNumberFormat="1" applyFont="1" applyFill="1" applyBorder="1" applyAlignment="1" applyProtection="1">
      <alignment horizontal="center" vertical="center"/>
      <protection hidden="1"/>
    </xf>
    <xf numFmtId="175" fontId="15" fillId="0" borderId="6" xfId="0" applyNumberFormat="1" applyFont="1" applyFill="1" applyBorder="1" applyAlignment="1" applyProtection="1">
      <alignment horizontal="center" vertical="center"/>
      <protection hidden="1"/>
    </xf>
    <xf numFmtId="175" fontId="15" fillId="0" borderId="8" xfId="0" applyNumberFormat="1"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locked="0"/>
    </xf>
    <xf numFmtId="175" fontId="41" fillId="0" borderId="1" xfId="0" applyNumberFormat="1" applyFont="1" applyFill="1" applyBorder="1" applyAlignment="1" applyProtection="1">
      <alignment horizontal="center" vertical="center" wrapText="1"/>
      <protection hidden="1"/>
    </xf>
    <xf numFmtId="175" fontId="41" fillId="0" borderId="2" xfId="0" applyNumberFormat="1" applyFont="1" applyFill="1" applyBorder="1" applyAlignment="1" applyProtection="1">
      <alignment horizontal="center" vertical="center" wrapText="1"/>
      <protection hidden="1"/>
    </xf>
    <xf numFmtId="175" fontId="41" fillId="0" borderId="3" xfId="0" applyNumberFormat="1" applyFont="1" applyFill="1" applyBorder="1" applyAlignment="1" applyProtection="1">
      <alignment horizontal="center" vertical="center" wrapText="1"/>
      <protection hidden="1"/>
    </xf>
    <xf numFmtId="175" fontId="41" fillId="0" borderId="4" xfId="0" applyNumberFormat="1" applyFont="1" applyFill="1" applyBorder="1" applyAlignment="1" applyProtection="1">
      <alignment horizontal="center" vertical="center" wrapText="1"/>
      <protection hidden="1"/>
    </xf>
    <xf numFmtId="175" fontId="41" fillId="0" borderId="0" xfId="0" applyNumberFormat="1" applyFont="1" applyFill="1" applyBorder="1" applyAlignment="1" applyProtection="1">
      <alignment horizontal="center" vertical="center" wrapText="1"/>
      <protection hidden="1"/>
    </xf>
    <xf numFmtId="175" fontId="41" fillId="0" borderId="5" xfId="0" applyNumberFormat="1" applyFont="1" applyFill="1" applyBorder="1" applyAlignment="1" applyProtection="1">
      <alignment horizontal="center" vertical="center" wrapText="1"/>
      <protection hidden="1"/>
    </xf>
    <xf numFmtId="175" fontId="41" fillId="0" borderId="7" xfId="0" applyNumberFormat="1" applyFont="1" applyFill="1" applyBorder="1" applyAlignment="1" applyProtection="1">
      <alignment horizontal="center" vertical="center" wrapText="1"/>
      <protection hidden="1"/>
    </xf>
    <xf numFmtId="175" fontId="41" fillId="0" borderId="6" xfId="0" applyNumberFormat="1" applyFont="1" applyFill="1" applyBorder="1" applyAlignment="1" applyProtection="1">
      <alignment horizontal="center" vertical="center" wrapText="1"/>
      <protection hidden="1"/>
    </xf>
    <xf numFmtId="175" fontId="41" fillId="0" borderId="8" xfId="0" applyNumberFormat="1" applyFont="1" applyFill="1" applyBorder="1" applyAlignment="1" applyProtection="1">
      <alignment horizontal="center" vertical="center" wrapText="1"/>
      <protection hidden="1"/>
    </xf>
    <xf numFmtId="0" fontId="41" fillId="0" borderId="1" xfId="0" applyFont="1" applyFill="1" applyBorder="1" applyAlignment="1" applyProtection="1">
      <alignment horizontal="center" vertical="center" wrapText="1"/>
      <protection hidden="1"/>
    </xf>
    <xf numFmtId="0" fontId="41" fillId="0" borderId="2" xfId="0" applyFont="1" applyFill="1" applyBorder="1" applyAlignment="1" applyProtection="1">
      <alignment horizontal="center" vertical="center" wrapText="1"/>
      <protection hidden="1"/>
    </xf>
    <xf numFmtId="0" fontId="41" fillId="0" borderId="3" xfId="0" applyFont="1" applyFill="1" applyBorder="1" applyAlignment="1" applyProtection="1">
      <alignment horizontal="center" vertical="center" wrapText="1"/>
      <protection hidden="1"/>
    </xf>
    <xf numFmtId="0" fontId="41" fillId="0" borderId="4"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center" vertical="center" wrapText="1"/>
      <protection hidden="1"/>
    </xf>
    <xf numFmtId="0" fontId="41" fillId="0" borderId="5" xfId="0" applyFont="1" applyFill="1" applyBorder="1" applyAlignment="1" applyProtection="1">
      <alignment horizontal="center" vertical="center" wrapText="1"/>
      <protection hidden="1"/>
    </xf>
    <xf numFmtId="0" fontId="41" fillId="0" borderId="7" xfId="0" applyFont="1" applyFill="1" applyBorder="1" applyAlignment="1" applyProtection="1">
      <alignment horizontal="center" vertical="center" wrapText="1"/>
      <protection hidden="1"/>
    </xf>
    <xf numFmtId="0" fontId="41" fillId="0" borderId="6" xfId="0" applyFont="1" applyFill="1" applyBorder="1" applyAlignment="1" applyProtection="1">
      <alignment horizontal="center" vertical="center" wrapText="1"/>
      <protection hidden="1"/>
    </xf>
    <xf numFmtId="0" fontId="41" fillId="0" borderId="8" xfId="0" applyFont="1" applyFill="1" applyBorder="1" applyAlignment="1" applyProtection="1">
      <alignment horizontal="center" vertical="center" wrapText="1"/>
      <protection hidden="1"/>
    </xf>
    <xf numFmtId="0" fontId="15" fillId="0" borderId="1" xfId="0" applyNumberFormat="1" applyFont="1" applyFill="1" applyBorder="1" applyAlignment="1" applyProtection="1">
      <alignment horizontal="center" vertical="center"/>
      <protection hidden="1"/>
    </xf>
    <xf numFmtId="0" fontId="15" fillId="0" borderId="2" xfId="0" applyNumberFormat="1" applyFont="1" applyFill="1" applyBorder="1" applyAlignment="1" applyProtection="1">
      <alignment horizontal="center" vertical="center"/>
      <protection hidden="1"/>
    </xf>
    <xf numFmtId="0" fontId="15" fillId="0" borderId="3"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165" fontId="3" fillId="0" borderId="1" xfId="0" applyNumberFormat="1" applyFont="1" applyFill="1" applyBorder="1" applyAlignment="1" applyProtection="1">
      <alignment horizontal="center" vertical="center" shrinkToFit="1"/>
      <protection hidden="1"/>
    </xf>
    <xf numFmtId="165" fontId="3" fillId="0" borderId="2" xfId="0" applyNumberFormat="1" applyFont="1" applyFill="1" applyBorder="1" applyAlignment="1" applyProtection="1">
      <alignment horizontal="center" vertical="center" shrinkToFit="1"/>
      <protection hidden="1"/>
    </xf>
    <xf numFmtId="165" fontId="3" fillId="0" borderId="3" xfId="0" applyNumberFormat="1" applyFont="1" applyFill="1" applyBorder="1" applyAlignment="1" applyProtection="1">
      <alignment horizontal="center" vertical="center" shrinkToFit="1"/>
      <protection hidden="1"/>
    </xf>
    <xf numFmtId="165" fontId="3" fillId="0" borderId="4" xfId="0" applyNumberFormat="1" applyFont="1" applyFill="1" applyBorder="1" applyAlignment="1" applyProtection="1">
      <alignment horizontal="center" vertical="center" shrinkToFit="1"/>
      <protection hidden="1"/>
    </xf>
    <xf numFmtId="165" fontId="3" fillId="0" borderId="0" xfId="0" applyNumberFormat="1" applyFont="1" applyFill="1" applyBorder="1" applyAlignment="1" applyProtection="1">
      <alignment horizontal="center" vertical="center" shrinkToFit="1"/>
      <protection hidden="1"/>
    </xf>
    <xf numFmtId="165" fontId="3" fillId="0" borderId="5" xfId="0" applyNumberFormat="1" applyFont="1" applyFill="1" applyBorder="1" applyAlignment="1" applyProtection="1">
      <alignment horizontal="center" vertical="center" shrinkToFit="1"/>
      <protection hidden="1"/>
    </xf>
    <xf numFmtId="165" fontId="3" fillId="0" borderId="7" xfId="0" applyNumberFormat="1" applyFont="1" applyFill="1" applyBorder="1" applyAlignment="1" applyProtection="1">
      <alignment horizontal="center" vertical="center" shrinkToFit="1"/>
      <protection hidden="1"/>
    </xf>
    <xf numFmtId="165" fontId="3" fillId="0" borderId="6" xfId="0" applyNumberFormat="1" applyFont="1" applyFill="1" applyBorder="1" applyAlignment="1" applyProtection="1">
      <alignment horizontal="center" vertical="center" shrinkToFit="1"/>
      <protection hidden="1"/>
    </xf>
    <xf numFmtId="165" fontId="3" fillId="0" borderId="8" xfId="0" applyNumberFormat="1" applyFont="1" applyFill="1" applyBorder="1" applyAlignment="1" applyProtection="1">
      <alignment horizontal="center" vertical="center" shrinkToFit="1"/>
      <protection hidden="1"/>
    </xf>
    <xf numFmtId="0" fontId="44" fillId="2"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left" vertical="center" shrinkToFit="1"/>
      <protection hidden="1"/>
    </xf>
    <xf numFmtId="0" fontId="12" fillId="0" borderId="10" xfId="0" applyFont="1" applyFill="1" applyBorder="1" applyAlignment="1" applyProtection="1">
      <alignment horizontal="left" vertical="center" shrinkToFit="1"/>
      <protection hidden="1"/>
    </xf>
    <xf numFmtId="166" fontId="15" fillId="0" borderId="1" xfId="0" applyNumberFormat="1" applyFont="1" applyFill="1" applyBorder="1" applyAlignment="1" applyProtection="1">
      <alignment horizontal="center" vertical="center"/>
      <protection hidden="1"/>
    </xf>
    <xf numFmtId="166" fontId="15" fillId="0" borderId="2" xfId="0" applyNumberFormat="1" applyFont="1" applyFill="1" applyBorder="1" applyAlignment="1" applyProtection="1">
      <alignment horizontal="center" vertical="center"/>
      <protection hidden="1"/>
    </xf>
    <xf numFmtId="166" fontId="15" fillId="0" borderId="3" xfId="0" applyNumberFormat="1" applyFont="1" applyFill="1" applyBorder="1" applyAlignment="1" applyProtection="1">
      <alignment horizontal="center" vertical="center"/>
      <protection hidden="1"/>
    </xf>
    <xf numFmtId="166" fontId="15" fillId="0" borderId="4" xfId="0" applyNumberFormat="1" applyFont="1" applyFill="1" applyBorder="1" applyAlignment="1" applyProtection="1">
      <alignment horizontal="center" vertical="center"/>
      <protection hidden="1"/>
    </xf>
    <xf numFmtId="166" fontId="15" fillId="0" borderId="0" xfId="0" applyNumberFormat="1" applyFont="1" applyFill="1" applyBorder="1" applyAlignment="1" applyProtection="1">
      <alignment horizontal="center" vertical="center"/>
      <protection hidden="1"/>
    </xf>
    <xf numFmtId="166" fontId="15" fillId="0" borderId="5" xfId="0" applyNumberFormat="1" applyFont="1" applyFill="1" applyBorder="1" applyAlignment="1" applyProtection="1">
      <alignment horizontal="center" vertical="center"/>
      <protection hidden="1"/>
    </xf>
    <xf numFmtId="166" fontId="15" fillId="0" borderId="7" xfId="0" applyNumberFormat="1" applyFont="1" applyFill="1" applyBorder="1" applyAlignment="1" applyProtection="1">
      <alignment horizontal="center" vertical="center"/>
      <protection hidden="1"/>
    </xf>
    <xf numFmtId="166" fontId="15" fillId="0" borderId="6" xfId="0" applyNumberFormat="1" applyFont="1" applyFill="1" applyBorder="1" applyAlignment="1" applyProtection="1">
      <alignment horizontal="center" vertical="center"/>
      <protection hidden="1"/>
    </xf>
    <xf numFmtId="166" fontId="15" fillId="0" borderId="8" xfId="0" applyNumberFormat="1" applyFont="1" applyFill="1" applyBorder="1" applyAlignment="1" applyProtection="1">
      <alignment horizontal="center" vertical="center"/>
      <protection hidden="1"/>
    </xf>
    <xf numFmtId="0" fontId="10" fillId="6" borderId="0" xfId="0" applyFont="1" applyFill="1" applyBorder="1" applyAlignment="1" applyProtection="1">
      <alignment horizontal="center" vertical="center"/>
      <protection hidden="1"/>
    </xf>
    <xf numFmtId="0" fontId="14" fillId="6" borderId="16" xfId="0" applyFont="1" applyFill="1" applyBorder="1" applyAlignment="1" applyProtection="1">
      <alignment horizontal="center" vertical="center"/>
      <protection hidden="1"/>
    </xf>
    <xf numFmtId="164" fontId="12" fillId="0" borderId="1" xfId="0" applyNumberFormat="1" applyFont="1" applyFill="1" applyBorder="1" applyAlignment="1" applyProtection="1">
      <alignment horizontal="center" vertical="center" shrinkToFit="1"/>
      <protection hidden="1"/>
    </xf>
    <xf numFmtId="164" fontId="12" fillId="0" borderId="2" xfId="0" applyNumberFormat="1" applyFont="1" applyFill="1" applyBorder="1" applyAlignment="1" applyProtection="1">
      <alignment horizontal="center" vertical="center" shrinkToFit="1"/>
      <protection hidden="1"/>
    </xf>
    <xf numFmtId="164" fontId="12" fillId="0" borderId="3" xfId="0" applyNumberFormat="1" applyFont="1" applyFill="1" applyBorder="1" applyAlignment="1" applyProtection="1">
      <alignment horizontal="center" vertical="center" shrinkToFit="1"/>
      <protection hidden="1"/>
    </xf>
    <xf numFmtId="164" fontId="12" fillId="0" borderId="4" xfId="0" applyNumberFormat="1" applyFont="1" applyFill="1" applyBorder="1" applyAlignment="1" applyProtection="1">
      <alignment horizontal="center" vertical="center" shrinkToFit="1"/>
      <protection hidden="1"/>
    </xf>
    <xf numFmtId="164" fontId="12" fillId="0" borderId="0" xfId="0" applyNumberFormat="1" applyFont="1" applyFill="1" applyBorder="1" applyAlignment="1" applyProtection="1">
      <alignment horizontal="center" vertical="center" shrinkToFit="1"/>
      <protection hidden="1"/>
    </xf>
    <xf numFmtId="164" fontId="12" fillId="0" borderId="5" xfId="0" applyNumberFormat="1" applyFont="1" applyFill="1" applyBorder="1" applyAlignment="1" applyProtection="1">
      <alignment horizontal="center" vertical="center" shrinkToFit="1"/>
      <protection hidden="1"/>
    </xf>
    <xf numFmtId="164" fontId="12" fillId="0" borderId="7" xfId="0" applyNumberFormat="1" applyFont="1" applyFill="1" applyBorder="1" applyAlignment="1" applyProtection="1">
      <alignment horizontal="center" vertical="center" shrinkToFit="1"/>
      <protection hidden="1"/>
    </xf>
    <xf numFmtId="164" fontId="12" fillId="0" borderId="6" xfId="0" applyNumberFormat="1" applyFont="1" applyFill="1" applyBorder="1" applyAlignment="1" applyProtection="1">
      <alignment horizontal="center" vertical="center" shrinkToFit="1"/>
      <protection hidden="1"/>
    </xf>
    <xf numFmtId="164" fontId="12" fillId="0" borderId="8" xfId="0" applyNumberFormat="1" applyFont="1" applyFill="1" applyBorder="1" applyAlignment="1" applyProtection="1">
      <alignment horizontal="center" vertical="center" shrinkToFit="1"/>
      <protection hidden="1"/>
    </xf>
    <xf numFmtId="0" fontId="3" fillId="0" borderId="1" xfId="0" applyNumberFormat="1" applyFont="1" applyFill="1" applyBorder="1" applyAlignment="1" applyProtection="1">
      <alignment horizontal="center" vertical="center" shrinkToFit="1"/>
      <protection hidden="1"/>
    </xf>
    <xf numFmtId="0" fontId="3" fillId="0" borderId="2" xfId="0" applyNumberFormat="1" applyFont="1" applyFill="1" applyBorder="1" applyAlignment="1" applyProtection="1">
      <alignment horizontal="center" vertical="center" shrinkToFit="1"/>
      <protection hidden="1"/>
    </xf>
    <xf numFmtId="0" fontId="3" fillId="0" borderId="3" xfId="0" applyNumberFormat="1" applyFont="1" applyFill="1" applyBorder="1" applyAlignment="1" applyProtection="1">
      <alignment horizontal="center" vertical="center" shrinkToFit="1"/>
      <protection hidden="1"/>
    </xf>
    <xf numFmtId="0" fontId="3" fillId="0" borderId="4" xfId="0" applyNumberFormat="1" applyFont="1" applyFill="1" applyBorder="1" applyAlignment="1" applyProtection="1">
      <alignment horizontal="center" vertical="center" shrinkToFit="1"/>
      <protection hidden="1"/>
    </xf>
    <xf numFmtId="0" fontId="3" fillId="0" borderId="0" xfId="0" applyNumberFormat="1" applyFont="1" applyFill="1" applyBorder="1" applyAlignment="1" applyProtection="1">
      <alignment horizontal="center" vertical="center" shrinkToFit="1"/>
      <protection hidden="1"/>
    </xf>
    <xf numFmtId="0" fontId="3" fillId="0" borderId="5" xfId="0" applyNumberFormat="1" applyFont="1" applyFill="1" applyBorder="1" applyAlignment="1" applyProtection="1">
      <alignment horizontal="center" vertical="center" shrinkToFit="1"/>
      <protection hidden="1"/>
    </xf>
    <xf numFmtId="0" fontId="3" fillId="0" borderId="7" xfId="0" applyNumberFormat="1" applyFont="1" applyFill="1" applyBorder="1" applyAlignment="1" applyProtection="1">
      <alignment horizontal="center" vertical="center" shrinkToFit="1"/>
      <protection hidden="1"/>
    </xf>
    <xf numFmtId="0" fontId="3" fillId="0" borderId="6" xfId="0" applyNumberFormat="1" applyFont="1" applyFill="1" applyBorder="1" applyAlignment="1" applyProtection="1">
      <alignment horizontal="center" vertical="center" shrinkToFit="1"/>
      <protection hidden="1"/>
    </xf>
    <xf numFmtId="0" fontId="3" fillId="0" borderId="8" xfId="0" applyNumberFormat="1" applyFont="1" applyFill="1" applyBorder="1" applyAlignment="1" applyProtection="1">
      <alignment horizontal="center" vertical="center" shrinkToFit="1"/>
      <protection hidden="1"/>
    </xf>
    <xf numFmtId="164" fontId="15" fillId="0" borderId="1" xfId="0" applyNumberFormat="1" applyFont="1" applyFill="1" applyBorder="1" applyAlignment="1" applyProtection="1">
      <alignment horizontal="center" vertical="center"/>
      <protection hidden="1"/>
    </xf>
    <xf numFmtId="164" fontId="15" fillId="0" borderId="2" xfId="0" applyNumberFormat="1" applyFont="1" applyFill="1" applyBorder="1" applyAlignment="1" applyProtection="1">
      <alignment horizontal="center" vertical="center"/>
      <protection hidden="1"/>
    </xf>
    <xf numFmtId="164" fontId="15" fillId="0" borderId="3" xfId="0" applyNumberFormat="1" applyFont="1" applyFill="1" applyBorder="1" applyAlignment="1" applyProtection="1">
      <alignment horizontal="center" vertical="center"/>
      <protection hidden="1"/>
    </xf>
    <xf numFmtId="164" fontId="15" fillId="0" borderId="4" xfId="0" applyNumberFormat="1" applyFont="1" applyFill="1" applyBorder="1" applyAlignment="1" applyProtection="1">
      <alignment horizontal="center" vertical="center"/>
      <protection hidden="1"/>
    </xf>
    <xf numFmtId="164" fontId="15" fillId="0" borderId="5" xfId="0" applyNumberFormat="1" applyFont="1" applyFill="1" applyBorder="1" applyAlignment="1" applyProtection="1">
      <alignment horizontal="center" vertical="center"/>
      <protection hidden="1"/>
    </xf>
    <xf numFmtId="164" fontId="12" fillId="0" borderId="1" xfId="0" applyNumberFormat="1" applyFont="1" applyFill="1" applyBorder="1" applyAlignment="1" applyProtection="1">
      <alignment horizontal="left" vertical="center" shrinkToFit="1"/>
      <protection hidden="1"/>
    </xf>
    <xf numFmtId="164" fontId="12" fillId="0" borderId="2" xfId="0" applyNumberFormat="1" applyFont="1" applyFill="1" applyBorder="1" applyAlignment="1" applyProtection="1">
      <alignment horizontal="left" vertical="center" shrinkToFit="1"/>
      <protection hidden="1"/>
    </xf>
    <xf numFmtId="164" fontId="12" fillId="0" borderId="3" xfId="0" applyNumberFormat="1" applyFont="1" applyFill="1" applyBorder="1" applyAlignment="1" applyProtection="1">
      <alignment horizontal="left" vertical="center" shrinkToFit="1"/>
      <protection hidden="1"/>
    </xf>
    <xf numFmtId="164" fontId="12" fillId="0" borderId="4" xfId="0" applyNumberFormat="1" applyFont="1" applyFill="1" applyBorder="1" applyAlignment="1" applyProtection="1">
      <alignment horizontal="left" vertical="center" shrinkToFit="1"/>
      <protection hidden="1"/>
    </xf>
    <xf numFmtId="164" fontId="12" fillId="0" borderId="0" xfId="0" applyNumberFormat="1" applyFont="1" applyFill="1" applyBorder="1" applyAlignment="1" applyProtection="1">
      <alignment horizontal="left" vertical="center" shrinkToFit="1"/>
      <protection hidden="1"/>
    </xf>
    <xf numFmtId="164" fontId="12" fillId="0" borderId="5" xfId="0" applyNumberFormat="1" applyFont="1" applyFill="1" applyBorder="1" applyAlignment="1" applyProtection="1">
      <alignment horizontal="left" vertical="center" shrinkToFit="1"/>
      <protection hidden="1"/>
    </xf>
    <xf numFmtId="164" fontId="12" fillId="0" borderId="7" xfId="0" applyNumberFormat="1" applyFont="1" applyFill="1" applyBorder="1" applyAlignment="1" applyProtection="1">
      <alignment horizontal="left" vertical="center" shrinkToFit="1"/>
      <protection hidden="1"/>
    </xf>
    <xf numFmtId="164" fontId="12" fillId="0" borderId="6" xfId="0" applyNumberFormat="1" applyFont="1" applyFill="1" applyBorder="1" applyAlignment="1" applyProtection="1">
      <alignment horizontal="left" vertical="center" shrinkToFit="1"/>
      <protection hidden="1"/>
    </xf>
    <xf numFmtId="164" fontId="12" fillId="0" borderId="8" xfId="0" applyNumberFormat="1" applyFont="1" applyFill="1" applyBorder="1" applyAlignment="1" applyProtection="1">
      <alignment horizontal="left" vertical="center" shrinkToFit="1"/>
      <protection hidden="1"/>
    </xf>
    <xf numFmtId="0" fontId="51" fillId="0" borderId="2" xfId="0" applyFont="1" applyBorder="1" applyAlignment="1" applyProtection="1">
      <alignment horizontal="left"/>
      <protection hidden="1"/>
    </xf>
    <xf numFmtId="0" fontId="51" fillId="0" borderId="0" xfId="0" applyFont="1" applyBorder="1" applyAlignment="1" applyProtection="1">
      <alignment horizontal="left"/>
      <protection hidden="1"/>
    </xf>
    <xf numFmtId="0" fontId="37" fillId="0" borderId="2" xfId="0" applyFont="1" applyBorder="1" applyAlignment="1" applyProtection="1">
      <alignment horizontal="center" vertical="top" wrapText="1"/>
      <protection hidden="1"/>
    </xf>
    <xf numFmtId="0" fontId="3" fillId="0" borderId="0" xfId="0" applyFont="1" applyFill="1" applyBorder="1" applyAlignment="1" applyProtection="1">
      <alignment horizontal="left" shrinkToFit="1"/>
      <protection hidden="1"/>
    </xf>
    <xf numFmtId="0" fontId="3" fillId="0" borderId="6" xfId="0" applyFont="1" applyFill="1" applyBorder="1" applyAlignment="1" applyProtection="1">
      <alignment horizontal="left" shrinkToFit="1"/>
      <protection hidden="1"/>
    </xf>
    <xf numFmtId="0" fontId="5" fillId="0" borderId="0" xfId="0" applyNumberFormat="1" applyFont="1" applyFill="1" applyBorder="1" applyAlignment="1" applyProtection="1">
      <alignment horizontal="left"/>
      <protection hidden="1"/>
    </xf>
    <xf numFmtId="0" fontId="5" fillId="0" borderId="6" xfId="0" applyNumberFormat="1" applyFont="1" applyFill="1" applyBorder="1" applyAlignment="1" applyProtection="1">
      <alignment horizontal="left"/>
      <protection hidden="1"/>
    </xf>
    <xf numFmtId="0" fontId="5" fillId="0" borderId="0" xfId="0" applyFont="1" applyFill="1" applyBorder="1" applyAlignment="1" applyProtection="1">
      <alignment horizontal="left" shrinkToFit="1"/>
      <protection hidden="1"/>
    </xf>
    <xf numFmtId="0" fontId="5" fillId="0" borderId="6" xfId="0" applyFont="1" applyFill="1" applyBorder="1" applyAlignment="1" applyProtection="1">
      <alignment horizontal="left" shrinkToFit="1"/>
      <protection hidden="1"/>
    </xf>
    <xf numFmtId="0" fontId="5" fillId="0" borderId="0" xfId="0" applyFont="1" applyFill="1" applyBorder="1" applyAlignment="1" applyProtection="1">
      <alignment horizontal="left"/>
      <protection hidden="1"/>
    </xf>
    <xf numFmtId="0" fontId="5" fillId="0" borderId="6" xfId="0" applyFont="1" applyFill="1" applyBorder="1" applyAlignment="1" applyProtection="1">
      <alignment horizontal="left"/>
      <protection hidden="1"/>
    </xf>
    <xf numFmtId="3" fontId="5" fillId="0" borderId="0" xfId="0" applyNumberFormat="1" applyFont="1" applyFill="1" applyBorder="1" applyAlignment="1" applyProtection="1">
      <alignment horizontal="left" shrinkToFit="1"/>
      <protection hidden="1"/>
    </xf>
    <xf numFmtId="3" fontId="5" fillId="0" borderId="6" xfId="0" applyNumberFormat="1" applyFont="1" applyFill="1" applyBorder="1" applyAlignment="1" applyProtection="1">
      <alignment horizontal="left" shrinkToFit="1"/>
      <protection hidden="1"/>
    </xf>
    <xf numFmtId="3" fontId="5" fillId="0" borderId="0" xfId="0" applyNumberFormat="1" applyFont="1" applyBorder="1" applyAlignment="1" applyProtection="1">
      <alignment horizontal="left"/>
      <protection hidden="1"/>
    </xf>
    <xf numFmtId="3" fontId="5" fillId="0" borderId="6" xfId="0" applyNumberFormat="1" applyFont="1" applyBorder="1" applyAlignment="1" applyProtection="1">
      <alignment horizontal="left"/>
      <protection hidden="1"/>
    </xf>
    <xf numFmtId="0" fontId="5" fillId="0" borderId="0" xfId="0" applyFont="1" applyFill="1" applyBorder="1" applyAlignment="1" applyProtection="1">
      <alignment horizontal="center" shrinkToFit="1"/>
      <protection hidden="1"/>
    </xf>
    <xf numFmtId="0" fontId="5" fillId="0" borderId="6" xfId="0" applyFont="1" applyFill="1" applyBorder="1" applyAlignment="1" applyProtection="1">
      <alignment horizontal="center" shrinkToFit="1"/>
      <protection hidden="1"/>
    </xf>
    <xf numFmtId="166" fontId="5" fillId="0" borderId="0" xfId="0" applyNumberFormat="1" applyFont="1" applyFill="1" applyBorder="1" applyAlignment="1" applyProtection="1">
      <alignment horizontal="left"/>
      <protection hidden="1"/>
    </xf>
    <xf numFmtId="166" fontId="5" fillId="0" borderId="6" xfId="0" applyNumberFormat="1" applyFont="1" applyFill="1" applyBorder="1" applyAlignment="1" applyProtection="1">
      <alignment horizontal="left"/>
      <protection hidden="1"/>
    </xf>
    <xf numFmtId="49" fontId="11" fillId="0" borderId="0" xfId="0" applyNumberFormat="1" applyFont="1" applyFill="1" applyBorder="1" applyAlignment="1" applyProtection="1">
      <alignment horizontal="center" vertical="center"/>
      <protection locked="0"/>
    </xf>
    <xf numFmtId="0" fontId="11" fillId="0" borderId="0" xfId="0" applyNumberFormat="1" applyFont="1" applyFill="1" applyBorder="1" applyAlignment="1" applyProtection="1">
      <alignment horizontal="left"/>
      <protection locked="0"/>
    </xf>
    <xf numFmtId="0" fontId="11" fillId="0" borderId="10" xfId="0" applyNumberFormat="1" applyFont="1" applyFill="1" applyBorder="1" applyAlignment="1" applyProtection="1">
      <alignment horizontal="left"/>
      <protection locked="0"/>
    </xf>
    <xf numFmtId="0" fontId="11" fillId="0" borderId="0" xfId="0" applyNumberFormat="1" applyFont="1" applyFill="1" applyBorder="1" applyAlignment="1" applyProtection="1">
      <alignment horizontal="center"/>
      <protection locked="0"/>
    </xf>
    <xf numFmtId="0" fontId="11" fillId="0" borderId="10" xfId="0" applyNumberFormat="1" applyFont="1" applyFill="1" applyBorder="1" applyAlignment="1" applyProtection="1">
      <alignment horizontal="center"/>
      <protection locked="0"/>
    </xf>
    <xf numFmtId="173" fontId="11" fillId="0" borderId="0" xfId="0" applyNumberFormat="1" applyFont="1" applyFill="1" applyBorder="1" applyAlignment="1" applyProtection="1">
      <alignment horizontal="right"/>
      <protection locked="0"/>
    </xf>
    <xf numFmtId="173" fontId="11" fillId="0" borderId="10" xfId="0" applyNumberFormat="1" applyFont="1" applyFill="1" applyBorder="1" applyAlignment="1" applyProtection="1">
      <alignment horizontal="right"/>
      <protection locked="0"/>
    </xf>
    <xf numFmtId="0" fontId="10" fillId="2" borderId="11" xfId="0" applyFont="1" applyFill="1" applyBorder="1" applyAlignment="1" applyProtection="1">
      <alignment horizontal="center" vertical="center"/>
      <protection hidden="1"/>
    </xf>
    <xf numFmtId="0" fontId="10" fillId="2" borderId="12" xfId="0" applyFont="1" applyFill="1" applyBorder="1" applyAlignment="1" applyProtection="1">
      <alignment horizontal="center" vertical="center"/>
      <protection hidden="1"/>
    </xf>
    <xf numFmtId="0" fontId="10" fillId="2" borderId="14" xfId="0" applyFont="1" applyFill="1" applyBorder="1" applyAlignment="1" applyProtection="1">
      <alignment horizontal="center" vertical="center"/>
      <protection hidden="1"/>
    </xf>
    <xf numFmtId="0" fontId="10" fillId="2" borderId="49" xfId="0"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hidden="1"/>
    </xf>
    <xf numFmtId="0" fontId="10" fillId="2" borderId="50" xfId="0" applyFont="1" applyFill="1" applyBorder="1" applyAlignment="1" applyProtection="1">
      <alignment horizontal="center" vertical="center"/>
      <protection hidden="1"/>
    </xf>
    <xf numFmtId="0" fontId="35" fillId="0" borderId="2" xfId="0" applyNumberFormat="1" applyFont="1" applyFill="1" applyBorder="1" applyAlignment="1" applyProtection="1">
      <alignment horizontal="left" vertical="top" wrapText="1"/>
      <protection hidden="1"/>
    </xf>
    <xf numFmtId="0" fontId="35" fillId="0" borderId="52" xfId="0" applyNumberFormat="1" applyFont="1" applyFill="1" applyBorder="1" applyAlignment="1" applyProtection="1">
      <alignment horizontal="left" vertical="top" wrapText="1"/>
      <protection hidden="1"/>
    </xf>
    <xf numFmtId="0" fontId="35" fillId="0" borderId="0" xfId="0" applyNumberFormat="1" applyFont="1" applyFill="1" applyBorder="1" applyAlignment="1" applyProtection="1">
      <alignment horizontal="left" vertical="top" wrapText="1"/>
      <protection hidden="1"/>
    </xf>
    <xf numFmtId="0" fontId="35" fillId="0" borderId="16" xfId="0" applyNumberFormat="1" applyFont="1" applyFill="1" applyBorder="1" applyAlignment="1" applyProtection="1">
      <alignment horizontal="left" vertical="top" wrapText="1"/>
      <protection hidden="1"/>
    </xf>
    <xf numFmtId="0" fontId="35" fillId="0" borderId="10" xfId="0" applyNumberFormat="1" applyFont="1" applyFill="1" applyBorder="1" applyAlignment="1" applyProtection="1">
      <alignment horizontal="left" vertical="top" wrapText="1"/>
      <protection hidden="1"/>
    </xf>
    <xf numFmtId="0" fontId="35" fillId="0" borderId="17" xfId="0" applyNumberFormat="1" applyFont="1" applyFill="1" applyBorder="1" applyAlignment="1" applyProtection="1">
      <alignment horizontal="left" vertical="top" wrapText="1"/>
      <protection hidden="1"/>
    </xf>
    <xf numFmtId="49" fontId="18" fillId="0" borderId="0" xfId="0" applyNumberFormat="1" applyFont="1" applyFill="1" applyBorder="1" applyAlignment="1" applyProtection="1">
      <alignment horizontal="left"/>
      <protection hidden="1"/>
    </xf>
    <xf numFmtId="49" fontId="18" fillId="0" borderId="0" xfId="0" applyNumberFormat="1" applyFont="1" applyFill="1" applyBorder="1" applyAlignment="1" applyProtection="1">
      <alignment horizontal="right"/>
      <protection hidden="1"/>
    </xf>
    <xf numFmtId="0" fontId="11" fillId="0" borderId="0" xfId="0" applyNumberFormat="1" applyFont="1" applyFill="1" applyBorder="1" applyAlignment="1" applyProtection="1">
      <alignment horizontal="left" vertical="center"/>
      <protection locked="0"/>
    </xf>
    <xf numFmtId="0" fontId="11" fillId="0" borderId="10" xfId="0" applyNumberFormat="1" applyFont="1" applyFill="1" applyBorder="1" applyAlignment="1" applyProtection="1">
      <alignment horizontal="left" vertical="center"/>
      <protection locked="0"/>
    </xf>
    <xf numFmtId="3" fontId="35" fillId="0" borderId="0" xfId="0" applyNumberFormat="1" applyFont="1" applyFill="1" applyBorder="1" applyAlignment="1" applyProtection="1">
      <alignment horizontal="right" vertical="center"/>
      <protection hidden="1"/>
    </xf>
    <xf numFmtId="0" fontId="11" fillId="0" borderId="12" xfId="0" applyNumberFormat="1" applyFont="1" applyFill="1" applyBorder="1" applyAlignment="1" applyProtection="1">
      <alignment horizontal="left"/>
      <protection locked="0"/>
    </xf>
    <xf numFmtId="173" fontId="11" fillId="0" borderId="12" xfId="0" applyNumberFormat="1" applyFont="1" applyFill="1" applyBorder="1" applyAlignment="1" applyProtection="1">
      <alignment horizontal="right"/>
      <protection locked="0"/>
    </xf>
    <xf numFmtId="49" fontId="13" fillId="0" borderId="0" xfId="0" applyNumberFormat="1" applyFont="1" applyFill="1" applyBorder="1" applyAlignment="1" applyProtection="1">
      <alignment horizontal="right" vertical="center"/>
      <protection hidden="1"/>
    </xf>
    <xf numFmtId="0" fontId="11" fillId="0" borderId="12" xfId="0" applyNumberFormat="1" applyFont="1" applyFill="1" applyBorder="1" applyAlignment="1" applyProtection="1">
      <alignment horizontal="center"/>
      <protection locked="0"/>
    </xf>
    <xf numFmtId="173" fontId="7" fillId="0" borderId="0" xfId="0" applyNumberFormat="1" applyFont="1" applyFill="1" applyBorder="1" applyAlignment="1" applyProtection="1">
      <alignment horizontal="right"/>
      <protection hidden="1"/>
    </xf>
    <xf numFmtId="173" fontId="7" fillId="0" borderId="10" xfId="0" applyNumberFormat="1" applyFont="1" applyFill="1" applyBorder="1" applyAlignment="1" applyProtection="1">
      <alignment horizontal="right"/>
      <protection hidden="1"/>
    </xf>
    <xf numFmtId="49" fontId="18" fillId="0" borderId="0" xfId="0" applyNumberFormat="1" applyFont="1" applyFill="1" applyBorder="1" applyAlignment="1" applyProtection="1">
      <alignment horizontal="center"/>
      <protection hidden="1"/>
    </xf>
    <xf numFmtId="0" fontId="13" fillId="0" borderId="0" xfId="0" applyFont="1" applyFill="1" applyBorder="1" applyAlignment="1" applyProtection="1">
      <alignment horizontal="left" vertical="center"/>
      <protection hidden="1"/>
    </xf>
    <xf numFmtId="3" fontId="11" fillId="0" borderId="0" xfId="0" applyNumberFormat="1" applyFont="1" applyFill="1" applyBorder="1" applyAlignment="1" applyProtection="1">
      <alignment horizontal="center"/>
      <protection locked="0"/>
    </xf>
    <xf numFmtId="0" fontId="10" fillId="2" borderId="15" xfId="0" applyFont="1" applyFill="1" applyBorder="1" applyAlignment="1" applyProtection="1">
      <alignment horizontal="center" vertical="center"/>
      <protection hidden="1"/>
    </xf>
    <xf numFmtId="0" fontId="10" fillId="2" borderId="16" xfId="0" applyFont="1" applyFill="1" applyBorder="1" applyAlignment="1" applyProtection="1">
      <alignment horizontal="center" vertical="center"/>
      <protection hidden="1"/>
    </xf>
    <xf numFmtId="0" fontId="10" fillId="2" borderId="1" xfId="0" applyFont="1" applyFill="1" applyBorder="1" applyAlignment="1" applyProtection="1">
      <alignment horizontal="center" vertical="center"/>
      <protection hidden="1"/>
    </xf>
    <xf numFmtId="0" fontId="10" fillId="2" borderId="2" xfId="0" applyFont="1" applyFill="1" applyBorder="1" applyAlignment="1" applyProtection="1">
      <alignment horizontal="center" vertical="center"/>
      <protection hidden="1"/>
    </xf>
    <xf numFmtId="0" fontId="10" fillId="2" borderId="3" xfId="0" applyFont="1" applyFill="1" applyBorder="1" applyAlignment="1" applyProtection="1">
      <alignment horizontal="center" vertical="center"/>
      <protection hidden="1"/>
    </xf>
    <xf numFmtId="0" fontId="10" fillId="2" borderId="7" xfId="0" applyFont="1" applyFill="1" applyBorder="1" applyAlignment="1" applyProtection="1">
      <alignment horizontal="center" vertical="center"/>
      <protection hidden="1"/>
    </xf>
    <xf numFmtId="0" fontId="10" fillId="2" borderId="8" xfId="0" applyFont="1" applyFill="1" applyBorder="1" applyAlignment="1" applyProtection="1">
      <alignment horizontal="center" vertical="center"/>
      <protection hidden="1"/>
    </xf>
    <xf numFmtId="0" fontId="13" fillId="0" borderId="2" xfId="0" applyFont="1" applyFill="1" applyBorder="1" applyAlignment="1" applyProtection="1">
      <alignment horizontal="left" vertical="center"/>
      <protection hidden="1"/>
    </xf>
    <xf numFmtId="0" fontId="11" fillId="0" borderId="15" xfId="0" applyNumberFormat="1" applyFont="1" applyFill="1" applyBorder="1" applyAlignment="1" applyProtection="1">
      <alignment horizontal="left" vertical="top" wrapText="1"/>
      <protection hidden="1"/>
    </xf>
    <xf numFmtId="0" fontId="11" fillId="0" borderId="0" xfId="0" applyNumberFormat="1" applyFont="1" applyFill="1" applyBorder="1" applyAlignment="1" applyProtection="1">
      <alignment horizontal="left" vertical="top" wrapText="1"/>
      <protection hidden="1"/>
    </xf>
    <xf numFmtId="0" fontId="11" fillId="0" borderId="16" xfId="0" applyNumberFormat="1" applyFont="1" applyFill="1" applyBorder="1" applyAlignment="1" applyProtection="1">
      <alignment horizontal="left" vertical="top" wrapText="1"/>
      <protection hidden="1"/>
    </xf>
    <xf numFmtId="0" fontId="11" fillId="0" borderId="13" xfId="0" applyNumberFormat="1" applyFont="1" applyFill="1" applyBorder="1" applyAlignment="1" applyProtection="1">
      <alignment horizontal="left" vertical="top" wrapText="1"/>
      <protection hidden="1"/>
    </xf>
    <xf numFmtId="0" fontId="11" fillId="0" borderId="10" xfId="0" applyNumberFormat="1" applyFont="1" applyFill="1" applyBorder="1" applyAlignment="1" applyProtection="1">
      <alignment horizontal="left" vertical="top" wrapText="1"/>
      <protection hidden="1"/>
    </xf>
    <xf numFmtId="0" fontId="11" fillId="0" borderId="17" xfId="0" applyNumberFormat="1" applyFont="1" applyFill="1" applyBorder="1" applyAlignment="1" applyProtection="1">
      <alignment horizontal="left" vertical="top" wrapText="1"/>
      <protection hidden="1"/>
    </xf>
    <xf numFmtId="0" fontId="10" fillId="2" borderId="51" xfId="0"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hidden="1"/>
    </xf>
    <xf numFmtId="0" fontId="11" fillId="0" borderId="49" xfId="0" applyNumberFormat="1" applyFont="1" applyFill="1" applyBorder="1" applyAlignment="1" applyProtection="1">
      <alignment horizontal="left" vertical="top" wrapText="1"/>
      <protection hidden="1"/>
    </xf>
    <xf numFmtId="0" fontId="11" fillId="0" borderId="6" xfId="0" applyNumberFormat="1" applyFont="1" applyFill="1" applyBorder="1" applyAlignment="1" applyProtection="1">
      <alignment horizontal="left" vertical="top" wrapText="1"/>
      <protection hidden="1"/>
    </xf>
    <xf numFmtId="0" fontId="11" fillId="0" borderId="50" xfId="0" applyNumberFormat="1" applyFont="1" applyFill="1" applyBorder="1" applyAlignment="1" applyProtection="1">
      <alignment horizontal="left" vertical="top" wrapText="1"/>
      <protection hidden="1"/>
    </xf>
    <xf numFmtId="0" fontId="37" fillId="0" borderId="0" xfId="0" applyFont="1" applyBorder="1" applyAlignment="1" applyProtection="1">
      <alignment horizontal="left" vertical="center"/>
      <protection hidden="1"/>
    </xf>
    <xf numFmtId="0" fontId="37" fillId="0" borderId="10" xfId="0" applyFont="1" applyBorder="1" applyAlignment="1" applyProtection="1">
      <alignment horizontal="left" vertical="center"/>
      <protection hidden="1"/>
    </xf>
    <xf numFmtId="0" fontId="37" fillId="0" borderId="10" xfId="0" applyFont="1" applyBorder="1" applyAlignment="1" applyProtection="1">
      <alignment horizontal="center" vertical="center"/>
      <protection hidden="1"/>
    </xf>
    <xf numFmtId="0" fontId="19" fillId="0" borderId="0" xfId="0" applyFont="1" applyBorder="1" applyAlignment="1" applyProtection="1">
      <alignment horizontal="center" vertical="top"/>
      <protection hidden="1"/>
    </xf>
    <xf numFmtId="0" fontId="38" fillId="0" borderId="0" xfId="0" applyFont="1" applyFill="1" applyBorder="1" applyAlignment="1" applyProtection="1">
      <alignment vertical="center"/>
      <protection hidden="1"/>
    </xf>
    <xf numFmtId="0" fontId="32" fillId="0" borderId="0" xfId="0" applyFont="1" applyBorder="1" applyAlignment="1" applyProtection="1">
      <alignment horizontal="center"/>
      <protection hidden="1"/>
    </xf>
    <xf numFmtId="0" fontId="37" fillId="0" borderId="46" xfId="0" applyFont="1" applyBorder="1" applyAlignment="1" applyProtection="1">
      <alignment horizontal="left" vertical="center"/>
      <protection hidden="1"/>
    </xf>
    <xf numFmtId="0" fontId="38" fillId="0" borderId="10" xfId="0" applyFont="1" applyBorder="1" applyAlignment="1" applyProtection="1">
      <alignment horizontal="center" vertical="center"/>
      <protection hidden="1"/>
    </xf>
    <xf numFmtId="171" fontId="11" fillId="8" borderId="0" xfId="0" applyNumberFormat="1" applyFont="1" applyFill="1" applyBorder="1" applyAlignment="1" applyProtection="1">
      <alignment horizontal="center" vertical="center"/>
      <protection hidden="1"/>
    </xf>
    <xf numFmtId="171" fontId="11" fillId="8" borderId="6" xfId="0" applyNumberFormat="1" applyFont="1" applyFill="1" applyBorder="1" applyAlignment="1" applyProtection="1">
      <alignment horizontal="center" vertical="center"/>
      <protection hidden="1"/>
    </xf>
    <xf numFmtId="169" fontId="11" fillId="8" borderId="0" xfId="0" applyNumberFormat="1" applyFont="1" applyFill="1" applyBorder="1" applyAlignment="1" applyProtection="1">
      <alignment horizontal="center" vertical="center"/>
      <protection hidden="1"/>
    </xf>
    <xf numFmtId="169" fontId="11" fillId="8" borderId="6" xfId="0" applyNumberFormat="1" applyFont="1" applyFill="1" applyBorder="1" applyAlignment="1" applyProtection="1">
      <alignment horizontal="center" vertical="center"/>
      <protection hidden="1"/>
    </xf>
    <xf numFmtId="0" fontId="15" fillId="8" borderId="1" xfId="0" applyNumberFormat="1" applyFont="1" applyFill="1" applyBorder="1" applyAlignment="1" applyProtection="1">
      <alignment horizontal="center" vertical="center"/>
      <protection locked="0"/>
    </xf>
    <xf numFmtId="0" fontId="15" fillId="8" borderId="2" xfId="0" applyNumberFormat="1" applyFont="1" applyFill="1" applyBorder="1" applyAlignment="1" applyProtection="1">
      <alignment horizontal="center" vertical="center"/>
      <protection locked="0"/>
    </xf>
    <xf numFmtId="0" fontId="15" fillId="8" borderId="3" xfId="0" applyNumberFormat="1" applyFont="1" applyFill="1" applyBorder="1" applyAlignment="1" applyProtection="1">
      <alignment horizontal="center" vertical="center"/>
      <protection locked="0"/>
    </xf>
    <xf numFmtId="0" fontId="15" fillId="8" borderId="4" xfId="0" applyNumberFormat="1" applyFont="1" applyFill="1" applyBorder="1" applyAlignment="1" applyProtection="1">
      <alignment horizontal="center" vertical="center"/>
      <protection locked="0"/>
    </xf>
    <xf numFmtId="0" fontId="15" fillId="8" borderId="0" xfId="0" applyNumberFormat="1" applyFont="1" applyFill="1" applyBorder="1" applyAlignment="1" applyProtection="1">
      <alignment horizontal="center" vertical="center"/>
      <protection locked="0"/>
    </xf>
    <xf numFmtId="0" fontId="15" fillId="8" borderId="5" xfId="0" applyNumberFormat="1" applyFont="1" applyFill="1" applyBorder="1" applyAlignment="1" applyProtection="1">
      <alignment horizontal="center" vertical="center"/>
      <protection locked="0"/>
    </xf>
    <xf numFmtId="0" fontId="15" fillId="8" borderId="7" xfId="0" applyNumberFormat="1" applyFont="1" applyFill="1" applyBorder="1" applyAlignment="1" applyProtection="1">
      <alignment horizontal="center" vertical="center"/>
      <protection locked="0"/>
    </xf>
    <xf numFmtId="0" fontId="15" fillId="8" borderId="6" xfId="0" applyNumberFormat="1" applyFont="1" applyFill="1" applyBorder="1" applyAlignment="1" applyProtection="1">
      <alignment horizontal="center" vertical="center"/>
      <protection locked="0"/>
    </xf>
    <xf numFmtId="0" fontId="15" fillId="8" borderId="8" xfId="0" applyNumberFormat="1" applyFont="1" applyFill="1" applyBorder="1" applyAlignment="1" applyProtection="1">
      <alignment horizontal="center" vertical="center"/>
      <protection locked="0"/>
    </xf>
    <xf numFmtId="0" fontId="15" fillId="8" borderId="1" xfId="0" applyNumberFormat="1" applyFont="1" applyFill="1" applyBorder="1" applyAlignment="1" applyProtection="1">
      <alignment horizontal="center" vertical="center"/>
      <protection hidden="1"/>
    </xf>
    <xf numFmtId="0" fontId="15" fillId="8" borderId="2" xfId="0" applyNumberFormat="1" applyFont="1" applyFill="1" applyBorder="1" applyAlignment="1" applyProtection="1">
      <alignment horizontal="center" vertical="center"/>
      <protection hidden="1"/>
    </xf>
    <xf numFmtId="0" fontId="15" fillId="8" borderId="3" xfId="0" applyNumberFormat="1" applyFont="1" applyFill="1" applyBorder="1" applyAlignment="1" applyProtection="1">
      <alignment horizontal="center" vertical="center"/>
      <protection hidden="1"/>
    </xf>
    <xf numFmtId="0" fontId="15" fillId="8" borderId="4" xfId="0" applyNumberFormat="1" applyFont="1" applyFill="1" applyBorder="1" applyAlignment="1" applyProtection="1">
      <alignment horizontal="center" vertical="center"/>
      <protection hidden="1"/>
    </xf>
    <xf numFmtId="0" fontId="15" fillId="8" borderId="0" xfId="0" applyNumberFormat="1" applyFont="1" applyFill="1" applyBorder="1" applyAlignment="1" applyProtection="1">
      <alignment horizontal="center" vertical="center"/>
      <protection hidden="1"/>
    </xf>
    <xf numFmtId="0" fontId="15" fillId="8" borderId="5" xfId="0" applyNumberFormat="1" applyFont="1" applyFill="1" applyBorder="1" applyAlignment="1" applyProtection="1">
      <alignment horizontal="center" vertical="center"/>
      <protection hidden="1"/>
    </xf>
    <xf numFmtId="0" fontId="15" fillId="8" borderId="7" xfId="0" applyNumberFormat="1" applyFont="1" applyFill="1" applyBorder="1" applyAlignment="1" applyProtection="1">
      <alignment horizontal="center" vertical="center"/>
      <protection hidden="1"/>
    </xf>
    <xf numFmtId="0" fontId="15" fillId="8" borderId="6" xfId="0" applyNumberFormat="1" applyFont="1" applyFill="1" applyBorder="1" applyAlignment="1" applyProtection="1">
      <alignment horizontal="center" vertical="center"/>
      <protection hidden="1"/>
    </xf>
    <xf numFmtId="0" fontId="15" fillId="8" borderId="8" xfId="0" applyNumberFormat="1" applyFont="1" applyFill="1" applyBorder="1" applyAlignment="1" applyProtection="1">
      <alignment horizontal="center" vertical="center"/>
      <protection hidden="1"/>
    </xf>
    <xf numFmtId="0" fontId="11" fillId="0" borderId="0" xfId="0" applyFont="1" applyFill="1" applyBorder="1" applyAlignment="1" applyProtection="1">
      <alignment horizontal="right" vertical="center"/>
      <protection hidden="1"/>
    </xf>
    <xf numFmtId="0" fontId="11" fillId="0" borderId="11"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35" fillId="0" borderId="0" xfId="0" applyFont="1" applyBorder="1" applyAlignment="1" applyProtection="1">
      <alignment horizontal="center"/>
      <protection hidden="1"/>
    </xf>
    <xf numFmtId="0" fontId="11" fillId="0" borderId="11"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0"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35" fillId="0" borderId="0" xfId="0" applyFont="1" applyFill="1" applyBorder="1" applyAlignment="1" applyProtection="1">
      <alignment horizontal="center"/>
      <protection hidden="1"/>
    </xf>
    <xf numFmtId="0" fontId="37" fillId="0" borderId="2" xfId="0" applyFont="1" applyBorder="1" applyAlignment="1" applyProtection="1">
      <alignment horizontal="center" vertical="top"/>
      <protection hidden="1"/>
    </xf>
    <xf numFmtId="0" fontId="37" fillId="0" borderId="0" xfId="0" applyFont="1" applyBorder="1" applyAlignment="1" applyProtection="1">
      <alignment horizontal="center" vertical="top"/>
      <protection hidden="1"/>
    </xf>
    <xf numFmtId="0" fontId="37" fillId="0" borderId="0" xfId="0" applyFont="1" applyBorder="1" applyAlignment="1" applyProtection="1">
      <alignment horizontal="right" vertical="top"/>
      <protection hidden="1"/>
    </xf>
    <xf numFmtId="0" fontId="35" fillId="0" borderId="0" xfId="0" applyFont="1" applyFill="1" applyBorder="1" applyAlignment="1" applyProtection="1">
      <alignment horizontal="right"/>
      <protection hidden="1"/>
    </xf>
    <xf numFmtId="0" fontId="76" fillId="0" borderId="0" xfId="0" applyFont="1" applyBorder="1" applyAlignment="1" applyProtection="1">
      <alignment horizontal="center" vertical="center"/>
      <protection hidden="1"/>
    </xf>
    <xf numFmtId="166" fontId="11" fillId="0" borderId="0" xfId="0" applyNumberFormat="1" applyFont="1" applyFill="1" applyBorder="1" applyAlignment="1" applyProtection="1">
      <alignment horizontal="left"/>
      <protection hidden="1"/>
    </xf>
    <xf numFmtId="0" fontId="5" fillId="0" borderId="0" xfId="0" applyFont="1" applyBorder="1" applyAlignment="1" applyProtection="1">
      <alignment horizontal="center" vertical="center" shrinkToFit="1"/>
      <protection hidden="1"/>
    </xf>
    <xf numFmtId="0" fontId="5" fillId="0" borderId="10" xfId="0" applyFont="1" applyBorder="1" applyAlignment="1" applyProtection="1">
      <alignment horizontal="center" vertical="center" shrinkToFit="1"/>
      <protection hidden="1"/>
    </xf>
    <xf numFmtId="0" fontId="37" fillId="0" borderId="12" xfId="0" applyFont="1" applyFill="1" applyBorder="1" applyAlignment="1" applyProtection="1">
      <alignment horizontal="left" vertical="center"/>
      <protection hidden="1"/>
    </xf>
    <xf numFmtId="0" fontId="5" fillId="0" borderId="0" xfId="0" applyFont="1" applyFill="1" applyBorder="1" applyAlignment="1" applyProtection="1">
      <alignment horizontal="left" vertical="center" shrinkToFit="1"/>
      <protection hidden="1"/>
    </xf>
    <xf numFmtId="0" fontId="5" fillId="0" borderId="10" xfId="0" applyFont="1" applyFill="1" applyBorder="1" applyAlignment="1" applyProtection="1">
      <alignment horizontal="left" vertical="center" shrinkToFit="1"/>
      <protection hidden="1"/>
    </xf>
    <xf numFmtId="0" fontId="37" fillId="0" borderId="0" xfId="1" applyFont="1" applyFill="1" applyBorder="1" applyAlignment="1" applyProtection="1">
      <alignment horizontal="left" vertical="center"/>
      <protection hidden="1"/>
    </xf>
    <xf numFmtId="0" fontId="37" fillId="0" borderId="12" xfId="1" applyFont="1" applyFill="1" applyBorder="1" applyAlignment="1" applyProtection="1">
      <alignment horizontal="left" vertical="center"/>
      <protection hidden="1"/>
    </xf>
    <xf numFmtId="168" fontId="11" fillId="8" borderId="0" xfId="0" applyNumberFormat="1" applyFont="1" applyFill="1" applyBorder="1" applyAlignment="1" applyProtection="1">
      <alignment horizontal="center" vertical="center"/>
      <protection hidden="1"/>
    </xf>
    <xf numFmtId="168" fontId="11" fillId="8" borderId="6" xfId="0" applyNumberFormat="1" applyFont="1" applyFill="1" applyBorder="1" applyAlignment="1" applyProtection="1">
      <alignment horizontal="center" vertical="center"/>
      <protection hidden="1"/>
    </xf>
    <xf numFmtId="170" fontId="11" fillId="8" borderId="0" xfId="0" applyNumberFormat="1" applyFont="1" applyFill="1" applyBorder="1" applyAlignment="1" applyProtection="1">
      <alignment horizontal="center" vertical="center"/>
      <protection hidden="1"/>
    </xf>
    <xf numFmtId="170" fontId="11" fillId="8" borderId="6"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shrinkToFit="1"/>
      <protection hidden="1"/>
    </xf>
    <xf numFmtId="0" fontId="5" fillId="0" borderId="10" xfId="0" applyFont="1" applyFill="1" applyBorder="1" applyAlignment="1" applyProtection="1">
      <alignment horizontal="center" vertical="center" shrinkToFit="1"/>
      <protection hidden="1"/>
    </xf>
    <xf numFmtId="164" fontId="5" fillId="0" borderId="0" xfId="0" applyNumberFormat="1" applyFont="1" applyFill="1" applyBorder="1" applyAlignment="1" applyProtection="1">
      <alignment horizontal="center" vertical="center"/>
      <protection hidden="1"/>
    </xf>
    <xf numFmtId="164" fontId="5" fillId="0" borderId="10" xfId="0" applyNumberFormat="1" applyFont="1" applyFill="1" applyBorder="1" applyAlignment="1" applyProtection="1">
      <alignment horizontal="center" vertical="center"/>
      <protection hidden="1"/>
    </xf>
    <xf numFmtId="0" fontId="37" fillId="0" borderId="12" xfId="0" applyFont="1" applyFill="1" applyBorder="1" applyAlignment="1" applyProtection="1">
      <alignment horizontal="center" vertical="center"/>
      <protection hidden="1"/>
    </xf>
    <xf numFmtId="0" fontId="37" fillId="0" borderId="12" xfId="0" applyFont="1" applyBorder="1" applyAlignment="1" applyProtection="1">
      <alignment horizontal="center" vertical="center"/>
      <protection hidden="1"/>
    </xf>
    <xf numFmtId="0" fontId="5" fillId="0" borderId="0" xfId="0" applyNumberFormat="1" applyFont="1" applyFill="1" applyBorder="1" applyAlignment="1" applyProtection="1">
      <alignment horizontal="center" vertical="center" shrinkToFit="1"/>
      <protection hidden="1"/>
    </xf>
    <xf numFmtId="0" fontId="5" fillId="0" borderId="10" xfId="0" applyNumberFormat="1" applyFont="1" applyFill="1" applyBorder="1" applyAlignment="1" applyProtection="1">
      <alignment horizontal="center" vertical="center" shrinkToFit="1"/>
      <protection hidden="1"/>
    </xf>
    <xf numFmtId="0" fontId="36" fillId="0" borderId="0" xfId="0" applyFont="1" applyBorder="1" applyAlignment="1" applyProtection="1">
      <alignment horizontal="center"/>
      <protection hidden="1"/>
    </xf>
    <xf numFmtId="0" fontId="19" fillId="0" borderId="0" xfId="0" applyFont="1" applyBorder="1" applyAlignment="1" applyProtection="1">
      <alignment horizontal="center" vertical="center"/>
      <protection hidden="1"/>
    </xf>
    <xf numFmtId="0" fontId="61" fillId="0" borderId="0" xfId="1" applyNumberFormat="1" applyFont="1" applyFill="1" applyBorder="1" applyAlignment="1" applyProtection="1">
      <alignment horizontal="right"/>
      <protection hidden="1"/>
    </xf>
    <xf numFmtId="0" fontId="61" fillId="0" borderId="10" xfId="1" applyNumberFormat="1" applyFont="1" applyFill="1" applyBorder="1" applyAlignment="1" applyProtection="1">
      <alignment horizontal="right"/>
      <protection hidden="1"/>
    </xf>
    <xf numFmtId="0" fontId="37" fillId="0" borderId="1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174" fontId="60" fillId="0" borderId="0" xfId="1" applyNumberFormat="1" applyFont="1" applyFill="1" applyBorder="1" applyAlignment="1" applyProtection="1">
      <alignment horizontal="left"/>
      <protection hidden="1"/>
    </xf>
    <xf numFmtId="174" fontId="60" fillId="0" borderId="10" xfId="1" applyNumberFormat="1" applyFont="1" applyFill="1" applyBorder="1" applyAlignment="1" applyProtection="1">
      <alignment horizontal="left"/>
      <protection hidden="1"/>
    </xf>
    <xf numFmtId="0" fontId="61" fillId="0" borderId="0" xfId="1" applyNumberFormat="1" applyFont="1" applyFill="1" applyBorder="1" applyAlignment="1" applyProtection="1">
      <alignment horizontal="center"/>
      <protection hidden="1"/>
    </xf>
    <xf numFmtId="0" fontId="61" fillId="0" borderId="10" xfId="1" applyNumberFormat="1" applyFont="1" applyFill="1" applyBorder="1" applyAlignment="1" applyProtection="1">
      <alignment horizontal="center"/>
      <protection hidden="1"/>
    </xf>
    <xf numFmtId="0" fontId="35" fillId="0" borderId="0" xfId="0" applyFont="1" applyAlignment="1" applyProtection="1">
      <alignment horizontal="left" wrapText="1"/>
      <protection hidden="1"/>
    </xf>
    <xf numFmtId="0" fontId="35" fillId="0" borderId="10" xfId="0" applyFont="1" applyBorder="1" applyAlignment="1" applyProtection="1">
      <alignment horizontal="left" wrapText="1"/>
      <protection hidden="1"/>
    </xf>
    <xf numFmtId="0" fontId="35" fillId="0" borderId="0" xfId="1" applyFont="1" applyFill="1" applyBorder="1" applyAlignment="1" applyProtection="1">
      <alignment horizontal="left" wrapText="1"/>
      <protection hidden="1"/>
    </xf>
    <xf numFmtId="0" fontId="35" fillId="0" borderId="10" xfId="1" applyFont="1" applyFill="1" applyBorder="1" applyAlignment="1" applyProtection="1">
      <alignment horizontal="left" wrapText="1"/>
      <protection hidden="1"/>
    </xf>
    <xf numFmtId="0" fontId="38" fillId="0" borderId="12" xfId="0" applyFont="1" applyBorder="1" applyAlignment="1" applyProtection="1">
      <alignment horizontal="center" vertical="center"/>
      <protection hidden="1"/>
    </xf>
    <xf numFmtId="0" fontId="67" fillId="0" borderId="0" xfId="0" applyFont="1" applyBorder="1" applyAlignment="1" applyProtection="1">
      <alignment horizontal="center" vertical="top"/>
      <protection hidden="1"/>
    </xf>
    <xf numFmtId="0" fontId="61" fillId="0" borderId="0" xfId="1" applyFont="1" applyFill="1" applyBorder="1" applyAlignment="1" applyProtection="1">
      <alignment horizontal="left" shrinkToFit="1"/>
      <protection hidden="1"/>
    </xf>
    <xf numFmtId="0" fontId="61" fillId="0" borderId="10" xfId="1" applyFont="1" applyFill="1" applyBorder="1" applyAlignment="1" applyProtection="1">
      <alignment horizontal="left" shrinkToFit="1"/>
      <protection hidden="1"/>
    </xf>
    <xf numFmtId="0" fontId="41" fillId="0" borderId="0" xfId="1" applyFont="1" applyFill="1" applyBorder="1" applyAlignment="1" applyProtection="1">
      <alignment horizontal="left" shrinkToFit="1"/>
      <protection hidden="1"/>
    </xf>
    <xf numFmtId="0" fontId="41" fillId="0" borderId="10" xfId="1" applyFont="1" applyFill="1" applyBorder="1" applyAlignment="1" applyProtection="1">
      <alignment horizontal="left" shrinkToFit="1"/>
      <protection hidden="1"/>
    </xf>
    <xf numFmtId="49" fontId="77" fillId="6" borderId="0" xfId="0" applyNumberFormat="1" applyFont="1" applyFill="1" applyBorder="1" applyAlignment="1" applyProtection="1">
      <alignment horizontal="center" vertical="center"/>
      <protection hidden="1"/>
    </xf>
    <xf numFmtId="0" fontId="77" fillId="6" borderId="0" xfId="0" applyFont="1" applyFill="1" applyBorder="1" applyAlignment="1" applyProtection="1">
      <alignment horizontal="center" vertical="center"/>
      <protection hidden="1"/>
    </xf>
    <xf numFmtId="0" fontId="35" fillId="0" borderId="0" xfId="1" applyFont="1" applyBorder="1" applyAlignment="1" applyProtection="1">
      <alignment horizontal="left" wrapText="1"/>
      <protection hidden="1"/>
    </xf>
    <xf numFmtId="0" fontId="35" fillId="0" borderId="10" xfId="1" applyFont="1" applyBorder="1" applyAlignment="1" applyProtection="1">
      <alignment horizontal="left" wrapText="1"/>
      <protection hidden="1"/>
    </xf>
    <xf numFmtId="0" fontId="11" fillId="0" borderId="15" xfId="0" applyNumberFormat="1" applyFont="1" applyFill="1" applyBorder="1" applyAlignment="1" applyProtection="1">
      <alignment horizontal="left" vertical="center" wrapText="1"/>
      <protection hidden="1"/>
    </xf>
    <xf numFmtId="0" fontId="11" fillId="0" borderId="0" xfId="0" applyNumberFormat="1" applyFont="1" applyFill="1" applyBorder="1" applyAlignment="1" applyProtection="1">
      <alignment horizontal="left" vertical="center" wrapText="1"/>
      <protection hidden="1"/>
    </xf>
    <xf numFmtId="0" fontId="11" fillId="0" borderId="16" xfId="0" applyNumberFormat="1" applyFont="1" applyFill="1" applyBorder="1" applyAlignment="1" applyProtection="1">
      <alignment horizontal="left" vertical="center" wrapText="1"/>
      <protection hidden="1"/>
    </xf>
    <xf numFmtId="0" fontId="11" fillId="0" borderId="13" xfId="0" applyNumberFormat="1" applyFont="1" applyFill="1" applyBorder="1" applyAlignment="1" applyProtection="1">
      <alignment horizontal="left" vertical="center" wrapText="1"/>
      <protection hidden="1"/>
    </xf>
    <xf numFmtId="0" fontId="11" fillId="0" borderId="10" xfId="0" applyNumberFormat="1" applyFont="1" applyFill="1" applyBorder="1" applyAlignment="1" applyProtection="1">
      <alignment horizontal="left" vertical="center" wrapText="1"/>
      <protection hidden="1"/>
    </xf>
    <xf numFmtId="0" fontId="11" fillId="0" borderId="17" xfId="0" applyNumberFormat="1" applyFont="1" applyFill="1" applyBorder="1" applyAlignment="1" applyProtection="1">
      <alignment horizontal="left" vertical="center" wrapText="1"/>
      <protection hidden="1"/>
    </xf>
    <xf numFmtId="0" fontId="11" fillId="0" borderId="0" xfId="0" applyNumberFormat="1" applyFont="1" applyFill="1" applyBorder="1" applyAlignment="1" applyProtection="1">
      <alignment horizontal="left" wrapText="1"/>
      <protection hidden="1"/>
    </xf>
    <xf numFmtId="0" fontId="11" fillId="0" borderId="0" xfId="0" applyNumberFormat="1" applyFont="1" applyFill="1" applyBorder="1" applyAlignment="1" applyProtection="1">
      <alignment horizontal="center" wrapText="1"/>
      <protection hidden="1"/>
    </xf>
    <xf numFmtId="0" fontId="3" fillId="0" borderId="11" xfId="0" applyNumberFormat="1" applyFont="1" applyFill="1" applyBorder="1" applyAlignment="1" applyProtection="1">
      <alignment horizontal="center" vertical="center" wrapText="1"/>
      <protection locked="0"/>
    </xf>
    <xf numFmtId="0" fontId="3" fillId="0" borderId="12" xfId="0" applyNumberFormat="1" applyFont="1" applyFill="1" applyBorder="1" applyAlignment="1" applyProtection="1">
      <alignment horizontal="center" vertical="center" wrapText="1"/>
      <protection locked="0"/>
    </xf>
    <xf numFmtId="0" fontId="3" fillId="0" borderId="14"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3" fillId="0" borderId="13"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0" fillId="2" borderId="13"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7" xfId="0" applyFont="1" applyFill="1" applyBorder="1" applyAlignment="1" applyProtection="1">
      <alignment horizontal="center" vertical="center"/>
      <protection hidden="1"/>
    </xf>
    <xf numFmtId="0" fontId="10" fillId="2" borderId="5" xfId="0" applyFont="1" applyFill="1" applyBorder="1" applyAlignment="1" applyProtection="1">
      <alignment horizontal="center" vertical="center"/>
      <protection hidden="1"/>
    </xf>
    <xf numFmtId="0" fontId="11" fillId="0" borderId="15" xfId="0" applyNumberFormat="1" applyFont="1" applyFill="1" applyBorder="1" applyAlignment="1" applyProtection="1">
      <alignment horizontal="center" wrapText="1"/>
      <protection hidden="1"/>
    </xf>
    <xf numFmtId="0" fontId="11" fillId="0" borderId="16" xfId="0" applyNumberFormat="1" applyFont="1" applyFill="1" applyBorder="1" applyAlignment="1" applyProtection="1">
      <alignment horizontal="left" wrapText="1"/>
      <protection hidden="1"/>
    </xf>
    <xf numFmtId="0" fontId="11" fillId="0" borderId="12" xfId="0" applyNumberFormat="1" applyFont="1" applyFill="1" applyBorder="1" applyAlignment="1" applyProtection="1">
      <alignment horizontal="left" vertical="center"/>
      <protection locked="0"/>
    </xf>
    <xf numFmtId="0" fontId="11" fillId="0" borderId="0"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top" wrapText="1"/>
      <protection locked="0"/>
    </xf>
    <xf numFmtId="0" fontId="11" fillId="0" borderId="0" xfId="0" quotePrefix="1" applyNumberFormat="1" applyFont="1" applyFill="1" applyBorder="1" applyAlignment="1" applyProtection="1">
      <alignment horizontal="left" vertical="center"/>
      <protection locked="0"/>
    </xf>
    <xf numFmtId="0" fontId="11" fillId="0" borderId="11" xfId="0" applyNumberFormat="1" applyFont="1" applyFill="1" applyBorder="1" applyAlignment="1" applyProtection="1">
      <alignment horizontal="left" vertical="top" wrapText="1"/>
      <protection hidden="1"/>
    </xf>
    <xf numFmtId="0" fontId="11" fillId="0" borderId="12" xfId="0" applyNumberFormat="1" applyFont="1" applyFill="1" applyBorder="1" applyAlignment="1" applyProtection="1">
      <alignment horizontal="left" vertical="top" wrapText="1"/>
      <protection hidden="1"/>
    </xf>
    <xf numFmtId="0" fontId="11" fillId="0" borderId="14" xfId="0" applyNumberFormat="1" applyFont="1" applyFill="1" applyBorder="1" applyAlignment="1" applyProtection="1">
      <alignment horizontal="left" vertical="top" wrapText="1"/>
      <protection hidden="1"/>
    </xf>
    <xf numFmtId="0" fontId="11" fillId="0" borderId="11" xfId="0" applyNumberFormat="1" applyFont="1" applyFill="1" applyBorder="1" applyAlignment="1" applyProtection="1">
      <alignment horizontal="center" vertical="center"/>
      <protection locked="0"/>
    </xf>
    <xf numFmtId="0" fontId="11" fillId="0" borderId="12"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6" xfId="0" applyNumberFormat="1" applyFont="1" applyFill="1" applyBorder="1" applyAlignment="1" applyProtection="1">
      <alignment horizontal="center" vertical="center"/>
      <protection locked="0"/>
    </xf>
    <xf numFmtId="0" fontId="11" fillId="0" borderId="13" xfId="0" applyNumberFormat="1" applyFont="1" applyFill="1" applyBorder="1" applyAlignment="1" applyProtection="1">
      <alignment horizontal="center" vertical="center"/>
      <protection locked="0"/>
    </xf>
    <xf numFmtId="0" fontId="11" fillId="0" borderId="10" xfId="0" applyNumberFormat="1" applyFont="1" applyFill="1" applyBorder="1" applyAlignment="1" applyProtection="1">
      <alignment horizontal="center" vertical="center"/>
      <protection locked="0"/>
    </xf>
    <xf numFmtId="0" fontId="11" fillId="0" borderId="17" xfId="0" applyNumberFormat="1" applyFont="1" applyFill="1" applyBorder="1" applyAlignment="1" applyProtection="1">
      <alignment horizontal="center" vertical="center"/>
      <protection locked="0"/>
    </xf>
  </cellXfs>
  <cellStyles count="4">
    <cellStyle name="Hyperlink" xfId="2" builtinId="8"/>
    <cellStyle name="Normal" xfId="0" builtinId="0"/>
    <cellStyle name="Normal 2" xfId="1"/>
    <cellStyle name="Percent" xfId="3" builtinId="5"/>
  </cellStyles>
  <dxfs count="101">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b/>
        <i val="0"/>
        <color theme="0"/>
      </font>
      <fill>
        <patternFill>
          <bgColor rgb="FFC00000"/>
        </patternFill>
      </fill>
    </dxf>
    <dxf>
      <border>
        <left style="thin">
          <color rgb="FFC00000"/>
        </left>
        <right style="thin">
          <color rgb="FFC00000"/>
        </right>
        <top style="thin">
          <color rgb="FFC00000"/>
        </top>
        <bottom style="thin">
          <color rgb="FFC00000"/>
        </bottom>
        <vertical/>
        <horizontal/>
      </border>
    </dxf>
    <dxf>
      <border>
        <left style="thin">
          <color theme="9"/>
        </left>
        <right style="thin">
          <color theme="9"/>
        </right>
        <top style="thin">
          <color theme="9"/>
        </top>
        <bottom style="thin">
          <color theme="9"/>
        </bottom>
        <vertical/>
        <horizontal/>
      </border>
    </dxf>
    <dxf>
      <font>
        <b/>
        <i val="0"/>
        <color theme="0"/>
      </font>
      <fill>
        <patternFill>
          <bgColor theme="9"/>
        </patternFill>
      </fill>
    </dxf>
    <dxf>
      <font>
        <color theme="0"/>
      </font>
      <fill>
        <patternFill>
          <bgColor rgb="FF7030A0"/>
        </patternFill>
      </fill>
    </dxf>
    <dxf>
      <font>
        <color theme="0"/>
      </font>
      <fill>
        <patternFill>
          <bgColor theme="9"/>
        </patternFill>
      </fill>
    </dxf>
    <dxf>
      <font>
        <color theme="0"/>
      </font>
      <fill>
        <patternFill>
          <bgColor theme="5"/>
        </patternFill>
      </fill>
    </dxf>
    <dxf>
      <font>
        <color theme="0"/>
      </font>
      <fill>
        <patternFill>
          <bgColor theme="7"/>
        </patternFill>
      </fill>
    </dxf>
    <dxf>
      <font>
        <color theme="0"/>
      </font>
      <fill>
        <patternFill>
          <bgColor theme="8"/>
        </patternFill>
      </fill>
    </dxf>
    <dxf>
      <font>
        <color theme="0"/>
      </font>
    </dxf>
    <dxf>
      <font>
        <color theme="0"/>
      </font>
    </dxf>
    <dxf>
      <font>
        <color theme="0"/>
      </font>
    </dxf>
    <dxf>
      <font>
        <color theme="0"/>
      </font>
    </dxf>
    <dxf>
      <font>
        <color theme="0"/>
      </font>
    </dxf>
    <dxf>
      <font>
        <color theme="0"/>
      </font>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color theme="1"/>
      </font>
    </dxf>
    <dxf>
      <font>
        <color theme="1"/>
      </font>
      <fill>
        <patternFill>
          <bgColor rgb="FFFFFFCC"/>
        </patternFill>
      </fill>
    </dxf>
    <dxf>
      <font>
        <color theme="1"/>
      </font>
    </dxf>
    <dxf>
      <font>
        <color theme="1"/>
      </font>
      <fill>
        <patternFill>
          <bgColor rgb="FFFFFFCC"/>
        </patternFill>
      </fill>
    </dxf>
    <dxf>
      <font>
        <color theme="1"/>
      </font>
    </dxf>
    <dxf>
      <font>
        <color theme="1"/>
      </font>
    </dxf>
    <dxf>
      <font>
        <color theme="1"/>
      </font>
      <fill>
        <patternFill>
          <bgColor rgb="FFFFFFCC"/>
        </patternFill>
      </fill>
    </dxf>
    <dxf>
      <font>
        <color theme="1"/>
      </font>
    </dxf>
    <dxf>
      <font>
        <color theme="1"/>
      </font>
    </dxf>
    <dxf>
      <font>
        <color theme="1"/>
      </font>
    </dxf>
    <dxf>
      <font>
        <b/>
        <i val="0"/>
        <color theme="0"/>
      </font>
      <fill>
        <patternFill>
          <bgColor rgb="FFFF0000"/>
        </patternFill>
      </fill>
    </dxf>
    <dxf>
      <font>
        <b/>
        <i val="0"/>
        <color rgb="FFFF0000"/>
      </font>
    </dxf>
    <dxf>
      <font>
        <b/>
        <i val="0"/>
        <color theme="0"/>
      </font>
      <fill>
        <patternFill>
          <bgColor rgb="FFFF0000"/>
        </patternFill>
      </fill>
    </dxf>
    <dxf>
      <font>
        <b val="0"/>
        <i val="0"/>
        <color theme="1"/>
      </font>
      <fill>
        <patternFill>
          <bgColor rgb="FFFFFFCC"/>
        </patternFill>
      </fill>
    </dxf>
    <dxf>
      <font>
        <b val="0"/>
        <i val="0"/>
        <color theme="1"/>
      </font>
    </dxf>
    <dxf>
      <font>
        <color theme="1"/>
      </font>
      <fill>
        <patternFill>
          <bgColor rgb="FFFFFFCC"/>
        </patternFill>
      </fill>
    </dxf>
    <dxf>
      <font>
        <color theme="1"/>
      </font>
    </dxf>
    <dxf>
      <font>
        <color auto="1"/>
      </font>
      <fill>
        <patternFill>
          <bgColor rgb="FFFFFFCC"/>
        </patternFill>
      </fill>
    </dxf>
    <dxf>
      <font>
        <color auto="1"/>
      </font>
    </dxf>
    <dxf>
      <font>
        <color theme="1"/>
      </font>
      <fill>
        <patternFill>
          <bgColor rgb="FFFFFFCC"/>
        </patternFill>
      </fill>
    </dxf>
    <dxf>
      <font>
        <color theme="1"/>
      </font>
    </dxf>
    <dxf>
      <font>
        <color theme="1"/>
      </font>
      <fill>
        <patternFill>
          <bgColor rgb="FFFFFFCC"/>
        </patternFill>
      </fill>
    </dxf>
    <dxf>
      <font>
        <color theme="1"/>
      </font>
    </dxf>
    <dxf>
      <font>
        <color theme="1"/>
      </font>
      <fill>
        <patternFill>
          <bgColor rgb="FFFFFFCC"/>
        </patternFill>
      </fill>
    </dxf>
    <dxf>
      <font>
        <color theme="1"/>
      </font>
    </dxf>
    <dxf>
      <font>
        <color theme="1"/>
      </font>
      <fill>
        <patternFill>
          <bgColor rgb="FFFFFFCC"/>
        </patternFill>
      </fill>
    </dxf>
    <dxf>
      <font>
        <color theme="1"/>
      </font>
    </dxf>
    <dxf>
      <font>
        <color theme="1"/>
      </font>
      <fill>
        <patternFill>
          <bgColor rgb="FFFFFFCC"/>
        </patternFill>
      </fill>
    </dxf>
    <dxf>
      <font>
        <color theme="1"/>
      </font>
    </dxf>
    <dxf>
      <font>
        <color theme="1"/>
      </font>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1"/>
      </font>
    </dxf>
    <dxf>
      <font>
        <color theme="1"/>
      </font>
      <fill>
        <patternFill>
          <bgColor rgb="FFFFFFCC"/>
        </patternFill>
      </fill>
    </dxf>
    <dxf>
      <font>
        <color theme="1"/>
      </font>
    </dxf>
    <dxf>
      <font>
        <color theme="1"/>
      </font>
      <fill>
        <patternFill>
          <bgColor rgb="FFFFFFCC"/>
        </patternFill>
      </fill>
    </dxf>
    <dxf>
      <font>
        <color theme="1"/>
      </font>
    </dxf>
    <dxf>
      <font>
        <color theme="1"/>
      </font>
    </dxf>
    <dxf>
      <font>
        <color theme="1"/>
      </font>
      <fill>
        <patternFill>
          <bgColor rgb="FFFFFFCC"/>
        </patternFill>
      </fill>
    </dxf>
    <dxf>
      <font>
        <color theme="1"/>
      </font>
      <fill>
        <patternFill>
          <bgColor rgb="FFFFFFCC"/>
        </patternFill>
      </fill>
    </dxf>
    <dxf>
      <font>
        <color theme="1"/>
      </font>
    </dxf>
    <dxf>
      <font>
        <color theme="1"/>
      </font>
      <fill>
        <patternFill>
          <bgColor rgb="FFFFFFCC"/>
        </patternFill>
      </fill>
    </dxf>
    <dxf>
      <font>
        <color theme="1"/>
      </font>
    </dxf>
    <dxf>
      <font>
        <b/>
        <i val="0"/>
        <color theme="0"/>
      </font>
      <fill>
        <patternFill patternType="solid">
          <fgColor auto="1"/>
          <bgColor rgb="FF00B050"/>
        </patternFill>
      </fill>
    </dxf>
    <dxf>
      <font>
        <b/>
        <i val="0"/>
        <color theme="0"/>
      </font>
      <fill>
        <patternFill patternType="solid">
          <fgColor auto="1"/>
          <bgColor rgb="FF00B050"/>
        </patternFill>
      </fill>
    </dxf>
    <dxf>
      <font>
        <b/>
        <i val="0"/>
        <color theme="0"/>
      </font>
      <fill>
        <patternFill patternType="solid">
          <fgColor auto="1"/>
          <bgColor rgb="FF00B050"/>
        </patternFill>
      </fill>
    </dxf>
    <dxf>
      <font>
        <b/>
        <i val="0"/>
        <color theme="0"/>
      </font>
      <fill>
        <patternFill patternType="solid">
          <fgColor auto="1"/>
          <bgColor rgb="FF00B050"/>
        </patternFill>
      </fill>
    </dxf>
    <dxf>
      <font>
        <b/>
        <i val="0"/>
        <color theme="0"/>
      </font>
      <fill>
        <patternFill patternType="solid">
          <fgColor auto="1"/>
          <bgColor rgb="FF00B050"/>
        </patternFill>
      </fill>
    </dxf>
    <dxf>
      <font>
        <b/>
        <i val="0"/>
        <color theme="0"/>
      </font>
      <fill>
        <patternFill patternType="solid">
          <fgColor auto="1"/>
          <bgColor rgb="FF00B050"/>
        </patternFill>
      </fill>
    </dxf>
    <dxf>
      <font>
        <b/>
        <i val="0"/>
        <color theme="0"/>
      </font>
      <fill>
        <patternFill patternType="solid">
          <fgColor auto="1"/>
          <bgColor rgb="FF00B050"/>
        </patternFill>
      </fill>
    </dxf>
    <dxf>
      <font>
        <b/>
        <i val="0"/>
        <color theme="0"/>
      </font>
      <fill>
        <patternFill>
          <bgColor rgb="FFFF0000"/>
        </patternFill>
      </fill>
    </dxf>
    <dxf>
      <font>
        <b/>
        <i val="0"/>
        <color theme="0"/>
      </font>
      <fill>
        <patternFill>
          <bgColor rgb="FF00B050"/>
        </patternFill>
      </fill>
    </dxf>
    <dxf>
      <font>
        <color theme="1"/>
      </font>
      <fill>
        <patternFill>
          <bgColor rgb="FFFFFFCC"/>
        </patternFill>
      </fill>
    </dxf>
    <dxf>
      <font>
        <b/>
        <i val="0"/>
        <color theme="8"/>
      </font>
    </dxf>
    <dxf>
      <font>
        <color theme="1"/>
      </font>
    </dxf>
    <dxf>
      <font>
        <color theme="1"/>
      </font>
      <fill>
        <patternFill>
          <bgColor rgb="FFFFFFCC"/>
        </patternFill>
      </fill>
    </dxf>
    <dxf>
      <font>
        <color theme="1"/>
      </font>
      <fill>
        <patternFill>
          <bgColor rgb="FFFFFFCC"/>
        </patternFill>
      </fill>
    </dxf>
    <dxf>
      <font>
        <color theme="1"/>
      </font>
      <fill>
        <patternFill>
          <bgColor rgb="FFFFFFCC"/>
        </patternFill>
      </fill>
    </dxf>
    <dxf>
      <font>
        <b/>
        <i val="0"/>
        <color theme="8"/>
      </font>
      <fill>
        <patternFill patternType="none">
          <bgColor auto="1"/>
        </patternFill>
      </fill>
    </dxf>
    <dxf>
      <font>
        <color theme="1"/>
      </font>
      <fill>
        <patternFill>
          <bgColor rgb="FFFFFFCC"/>
        </patternFill>
      </fill>
    </dxf>
    <dxf>
      <font>
        <color theme="1"/>
      </font>
      <fill>
        <patternFill>
          <bgColor rgb="FFFFFFCC"/>
        </patternFill>
      </fill>
    </dxf>
    <dxf>
      <font>
        <b/>
        <i val="0"/>
        <color theme="8"/>
      </font>
      <fill>
        <patternFill patternType="none">
          <bgColor auto="1"/>
        </patternFill>
      </fill>
    </dxf>
    <dxf>
      <fill>
        <patternFill>
          <bgColor rgb="FFFFFFCC"/>
        </patternFill>
      </fill>
    </dxf>
    <dxf>
      <font>
        <color theme="1"/>
      </font>
      <fill>
        <patternFill>
          <bgColor rgb="FFFFFFCC"/>
        </patternFill>
      </fill>
    </dxf>
    <dxf>
      <font>
        <color theme="1"/>
      </font>
    </dxf>
    <dxf>
      <fill>
        <patternFill>
          <bgColor rgb="FFFFFFCC"/>
        </patternFill>
      </fill>
    </dxf>
    <dxf>
      <fill>
        <patternFill>
          <bgColor rgb="FFFFFFCC"/>
        </patternFill>
      </fill>
    </dxf>
    <dxf>
      <font>
        <b/>
        <i val="0"/>
        <color theme="0"/>
      </font>
      <fill>
        <patternFill patternType="solid">
          <fgColor auto="1"/>
          <bgColor rgb="FF00B050"/>
        </patternFill>
      </fill>
    </dxf>
    <dxf>
      <font>
        <b/>
        <i val="0"/>
        <color theme="0"/>
      </font>
      <fill>
        <patternFill patternType="solid">
          <fgColor auto="1"/>
          <bgColor rgb="FFFF0000"/>
        </patternFill>
      </fill>
    </dxf>
    <dxf>
      <fill>
        <patternFill>
          <bgColor rgb="FFFFFFCC"/>
        </patternFill>
      </fill>
    </dxf>
  </dxfs>
  <tableStyles count="0" defaultTableStyle="TableStyleMedium2" defaultPivotStyle="PivotStyleLight16"/>
  <colors>
    <mruColors>
      <color rgb="FFFFFFCC"/>
      <color rgb="FF0000FF"/>
      <color rgb="FF33CC33"/>
      <color rgb="FF99FFCC"/>
      <color rgb="FFFFCCCC"/>
      <color rgb="FFFFCCFF"/>
      <color rgb="FFFF99FF"/>
      <color rgb="FFCC99FF"/>
      <color rgb="FF9966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91</xdr:col>
      <xdr:colOff>38102</xdr:colOff>
      <xdr:row>2</xdr:row>
      <xdr:rowOff>123823</xdr:rowOff>
    </xdr:from>
    <xdr:to>
      <xdr:col>98</xdr:col>
      <xdr:colOff>139201</xdr:colOff>
      <xdr:row>11</xdr:row>
      <xdr:rowOff>12223</xdr:rowOff>
    </xdr:to>
    <xdr:pic>
      <xdr:nvPicPr>
        <xdr:cNvPr id="3" name="Picture 2" descr="https://d13yacurqjgara.cloudfront.net/users/1784/screenshots/1561047/d435.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500" t="22000" r="51125" b="22001"/>
        <a:stretch/>
      </xdr:blipFill>
      <xdr:spPr bwMode="auto">
        <a:xfrm>
          <a:off x="15535277" y="428623"/>
          <a:ext cx="1301249"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W247"/>
  <sheetViews>
    <sheetView showGridLines="0" showRowColHeaders="0" zoomScale="140" zoomScaleNormal="140" workbookViewId="0">
      <selection activeCell="AF20" sqref="AF20:AI20"/>
    </sheetView>
  </sheetViews>
  <sheetFormatPr defaultColWidth="2.28515625" defaultRowHeight="12" customHeight="1" x14ac:dyDescent="0.2"/>
  <cols>
    <col min="1" max="1" width="0.7109375" style="144" customWidth="1"/>
    <col min="2" max="93" width="2.28515625" style="144" customWidth="1"/>
    <col min="94" max="95" width="2.28515625" style="57" customWidth="1"/>
    <col min="96" max="116" width="2.28515625" style="144" customWidth="1"/>
    <col min="117" max="153" width="2.28515625" style="105" customWidth="1"/>
    <col min="154" max="177" width="2.28515625" style="105"/>
    <col min="178" max="16384" width="2.28515625" style="144"/>
  </cols>
  <sheetData>
    <row r="1" spans="2:110" ht="3.75" customHeight="1" x14ac:dyDescent="0.2"/>
    <row r="2" spans="2:110" ht="12" customHeight="1" x14ac:dyDescent="0.2">
      <c r="B2" s="136" t="s">
        <v>3672</v>
      </c>
      <c r="C2" s="146"/>
      <c r="D2" s="146"/>
      <c r="E2" s="146"/>
      <c r="F2" s="146"/>
      <c r="G2" s="146"/>
      <c r="H2" s="146"/>
      <c r="I2" s="146"/>
      <c r="J2" s="146"/>
      <c r="K2" s="146"/>
      <c r="L2" s="146"/>
      <c r="M2" s="146"/>
      <c r="N2" s="146"/>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8"/>
      <c r="AP2" s="108"/>
      <c r="AQ2" s="108"/>
      <c r="AR2" s="108"/>
      <c r="AS2" s="108"/>
      <c r="AT2" s="108"/>
      <c r="AU2" s="108"/>
      <c r="AV2" s="108"/>
      <c r="AW2" s="108"/>
      <c r="AX2" s="108"/>
      <c r="AY2" s="703"/>
      <c r="AZ2" s="136" t="s">
        <v>3409</v>
      </c>
      <c r="BA2" s="146"/>
      <c r="BB2" s="108"/>
      <c r="BC2" s="108"/>
      <c r="BD2" s="108"/>
      <c r="BE2" s="108"/>
      <c r="BF2" s="146"/>
      <c r="BG2" s="146"/>
      <c r="BH2" s="147"/>
      <c r="BI2" s="655" t="str">
        <f>IF(Race="","","RACE: "&amp;Race&amp;"
"&amp;Tables!E3&amp;"
")</f>
        <v xml:space="preserve">RACE: Select…
</v>
      </c>
      <c r="BJ2" s="654"/>
      <c r="BK2" s="863" t="str">
        <f>IF(CharacterLevel="","",BI2&amp;BI3&amp;BI4&amp;BI5&amp;BI6)</f>
        <v xml:space="preserve">RACE: Select…
BACKGROUND: Select…
• Feature: 
• Skills: none
• Tools: none
• Languages: none
</v>
      </c>
      <c r="BL2" s="863"/>
      <c r="BM2" s="863"/>
      <c r="BN2" s="863"/>
      <c r="BO2" s="863"/>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4"/>
      <c r="CT2" s="57"/>
      <c r="CU2" s="57"/>
      <c r="CV2" s="57"/>
      <c r="CW2" s="57"/>
      <c r="CZ2" s="145"/>
      <c r="DF2" s="57"/>
    </row>
    <row r="3" spans="2:110" ht="12" customHeight="1" thickBot="1" x14ac:dyDescent="0.25">
      <c r="B3" s="701"/>
      <c r="C3" s="148"/>
      <c r="D3" s="260"/>
      <c r="E3" s="260"/>
      <c r="F3" s="260"/>
      <c r="G3" s="148"/>
      <c r="H3" s="831" t="s">
        <v>1733</v>
      </c>
      <c r="I3" s="831"/>
      <c r="J3" s="831"/>
      <c r="K3" s="831" t="s">
        <v>353</v>
      </c>
      <c r="L3" s="831"/>
      <c r="M3" s="831"/>
      <c r="N3" s="831" t="s">
        <v>1734</v>
      </c>
      <c r="O3" s="831"/>
      <c r="P3" s="831"/>
      <c r="Q3" s="831" t="s">
        <v>2996</v>
      </c>
      <c r="R3" s="831"/>
      <c r="S3" s="831"/>
      <c r="T3" s="808" t="s">
        <v>1735</v>
      </c>
      <c r="U3" s="808"/>
      <c r="V3" s="808"/>
      <c r="W3" s="808"/>
      <c r="X3" s="808"/>
      <c r="Y3" s="808"/>
      <c r="Z3" s="808"/>
      <c r="AA3" s="808"/>
      <c r="AB3" s="808"/>
      <c r="AC3" s="808"/>
      <c r="AD3" s="808"/>
      <c r="AE3" s="808"/>
      <c r="AF3" s="808"/>
      <c r="AG3" s="808"/>
      <c r="AH3" s="808"/>
      <c r="AI3" s="808"/>
      <c r="AJ3" s="808"/>
      <c r="AK3" s="808"/>
      <c r="AL3" s="808"/>
      <c r="AM3" s="808"/>
      <c r="AN3" s="148"/>
      <c r="AO3" s="831" t="s">
        <v>1736</v>
      </c>
      <c r="AP3" s="831"/>
      <c r="AQ3" s="831"/>
      <c r="AR3" s="831" t="s">
        <v>354</v>
      </c>
      <c r="AS3" s="808"/>
      <c r="AT3" s="808"/>
      <c r="AU3" s="831" t="s">
        <v>353</v>
      </c>
      <c r="AV3" s="831"/>
      <c r="AW3" s="831"/>
      <c r="AX3" s="148"/>
      <c r="AY3" s="704"/>
      <c r="AZ3" s="600"/>
      <c r="BA3" s="148"/>
      <c r="BB3" s="598"/>
      <c r="BC3" s="598"/>
      <c r="BD3" s="702"/>
      <c r="BE3" s="260"/>
      <c r="BF3" s="598"/>
      <c r="BG3" s="598"/>
      <c r="BH3" s="599"/>
      <c r="BI3" s="655" t="str">
        <f>IF(OR(Subrace="",Subrace=Tables!U4),"",IF(Race=Tables!A9,"ANCESTRY: ","SUBRACE: ")&amp;Subrace&amp;" "&amp;Race&amp;"
"&amp;Tables!V2&amp;"
")</f>
        <v/>
      </c>
      <c r="BJ3" s="653"/>
      <c r="BK3" s="786"/>
      <c r="BL3" s="786"/>
      <c r="BM3" s="786"/>
      <c r="BN3" s="786"/>
      <c r="BO3" s="786"/>
      <c r="BP3" s="786"/>
      <c r="BQ3" s="786"/>
      <c r="BR3" s="786"/>
      <c r="BS3" s="786"/>
      <c r="BT3" s="786"/>
      <c r="BU3" s="786"/>
      <c r="BV3" s="786"/>
      <c r="BW3" s="786"/>
      <c r="BX3" s="786"/>
      <c r="BY3" s="786"/>
      <c r="BZ3" s="786"/>
      <c r="CA3" s="786"/>
      <c r="CB3" s="786"/>
      <c r="CC3" s="786"/>
      <c r="CD3" s="786"/>
      <c r="CE3" s="786"/>
      <c r="CF3" s="786"/>
      <c r="CG3" s="786"/>
      <c r="CH3" s="786"/>
      <c r="CI3" s="786"/>
      <c r="CJ3" s="786"/>
      <c r="CK3" s="786"/>
      <c r="CL3" s="786"/>
      <c r="CM3" s="786"/>
      <c r="CN3" s="786"/>
      <c r="CO3" s="786"/>
      <c r="CP3" s="786"/>
      <c r="CQ3" s="787"/>
      <c r="CT3" s="57"/>
      <c r="CU3" s="57"/>
      <c r="CV3" s="57"/>
      <c r="CW3" s="57"/>
      <c r="CZ3" s="145"/>
      <c r="DF3" s="57"/>
    </row>
    <row r="4" spans="2:110" ht="12" customHeight="1" thickTop="1" thickBot="1" x14ac:dyDescent="0.25">
      <c r="B4" s="600"/>
      <c r="C4" s="598"/>
      <c r="D4" s="598"/>
      <c r="E4" s="598"/>
      <c r="F4" s="598"/>
      <c r="G4" s="598"/>
      <c r="H4" s="831"/>
      <c r="I4" s="831"/>
      <c r="J4" s="831"/>
      <c r="K4" s="885"/>
      <c r="L4" s="885"/>
      <c r="M4" s="885"/>
      <c r="N4" s="885"/>
      <c r="O4" s="885"/>
      <c r="P4" s="885"/>
      <c r="Q4" s="885"/>
      <c r="R4" s="885"/>
      <c r="S4" s="885"/>
      <c r="T4" s="698">
        <v>1</v>
      </c>
      <c r="U4" s="698">
        <v>2</v>
      </c>
      <c r="V4" s="698">
        <v>3</v>
      </c>
      <c r="W4" s="698">
        <v>4</v>
      </c>
      <c r="X4" s="698">
        <v>5</v>
      </c>
      <c r="Y4" s="698">
        <v>6</v>
      </c>
      <c r="Z4" s="698">
        <v>7</v>
      </c>
      <c r="AA4" s="698">
        <v>8</v>
      </c>
      <c r="AB4" s="698">
        <v>9</v>
      </c>
      <c r="AC4" s="698">
        <v>10</v>
      </c>
      <c r="AD4" s="698">
        <v>11</v>
      </c>
      <c r="AE4" s="698">
        <v>12</v>
      </c>
      <c r="AF4" s="698">
        <v>13</v>
      </c>
      <c r="AG4" s="698">
        <v>14</v>
      </c>
      <c r="AH4" s="698">
        <v>15</v>
      </c>
      <c r="AI4" s="698">
        <v>16</v>
      </c>
      <c r="AJ4" s="698">
        <v>17</v>
      </c>
      <c r="AK4" s="698">
        <v>18</v>
      </c>
      <c r="AL4" s="698">
        <v>19</v>
      </c>
      <c r="AM4" s="698">
        <v>20</v>
      </c>
      <c r="AN4" s="148"/>
      <c r="AO4" s="831"/>
      <c r="AP4" s="831"/>
      <c r="AQ4" s="831"/>
      <c r="AR4" s="808"/>
      <c r="AS4" s="808"/>
      <c r="AT4" s="808"/>
      <c r="AU4" s="831"/>
      <c r="AV4" s="831"/>
      <c r="AW4" s="831"/>
      <c r="AX4" s="148"/>
      <c r="AY4" s="704"/>
      <c r="AZ4" s="756" t="b">
        <f>IF(BF4="","",TRUE)</f>
        <v>1</v>
      </c>
      <c r="BA4" s="260" t="s">
        <v>406</v>
      </c>
      <c r="BD4" s="702"/>
      <c r="BE4" s="598"/>
      <c r="BF4" s="835" t="s">
        <v>3684</v>
      </c>
      <c r="BG4" s="836"/>
      <c r="BH4" s="599"/>
      <c r="BI4" s="655" t="str">
        <f>IF(CharacterBackground="","","BACKGROUND: "&amp;CharacterBackground&amp;"
• Feature: "&amp;Tables!AF3&amp;"
"&amp;Tables!AG3&amp;IF(B27="","","
"&amp;"• "&amp;B27&amp;CharacterBackgroundSpecialty)&amp;"
• Skills: "&amp;Tables!AH3&amp;"
• Tools: "&amp;Tables!AJ3&amp;"
• Languages: "&amp;Tables!AL3&amp;"
")</f>
        <v xml:space="preserve">BACKGROUND: Select…
• Feature: 
• Skills: none
• Tools: none
• Languages: none
</v>
      </c>
      <c r="BJ4" s="653"/>
      <c r="BK4" s="786"/>
      <c r="BL4" s="786"/>
      <c r="BM4" s="786"/>
      <c r="BN4" s="786"/>
      <c r="BO4" s="786"/>
      <c r="BP4" s="786"/>
      <c r="BQ4" s="786"/>
      <c r="BR4" s="786"/>
      <c r="BS4" s="786"/>
      <c r="BT4" s="786"/>
      <c r="BU4" s="786"/>
      <c r="BV4" s="786"/>
      <c r="BW4" s="786"/>
      <c r="BX4" s="786"/>
      <c r="BY4" s="786"/>
      <c r="BZ4" s="786"/>
      <c r="CA4" s="786"/>
      <c r="CB4" s="786"/>
      <c r="CC4" s="786"/>
      <c r="CD4" s="786"/>
      <c r="CE4" s="786"/>
      <c r="CF4" s="786"/>
      <c r="CG4" s="786"/>
      <c r="CH4" s="786"/>
      <c r="CI4" s="786"/>
      <c r="CJ4" s="786"/>
      <c r="CK4" s="786"/>
      <c r="CL4" s="786"/>
      <c r="CM4" s="786"/>
      <c r="CN4" s="786"/>
      <c r="CO4" s="786"/>
      <c r="CP4" s="786"/>
      <c r="CQ4" s="787"/>
      <c r="CT4" s="57"/>
      <c r="CU4" s="57"/>
      <c r="CV4" s="57"/>
      <c r="CW4" s="57"/>
      <c r="CZ4" s="145"/>
      <c r="DF4" s="57"/>
    </row>
    <row r="5" spans="2:110" ht="12" customHeight="1" thickTop="1" thickBot="1" x14ac:dyDescent="0.3">
      <c r="B5" s="600"/>
      <c r="C5" s="699" t="s">
        <v>21</v>
      </c>
      <c r="D5" s="598"/>
      <c r="E5" s="598"/>
      <c r="F5" s="598"/>
      <c r="G5" s="598"/>
      <c r="H5" s="884">
        <v>0</v>
      </c>
      <c r="I5" s="884"/>
      <c r="J5" s="884"/>
      <c r="K5" s="886">
        <f t="shared" ref="K5:K10" si="0">IF(H5="","",INT((H5-10)/2))</f>
        <v>-5</v>
      </c>
      <c r="L5" s="887"/>
      <c r="M5" s="891"/>
      <c r="N5" s="886" t="str">
        <f>IF(OR(Race="",Race=Tables!$A$4),"",Tables!L$3)</f>
        <v/>
      </c>
      <c r="O5" s="887"/>
      <c r="P5" s="891"/>
      <c r="Q5" s="886" t="str">
        <f>IF(BarbarianLevel&gt;=20,4,"")</f>
        <v/>
      </c>
      <c r="R5" s="887"/>
      <c r="S5" s="887"/>
      <c r="T5" s="617"/>
      <c r="U5" s="617"/>
      <c r="V5" s="617"/>
      <c r="W5" s="617"/>
      <c r="X5" s="617"/>
      <c r="Y5" s="617"/>
      <c r="Z5" s="617"/>
      <c r="AA5" s="617"/>
      <c r="AB5" s="617"/>
      <c r="AC5" s="617"/>
      <c r="AD5" s="617"/>
      <c r="AE5" s="617"/>
      <c r="AF5" s="617"/>
      <c r="AG5" s="617"/>
      <c r="AH5" s="617"/>
      <c r="AI5" s="617"/>
      <c r="AJ5" s="617"/>
      <c r="AK5" s="617"/>
      <c r="AL5" s="617"/>
      <c r="AM5" s="617"/>
      <c r="AN5" s="148"/>
      <c r="AO5" s="872"/>
      <c r="AP5" s="873"/>
      <c r="AQ5" s="874"/>
      <c r="AR5" s="834">
        <f t="shared" ref="AR5:AR10" si="1">IF(H5="","",H5+SUM(N5:AQ5))</f>
        <v>0</v>
      </c>
      <c r="AS5" s="834"/>
      <c r="AT5" s="834"/>
      <c r="AU5" s="832">
        <f t="shared" ref="AU5:AU10" si="2">IF(AR5="","",INT((AR5-10)/2))</f>
        <v>-5</v>
      </c>
      <c r="AV5" s="832"/>
      <c r="AW5" s="832"/>
      <c r="AX5" s="148"/>
      <c r="AY5" s="704"/>
      <c r="AZ5" s="756" t="str">
        <f>IF(BF5="","",TRUE)</f>
        <v/>
      </c>
      <c r="BA5" s="260" t="s">
        <v>3339</v>
      </c>
      <c r="BD5" s="618"/>
      <c r="BE5" s="598"/>
      <c r="BF5" s="835"/>
      <c r="BG5" s="836"/>
      <c r="BH5" s="599"/>
      <c r="BI5" s="655" t="str">
        <f>IF(Class="","",Tables!DJ2&amp;"
")</f>
        <v/>
      </c>
      <c r="BJ5" s="653"/>
      <c r="BK5" s="786"/>
      <c r="BL5" s="786"/>
      <c r="BM5" s="786"/>
      <c r="BN5" s="786"/>
      <c r="BO5" s="786"/>
      <c r="BP5" s="786"/>
      <c r="BQ5" s="786"/>
      <c r="BR5" s="786"/>
      <c r="BS5" s="786"/>
      <c r="BT5" s="786"/>
      <c r="BU5" s="786"/>
      <c r="BV5" s="786"/>
      <c r="BW5" s="786"/>
      <c r="BX5" s="786"/>
      <c r="BY5" s="786"/>
      <c r="BZ5" s="786"/>
      <c r="CA5" s="786"/>
      <c r="CB5" s="786"/>
      <c r="CC5" s="786"/>
      <c r="CD5" s="786"/>
      <c r="CE5" s="786"/>
      <c r="CF5" s="786"/>
      <c r="CG5" s="786"/>
      <c r="CH5" s="786"/>
      <c r="CI5" s="786"/>
      <c r="CJ5" s="786"/>
      <c r="CK5" s="786"/>
      <c r="CL5" s="786"/>
      <c r="CM5" s="786"/>
      <c r="CN5" s="786"/>
      <c r="CO5" s="786"/>
      <c r="CP5" s="786"/>
      <c r="CQ5" s="787"/>
      <c r="CT5" s="57"/>
      <c r="CU5" s="57"/>
      <c r="CV5" s="57"/>
      <c r="CW5" s="57"/>
      <c r="CZ5" s="145"/>
      <c r="DF5" s="57"/>
    </row>
    <row r="6" spans="2:110" ht="12" customHeight="1" thickTop="1" thickBot="1" x14ac:dyDescent="0.3">
      <c r="B6" s="600"/>
      <c r="C6" s="699" t="s">
        <v>27</v>
      </c>
      <c r="D6" s="598"/>
      <c r="E6" s="598"/>
      <c r="F6" s="598"/>
      <c r="G6" s="598"/>
      <c r="H6" s="884">
        <v>0</v>
      </c>
      <c r="I6" s="884"/>
      <c r="J6" s="884"/>
      <c r="K6" s="886">
        <f t="shared" si="0"/>
        <v>-5</v>
      </c>
      <c r="L6" s="887"/>
      <c r="M6" s="891"/>
      <c r="N6" s="886" t="str">
        <f>IF(OR(Race="",Race=Tables!$A$4),"",Tables!M$3)</f>
        <v/>
      </c>
      <c r="O6" s="887"/>
      <c r="P6" s="891"/>
      <c r="Q6" s="886"/>
      <c r="R6" s="887"/>
      <c r="S6" s="887"/>
      <c r="T6" s="617"/>
      <c r="U6" s="617"/>
      <c r="V6" s="617"/>
      <c r="W6" s="617"/>
      <c r="X6" s="617"/>
      <c r="Y6" s="617"/>
      <c r="Z6" s="617"/>
      <c r="AA6" s="617"/>
      <c r="AB6" s="617"/>
      <c r="AC6" s="617"/>
      <c r="AD6" s="617"/>
      <c r="AE6" s="617"/>
      <c r="AF6" s="617"/>
      <c r="AG6" s="617"/>
      <c r="AH6" s="617"/>
      <c r="AI6" s="617"/>
      <c r="AJ6" s="617"/>
      <c r="AK6" s="617"/>
      <c r="AL6" s="617"/>
      <c r="AM6" s="617"/>
      <c r="AN6" s="148"/>
      <c r="AO6" s="872"/>
      <c r="AP6" s="873"/>
      <c r="AQ6" s="874"/>
      <c r="AR6" s="834">
        <f t="shared" si="1"/>
        <v>0</v>
      </c>
      <c r="AS6" s="834"/>
      <c r="AT6" s="834"/>
      <c r="AU6" s="832">
        <f t="shared" si="2"/>
        <v>-5</v>
      </c>
      <c r="AV6" s="832"/>
      <c r="AW6" s="832"/>
      <c r="AX6" s="148"/>
      <c r="AY6" s="704"/>
      <c r="AZ6" s="757"/>
      <c r="BA6" s="334"/>
      <c r="BB6" s="334"/>
      <c r="BC6" s="334"/>
      <c r="BD6" s="758"/>
      <c r="BE6" s="334"/>
      <c r="BF6" s="334"/>
      <c r="BG6" s="334"/>
      <c r="BH6" s="759"/>
      <c r="BI6" s="655" t="str">
        <f>IF(OR(I113="",I113=SelectText),"","ABILITY SCORE IMPROVEMENT &amp; FEATS"&amp;"
"&amp;Tables!YJ1&amp;"
")</f>
        <v/>
      </c>
      <c r="BJ6" s="653"/>
      <c r="BK6" s="786"/>
      <c r="BL6" s="786"/>
      <c r="BM6" s="786"/>
      <c r="BN6" s="786"/>
      <c r="BO6" s="786"/>
      <c r="BP6" s="786"/>
      <c r="BQ6" s="786"/>
      <c r="BR6" s="786"/>
      <c r="BS6" s="786"/>
      <c r="BT6" s="786"/>
      <c r="BU6" s="786"/>
      <c r="BV6" s="786"/>
      <c r="BW6" s="786"/>
      <c r="BX6" s="786"/>
      <c r="BY6" s="786"/>
      <c r="BZ6" s="786"/>
      <c r="CA6" s="786"/>
      <c r="CB6" s="786"/>
      <c r="CC6" s="786"/>
      <c r="CD6" s="786"/>
      <c r="CE6" s="786"/>
      <c r="CF6" s="786"/>
      <c r="CG6" s="786"/>
      <c r="CH6" s="786"/>
      <c r="CI6" s="786"/>
      <c r="CJ6" s="786"/>
      <c r="CK6" s="786"/>
      <c r="CL6" s="786"/>
      <c r="CM6" s="786"/>
      <c r="CN6" s="786"/>
      <c r="CO6" s="786"/>
      <c r="CP6" s="786"/>
      <c r="CQ6" s="787"/>
      <c r="CT6" s="57"/>
      <c r="CU6" s="57"/>
      <c r="CV6" s="57"/>
      <c r="CW6" s="57"/>
      <c r="CZ6" s="145"/>
      <c r="DF6" s="57"/>
    </row>
    <row r="7" spans="2:110" ht="12" customHeight="1" thickTop="1" thickBot="1" x14ac:dyDescent="0.3">
      <c r="B7" s="600"/>
      <c r="C7" s="699" t="s">
        <v>32</v>
      </c>
      <c r="D7" s="598"/>
      <c r="E7" s="598"/>
      <c r="F7" s="598"/>
      <c r="G7" s="598"/>
      <c r="H7" s="884">
        <v>0</v>
      </c>
      <c r="I7" s="884"/>
      <c r="J7" s="884"/>
      <c r="K7" s="886">
        <f t="shared" si="0"/>
        <v>-5</v>
      </c>
      <c r="L7" s="887"/>
      <c r="M7" s="891"/>
      <c r="N7" s="886" t="str">
        <f>IF(OR(Race="",Race=Tables!$A$4),"",Tables!N$3)</f>
        <v/>
      </c>
      <c r="O7" s="887"/>
      <c r="P7" s="891"/>
      <c r="Q7" s="886" t="str">
        <f>IF(BarbarianLevel&gt;=20,4,"")</f>
        <v/>
      </c>
      <c r="R7" s="887"/>
      <c r="S7" s="887"/>
      <c r="T7" s="617"/>
      <c r="U7" s="617"/>
      <c r="V7" s="617"/>
      <c r="W7" s="617"/>
      <c r="X7" s="617"/>
      <c r="Y7" s="617"/>
      <c r="Z7" s="617"/>
      <c r="AA7" s="617"/>
      <c r="AB7" s="617"/>
      <c r="AC7" s="617"/>
      <c r="AD7" s="617"/>
      <c r="AE7" s="617"/>
      <c r="AF7" s="617"/>
      <c r="AG7" s="617"/>
      <c r="AH7" s="617"/>
      <c r="AI7" s="617"/>
      <c r="AJ7" s="617"/>
      <c r="AK7" s="617"/>
      <c r="AL7" s="617"/>
      <c r="AM7" s="617"/>
      <c r="AN7" s="148"/>
      <c r="AO7" s="872"/>
      <c r="AP7" s="873"/>
      <c r="AQ7" s="874"/>
      <c r="AR7" s="834">
        <f t="shared" si="1"/>
        <v>0</v>
      </c>
      <c r="AS7" s="834"/>
      <c r="AT7" s="834"/>
      <c r="AU7" s="832">
        <f t="shared" si="2"/>
        <v>-5</v>
      </c>
      <c r="AV7" s="832"/>
      <c r="AW7" s="832"/>
      <c r="AX7" s="148"/>
      <c r="AY7" s="704"/>
      <c r="AZ7" s="757"/>
      <c r="BA7" s="334"/>
      <c r="BB7" s="334"/>
      <c r="BC7" s="334"/>
      <c r="BD7" s="758"/>
      <c r="BE7" s="334"/>
      <c r="BF7" s="334"/>
      <c r="BG7" s="334"/>
      <c r="BH7" s="759"/>
      <c r="BI7" s="656"/>
      <c r="BJ7" s="653"/>
      <c r="BK7" s="786"/>
      <c r="BL7" s="786"/>
      <c r="BM7" s="786"/>
      <c r="BN7" s="786"/>
      <c r="BO7" s="786"/>
      <c r="BP7" s="786"/>
      <c r="BQ7" s="786"/>
      <c r="BR7" s="786"/>
      <c r="BS7" s="786"/>
      <c r="BT7" s="786"/>
      <c r="BU7" s="786"/>
      <c r="BV7" s="786"/>
      <c r="BW7" s="786"/>
      <c r="BX7" s="786"/>
      <c r="BY7" s="786"/>
      <c r="BZ7" s="786"/>
      <c r="CA7" s="786"/>
      <c r="CB7" s="786"/>
      <c r="CC7" s="786"/>
      <c r="CD7" s="786"/>
      <c r="CE7" s="786"/>
      <c r="CF7" s="786"/>
      <c r="CG7" s="786"/>
      <c r="CH7" s="786"/>
      <c r="CI7" s="786"/>
      <c r="CJ7" s="786"/>
      <c r="CK7" s="786"/>
      <c r="CL7" s="786"/>
      <c r="CM7" s="786"/>
      <c r="CN7" s="786"/>
      <c r="CO7" s="786"/>
      <c r="CP7" s="786"/>
      <c r="CQ7" s="787"/>
      <c r="CT7" s="57"/>
      <c r="CU7" s="57"/>
      <c r="CV7" s="57"/>
      <c r="CW7" s="57"/>
      <c r="CZ7" s="145"/>
      <c r="DF7" s="57"/>
    </row>
    <row r="8" spans="2:110" ht="12" customHeight="1" thickTop="1" thickBot="1" x14ac:dyDescent="0.3">
      <c r="B8" s="600"/>
      <c r="C8" s="699" t="s">
        <v>38</v>
      </c>
      <c r="D8" s="598"/>
      <c r="E8" s="598"/>
      <c r="F8" s="598"/>
      <c r="G8" s="598"/>
      <c r="H8" s="884">
        <v>0</v>
      </c>
      <c r="I8" s="884"/>
      <c r="J8" s="884"/>
      <c r="K8" s="886">
        <f t="shared" si="0"/>
        <v>-5</v>
      </c>
      <c r="L8" s="887"/>
      <c r="M8" s="891"/>
      <c r="N8" s="886" t="str">
        <f>IF(OR(Race="",Race=Tables!$A$4),"",Tables!O$3)</f>
        <v/>
      </c>
      <c r="O8" s="887"/>
      <c r="P8" s="891"/>
      <c r="Q8" s="886"/>
      <c r="R8" s="887"/>
      <c r="S8" s="887"/>
      <c r="T8" s="617"/>
      <c r="U8" s="617"/>
      <c r="V8" s="617"/>
      <c r="W8" s="617"/>
      <c r="X8" s="617"/>
      <c r="Y8" s="617"/>
      <c r="Z8" s="617"/>
      <c r="AA8" s="617"/>
      <c r="AB8" s="617"/>
      <c r="AC8" s="617"/>
      <c r="AD8" s="617"/>
      <c r="AE8" s="617"/>
      <c r="AF8" s="617"/>
      <c r="AG8" s="617"/>
      <c r="AH8" s="617"/>
      <c r="AI8" s="617"/>
      <c r="AJ8" s="617"/>
      <c r="AK8" s="617"/>
      <c r="AL8" s="617"/>
      <c r="AM8" s="617"/>
      <c r="AN8" s="148"/>
      <c r="AO8" s="872"/>
      <c r="AP8" s="873"/>
      <c r="AQ8" s="874"/>
      <c r="AR8" s="834">
        <f t="shared" si="1"/>
        <v>0</v>
      </c>
      <c r="AS8" s="834"/>
      <c r="AT8" s="834"/>
      <c r="AU8" s="832">
        <f t="shared" si="2"/>
        <v>-5</v>
      </c>
      <c r="AV8" s="832"/>
      <c r="AW8" s="832"/>
      <c r="AX8" s="148"/>
      <c r="AY8" s="704"/>
      <c r="AZ8" s="757"/>
      <c r="BA8" s="334"/>
      <c r="BB8" s="334"/>
      <c r="BC8" s="334"/>
      <c r="BD8" s="758"/>
      <c r="BE8" s="334"/>
      <c r="BF8" s="334"/>
      <c r="BG8" s="334"/>
      <c r="BH8" s="759"/>
      <c r="BI8" s="657"/>
      <c r="BJ8" s="653"/>
      <c r="BK8" s="786"/>
      <c r="BL8" s="786"/>
      <c r="BM8" s="786"/>
      <c r="BN8" s="786"/>
      <c r="BO8" s="786"/>
      <c r="BP8" s="786"/>
      <c r="BQ8" s="786"/>
      <c r="BR8" s="786"/>
      <c r="BS8" s="786"/>
      <c r="BT8" s="786"/>
      <c r="BU8" s="786"/>
      <c r="BV8" s="786"/>
      <c r="BW8" s="786"/>
      <c r="BX8" s="786"/>
      <c r="BY8" s="786"/>
      <c r="BZ8" s="786"/>
      <c r="CA8" s="786"/>
      <c r="CB8" s="786"/>
      <c r="CC8" s="786"/>
      <c r="CD8" s="786"/>
      <c r="CE8" s="786"/>
      <c r="CF8" s="786"/>
      <c r="CG8" s="786"/>
      <c r="CH8" s="786"/>
      <c r="CI8" s="786"/>
      <c r="CJ8" s="786"/>
      <c r="CK8" s="786"/>
      <c r="CL8" s="786"/>
      <c r="CM8" s="786"/>
      <c r="CN8" s="786"/>
      <c r="CO8" s="786"/>
      <c r="CP8" s="786"/>
      <c r="CQ8" s="787"/>
      <c r="CT8" s="57"/>
      <c r="CU8" s="57"/>
      <c r="CV8" s="57"/>
      <c r="CW8" s="57"/>
      <c r="CZ8" s="145"/>
      <c r="DF8" s="57"/>
    </row>
    <row r="9" spans="2:110" ht="12" customHeight="1" thickTop="1" thickBot="1" x14ac:dyDescent="0.3">
      <c r="B9" s="600"/>
      <c r="C9" s="699" t="s">
        <v>40</v>
      </c>
      <c r="D9" s="598"/>
      <c r="E9" s="598"/>
      <c r="F9" s="598"/>
      <c r="G9" s="598"/>
      <c r="H9" s="884">
        <v>0</v>
      </c>
      <c r="I9" s="884"/>
      <c r="J9" s="884"/>
      <c r="K9" s="886">
        <f t="shared" si="0"/>
        <v>-5</v>
      </c>
      <c r="L9" s="887"/>
      <c r="M9" s="891"/>
      <c r="N9" s="886" t="str">
        <f>IF(OR(Race="",Race=Tables!$A$4),"",Tables!P$3)</f>
        <v/>
      </c>
      <c r="O9" s="887"/>
      <c r="P9" s="891"/>
      <c r="Q9" s="886"/>
      <c r="R9" s="887"/>
      <c r="S9" s="887"/>
      <c r="T9" s="617"/>
      <c r="U9" s="617"/>
      <c r="V9" s="617"/>
      <c r="W9" s="617"/>
      <c r="X9" s="617"/>
      <c r="Y9" s="617"/>
      <c r="Z9" s="617"/>
      <c r="AA9" s="617"/>
      <c r="AB9" s="617"/>
      <c r="AC9" s="617"/>
      <c r="AD9" s="617"/>
      <c r="AE9" s="617"/>
      <c r="AF9" s="617"/>
      <c r="AG9" s="617"/>
      <c r="AH9" s="617"/>
      <c r="AI9" s="617"/>
      <c r="AJ9" s="617"/>
      <c r="AK9" s="617"/>
      <c r="AL9" s="617"/>
      <c r="AM9" s="617"/>
      <c r="AN9" s="148"/>
      <c r="AO9" s="872"/>
      <c r="AP9" s="873"/>
      <c r="AQ9" s="874"/>
      <c r="AR9" s="834">
        <f t="shared" si="1"/>
        <v>0</v>
      </c>
      <c r="AS9" s="834"/>
      <c r="AT9" s="834"/>
      <c r="AU9" s="832">
        <f t="shared" si="2"/>
        <v>-5</v>
      </c>
      <c r="AV9" s="832"/>
      <c r="AW9" s="832"/>
      <c r="AX9" s="148"/>
      <c r="AY9" s="704"/>
      <c r="AZ9" s="757"/>
      <c r="BA9" s="334"/>
      <c r="BB9" s="334"/>
      <c r="BC9" s="334"/>
      <c r="BD9" s="758"/>
      <c r="BE9" s="334"/>
      <c r="BF9" s="334"/>
      <c r="BG9" s="334"/>
      <c r="BH9" s="759"/>
      <c r="BI9" s="657"/>
      <c r="BJ9" s="653"/>
      <c r="BK9" s="786"/>
      <c r="BL9" s="786"/>
      <c r="BM9" s="786"/>
      <c r="BN9" s="786"/>
      <c r="BO9" s="786"/>
      <c r="BP9" s="786"/>
      <c r="BQ9" s="786"/>
      <c r="BR9" s="786"/>
      <c r="BS9" s="786"/>
      <c r="BT9" s="786"/>
      <c r="BU9" s="786"/>
      <c r="BV9" s="786"/>
      <c r="BW9" s="786"/>
      <c r="BX9" s="786"/>
      <c r="BY9" s="786"/>
      <c r="BZ9" s="786"/>
      <c r="CA9" s="786"/>
      <c r="CB9" s="786"/>
      <c r="CC9" s="786"/>
      <c r="CD9" s="786"/>
      <c r="CE9" s="786"/>
      <c r="CF9" s="786"/>
      <c r="CG9" s="786"/>
      <c r="CH9" s="786"/>
      <c r="CI9" s="786"/>
      <c r="CJ9" s="786"/>
      <c r="CK9" s="786"/>
      <c r="CL9" s="786"/>
      <c r="CM9" s="786"/>
      <c r="CN9" s="786"/>
      <c r="CO9" s="786"/>
      <c r="CP9" s="786"/>
      <c r="CQ9" s="787"/>
      <c r="CT9" s="57"/>
      <c r="CU9" s="57"/>
      <c r="CV9" s="57"/>
      <c r="CW9" s="57"/>
      <c r="CZ9" s="145"/>
      <c r="DF9" s="57"/>
    </row>
    <row r="10" spans="2:110" ht="12" customHeight="1" thickTop="1" thickBot="1" x14ac:dyDescent="0.3">
      <c r="B10" s="600"/>
      <c r="C10" s="699" t="s">
        <v>44</v>
      </c>
      <c r="D10" s="598"/>
      <c r="E10" s="598"/>
      <c r="F10" s="598"/>
      <c r="G10" s="598"/>
      <c r="H10" s="884">
        <v>0</v>
      </c>
      <c r="I10" s="884"/>
      <c r="J10" s="884"/>
      <c r="K10" s="886">
        <f t="shared" si="0"/>
        <v>-5</v>
      </c>
      <c r="L10" s="887"/>
      <c r="M10" s="891"/>
      <c r="N10" s="886" t="str">
        <f>IF(OR(Race="",Race=Tables!$A$4),"",Tables!Q$3)</f>
        <v/>
      </c>
      <c r="O10" s="887"/>
      <c r="P10" s="891"/>
      <c r="Q10" s="886"/>
      <c r="R10" s="887"/>
      <c r="S10" s="887"/>
      <c r="T10" s="617"/>
      <c r="U10" s="617"/>
      <c r="V10" s="617"/>
      <c r="W10" s="617"/>
      <c r="X10" s="617"/>
      <c r="Y10" s="617"/>
      <c r="Z10" s="617"/>
      <c r="AA10" s="617"/>
      <c r="AB10" s="617"/>
      <c r="AC10" s="617"/>
      <c r="AD10" s="617"/>
      <c r="AE10" s="617"/>
      <c r="AF10" s="617"/>
      <c r="AG10" s="617"/>
      <c r="AH10" s="617"/>
      <c r="AI10" s="617"/>
      <c r="AJ10" s="617"/>
      <c r="AK10" s="617"/>
      <c r="AL10" s="617"/>
      <c r="AM10" s="617"/>
      <c r="AN10" s="148"/>
      <c r="AO10" s="872"/>
      <c r="AP10" s="873"/>
      <c r="AQ10" s="874"/>
      <c r="AR10" s="834">
        <f t="shared" si="1"/>
        <v>0</v>
      </c>
      <c r="AS10" s="834"/>
      <c r="AT10" s="834"/>
      <c r="AU10" s="832">
        <f t="shared" si="2"/>
        <v>-5</v>
      </c>
      <c r="AV10" s="832"/>
      <c r="AW10" s="832"/>
      <c r="AX10" s="148"/>
      <c r="AY10" s="704"/>
      <c r="AZ10" s="757"/>
      <c r="BA10" s="334"/>
      <c r="BB10" s="334"/>
      <c r="BC10" s="334"/>
      <c r="BD10" s="758"/>
      <c r="BE10" s="334"/>
      <c r="BF10" s="334"/>
      <c r="BG10" s="334"/>
      <c r="BH10" s="759"/>
      <c r="BI10" s="657"/>
      <c r="BJ10" s="653"/>
      <c r="BK10" s="786"/>
      <c r="BL10" s="786"/>
      <c r="BM10" s="786"/>
      <c r="BN10" s="786"/>
      <c r="BO10" s="786"/>
      <c r="BP10" s="786"/>
      <c r="BQ10" s="786"/>
      <c r="BR10" s="786"/>
      <c r="BS10" s="786"/>
      <c r="BT10" s="786"/>
      <c r="BU10" s="786"/>
      <c r="BV10" s="786"/>
      <c r="BW10" s="786"/>
      <c r="BX10" s="786"/>
      <c r="BY10" s="786"/>
      <c r="BZ10" s="786"/>
      <c r="CA10" s="786"/>
      <c r="CB10" s="786"/>
      <c r="CC10" s="786"/>
      <c r="CD10" s="786"/>
      <c r="CE10" s="786"/>
      <c r="CF10" s="786"/>
      <c r="CG10" s="786"/>
      <c r="CH10" s="786"/>
      <c r="CI10" s="786"/>
      <c r="CJ10" s="786"/>
      <c r="CK10" s="786"/>
      <c r="CL10" s="786"/>
      <c r="CM10" s="786"/>
      <c r="CN10" s="786"/>
      <c r="CO10" s="786"/>
      <c r="CP10" s="786"/>
      <c r="CQ10" s="787"/>
      <c r="CT10" s="57"/>
      <c r="CU10" s="57"/>
      <c r="CV10" s="57"/>
      <c r="CW10" s="57"/>
      <c r="CZ10" s="145"/>
      <c r="DF10" s="57"/>
    </row>
    <row r="11" spans="2:110" ht="12" customHeight="1" thickTop="1" thickBot="1" x14ac:dyDescent="0.25">
      <c r="B11" s="701"/>
      <c r="C11" s="148"/>
      <c r="D11" s="260"/>
      <c r="E11" s="260"/>
      <c r="F11" s="260"/>
      <c r="G11" s="260"/>
      <c r="H11" s="148"/>
      <c r="I11" s="889" t="str">
        <f>IF(Race="Half-Elf","HALF-ELF ABILITY 1","HUMAN ABILITY 1")</f>
        <v>HUMAN ABILITY 1</v>
      </c>
      <c r="J11" s="889"/>
      <c r="K11" s="889"/>
      <c r="L11" s="889"/>
      <c r="M11" s="889"/>
      <c r="N11" s="888"/>
      <c r="O11" s="888"/>
      <c r="P11" s="888"/>
      <c r="Q11" s="148"/>
      <c r="R11" s="148"/>
      <c r="S11" s="148"/>
      <c r="T11" s="619" t="str">
        <f ca="1">IF(ISERROR(VLOOKUP(T4,Tables!$YE$3:$YN$10,Tables!$YO$2,FALSE)),"",IF(VLOOKUP(T4,Tables!$YE$3:$YN$10,Tables!$YO$2,FALSE)="","",VLOOKUP(T4,Tables!$YE$3:$YN$10,Tables!$YO$2,FALSE)-SUM(T5:T10)))</f>
        <v/>
      </c>
      <c r="U11" s="619" t="str">
        <f ca="1">IF(ISERROR(VLOOKUP(U4,Tables!$YE$3:$YN$10,Tables!$YO$2,FALSE)),"",IF(VLOOKUP(U4,Tables!$YE$3:$YN$10,Tables!$YO$2,FALSE)="","",VLOOKUP(U4,Tables!$YE$3:$YN$10,Tables!$YO$2,FALSE)-SUM(U5:U10)))</f>
        <v/>
      </c>
      <c r="V11" s="619" t="str">
        <f ca="1">IF(ISERROR(VLOOKUP(V4,Tables!$YE$3:$YN$10,Tables!$YO$2,FALSE)),"",IF(VLOOKUP(V4,Tables!$YE$3:$YN$10,Tables!$YO$2,FALSE)="","",VLOOKUP(V4,Tables!$YE$3:$YN$10,Tables!$YO$2,FALSE)-SUM(V5:V10)))</f>
        <v/>
      </c>
      <c r="W11" s="619" t="str">
        <f ca="1">IF(ISERROR(VLOOKUP(W4,Tables!$YE$3:$YN$10,Tables!$YO$2,FALSE)),"",IF(VLOOKUP(W4,Tables!$YE$3:$YN$10,Tables!$YO$2,FALSE)="","",VLOOKUP(W4,Tables!$YE$3:$YN$10,Tables!$YO$2,FALSE)-SUM(W5:W10)))</f>
        <v/>
      </c>
      <c r="X11" s="619" t="str">
        <f ca="1">IF(ISERROR(VLOOKUP(X4,Tables!$YE$3:$YN$10,Tables!$YO$2,FALSE)),"",IF(VLOOKUP(X4,Tables!$YE$3:$YN$10,Tables!$YO$2,FALSE)="","",VLOOKUP(X4,Tables!$YE$3:$YN$10,Tables!$YO$2,FALSE)-SUM(X5:X10)))</f>
        <v/>
      </c>
      <c r="Y11" s="619" t="str">
        <f ca="1">IF(ISERROR(VLOOKUP(Y4,Tables!$YE$3:$YN$10,Tables!$YO$2,FALSE)),"",IF(VLOOKUP(Y4,Tables!$YE$3:$YN$10,Tables!$YO$2,FALSE)="","",VLOOKUP(Y4,Tables!$YE$3:$YN$10,Tables!$YO$2,FALSE)-SUM(Y5:Y10)))</f>
        <v/>
      </c>
      <c r="Z11" s="619" t="str">
        <f ca="1">IF(ISERROR(VLOOKUP(Z4,Tables!$YE$3:$YN$10,Tables!$YO$2,FALSE)),"",IF(VLOOKUP(Z4,Tables!$YE$3:$YN$10,Tables!$YO$2,FALSE)="","",VLOOKUP(Z4,Tables!$YE$3:$YN$10,Tables!$YO$2,FALSE)-SUM(Z5:Z10)))</f>
        <v/>
      </c>
      <c r="AA11" s="619" t="str">
        <f ca="1">IF(ISERROR(VLOOKUP(AA4,Tables!$YE$3:$YN$10,Tables!$YO$2,FALSE)),"",IF(VLOOKUP(AA4,Tables!$YE$3:$YN$10,Tables!$YO$2,FALSE)="","",VLOOKUP(AA4,Tables!$YE$3:$YN$10,Tables!$YO$2,FALSE)-SUM(AA5:AA10)))</f>
        <v/>
      </c>
      <c r="AB11" s="619" t="str">
        <f ca="1">IF(ISERROR(VLOOKUP(AB4,Tables!$YE$3:$YN$10,Tables!$YO$2,FALSE)),"",IF(VLOOKUP(AB4,Tables!$YE$3:$YN$10,Tables!$YO$2,FALSE)="","",VLOOKUP(AB4,Tables!$YE$3:$YN$10,Tables!$YO$2,FALSE)-SUM(AB5:AB10)))</f>
        <v/>
      </c>
      <c r="AC11" s="619" t="str">
        <f ca="1">IF(ISERROR(VLOOKUP(AC4,Tables!$YE$3:$YN$10,Tables!$YO$2,FALSE)),"",IF(VLOOKUP(AC4,Tables!$YE$3:$YN$10,Tables!$YO$2,FALSE)="","",VLOOKUP(AC4,Tables!$YE$3:$YN$10,Tables!$YO$2,FALSE)-SUM(AC5:AC10)))</f>
        <v/>
      </c>
      <c r="AD11" s="619" t="str">
        <f ca="1">IF(ISERROR(VLOOKUP(AD4,Tables!$YE$3:$YN$10,Tables!$YO$2,FALSE)),"",IF(VLOOKUP(AD4,Tables!$YE$3:$YN$10,Tables!$YO$2,FALSE)="","",VLOOKUP(AD4,Tables!$YE$3:$YN$10,Tables!$YO$2,FALSE)-SUM(AD5:AD10)))</f>
        <v/>
      </c>
      <c r="AE11" s="619" t="str">
        <f ca="1">IF(ISERROR(VLOOKUP(AE4,Tables!$YE$3:$YN$10,Tables!$YO$2,FALSE)),"",IF(VLOOKUP(AE4,Tables!$YE$3:$YN$10,Tables!$YO$2,FALSE)="","",VLOOKUP(AE4,Tables!$YE$3:$YN$10,Tables!$YO$2,FALSE)-SUM(AE5:AE10)))</f>
        <v/>
      </c>
      <c r="AF11" s="619" t="str">
        <f ca="1">IF(ISERROR(VLOOKUP(AF4,Tables!$YE$3:$YN$10,Tables!$YO$2,FALSE)),"",IF(VLOOKUP(AF4,Tables!$YE$3:$YN$10,Tables!$YO$2,FALSE)="","",VLOOKUP(AF4,Tables!$YE$3:$YN$10,Tables!$YO$2,FALSE)-SUM(AF5:AF10)))</f>
        <v/>
      </c>
      <c r="AG11" s="619" t="str">
        <f ca="1">IF(ISERROR(VLOOKUP(AG4,Tables!$YE$3:$YN$10,Tables!$YO$2,FALSE)),"",IF(VLOOKUP(AG4,Tables!$YE$3:$YN$10,Tables!$YO$2,FALSE)="","",VLOOKUP(AG4,Tables!$YE$3:$YN$10,Tables!$YO$2,FALSE)-SUM(AG5:AG10)))</f>
        <v/>
      </c>
      <c r="AH11" s="619" t="str">
        <f ca="1">IF(ISERROR(VLOOKUP(AH4,Tables!$YE$3:$YN$10,Tables!$YO$2,FALSE)),"",IF(VLOOKUP(AH4,Tables!$YE$3:$YN$10,Tables!$YO$2,FALSE)="","",VLOOKUP(AH4,Tables!$YE$3:$YN$10,Tables!$YO$2,FALSE)-SUM(AH5:AH10)))</f>
        <v/>
      </c>
      <c r="AI11" s="619" t="str">
        <f ca="1">IF(ISERROR(VLOOKUP(AI4,Tables!$YE$3:$YN$10,Tables!$YO$2,FALSE)),"",IF(VLOOKUP(AI4,Tables!$YE$3:$YN$10,Tables!$YO$2,FALSE)="","",VLOOKUP(AI4,Tables!$YE$3:$YN$10,Tables!$YO$2,FALSE)-SUM(AI5:AI10)))</f>
        <v/>
      </c>
      <c r="AJ11" s="619" t="str">
        <f ca="1">IF(ISERROR(VLOOKUP(AJ4,Tables!$YE$3:$YN$10,Tables!$YO$2,FALSE)),"",IF(VLOOKUP(AJ4,Tables!$YE$3:$YN$10,Tables!$YO$2,FALSE)="","",VLOOKUP(AJ4,Tables!$YE$3:$YN$10,Tables!$YO$2,FALSE)-SUM(AJ5:AJ10)))</f>
        <v/>
      </c>
      <c r="AK11" s="619" t="str">
        <f ca="1">IF(ISERROR(VLOOKUP(AK4,Tables!$YE$3:$YN$10,Tables!$YO$2,FALSE)),"",IF(VLOOKUP(AK4,Tables!$YE$3:$YN$10,Tables!$YO$2,FALSE)="","",VLOOKUP(AK4,Tables!$YE$3:$YN$10,Tables!$YO$2,FALSE)-SUM(AK5:AK10)))</f>
        <v/>
      </c>
      <c r="AL11" s="619" t="str">
        <f ca="1">IF(ISERROR(VLOOKUP(AL4,Tables!$YE$3:$YN$10,Tables!$YO$2,FALSE)),"",IF(VLOOKUP(AL4,Tables!$YE$3:$YN$10,Tables!$YO$2,FALSE)="","",VLOOKUP(AL4,Tables!$YE$3:$YN$10,Tables!$YO$2,FALSE)-SUM(AL5:AL10)))</f>
        <v/>
      </c>
      <c r="AM11" s="619" t="str">
        <f ca="1">IF(ISERROR(VLOOKUP(AM4,Tables!$YE$3:$YN$10,Tables!$YO$2,FALSE)),"",IF(VLOOKUP(AM4,Tables!$YE$3:$YN$10,Tables!$YO$2,FALSE)="","",VLOOKUP(AM4,Tables!$YE$3:$YN$10,Tables!$YO$2,FALSE)-SUM(AM5:AM10)))</f>
        <v/>
      </c>
      <c r="AN11" s="148"/>
      <c r="AO11" s="333"/>
      <c r="AP11" s="598"/>
      <c r="AQ11" s="598"/>
      <c r="AR11" s="598"/>
      <c r="AS11" s="598"/>
      <c r="AT11" s="598"/>
      <c r="AU11" s="598"/>
      <c r="AV11" s="598"/>
      <c r="AW11" s="598"/>
      <c r="AX11" s="598"/>
      <c r="AY11" s="705"/>
      <c r="AZ11" s="837" t="s">
        <v>3685</v>
      </c>
      <c r="BA11" s="838"/>
      <c r="BB11" s="838"/>
      <c r="BC11" s="838"/>
      <c r="BD11" s="838"/>
      <c r="BE11" s="838"/>
      <c r="BF11" s="838"/>
      <c r="BG11" s="838"/>
      <c r="BH11" s="839"/>
      <c r="BI11" s="657"/>
      <c r="BJ11" s="653"/>
      <c r="BK11" s="786"/>
      <c r="BL11" s="786"/>
      <c r="BM11" s="786"/>
      <c r="BN11" s="786"/>
      <c r="BO11" s="786"/>
      <c r="BP11" s="786"/>
      <c r="BQ11" s="786"/>
      <c r="BR11" s="786"/>
      <c r="BS11" s="786"/>
      <c r="BT11" s="786"/>
      <c r="BU11" s="786"/>
      <c r="BV11" s="786"/>
      <c r="BW11" s="786"/>
      <c r="BX11" s="786"/>
      <c r="BY11" s="786"/>
      <c r="BZ11" s="786"/>
      <c r="CA11" s="786"/>
      <c r="CB11" s="786"/>
      <c r="CC11" s="786"/>
      <c r="CD11" s="786"/>
      <c r="CE11" s="786"/>
      <c r="CF11" s="786"/>
      <c r="CG11" s="786"/>
      <c r="CH11" s="786"/>
      <c r="CI11" s="786"/>
      <c r="CJ11" s="786"/>
      <c r="CK11" s="786"/>
      <c r="CL11" s="786"/>
      <c r="CM11" s="786"/>
      <c r="CN11" s="786"/>
      <c r="CO11" s="786"/>
      <c r="CP11" s="786"/>
      <c r="CQ11" s="787"/>
      <c r="CT11" s="57"/>
      <c r="CU11" s="57"/>
      <c r="CV11" s="57"/>
      <c r="CW11" s="57"/>
      <c r="CZ11" s="145"/>
      <c r="DF11" s="57"/>
    </row>
    <row r="12" spans="2:110" ht="12" customHeight="1" thickTop="1" x14ac:dyDescent="0.2">
      <c r="B12" s="623"/>
      <c r="C12" s="700"/>
      <c r="D12" s="700"/>
      <c r="E12" s="700"/>
      <c r="F12" s="700"/>
      <c r="G12" s="700"/>
      <c r="H12" s="620"/>
      <c r="I12" s="890" t="str">
        <f>IF(Race="Half-Elf","HALF-ELF ABILITY 2","HUMAN ABILITY 2")</f>
        <v>HUMAN ABILITY 2</v>
      </c>
      <c r="J12" s="890"/>
      <c r="K12" s="890"/>
      <c r="L12" s="890"/>
      <c r="M12" s="890"/>
      <c r="N12" s="892"/>
      <c r="O12" s="892"/>
      <c r="P12" s="892"/>
      <c r="Q12" s="150"/>
      <c r="R12" s="150"/>
      <c r="S12" s="150"/>
      <c r="T12" s="621" t="str">
        <f ca="1">IF(ISERROR(VLOOKUP(T4,Tables!$YE$3:$YN$10,Tables!$YN$2,FALSE)),"",VLOOKUP(T4,Tables!$YE$3:$YN$10,Tables!$YN$2,FALSE))</f>
        <v/>
      </c>
      <c r="U12" s="621" t="str">
        <f ca="1">IF(ISERROR(VLOOKUP(U4,Tables!$YE$3:$YN$10,Tables!$YN$2,FALSE)),"",VLOOKUP(U4,Tables!$YE$3:$YN$10,Tables!$YN$2,FALSE))</f>
        <v/>
      </c>
      <c r="V12" s="621" t="str">
        <f ca="1">IF(ISERROR(VLOOKUP(V4,Tables!$YE$3:$YN$10,Tables!$YN$2,FALSE)),"",VLOOKUP(V4,Tables!$YE$3:$YN$10,Tables!$YN$2,FALSE))</f>
        <v/>
      </c>
      <c r="W12" s="621" t="str">
        <f ca="1">IF(ISERROR(VLOOKUP(W4,Tables!$YE$3:$YN$10,Tables!$YN$2,FALSE)),"",VLOOKUP(W4,Tables!$YE$3:$YN$10,Tables!$YN$2,FALSE))</f>
        <v/>
      </c>
      <c r="X12" s="621" t="str">
        <f ca="1">IF(ISERROR(VLOOKUP(X4,Tables!$YE$3:$YN$10,Tables!$YN$2,FALSE)),"",VLOOKUP(X4,Tables!$YE$3:$YN$10,Tables!$YN$2,FALSE))</f>
        <v/>
      </c>
      <c r="Y12" s="621" t="str">
        <f ca="1">IF(ISERROR(VLOOKUP(Y4,Tables!$YE$3:$YN$10,Tables!$YN$2,FALSE)),"",VLOOKUP(Y4,Tables!$YE$3:$YN$10,Tables!$YN$2,FALSE))</f>
        <v/>
      </c>
      <c r="Z12" s="621" t="str">
        <f ca="1">IF(ISERROR(VLOOKUP(Z4,Tables!$YE$3:$YN$10,Tables!$YN$2,FALSE)),"",VLOOKUP(Z4,Tables!$YE$3:$YN$10,Tables!$YN$2,FALSE))</f>
        <v/>
      </c>
      <c r="AA12" s="621" t="str">
        <f ca="1">IF(ISERROR(VLOOKUP(AA4,Tables!$YE$3:$YN$10,Tables!$YN$2,FALSE)),"",VLOOKUP(AA4,Tables!$YE$3:$YN$10,Tables!$YN$2,FALSE))</f>
        <v/>
      </c>
      <c r="AB12" s="621" t="str">
        <f ca="1">IF(ISERROR(VLOOKUP(AB4,Tables!$YE$3:$YN$10,Tables!$YN$2,FALSE)),"",VLOOKUP(AB4,Tables!$YE$3:$YN$10,Tables!$YN$2,FALSE))</f>
        <v/>
      </c>
      <c r="AC12" s="621" t="str">
        <f ca="1">IF(ISERROR(VLOOKUP(AC4,Tables!$YE$3:$YN$10,Tables!$YN$2,FALSE)),"",VLOOKUP(AC4,Tables!$YE$3:$YN$10,Tables!$YN$2,FALSE))</f>
        <v/>
      </c>
      <c r="AD12" s="621" t="str">
        <f ca="1">IF(ISERROR(VLOOKUP(AD4,Tables!$YE$3:$YN$10,Tables!$YN$2,FALSE)),"",VLOOKUP(AD4,Tables!$YE$3:$YN$10,Tables!$YN$2,FALSE))</f>
        <v/>
      </c>
      <c r="AE12" s="621" t="str">
        <f ca="1">IF(ISERROR(VLOOKUP(AE4,Tables!$YE$3:$YN$10,Tables!$YN$2,FALSE)),"",VLOOKUP(AE4,Tables!$YE$3:$YN$10,Tables!$YN$2,FALSE))</f>
        <v/>
      </c>
      <c r="AF12" s="621" t="str">
        <f ca="1">IF(ISERROR(VLOOKUP(AF4,Tables!$YE$3:$YN$10,Tables!$YN$2,FALSE)),"",VLOOKUP(AF4,Tables!$YE$3:$YN$10,Tables!$YN$2,FALSE))</f>
        <v/>
      </c>
      <c r="AG12" s="621" t="str">
        <f ca="1">IF(ISERROR(VLOOKUP(AG4,Tables!$YE$3:$YN$10,Tables!$YN$2,FALSE)),"",VLOOKUP(AG4,Tables!$YE$3:$YN$10,Tables!$YN$2,FALSE))</f>
        <v/>
      </c>
      <c r="AH12" s="621" t="str">
        <f ca="1">IF(ISERROR(VLOOKUP(AH4,Tables!$YE$3:$YN$10,Tables!$YN$2,FALSE)),"",VLOOKUP(AH4,Tables!$YE$3:$YN$10,Tables!$YN$2,FALSE))</f>
        <v/>
      </c>
      <c r="AI12" s="621" t="str">
        <f ca="1">IF(ISERROR(VLOOKUP(AI4,Tables!$YE$3:$YN$10,Tables!$YN$2,FALSE)),"",VLOOKUP(AI4,Tables!$YE$3:$YN$10,Tables!$YN$2,FALSE))</f>
        <v/>
      </c>
      <c r="AJ12" s="621" t="str">
        <f ca="1">IF(ISERROR(VLOOKUP(AJ4,Tables!$YE$3:$YN$10,Tables!$YN$2,FALSE)),"",VLOOKUP(AJ4,Tables!$YE$3:$YN$10,Tables!$YN$2,FALSE))</f>
        <v/>
      </c>
      <c r="AK12" s="621" t="str">
        <f ca="1">IF(ISERROR(VLOOKUP(AK4,Tables!$YE$3:$YN$10,Tables!$YN$2,FALSE)),"",VLOOKUP(AK4,Tables!$YE$3:$YN$10,Tables!$YN$2,FALSE))</f>
        <v/>
      </c>
      <c r="AL12" s="621" t="str">
        <f ca="1">IF(ISERROR(VLOOKUP(AL4,Tables!$YE$3:$YN$10,Tables!$YN$2,FALSE)),"",VLOOKUP(AL4,Tables!$YE$3:$YN$10,Tables!$YN$2,FALSE))</f>
        <v/>
      </c>
      <c r="AM12" s="621" t="str">
        <f ca="1">IF(ISERROR(VLOOKUP(AM4,Tables!$YE$3:$YN$10,Tables!$YN$2,FALSE)),"",VLOOKUP(AM4,Tables!$YE$3:$YN$10,Tables!$YN$2,FALSE))</f>
        <v/>
      </c>
      <c r="AN12" s="150"/>
      <c r="AO12" s="614"/>
      <c r="AP12" s="614"/>
      <c r="AQ12" s="614"/>
      <c r="AR12" s="614"/>
      <c r="AS12" s="614"/>
      <c r="AT12" s="614"/>
      <c r="AU12" s="614"/>
      <c r="AV12" s="614"/>
      <c r="AW12" s="614"/>
      <c r="AX12" s="614"/>
      <c r="AY12" s="705"/>
      <c r="AZ12" s="840"/>
      <c r="BA12" s="841"/>
      <c r="BB12" s="841"/>
      <c r="BC12" s="841"/>
      <c r="BD12" s="841"/>
      <c r="BE12" s="841"/>
      <c r="BF12" s="841"/>
      <c r="BG12" s="841"/>
      <c r="BH12" s="842"/>
      <c r="BI12" s="657"/>
      <c r="BJ12" s="653"/>
      <c r="BK12" s="786"/>
      <c r="BL12" s="786"/>
      <c r="BM12" s="786"/>
      <c r="BN12" s="786"/>
      <c r="BO12" s="786"/>
      <c r="BP12" s="786"/>
      <c r="BQ12" s="786"/>
      <c r="BR12" s="786"/>
      <c r="BS12" s="786"/>
      <c r="BT12" s="786"/>
      <c r="BU12" s="786"/>
      <c r="BV12" s="786"/>
      <c r="BW12" s="786"/>
      <c r="BX12" s="786"/>
      <c r="BY12" s="786"/>
      <c r="BZ12" s="786"/>
      <c r="CA12" s="786"/>
      <c r="CB12" s="786"/>
      <c r="CC12" s="786"/>
      <c r="CD12" s="786"/>
      <c r="CE12" s="786"/>
      <c r="CF12" s="786"/>
      <c r="CG12" s="786"/>
      <c r="CH12" s="786"/>
      <c r="CI12" s="786"/>
      <c r="CJ12" s="786"/>
      <c r="CK12" s="786"/>
      <c r="CL12" s="786"/>
      <c r="CM12" s="786"/>
      <c r="CN12" s="786"/>
      <c r="CO12" s="786"/>
      <c r="CP12" s="786"/>
      <c r="CQ12" s="787"/>
      <c r="CT12" s="57"/>
      <c r="CU12" s="57"/>
      <c r="CV12" s="57"/>
      <c r="CW12" s="57"/>
      <c r="CZ12" s="145"/>
      <c r="DF12" s="57"/>
    </row>
    <row r="13" spans="2:110" ht="12" customHeight="1" x14ac:dyDescent="0.2">
      <c r="BJ13" s="653"/>
      <c r="BK13" s="786"/>
      <c r="BL13" s="786"/>
      <c r="BM13" s="786"/>
      <c r="BN13" s="786"/>
      <c r="BO13" s="786"/>
      <c r="BP13" s="786"/>
      <c r="BQ13" s="786"/>
      <c r="BR13" s="786"/>
      <c r="BS13" s="786"/>
      <c r="BT13" s="786"/>
      <c r="BU13" s="786"/>
      <c r="BV13" s="786"/>
      <c r="BW13" s="786"/>
      <c r="BX13" s="786"/>
      <c r="BY13" s="786"/>
      <c r="BZ13" s="786"/>
      <c r="CA13" s="786"/>
      <c r="CB13" s="786"/>
      <c r="CC13" s="786"/>
      <c r="CD13" s="786"/>
      <c r="CE13" s="786"/>
      <c r="CF13" s="786"/>
      <c r="CG13" s="786"/>
      <c r="CH13" s="786"/>
      <c r="CI13" s="786"/>
      <c r="CJ13" s="786"/>
      <c r="CK13" s="786"/>
      <c r="CL13" s="786"/>
      <c r="CM13" s="786"/>
      <c r="CN13" s="786"/>
      <c r="CO13" s="786"/>
      <c r="CP13" s="786"/>
      <c r="CQ13" s="787"/>
      <c r="CT13" s="57"/>
      <c r="CU13" s="57"/>
      <c r="CV13" s="57"/>
      <c r="CW13" s="57"/>
      <c r="CZ13" s="145"/>
      <c r="DF13" s="57"/>
    </row>
    <row r="14" spans="2:110" ht="12" customHeight="1" x14ac:dyDescent="0.2">
      <c r="B14" s="106" t="s">
        <v>3673</v>
      </c>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7"/>
      <c r="AB14" s="106" t="s">
        <v>3674</v>
      </c>
      <c r="AC14" s="146"/>
      <c r="AD14" s="146"/>
      <c r="AE14" s="146"/>
      <c r="AF14" s="146"/>
      <c r="AG14" s="146"/>
      <c r="AH14" s="146"/>
      <c r="AI14" s="146"/>
      <c r="AJ14" s="146"/>
      <c r="AK14" s="146"/>
      <c r="AL14" s="146"/>
      <c r="AM14" s="146"/>
      <c r="AN14" s="146"/>
      <c r="AO14" s="146"/>
      <c r="AP14" s="146"/>
      <c r="AQ14" s="146"/>
      <c r="AR14" s="146"/>
      <c r="AS14" s="147"/>
      <c r="AT14" s="148"/>
      <c r="AU14" s="112" t="s">
        <v>55</v>
      </c>
      <c r="AV14" s="113"/>
      <c r="AW14" s="146"/>
      <c r="AX14" s="146"/>
      <c r="AY14" s="146"/>
      <c r="AZ14" s="146"/>
      <c r="BA14" s="146"/>
      <c r="BB14" s="146"/>
      <c r="BC14" s="146"/>
      <c r="BD14" s="146"/>
      <c r="BE14" s="146"/>
      <c r="BF14" s="146"/>
      <c r="BG14" s="146"/>
      <c r="BH14" s="147"/>
      <c r="BJ14" s="653"/>
      <c r="BK14" s="786"/>
      <c r="BL14" s="786"/>
      <c r="BM14" s="786"/>
      <c r="BN14" s="786"/>
      <c r="BO14" s="786"/>
      <c r="BP14" s="786"/>
      <c r="BQ14" s="786"/>
      <c r="BR14" s="786"/>
      <c r="BS14" s="786"/>
      <c r="BT14" s="786"/>
      <c r="BU14" s="786"/>
      <c r="BV14" s="786"/>
      <c r="BW14" s="786"/>
      <c r="BX14" s="786"/>
      <c r="BY14" s="786"/>
      <c r="BZ14" s="786"/>
      <c r="CA14" s="786"/>
      <c r="CB14" s="786"/>
      <c r="CC14" s="786"/>
      <c r="CD14" s="786"/>
      <c r="CE14" s="786"/>
      <c r="CF14" s="786"/>
      <c r="CG14" s="786"/>
      <c r="CH14" s="786"/>
      <c r="CI14" s="786"/>
      <c r="CJ14" s="786"/>
      <c r="CK14" s="786"/>
      <c r="CL14" s="786"/>
      <c r="CM14" s="786"/>
      <c r="CN14" s="786"/>
      <c r="CO14" s="786"/>
      <c r="CP14" s="786"/>
      <c r="CQ14" s="787"/>
      <c r="CT14" s="57"/>
      <c r="CU14" s="57"/>
      <c r="CV14" s="57"/>
      <c r="CW14" s="57"/>
      <c r="CZ14" s="145"/>
      <c r="DF14" s="57"/>
    </row>
    <row r="15" spans="2:110" ht="12" customHeight="1" thickBot="1" x14ac:dyDescent="0.3">
      <c r="B15" s="597"/>
      <c r="C15" s="598"/>
      <c r="D15" s="598"/>
      <c r="E15" s="598"/>
      <c r="F15" s="598"/>
      <c r="G15" s="598"/>
      <c r="H15" s="598"/>
      <c r="I15" s="598"/>
      <c r="J15" s="598"/>
      <c r="K15" s="598"/>
      <c r="L15" s="598"/>
      <c r="M15" s="598"/>
      <c r="N15" s="598"/>
      <c r="O15" s="598"/>
      <c r="P15" s="598"/>
      <c r="Q15" s="598"/>
      <c r="R15" s="598"/>
      <c r="S15" s="598"/>
      <c r="T15" s="598"/>
      <c r="U15" s="598"/>
      <c r="V15" s="598"/>
      <c r="W15" s="598"/>
      <c r="X15" s="598"/>
      <c r="Y15" s="598"/>
      <c r="Z15" s="599"/>
      <c r="AB15" s="597"/>
      <c r="AC15" s="335"/>
      <c r="AD15" s="335"/>
      <c r="AE15" s="335"/>
      <c r="AF15" s="335"/>
      <c r="AG15" s="335"/>
      <c r="AH15" s="335"/>
      <c r="AI15" s="335"/>
      <c r="AJ15" s="335"/>
      <c r="AK15" s="335"/>
      <c r="AL15" s="335"/>
      <c r="AM15" s="335"/>
      <c r="AN15" s="335"/>
      <c r="AO15" s="335"/>
      <c r="AP15" s="335"/>
      <c r="AQ15" s="335"/>
      <c r="AR15" s="335"/>
      <c r="AS15" s="633"/>
      <c r="AT15" s="148"/>
      <c r="AU15" s="622"/>
      <c r="AV15" s="260"/>
      <c r="AW15" s="260"/>
      <c r="AX15" s="260"/>
      <c r="AY15" s="634"/>
      <c r="AZ15" s="634"/>
      <c r="BA15" s="634"/>
      <c r="BB15" s="634"/>
      <c r="BC15" s="634"/>
      <c r="BD15" s="634"/>
      <c r="BE15" s="833" t="str">
        <f>IF(AX16=SelectText,"","SCRIPT")</f>
        <v/>
      </c>
      <c r="BF15" s="833"/>
      <c r="BG15" s="833"/>
      <c r="BH15" s="633"/>
      <c r="BJ15" s="653"/>
      <c r="BK15" s="786"/>
      <c r="BL15" s="786"/>
      <c r="BM15" s="786"/>
      <c r="BN15" s="786"/>
      <c r="BO15" s="786"/>
      <c r="BP15" s="786"/>
      <c r="BQ15" s="786"/>
      <c r="BR15" s="786"/>
      <c r="BS15" s="786"/>
      <c r="BT15" s="786"/>
      <c r="BU15" s="786"/>
      <c r="BV15" s="786"/>
      <c r="BW15" s="786"/>
      <c r="BX15" s="786"/>
      <c r="BY15" s="786"/>
      <c r="BZ15" s="786"/>
      <c r="CA15" s="786"/>
      <c r="CB15" s="786"/>
      <c r="CC15" s="786"/>
      <c r="CD15" s="786"/>
      <c r="CE15" s="786"/>
      <c r="CF15" s="786"/>
      <c r="CG15" s="786"/>
      <c r="CH15" s="786"/>
      <c r="CI15" s="786"/>
      <c r="CJ15" s="786"/>
      <c r="CK15" s="786"/>
      <c r="CL15" s="786"/>
      <c r="CM15" s="786"/>
      <c r="CN15" s="786"/>
      <c r="CO15" s="786"/>
      <c r="CP15" s="786"/>
      <c r="CQ15" s="787"/>
      <c r="CT15" s="57"/>
      <c r="CU15" s="57"/>
      <c r="CV15" s="57"/>
      <c r="CW15" s="57"/>
      <c r="CZ15" s="145"/>
      <c r="DF15" s="57"/>
    </row>
    <row r="16" spans="2:110" ht="12" customHeight="1" thickTop="1" thickBot="1" x14ac:dyDescent="0.3">
      <c r="B16" s="600"/>
      <c r="C16" s="590" t="s">
        <v>56</v>
      </c>
      <c r="D16" s="598"/>
      <c r="E16" s="598"/>
      <c r="F16" s="598"/>
      <c r="G16" s="598"/>
      <c r="H16" s="598"/>
      <c r="I16" s="598"/>
      <c r="J16" s="598"/>
      <c r="K16" s="893"/>
      <c r="L16" s="893"/>
      <c r="M16" s="893"/>
      <c r="N16" s="893"/>
      <c r="O16" s="893"/>
      <c r="P16" s="893"/>
      <c r="Q16" s="893"/>
      <c r="R16" s="893"/>
      <c r="S16" s="893"/>
      <c r="T16" s="893"/>
      <c r="U16" s="893"/>
      <c r="V16" s="893"/>
      <c r="W16" s="893"/>
      <c r="X16" s="893"/>
      <c r="Y16" s="893"/>
      <c r="Z16" s="601"/>
      <c r="AB16" s="597"/>
      <c r="AC16" s="794" t="s">
        <v>7</v>
      </c>
      <c r="AD16" s="794"/>
      <c r="AE16" s="794"/>
      <c r="AF16" s="794" t="s">
        <v>224</v>
      </c>
      <c r="AG16" s="794"/>
      <c r="AH16" s="794"/>
      <c r="AI16" s="794"/>
      <c r="AJ16" s="794"/>
      <c r="AK16" s="794"/>
      <c r="AL16" s="794" t="s">
        <v>223</v>
      </c>
      <c r="AM16" s="794"/>
      <c r="AN16" s="794"/>
      <c r="AO16" s="794"/>
      <c r="AP16" s="794"/>
      <c r="AQ16" s="794"/>
      <c r="AR16" s="335"/>
      <c r="AS16" s="633"/>
      <c r="AT16" s="148"/>
      <c r="AU16" s="622"/>
      <c r="AV16" s="804">
        <v>1</v>
      </c>
      <c r="AW16" s="804"/>
      <c r="AX16" s="805" t="s">
        <v>171</v>
      </c>
      <c r="AY16" s="806"/>
      <c r="AZ16" s="806"/>
      <c r="BA16" s="806"/>
      <c r="BB16" s="806"/>
      <c r="BC16" s="807"/>
      <c r="BD16" s="812" t="str">
        <f>IF(AX16=SelectText,"",IF(ISERROR(VLOOKUP(AX16,Tables!$JD$2:$JE$20,2,FALSE)),"",VLOOKUP(AX16,Tables!$JD$2:$JE$20,2,FALSE)))</f>
        <v/>
      </c>
      <c r="BE16" s="813"/>
      <c r="BF16" s="813"/>
      <c r="BG16" s="813"/>
      <c r="BH16" s="814"/>
      <c r="BJ16" s="653"/>
      <c r="BK16" s="786"/>
      <c r="BL16" s="786"/>
      <c r="BM16" s="786"/>
      <c r="BN16" s="786"/>
      <c r="BO16" s="786"/>
      <c r="BP16" s="786"/>
      <c r="BQ16" s="786"/>
      <c r="BR16" s="786"/>
      <c r="BS16" s="786"/>
      <c r="BT16" s="786"/>
      <c r="BU16" s="786"/>
      <c r="BV16" s="786"/>
      <c r="BW16" s="786"/>
      <c r="BX16" s="786"/>
      <c r="BY16" s="786"/>
      <c r="BZ16" s="786"/>
      <c r="CA16" s="786"/>
      <c r="CB16" s="786"/>
      <c r="CC16" s="786"/>
      <c r="CD16" s="786"/>
      <c r="CE16" s="786"/>
      <c r="CF16" s="786"/>
      <c r="CG16" s="786"/>
      <c r="CH16" s="786"/>
      <c r="CI16" s="786"/>
      <c r="CJ16" s="786"/>
      <c r="CK16" s="786"/>
      <c r="CL16" s="786"/>
      <c r="CM16" s="786"/>
      <c r="CN16" s="786"/>
      <c r="CO16" s="786"/>
      <c r="CP16" s="786"/>
      <c r="CQ16" s="787"/>
      <c r="CT16" s="57"/>
      <c r="CU16" s="57"/>
      <c r="CV16" s="57"/>
      <c r="CW16" s="57"/>
      <c r="CZ16" s="145"/>
      <c r="DF16" s="57"/>
    </row>
    <row r="17" spans="2:110" ht="12" customHeight="1" thickTop="1" thickBot="1" x14ac:dyDescent="0.3">
      <c r="B17" s="600"/>
      <c r="C17" s="590" t="s">
        <v>51</v>
      </c>
      <c r="D17" s="598"/>
      <c r="E17" s="598"/>
      <c r="F17" s="598"/>
      <c r="G17" s="598"/>
      <c r="H17" s="598"/>
      <c r="I17" s="598"/>
      <c r="J17" s="598"/>
      <c r="K17" s="893"/>
      <c r="L17" s="893"/>
      <c r="M17" s="893"/>
      <c r="N17" s="893"/>
      <c r="O17" s="893"/>
      <c r="P17" s="893"/>
      <c r="Q17" s="893"/>
      <c r="R17" s="893"/>
      <c r="S17" s="893"/>
      <c r="T17" s="893"/>
      <c r="U17" s="893"/>
      <c r="V17" s="893"/>
      <c r="W17" s="893"/>
      <c r="X17" s="893"/>
      <c r="Y17" s="893"/>
      <c r="Z17" s="601"/>
      <c r="AB17" s="632"/>
      <c r="AC17" s="857">
        <f>IF(Experience="","",VLOOKUP(Experience,Tables!JI1:JJ21,2,TRUE))</f>
        <v>1</v>
      </c>
      <c r="AD17" s="857"/>
      <c r="AE17" s="857"/>
      <c r="AF17" s="861">
        <v>0</v>
      </c>
      <c r="AG17" s="861"/>
      <c r="AH17" s="861"/>
      <c r="AI17" s="861"/>
      <c r="AJ17" s="861"/>
      <c r="AK17" s="861"/>
      <c r="AL17" s="862">
        <f>IF(Experience="","",IF(CharacterLevel=20,"Max LEVEL",VLOOKUP(CharacterLevel+1,Tables!JH1:JK5000,2,FALSE)))</f>
        <v>300</v>
      </c>
      <c r="AM17" s="862"/>
      <c r="AN17" s="862"/>
      <c r="AO17" s="862"/>
      <c r="AP17" s="862"/>
      <c r="AQ17" s="862"/>
      <c r="AR17" s="335"/>
      <c r="AS17" s="633"/>
      <c r="AT17" s="148"/>
      <c r="AU17" s="632"/>
      <c r="AV17" s="804">
        <f t="shared" ref="AV17:AV31" si="3">AV16+1</f>
        <v>2</v>
      </c>
      <c r="AW17" s="804">
        <v>2</v>
      </c>
      <c r="AX17" s="805" t="s">
        <v>171</v>
      </c>
      <c r="AY17" s="806"/>
      <c r="AZ17" s="806"/>
      <c r="BA17" s="806"/>
      <c r="BB17" s="806"/>
      <c r="BC17" s="807"/>
      <c r="BD17" s="812" t="str">
        <f>IF(AX17=SelectText,"",IF(ISERROR(VLOOKUP(AX17,Tables!$JD$2:$JE$20,2,FALSE)),"",VLOOKUP(AX17,Tables!$JD$2:$JE$20,2,FALSE)))</f>
        <v/>
      </c>
      <c r="BE17" s="813"/>
      <c r="BF17" s="813"/>
      <c r="BG17" s="813"/>
      <c r="BH17" s="814"/>
      <c r="BJ17" s="653"/>
      <c r="BK17" s="786"/>
      <c r="BL17" s="786"/>
      <c r="BM17" s="786"/>
      <c r="BN17" s="786"/>
      <c r="BO17" s="786"/>
      <c r="BP17" s="786"/>
      <c r="BQ17" s="786"/>
      <c r="BR17" s="786"/>
      <c r="BS17" s="786"/>
      <c r="BT17" s="786"/>
      <c r="BU17" s="786"/>
      <c r="BV17" s="786"/>
      <c r="BW17" s="786"/>
      <c r="BX17" s="786"/>
      <c r="BY17" s="786"/>
      <c r="BZ17" s="786"/>
      <c r="CA17" s="786"/>
      <c r="CB17" s="786"/>
      <c r="CC17" s="786"/>
      <c r="CD17" s="786"/>
      <c r="CE17" s="786"/>
      <c r="CF17" s="786"/>
      <c r="CG17" s="786"/>
      <c r="CH17" s="786"/>
      <c r="CI17" s="786"/>
      <c r="CJ17" s="786"/>
      <c r="CK17" s="786"/>
      <c r="CL17" s="786"/>
      <c r="CM17" s="786"/>
      <c r="CN17" s="786"/>
      <c r="CO17" s="786"/>
      <c r="CP17" s="786"/>
      <c r="CQ17" s="787"/>
      <c r="CT17" s="57"/>
      <c r="CU17" s="57"/>
      <c r="CV17" s="57"/>
      <c r="CW17" s="57"/>
      <c r="CZ17" s="145"/>
      <c r="DF17" s="57"/>
    </row>
    <row r="18" spans="2:110" ht="12" customHeight="1" thickTop="1" thickBot="1" x14ac:dyDescent="0.3">
      <c r="B18" s="600"/>
      <c r="C18" s="594" t="s">
        <v>1</v>
      </c>
      <c r="D18" s="598"/>
      <c r="E18" s="598"/>
      <c r="F18" s="598"/>
      <c r="G18" s="598"/>
      <c r="H18" s="598"/>
      <c r="I18" s="598"/>
      <c r="J18" s="598"/>
      <c r="K18" s="893"/>
      <c r="L18" s="893"/>
      <c r="M18" s="893"/>
      <c r="N18" s="893"/>
      <c r="O18" s="893"/>
      <c r="P18" s="893"/>
      <c r="Q18" s="893"/>
      <c r="R18" s="893"/>
      <c r="S18" s="893"/>
      <c r="T18" s="893"/>
      <c r="U18" s="893"/>
      <c r="V18" s="893"/>
      <c r="W18" s="893"/>
      <c r="X18" s="893"/>
      <c r="Y18" s="893"/>
      <c r="Z18" s="602"/>
      <c r="AB18" s="632"/>
      <c r="AC18" s="727"/>
      <c r="AD18" s="727"/>
      <c r="AE18" s="727"/>
      <c r="AF18" s="727"/>
      <c r="AG18" s="727"/>
      <c r="AH18" s="727"/>
      <c r="AI18" s="723"/>
      <c r="AJ18" s="723"/>
      <c r="AK18" s="723"/>
      <c r="AL18" s="723"/>
      <c r="AM18" s="723"/>
      <c r="AN18" s="335"/>
      <c r="AO18" s="335"/>
      <c r="AP18" s="335"/>
      <c r="AQ18" s="335"/>
      <c r="AR18" s="335"/>
      <c r="AS18" s="633"/>
      <c r="AT18" s="115"/>
      <c r="AU18" s="632"/>
      <c r="AV18" s="804">
        <f t="shared" si="3"/>
        <v>3</v>
      </c>
      <c r="AW18" s="804">
        <v>3</v>
      </c>
      <c r="AX18" s="805" t="s">
        <v>171</v>
      </c>
      <c r="AY18" s="806"/>
      <c r="AZ18" s="806"/>
      <c r="BA18" s="806"/>
      <c r="BB18" s="806"/>
      <c r="BC18" s="807"/>
      <c r="BD18" s="812" t="str">
        <f>IF(AX18=SelectText,"",IF(ISERROR(VLOOKUP(AX18,Tables!$JD$2:$JE$20,2,FALSE)),"",VLOOKUP(AX18,Tables!$JD$2:$JE$20,2,FALSE)))</f>
        <v/>
      </c>
      <c r="BE18" s="813"/>
      <c r="BF18" s="813"/>
      <c r="BG18" s="813"/>
      <c r="BH18" s="814"/>
      <c r="BJ18" s="653"/>
      <c r="BK18" s="786"/>
      <c r="BL18" s="786"/>
      <c r="BM18" s="786"/>
      <c r="BN18" s="786"/>
      <c r="BO18" s="786"/>
      <c r="BP18" s="786"/>
      <c r="BQ18" s="786"/>
      <c r="BR18" s="786"/>
      <c r="BS18" s="786"/>
      <c r="BT18" s="786"/>
      <c r="BU18" s="786"/>
      <c r="BV18" s="786"/>
      <c r="BW18" s="786"/>
      <c r="BX18" s="786"/>
      <c r="BY18" s="786"/>
      <c r="BZ18" s="786"/>
      <c r="CA18" s="786"/>
      <c r="CB18" s="786"/>
      <c r="CC18" s="786"/>
      <c r="CD18" s="786"/>
      <c r="CE18" s="786"/>
      <c r="CF18" s="786"/>
      <c r="CG18" s="786"/>
      <c r="CH18" s="786"/>
      <c r="CI18" s="786"/>
      <c r="CJ18" s="786"/>
      <c r="CK18" s="786"/>
      <c r="CL18" s="786"/>
      <c r="CM18" s="786"/>
      <c r="CN18" s="786"/>
      <c r="CO18" s="786"/>
      <c r="CP18" s="786"/>
      <c r="CQ18" s="787"/>
      <c r="CT18" s="57"/>
      <c r="CU18" s="57"/>
      <c r="CV18" s="57"/>
      <c r="CW18" s="57"/>
      <c r="CZ18" s="145"/>
      <c r="DF18" s="57"/>
    </row>
    <row r="19" spans="2:110" ht="12" customHeight="1" thickTop="1" thickBot="1" x14ac:dyDescent="0.3">
      <c r="B19" s="600"/>
      <c r="C19" s="590" t="s">
        <v>0</v>
      </c>
      <c r="D19" s="598"/>
      <c r="E19" s="598"/>
      <c r="F19" s="598"/>
      <c r="G19" s="598"/>
      <c r="H19" s="598"/>
      <c r="I19" s="598"/>
      <c r="J19" s="598"/>
      <c r="K19" s="893"/>
      <c r="L19" s="893"/>
      <c r="M19" s="893"/>
      <c r="N19" s="893"/>
      <c r="O19" s="893"/>
      <c r="P19" s="893"/>
      <c r="Q19" s="893"/>
      <c r="R19" s="893"/>
      <c r="S19" s="893"/>
      <c r="T19" s="893"/>
      <c r="U19" s="893"/>
      <c r="V19" s="893"/>
      <c r="W19" s="893"/>
      <c r="X19" s="893"/>
      <c r="Y19" s="893"/>
      <c r="Z19" s="599"/>
      <c r="AB19" s="632"/>
      <c r="AC19" s="777" t="s">
        <v>7</v>
      </c>
      <c r="AD19" s="777"/>
      <c r="AE19" s="777"/>
      <c r="AF19" s="803" t="s">
        <v>2343</v>
      </c>
      <c r="AG19" s="803"/>
      <c r="AH19" s="803"/>
      <c r="AI19" s="803"/>
      <c r="AJ19" s="777" t="s">
        <v>222</v>
      </c>
      <c r="AK19" s="777"/>
      <c r="AL19" s="777"/>
      <c r="AM19" s="777"/>
      <c r="AN19" s="777" t="s">
        <v>1875</v>
      </c>
      <c r="AO19" s="777"/>
      <c r="AP19" s="777"/>
      <c r="AQ19" s="335"/>
      <c r="AR19" s="635"/>
      <c r="AS19" s="624"/>
      <c r="AT19" s="115"/>
      <c r="AU19" s="632"/>
      <c r="AV19" s="804">
        <f t="shared" si="3"/>
        <v>4</v>
      </c>
      <c r="AW19" s="804">
        <v>4</v>
      </c>
      <c r="AX19" s="805" t="s">
        <v>171</v>
      </c>
      <c r="AY19" s="806"/>
      <c r="AZ19" s="806"/>
      <c r="BA19" s="806"/>
      <c r="BB19" s="806"/>
      <c r="BC19" s="807"/>
      <c r="BD19" s="812" t="str">
        <f>IF(AX19=SelectText,"",IF(ISERROR(VLOOKUP(AX19,Tables!$JD$2:$JE$20,2,FALSE)),"",VLOOKUP(AX19,Tables!$JD$2:$JE$20,2,FALSE)))</f>
        <v/>
      </c>
      <c r="BE19" s="813"/>
      <c r="BF19" s="813"/>
      <c r="BG19" s="813"/>
      <c r="BH19" s="814"/>
      <c r="BJ19" s="653"/>
      <c r="BK19" s="786"/>
      <c r="BL19" s="786"/>
      <c r="BM19" s="786"/>
      <c r="BN19" s="786"/>
      <c r="BO19" s="786"/>
      <c r="BP19" s="786"/>
      <c r="BQ19" s="786"/>
      <c r="BR19" s="786"/>
      <c r="BS19" s="786"/>
      <c r="BT19" s="786"/>
      <c r="BU19" s="786"/>
      <c r="BV19" s="786"/>
      <c r="BW19" s="786"/>
      <c r="BX19" s="786"/>
      <c r="BY19" s="786"/>
      <c r="BZ19" s="786"/>
      <c r="CA19" s="786"/>
      <c r="CB19" s="786"/>
      <c r="CC19" s="786"/>
      <c r="CD19" s="786"/>
      <c r="CE19" s="786"/>
      <c r="CF19" s="786"/>
      <c r="CG19" s="786"/>
      <c r="CH19" s="786"/>
      <c r="CI19" s="786"/>
      <c r="CJ19" s="786"/>
      <c r="CK19" s="786"/>
      <c r="CL19" s="786"/>
      <c r="CM19" s="786"/>
      <c r="CN19" s="786"/>
      <c r="CO19" s="786"/>
      <c r="CP19" s="786"/>
      <c r="CQ19" s="787"/>
      <c r="CT19" s="57"/>
      <c r="CU19" s="57"/>
      <c r="CV19" s="57"/>
      <c r="CW19" s="57"/>
      <c r="CZ19" s="145"/>
      <c r="DF19" s="57"/>
    </row>
    <row r="20" spans="2:110" ht="12" customHeight="1" thickTop="1" thickBot="1" x14ac:dyDescent="0.3">
      <c r="B20" s="600"/>
      <c r="C20" s="579" t="s">
        <v>3</v>
      </c>
      <c r="D20" s="598"/>
      <c r="E20" s="598"/>
      <c r="F20" s="598"/>
      <c r="G20" s="598"/>
      <c r="H20" s="598"/>
      <c r="I20" s="598"/>
      <c r="J20" s="598"/>
      <c r="K20" s="900" t="s">
        <v>171</v>
      </c>
      <c r="L20" s="900"/>
      <c r="M20" s="900"/>
      <c r="N20" s="900"/>
      <c r="O20" s="900"/>
      <c r="P20" s="900"/>
      <c r="Q20" s="900"/>
      <c r="R20" s="900"/>
      <c r="S20" s="900"/>
      <c r="T20" s="900"/>
      <c r="U20" s="900"/>
      <c r="V20" s="900"/>
      <c r="W20" s="900"/>
      <c r="X20" s="900"/>
      <c r="Y20" s="900"/>
      <c r="Z20" s="603"/>
      <c r="AB20" s="632"/>
      <c r="AC20" s="804">
        <v>1</v>
      </c>
      <c r="AD20" s="804"/>
      <c r="AE20" s="804"/>
      <c r="AF20" s="843" t="s">
        <v>171</v>
      </c>
      <c r="AG20" s="844"/>
      <c r="AH20" s="844"/>
      <c r="AI20" s="845"/>
      <c r="AJ20" s="335"/>
      <c r="AK20" s="829" t="str">
        <f>VLOOKUP(Start!AF20,Tables!$BI$6:$BJ$5003,2,FALSE)</f>
        <v/>
      </c>
      <c r="AL20" s="829"/>
      <c r="AM20" s="335"/>
      <c r="AN20" s="858" t="str">
        <f>VLOOKUP(Start!AF20,Tables!$BI$6:$BJ$5003,2,FALSE)</f>
        <v/>
      </c>
      <c r="AO20" s="859"/>
      <c r="AP20" s="860"/>
      <c r="AQ20" s="636"/>
      <c r="AR20" s="625" t="str">
        <f>IF(OR(AF20="",AF20=Tables!$BI$6),"",IF(COUNTIF($AF$20:$AF20,AF20)&gt;1,"",MAX($AR$19:AR19)+1))</f>
        <v/>
      </c>
      <c r="AS20" s="626" t="str">
        <f t="shared" ref="AS20:AS39" si="4">IF(AR20="","",AF20)</f>
        <v/>
      </c>
      <c r="AT20" s="115"/>
      <c r="AU20" s="632"/>
      <c r="AV20" s="804">
        <f t="shared" si="3"/>
        <v>5</v>
      </c>
      <c r="AW20" s="804">
        <v>5</v>
      </c>
      <c r="AX20" s="805" t="s">
        <v>171</v>
      </c>
      <c r="AY20" s="806"/>
      <c r="AZ20" s="806"/>
      <c r="BA20" s="806"/>
      <c r="BB20" s="806"/>
      <c r="BC20" s="807"/>
      <c r="BD20" s="812" t="str">
        <f>IF(AX20=SelectText,"",IF(ISERROR(VLOOKUP(AX20,Tables!$JD$2:$JE$20,2,FALSE)),"",VLOOKUP(AX20,Tables!$JD$2:$JE$20,2,FALSE)))</f>
        <v/>
      </c>
      <c r="BE20" s="813"/>
      <c r="BF20" s="813"/>
      <c r="BG20" s="813"/>
      <c r="BH20" s="814"/>
      <c r="BJ20" s="653"/>
      <c r="BK20" s="786"/>
      <c r="BL20" s="786"/>
      <c r="BM20" s="786"/>
      <c r="BN20" s="786"/>
      <c r="BO20" s="786"/>
      <c r="BP20" s="786"/>
      <c r="BQ20" s="786"/>
      <c r="BR20" s="786"/>
      <c r="BS20" s="786"/>
      <c r="BT20" s="786"/>
      <c r="BU20" s="786"/>
      <c r="BV20" s="786"/>
      <c r="BW20" s="786"/>
      <c r="BX20" s="786"/>
      <c r="BY20" s="786"/>
      <c r="BZ20" s="786"/>
      <c r="CA20" s="786"/>
      <c r="CB20" s="786"/>
      <c r="CC20" s="786"/>
      <c r="CD20" s="786"/>
      <c r="CE20" s="786"/>
      <c r="CF20" s="786"/>
      <c r="CG20" s="786"/>
      <c r="CH20" s="786"/>
      <c r="CI20" s="786"/>
      <c r="CJ20" s="786"/>
      <c r="CK20" s="786"/>
      <c r="CL20" s="786"/>
      <c r="CM20" s="786"/>
      <c r="CN20" s="786"/>
      <c r="CO20" s="786"/>
      <c r="CP20" s="786"/>
      <c r="CQ20" s="787"/>
      <c r="CT20" s="57"/>
      <c r="CU20" s="57"/>
      <c r="CV20" s="57"/>
      <c r="CW20" s="57"/>
      <c r="CZ20" s="145"/>
      <c r="DF20" s="57"/>
    </row>
    <row r="21" spans="2:110" ht="12" customHeight="1" thickTop="1" thickBot="1" x14ac:dyDescent="0.3">
      <c r="B21" s="600"/>
      <c r="C21" s="902" t="str">
        <f>IF(Race=Tables!A9,"ANCESTRY","SUBRACE")</f>
        <v>SUBRACE</v>
      </c>
      <c r="D21" s="902"/>
      <c r="E21" s="902"/>
      <c r="F21" s="902"/>
      <c r="G21" s="902"/>
      <c r="H21" s="902"/>
      <c r="I21" s="902"/>
      <c r="J21" s="903"/>
      <c r="K21" s="904" t="s">
        <v>171</v>
      </c>
      <c r="L21" s="904"/>
      <c r="M21" s="904"/>
      <c r="N21" s="904"/>
      <c r="O21" s="904"/>
      <c r="P21" s="904"/>
      <c r="Q21" s="904"/>
      <c r="R21" s="904"/>
      <c r="S21" s="904"/>
      <c r="T21" s="904"/>
      <c r="U21" s="904"/>
      <c r="V21" s="904"/>
      <c r="W21" s="904"/>
      <c r="X21" s="904"/>
      <c r="Y21" s="904"/>
      <c r="Z21" s="603"/>
      <c r="AB21" s="632"/>
      <c r="AC21" s="804">
        <v>2</v>
      </c>
      <c r="AD21" s="804"/>
      <c r="AE21" s="804"/>
      <c r="AF21" s="843" t="s">
        <v>171</v>
      </c>
      <c r="AG21" s="844"/>
      <c r="AH21" s="844"/>
      <c r="AI21" s="845"/>
      <c r="AJ21" s="335"/>
      <c r="AK21" s="829" t="str">
        <f>VLOOKUP(Start!AF21,Tables!$BI$6:$BJ$5003,2,FALSE)</f>
        <v/>
      </c>
      <c r="AL21" s="829"/>
      <c r="AM21" s="335"/>
      <c r="AN21" s="815"/>
      <c r="AO21" s="816"/>
      <c r="AP21" s="817"/>
      <c r="AQ21" s="636"/>
      <c r="AR21" s="625" t="str">
        <f>IF(OR(AF21="",AF21=Tables!$BI$6),"",IF(COUNTIF($AF$20:$AF21,AF21)&gt;1,"",MAX($AR$19:AR20)+1))</f>
        <v/>
      </c>
      <c r="AS21" s="626" t="str">
        <f t="shared" si="4"/>
        <v/>
      </c>
      <c r="AT21" s="115"/>
      <c r="AU21" s="632"/>
      <c r="AV21" s="804">
        <f t="shared" si="3"/>
        <v>6</v>
      </c>
      <c r="AW21" s="804">
        <v>6</v>
      </c>
      <c r="AX21" s="805" t="s">
        <v>171</v>
      </c>
      <c r="AY21" s="806"/>
      <c r="AZ21" s="806"/>
      <c r="BA21" s="806"/>
      <c r="BB21" s="806"/>
      <c r="BC21" s="807"/>
      <c r="BD21" s="812" t="str">
        <f>IF(AX21=SelectText,"",IF(ISERROR(VLOOKUP(AX21,Tables!$JD$2:$JE$20,2,FALSE)),"",VLOOKUP(AX21,Tables!$JD$2:$JE$20,2,FALSE)))</f>
        <v/>
      </c>
      <c r="BE21" s="813"/>
      <c r="BF21" s="813"/>
      <c r="BG21" s="813"/>
      <c r="BH21" s="814"/>
      <c r="BJ21" s="653"/>
      <c r="BK21" s="786"/>
      <c r="BL21" s="786"/>
      <c r="BM21" s="786"/>
      <c r="BN21" s="786"/>
      <c r="BO21" s="786"/>
      <c r="BP21" s="786"/>
      <c r="BQ21" s="786"/>
      <c r="BR21" s="786"/>
      <c r="BS21" s="786"/>
      <c r="BT21" s="786"/>
      <c r="BU21" s="786"/>
      <c r="BV21" s="786"/>
      <c r="BW21" s="786"/>
      <c r="BX21" s="786"/>
      <c r="BY21" s="786"/>
      <c r="BZ21" s="786"/>
      <c r="CA21" s="786"/>
      <c r="CB21" s="786"/>
      <c r="CC21" s="786"/>
      <c r="CD21" s="786"/>
      <c r="CE21" s="786"/>
      <c r="CF21" s="786"/>
      <c r="CG21" s="786"/>
      <c r="CH21" s="786"/>
      <c r="CI21" s="786"/>
      <c r="CJ21" s="786"/>
      <c r="CK21" s="786"/>
      <c r="CL21" s="786"/>
      <c r="CM21" s="786"/>
      <c r="CN21" s="786"/>
      <c r="CO21" s="786"/>
      <c r="CP21" s="786"/>
      <c r="CQ21" s="787"/>
      <c r="CT21" s="57"/>
      <c r="CU21" s="57"/>
      <c r="CV21" s="57"/>
      <c r="CW21" s="57"/>
      <c r="CZ21" s="145"/>
      <c r="DF21" s="57"/>
    </row>
    <row r="22" spans="2:110" ht="12" customHeight="1" thickTop="1" thickBot="1" x14ac:dyDescent="0.3">
      <c r="B22" s="600"/>
      <c r="C22" s="594" t="s">
        <v>8</v>
      </c>
      <c r="D22" s="598"/>
      <c r="E22" s="598"/>
      <c r="F22" s="598"/>
      <c r="G22" s="598"/>
      <c r="H22" s="598"/>
      <c r="I22" s="598"/>
      <c r="J22" s="598"/>
      <c r="K22" s="894" t="str">
        <f>Tables!B3</f>
        <v/>
      </c>
      <c r="L22" s="895"/>
      <c r="M22" s="895"/>
      <c r="N22" s="895"/>
      <c r="O22" s="895"/>
      <c r="P22" s="895"/>
      <c r="Q22" s="895"/>
      <c r="R22" s="896"/>
      <c r="S22" s="454"/>
      <c r="T22" s="454"/>
      <c r="U22" s="454"/>
      <c r="V22" s="454"/>
      <c r="W22" s="454"/>
      <c r="X22" s="454"/>
      <c r="Y22" s="454"/>
      <c r="Z22" s="599"/>
      <c r="AB22" s="632"/>
      <c r="AC22" s="804">
        <v>3</v>
      </c>
      <c r="AD22" s="804"/>
      <c r="AE22" s="804"/>
      <c r="AF22" s="843" t="s">
        <v>171</v>
      </c>
      <c r="AG22" s="844"/>
      <c r="AH22" s="844"/>
      <c r="AI22" s="845"/>
      <c r="AJ22" s="335"/>
      <c r="AK22" s="829" t="str">
        <f>VLOOKUP(Start!AF22,Tables!$BI$6:$BJ$5003,2,FALSE)</f>
        <v/>
      </c>
      <c r="AL22" s="829"/>
      <c r="AM22" s="335"/>
      <c r="AN22" s="815"/>
      <c r="AO22" s="816"/>
      <c r="AP22" s="817"/>
      <c r="AQ22" s="636"/>
      <c r="AR22" s="625" t="str">
        <f>IF(OR(AF22="",AF22=Tables!$BI$6),"",IF(COUNTIF($AF$20:$AF22,AF22)&gt;1,"",MAX($AR$19:AR21)+1))</f>
        <v/>
      </c>
      <c r="AS22" s="626" t="str">
        <f t="shared" si="4"/>
        <v/>
      </c>
      <c r="AT22" s="148"/>
      <c r="AU22" s="632"/>
      <c r="AV22" s="804">
        <f t="shared" si="3"/>
        <v>7</v>
      </c>
      <c r="AW22" s="804">
        <v>7</v>
      </c>
      <c r="AX22" s="805" t="s">
        <v>171</v>
      </c>
      <c r="AY22" s="806"/>
      <c r="AZ22" s="806"/>
      <c r="BA22" s="806"/>
      <c r="BB22" s="806"/>
      <c r="BC22" s="807"/>
      <c r="BD22" s="812" t="str">
        <f>IF(AX22=SelectText,"",IF(ISERROR(VLOOKUP(AX22,Tables!$JD$2:$JE$20,2,FALSE)),"",VLOOKUP(AX22,Tables!$JD$2:$JE$20,2,FALSE)))</f>
        <v/>
      </c>
      <c r="BE22" s="813"/>
      <c r="BF22" s="813"/>
      <c r="BG22" s="813"/>
      <c r="BH22" s="814"/>
      <c r="BJ22" s="653"/>
      <c r="BK22" s="786"/>
      <c r="BL22" s="786"/>
      <c r="BM22" s="786"/>
      <c r="BN22" s="786"/>
      <c r="BO22" s="786"/>
      <c r="BP22" s="786"/>
      <c r="BQ22" s="786"/>
      <c r="BR22" s="786"/>
      <c r="BS22" s="786"/>
      <c r="BT22" s="786"/>
      <c r="BU22" s="786"/>
      <c r="BV22" s="786"/>
      <c r="BW22" s="786"/>
      <c r="BX22" s="786"/>
      <c r="BY22" s="786"/>
      <c r="BZ22" s="786"/>
      <c r="CA22" s="786"/>
      <c r="CB22" s="786"/>
      <c r="CC22" s="786"/>
      <c r="CD22" s="786"/>
      <c r="CE22" s="786"/>
      <c r="CF22" s="786"/>
      <c r="CG22" s="786"/>
      <c r="CH22" s="786"/>
      <c r="CI22" s="786"/>
      <c r="CJ22" s="786"/>
      <c r="CK22" s="786"/>
      <c r="CL22" s="786"/>
      <c r="CM22" s="786"/>
      <c r="CN22" s="786"/>
      <c r="CO22" s="786"/>
      <c r="CP22" s="786"/>
      <c r="CQ22" s="787"/>
      <c r="CT22" s="57"/>
      <c r="CU22" s="57"/>
      <c r="CV22" s="57"/>
      <c r="CW22" s="57"/>
      <c r="CZ22" s="145"/>
      <c r="DF22" s="57"/>
    </row>
    <row r="23" spans="2:110" ht="12" customHeight="1" thickTop="1" thickBot="1" x14ac:dyDescent="0.3">
      <c r="B23" s="600"/>
      <c r="C23" s="594" t="s">
        <v>18</v>
      </c>
      <c r="D23" s="598"/>
      <c r="E23" s="598"/>
      <c r="F23" s="598"/>
      <c r="G23" s="598"/>
      <c r="H23" s="598"/>
      <c r="I23" s="598"/>
      <c r="J23" s="598"/>
      <c r="K23" s="897" t="str">
        <f>Tables!C3</f>
        <v/>
      </c>
      <c r="L23" s="898"/>
      <c r="M23" s="899"/>
      <c r="N23" s="604" t="str">
        <f>IF(CharacterLevel="","",IF(Tables!$OZ$1&gt;0,"MOBILE FEAT",""))</f>
        <v/>
      </c>
      <c r="O23" s="605"/>
      <c r="P23" s="605"/>
      <c r="Q23" s="454"/>
      <c r="R23" s="454"/>
      <c r="S23" s="454"/>
      <c r="T23" s="454"/>
      <c r="U23" s="454"/>
      <c r="V23" s="454"/>
      <c r="W23" s="454"/>
      <c r="X23" s="454"/>
      <c r="Y23" s="454"/>
      <c r="Z23" s="599"/>
      <c r="AB23" s="632"/>
      <c r="AC23" s="804">
        <v>4</v>
      </c>
      <c r="AD23" s="804"/>
      <c r="AE23" s="804"/>
      <c r="AF23" s="843" t="s">
        <v>171</v>
      </c>
      <c r="AG23" s="844"/>
      <c r="AH23" s="844"/>
      <c r="AI23" s="845"/>
      <c r="AJ23" s="335"/>
      <c r="AK23" s="829" t="str">
        <f>VLOOKUP(Start!AF23,Tables!$BI$6:$BJ$5003,2,FALSE)</f>
        <v/>
      </c>
      <c r="AL23" s="829"/>
      <c r="AM23" s="335"/>
      <c r="AN23" s="815"/>
      <c r="AO23" s="816"/>
      <c r="AP23" s="817"/>
      <c r="AQ23" s="636"/>
      <c r="AR23" s="625" t="str">
        <f>IF(OR(AF23="",AF23=Tables!$BI$6),"",IF(COUNTIF($AF$20:$AF23,AF23)&gt;1,"",MAX($AR$19:AR22)+1))</f>
        <v/>
      </c>
      <c r="AS23" s="626" t="str">
        <f t="shared" si="4"/>
        <v/>
      </c>
      <c r="AT23" s="116"/>
      <c r="AU23" s="632"/>
      <c r="AV23" s="804">
        <f t="shared" si="3"/>
        <v>8</v>
      </c>
      <c r="AW23" s="804">
        <v>8</v>
      </c>
      <c r="AX23" s="805" t="s">
        <v>171</v>
      </c>
      <c r="AY23" s="806"/>
      <c r="AZ23" s="806"/>
      <c r="BA23" s="806"/>
      <c r="BB23" s="806"/>
      <c r="BC23" s="807"/>
      <c r="BD23" s="812" t="str">
        <f>IF(AX23=SelectText,"",IF(ISERROR(VLOOKUP(AX23,Tables!$JD$2:$JE$20,2,FALSE)),"",VLOOKUP(AX23,Tables!$JD$2:$JE$20,2,FALSE)))</f>
        <v/>
      </c>
      <c r="BE23" s="813"/>
      <c r="BF23" s="813"/>
      <c r="BG23" s="813"/>
      <c r="BH23" s="814"/>
      <c r="BJ23" s="653"/>
      <c r="BK23" s="786"/>
      <c r="BL23" s="786"/>
      <c r="BM23" s="786"/>
      <c r="BN23" s="786"/>
      <c r="BO23" s="786"/>
      <c r="BP23" s="786"/>
      <c r="BQ23" s="786"/>
      <c r="BR23" s="786"/>
      <c r="BS23" s="786"/>
      <c r="BT23" s="786"/>
      <c r="BU23" s="786"/>
      <c r="BV23" s="786"/>
      <c r="BW23" s="786"/>
      <c r="BX23" s="786"/>
      <c r="BY23" s="786"/>
      <c r="BZ23" s="786"/>
      <c r="CA23" s="786"/>
      <c r="CB23" s="786"/>
      <c r="CC23" s="786"/>
      <c r="CD23" s="786"/>
      <c r="CE23" s="786"/>
      <c r="CF23" s="786"/>
      <c r="CG23" s="786"/>
      <c r="CH23" s="786"/>
      <c r="CI23" s="786"/>
      <c r="CJ23" s="786"/>
      <c r="CK23" s="786"/>
      <c r="CL23" s="786"/>
      <c r="CM23" s="786"/>
      <c r="CN23" s="786"/>
      <c r="CO23" s="786"/>
      <c r="CP23" s="786"/>
      <c r="CQ23" s="787"/>
      <c r="CT23" s="57"/>
      <c r="CU23" s="57"/>
      <c r="CV23" s="57"/>
      <c r="CW23" s="57"/>
      <c r="CZ23" s="145"/>
      <c r="DF23" s="57"/>
    </row>
    <row r="24" spans="2:110" ht="12" customHeight="1" thickTop="1" thickBot="1" x14ac:dyDescent="0.3">
      <c r="B24" s="606"/>
      <c r="C24" s="594" t="s">
        <v>228</v>
      </c>
      <c r="D24" s="598"/>
      <c r="E24" s="598"/>
      <c r="F24" s="598"/>
      <c r="G24" s="598"/>
      <c r="H24" s="598"/>
      <c r="I24" s="598"/>
      <c r="J24" s="598"/>
      <c r="K24" s="894" t="str">
        <f>Tables!D3</f>
        <v/>
      </c>
      <c r="L24" s="895"/>
      <c r="M24" s="895"/>
      <c r="N24" s="895"/>
      <c r="O24" s="895"/>
      <c r="P24" s="895"/>
      <c r="Q24" s="895"/>
      <c r="R24" s="896"/>
      <c r="S24" s="454"/>
      <c r="T24" s="454"/>
      <c r="U24" s="454"/>
      <c r="V24" s="454"/>
      <c r="W24" s="454"/>
      <c r="X24" s="454"/>
      <c r="Y24" s="454"/>
      <c r="Z24" s="599"/>
      <c r="AB24" s="632"/>
      <c r="AC24" s="804">
        <v>5</v>
      </c>
      <c r="AD24" s="804"/>
      <c r="AE24" s="804"/>
      <c r="AF24" s="843" t="s">
        <v>171</v>
      </c>
      <c r="AG24" s="844"/>
      <c r="AH24" s="844"/>
      <c r="AI24" s="845"/>
      <c r="AJ24" s="335"/>
      <c r="AK24" s="829" t="str">
        <f>VLOOKUP(Start!AF24,Tables!$BI$6:$BJ$5003,2,FALSE)</f>
        <v/>
      </c>
      <c r="AL24" s="829"/>
      <c r="AM24" s="335"/>
      <c r="AN24" s="815"/>
      <c r="AO24" s="816"/>
      <c r="AP24" s="817"/>
      <c r="AQ24" s="636"/>
      <c r="AR24" s="625" t="str">
        <f>IF(OR(AF24="",AF24=Tables!$BI$6),"",IF(COUNTIF($AF$20:$AF24,AF24)&gt;1,"",MAX($AR$19:AR23)+1))</f>
        <v/>
      </c>
      <c r="AS24" s="626" t="str">
        <f t="shared" si="4"/>
        <v/>
      </c>
      <c r="AT24" s="116"/>
      <c r="AU24" s="632"/>
      <c r="AV24" s="804">
        <f t="shared" si="3"/>
        <v>9</v>
      </c>
      <c r="AW24" s="804">
        <v>9</v>
      </c>
      <c r="AX24" s="805" t="s">
        <v>171</v>
      </c>
      <c r="AY24" s="806"/>
      <c r="AZ24" s="806"/>
      <c r="BA24" s="806"/>
      <c r="BB24" s="806"/>
      <c r="BC24" s="807"/>
      <c r="BD24" s="812" t="str">
        <f>IF(AX24=SelectText,"",IF(ISERROR(VLOOKUP(AX24,Tables!$JD$2:$JE$20,2,FALSE)),"",VLOOKUP(AX24,Tables!$JD$2:$JE$20,2,FALSE)))</f>
        <v/>
      </c>
      <c r="BE24" s="813"/>
      <c r="BF24" s="813"/>
      <c r="BG24" s="813"/>
      <c r="BH24" s="814"/>
      <c r="BJ24" s="653"/>
      <c r="BK24" s="786"/>
      <c r="BL24" s="786"/>
      <c r="BM24" s="786"/>
      <c r="BN24" s="786"/>
      <c r="BO24" s="786"/>
      <c r="BP24" s="786"/>
      <c r="BQ24" s="786"/>
      <c r="BR24" s="786"/>
      <c r="BS24" s="786"/>
      <c r="BT24" s="786"/>
      <c r="BU24" s="786"/>
      <c r="BV24" s="786"/>
      <c r="BW24" s="786"/>
      <c r="BX24" s="786"/>
      <c r="BY24" s="786"/>
      <c r="BZ24" s="786"/>
      <c r="CA24" s="786"/>
      <c r="CB24" s="786"/>
      <c r="CC24" s="786"/>
      <c r="CD24" s="786"/>
      <c r="CE24" s="786"/>
      <c r="CF24" s="786"/>
      <c r="CG24" s="786"/>
      <c r="CH24" s="786"/>
      <c r="CI24" s="786"/>
      <c r="CJ24" s="786"/>
      <c r="CK24" s="786"/>
      <c r="CL24" s="786"/>
      <c r="CM24" s="786"/>
      <c r="CN24" s="786"/>
      <c r="CO24" s="786"/>
      <c r="CP24" s="786"/>
      <c r="CQ24" s="787"/>
      <c r="CT24" s="57"/>
      <c r="CU24" s="57"/>
      <c r="CV24" s="57"/>
      <c r="CW24" s="57"/>
      <c r="CZ24" s="145"/>
      <c r="DF24" s="57"/>
    </row>
    <row r="25" spans="2:110" ht="12" customHeight="1" thickTop="1" thickBot="1" x14ac:dyDescent="0.3">
      <c r="B25" s="606"/>
      <c r="C25" s="590" t="s">
        <v>302</v>
      </c>
      <c r="D25" s="598"/>
      <c r="E25" s="598"/>
      <c r="F25" s="598"/>
      <c r="G25" s="598"/>
      <c r="H25" s="598"/>
      <c r="I25" s="598"/>
      <c r="J25" s="598"/>
      <c r="K25" s="893" t="s">
        <v>171</v>
      </c>
      <c r="L25" s="893"/>
      <c r="M25" s="893"/>
      <c r="N25" s="893"/>
      <c r="O25" s="893"/>
      <c r="P25" s="893"/>
      <c r="Q25" s="893"/>
      <c r="R25" s="893"/>
      <c r="S25" s="893"/>
      <c r="T25" s="893"/>
      <c r="U25" s="893"/>
      <c r="V25" s="893"/>
      <c r="W25" s="893"/>
      <c r="X25" s="893"/>
      <c r="Y25" s="893"/>
      <c r="Z25" s="520"/>
      <c r="AB25" s="632"/>
      <c r="AC25" s="804">
        <v>6</v>
      </c>
      <c r="AD25" s="804"/>
      <c r="AE25" s="804"/>
      <c r="AF25" s="843" t="s">
        <v>171</v>
      </c>
      <c r="AG25" s="844"/>
      <c r="AH25" s="844"/>
      <c r="AI25" s="845"/>
      <c r="AJ25" s="335"/>
      <c r="AK25" s="829" t="str">
        <f>VLOOKUP(Start!AF25,Tables!$BI$6:$BJ$5003,2,FALSE)</f>
        <v/>
      </c>
      <c r="AL25" s="829"/>
      <c r="AM25" s="335"/>
      <c r="AN25" s="815"/>
      <c r="AO25" s="816"/>
      <c r="AP25" s="817"/>
      <c r="AQ25" s="636"/>
      <c r="AR25" s="625" t="str">
        <f>IF(OR(AF25="",AF25=Tables!$BI$6),"",IF(COUNTIF($AF$20:$AF25,AF25)&gt;1,"",MAX($AR$19:AR24)+1))</f>
        <v/>
      </c>
      <c r="AS25" s="626" t="str">
        <f t="shared" si="4"/>
        <v/>
      </c>
      <c r="AT25" s="116"/>
      <c r="AU25" s="632"/>
      <c r="AV25" s="804">
        <f t="shared" si="3"/>
        <v>10</v>
      </c>
      <c r="AW25" s="804">
        <v>10</v>
      </c>
      <c r="AX25" s="805" t="s">
        <v>171</v>
      </c>
      <c r="AY25" s="806"/>
      <c r="AZ25" s="806"/>
      <c r="BA25" s="806"/>
      <c r="BB25" s="806"/>
      <c r="BC25" s="807"/>
      <c r="BD25" s="812" t="str">
        <f>IF(AX25=SelectText,"",IF(ISERROR(VLOOKUP(AX25,Tables!$JD$2:$JE$20,2,FALSE)),"",VLOOKUP(AX25,Tables!$JD$2:$JE$20,2,FALSE)))</f>
        <v/>
      </c>
      <c r="BE25" s="813"/>
      <c r="BF25" s="813"/>
      <c r="BG25" s="813"/>
      <c r="BH25" s="814"/>
      <c r="BJ25" s="653"/>
      <c r="BK25" s="786"/>
      <c r="BL25" s="786"/>
      <c r="BM25" s="786"/>
      <c r="BN25" s="786"/>
      <c r="BO25" s="786"/>
      <c r="BP25" s="786"/>
      <c r="BQ25" s="786"/>
      <c r="BR25" s="786"/>
      <c r="BS25" s="786"/>
      <c r="BT25" s="786"/>
      <c r="BU25" s="786"/>
      <c r="BV25" s="786"/>
      <c r="BW25" s="786"/>
      <c r="BX25" s="786"/>
      <c r="BY25" s="786"/>
      <c r="BZ25" s="786"/>
      <c r="CA25" s="786"/>
      <c r="CB25" s="786"/>
      <c r="CC25" s="786"/>
      <c r="CD25" s="786"/>
      <c r="CE25" s="786"/>
      <c r="CF25" s="786"/>
      <c r="CG25" s="786"/>
      <c r="CH25" s="786"/>
      <c r="CI25" s="786"/>
      <c r="CJ25" s="786"/>
      <c r="CK25" s="786"/>
      <c r="CL25" s="786"/>
      <c r="CM25" s="786"/>
      <c r="CN25" s="786"/>
      <c r="CO25" s="786"/>
      <c r="CP25" s="786"/>
      <c r="CQ25" s="787"/>
      <c r="CT25" s="57"/>
      <c r="CU25" s="57"/>
      <c r="CV25" s="57"/>
      <c r="CW25" s="57"/>
      <c r="CZ25" s="145"/>
      <c r="DF25" s="57"/>
    </row>
    <row r="26" spans="2:110" ht="12" customHeight="1" thickTop="1" thickBot="1" x14ac:dyDescent="0.3">
      <c r="B26" s="600"/>
      <c r="C26" s="590" t="s">
        <v>827</v>
      </c>
      <c r="D26" s="598"/>
      <c r="E26" s="598"/>
      <c r="F26" s="598"/>
      <c r="G26" s="598"/>
      <c r="H26" s="598"/>
      <c r="I26" s="598"/>
      <c r="J26" s="598"/>
      <c r="K26" s="901" t="str">
        <f>VLOOKUP(CharacterBackground,Tables!$AE$4:$AM$25,2,FALSE)</f>
        <v/>
      </c>
      <c r="L26" s="901"/>
      <c r="M26" s="901"/>
      <c r="N26" s="901"/>
      <c r="O26" s="901"/>
      <c r="P26" s="901"/>
      <c r="Q26" s="901"/>
      <c r="R26" s="901"/>
      <c r="S26" s="901"/>
      <c r="T26" s="901"/>
      <c r="U26" s="901"/>
      <c r="V26" s="901"/>
      <c r="W26" s="454"/>
      <c r="X26" s="454"/>
      <c r="Y26" s="454"/>
      <c r="Z26" s="599"/>
      <c r="AB26" s="632"/>
      <c r="AC26" s="804">
        <v>7</v>
      </c>
      <c r="AD26" s="804"/>
      <c r="AE26" s="804"/>
      <c r="AF26" s="843" t="s">
        <v>171</v>
      </c>
      <c r="AG26" s="844"/>
      <c r="AH26" s="844"/>
      <c r="AI26" s="845"/>
      <c r="AJ26" s="335"/>
      <c r="AK26" s="829" t="str">
        <f>VLOOKUP(Start!AF26,Tables!$BI$6:$BJ$5003,2,FALSE)</f>
        <v/>
      </c>
      <c r="AL26" s="829"/>
      <c r="AM26" s="335"/>
      <c r="AN26" s="815"/>
      <c r="AO26" s="816"/>
      <c r="AP26" s="817"/>
      <c r="AQ26" s="636"/>
      <c r="AR26" s="625" t="str">
        <f>IF(OR(AF26="",AF26=Tables!$BI$6),"",IF(COUNTIF($AF$20:$AF26,AF26)&gt;1,"",MAX($AR$19:AR25)+1))</f>
        <v/>
      </c>
      <c r="AS26" s="626" t="str">
        <f t="shared" si="4"/>
        <v/>
      </c>
      <c r="AT26" s="116"/>
      <c r="AU26" s="632"/>
      <c r="AV26" s="804">
        <f t="shared" si="3"/>
        <v>11</v>
      </c>
      <c r="AW26" s="804">
        <v>11</v>
      </c>
      <c r="AX26" s="805" t="s">
        <v>171</v>
      </c>
      <c r="AY26" s="806"/>
      <c r="AZ26" s="806"/>
      <c r="BA26" s="806"/>
      <c r="BB26" s="806"/>
      <c r="BC26" s="807"/>
      <c r="BD26" s="812" t="str">
        <f>IF(AX26=SelectText,"",IF(ISERROR(VLOOKUP(AX26,Tables!$JD$2:$JE$20,2,FALSE)),"",VLOOKUP(AX26,Tables!$JD$2:$JE$20,2,FALSE)))</f>
        <v/>
      </c>
      <c r="BE26" s="813"/>
      <c r="BF26" s="813"/>
      <c r="BG26" s="813"/>
      <c r="BH26" s="814"/>
      <c r="BJ26" s="653"/>
      <c r="BK26" s="786"/>
      <c r="BL26" s="786"/>
      <c r="BM26" s="786"/>
      <c r="BN26" s="786"/>
      <c r="BO26" s="786"/>
      <c r="BP26" s="786"/>
      <c r="BQ26" s="786"/>
      <c r="BR26" s="786"/>
      <c r="BS26" s="786"/>
      <c r="BT26" s="786"/>
      <c r="BU26" s="786"/>
      <c r="BV26" s="786"/>
      <c r="BW26" s="786"/>
      <c r="BX26" s="786"/>
      <c r="BY26" s="786"/>
      <c r="BZ26" s="786"/>
      <c r="CA26" s="786"/>
      <c r="CB26" s="786"/>
      <c r="CC26" s="786"/>
      <c r="CD26" s="786"/>
      <c r="CE26" s="786"/>
      <c r="CF26" s="786"/>
      <c r="CG26" s="786"/>
      <c r="CH26" s="786"/>
      <c r="CI26" s="786"/>
      <c r="CJ26" s="786"/>
      <c r="CK26" s="786"/>
      <c r="CL26" s="786"/>
      <c r="CM26" s="786"/>
      <c r="CN26" s="786"/>
      <c r="CO26" s="786"/>
      <c r="CP26" s="786"/>
      <c r="CQ26" s="787"/>
      <c r="CT26" s="57"/>
      <c r="CU26" s="57"/>
      <c r="CV26" s="57"/>
      <c r="CW26" s="57"/>
      <c r="CZ26" s="145"/>
      <c r="DF26" s="57"/>
    </row>
    <row r="27" spans="2:110" ht="12" customHeight="1" thickTop="1" thickBot="1" x14ac:dyDescent="0.3">
      <c r="B27" s="607" t="str">
        <f>Tables!AP41</f>
        <v/>
      </c>
      <c r="C27" s="590" t="str">
        <f>Tables!AP42</f>
        <v/>
      </c>
      <c r="D27" s="608"/>
      <c r="E27" s="608"/>
      <c r="F27" s="608"/>
      <c r="G27" s="608"/>
      <c r="H27" s="608"/>
      <c r="I27" s="608"/>
      <c r="J27" s="608"/>
      <c r="K27" s="608"/>
      <c r="L27" s="608"/>
      <c r="M27" s="608"/>
      <c r="N27" s="608"/>
      <c r="O27" s="608"/>
      <c r="P27" s="608"/>
      <c r="Q27" s="608"/>
      <c r="R27" s="608"/>
      <c r="S27" s="608"/>
      <c r="T27" s="608"/>
      <c r="U27" s="608"/>
      <c r="V27" s="608"/>
      <c r="W27" s="608"/>
      <c r="X27" s="608"/>
      <c r="Y27" s="608"/>
      <c r="Z27" s="609"/>
      <c r="AB27" s="632"/>
      <c r="AC27" s="804">
        <v>8</v>
      </c>
      <c r="AD27" s="804"/>
      <c r="AE27" s="804"/>
      <c r="AF27" s="843" t="s">
        <v>171</v>
      </c>
      <c r="AG27" s="844"/>
      <c r="AH27" s="844"/>
      <c r="AI27" s="845"/>
      <c r="AJ27" s="335"/>
      <c r="AK27" s="829" t="str">
        <f>VLOOKUP(Start!AF27,Tables!$BI$6:$BJ$5003,2,FALSE)</f>
        <v/>
      </c>
      <c r="AL27" s="829"/>
      <c r="AM27" s="335"/>
      <c r="AN27" s="815"/>
      <c r="AO27" s="816"/>
      <c r="AP27" s="817"/>
      <c r="AQ27" s="636"/>
      <c r="AR27" s="625" t="str">
        <f>IF(OR(AF27="",AF27=Tables!$BI$6),"",IF(COUNTIF($AF$20:$AF27,AF27)&gt;1,"",MAX($AR$19:AR26)+1))</f>
        <v/>
      </c>
      <c r="AS27" s="626" t="str">
        <f t="shared" si="4"/>
        <v/>
      </c>
      <c r="AT27" s="116"/>
      <c r="AU27" s="632"/>
      <c r="AV27" s="804">
        <f t="shared" si="3"/>
        <v>12</v>
      </c>
      <c r="AW27" s="804">
        <v>12</v>
      </c>
      <c r="AX27" s="805" t="s">
        <v>171</v>
      </c>
      <c r="AY27" s="806"/>
      <c r="AZ27" s="806"/>
      <c r="BA27" s="806"/>
      <c r="BB27" s="806"/>
      <c r="BC27" s="807"/>
      <c r="BD27" s="812" t="str">
        <f>IF(AX27=SelectText,"",IF(ISERROR(VLOOKUP(AX27,Tables!$JD$2:$JE$20,2,FALSE)),"",VLOOKUP(AX27,Tables!$JD$2:$JE$20,2,FALSE)))</f>
        <v/>
      </c>
      <c r="BE27" s="813"/>
      <c r="BF27" s="813"/>
      <c r="BG27" s="813"/>
      <c r="BH27" s="814"/>
      <c r="BJ27" s="653"/>
      <c r="BK27" s="786"/>
      <c r="BL27" s="786"/>
      <c r="BM27" s="786"/>
      <c r="BN27" s="786"/>
      <c r="BO27" s="786"/>
      <c r="BP27" s="786"/>
      <c r="BQ27" s="786"/>
      <c r="BR27" s="786"/>
      <c r="BS27" s="786"/>
      <c r="BT27" s="786"/>
      <c r="BU27" s="786"/>
      <c r="BV27" s="786"/>
      <c r="BW27" s="786"/>
      <c r="BX27" s="786"/>
      <c r="BY27" s="786"/>
      <c r="BZ27" s="786"/>
      <c r="CA27" s="786"/>
      <c r="CB27" s="786"/>
      <c r="CC27" s="786"/>
      <c r="CD27" s="786"/>
      <c r="CE27" s="786"/>
      <c r="CF27" s="786"/>
      <c r="CG27" s="786"/>
      <c r="CH27" s="786"/>
      <c r="CI27" s="786"/>
      <c r="CJ27" s="786"/>
      <c r="CK27" s="786"/>
      <c r="CL27" s="786"/>
      <c r="CM27" s="786"/>
      <c r="CN27" s="786"/>
      <c r="CO27" s="786"/>
      <c r="CP27" s="786"/>
      <c r="CQ27" s="787"/>
      <c r="CT27" s="57"/>
      <c r="CU27" s="57"/>
      <c r="CV27" s="57"/>
      <c r="CW27" s="57"/>
      <c r="CZ27" s="145"/>
      <c r="DF27" s="57"/>
    </row>
    <row r="28" spans="2:110" ht="12" customHeight="1" thickTop="1" thickBot="1" x14ac:dyDescent="0.3">
      <c r="B28" s="600"/>
      <c r="C28" s="850" t="s">
        <v>306</v>
      </c>
      <c r="D28" s="850"/>
      <c r="E28" s="850"/>
      <c r="F28" s="850"/>
      <c r="G28" s="850"/>
      <c r="H28" s="850"/>
      <c r="I28" s="850"/>
      <c r="J28" s="850"/>
      <c r="K28" s="850"/>
      <c r="L28" s="850"/>
      <c r="M28" s="850"/>
      <c r="N28" s="850"/>
      <c r="O28" s="850"/>
      <c r="P28" s="850"/>
      <c r="Q28" s="850"/>
      <c r="R28" s="850"/>
      <c r="S28" s="850"/>
      <c r="T28" s="850"/>
      <c r="U28" s="850"/>
      <c r="V28" s="850"/>
      <c r="W28" s="850"/>
      <c r="X28" s="850"/>
      <c r="Y28" s="850"/>
      <c r="Z28" s="609"/>
      <c r="AB28" s="632"/>
      <c r="AC28" s="804">
        <v>9</v>
      </c>
      <c r="AD28" s="804"/>
      <c r="AE28" s="804"/>
      <c r="AF28" s="843" t="s">
        <v>171</v>
      </c>
      <c r="AG28" s="844"/>
      <c r="AH28" s="844"/>
      <c r="AI28" s="845"/>
      <c r="AJ28" s="335"/>
      <c r="AK28" s="829" t="str">
        <f>VLOOKUP(Start!AF28,Tables!$BI$6:$BJ$5003,2,FALSE)</f>
        <v/>
      </c>
      <c r="AL28" s="829"/>
      <c r="AM28" s="335"/>
      <c r="AN28" s="815"/>
      <c r="AO28" s="816"/>
      <c r="AP28" s="817"/>
      <c r="AQ28" s="636"/>
      <c r="AR28" s="625" t="str">
        <f>IF(OR(AF28="",AF28=Tables!$BI$6),"",IF(COUNTIF($AF$20:$AF28,AF28)&gt;1,"",MAX($AR$19:AR27)+1))</f>
        <v/>
      </c>
      <c r="AS28" s="626" t="str">
        <f t="shared" si="4"/>
        <v/>
      </c>
      <c r="AT28" s="116"/>
      <c r="AU28" s="632"/>
      <c r="AV28" s="804">
        <f t="shared" si="3"/>
        <v>13</v>
      </c>
      <c r="AW28" s="804">
        <v>13</v>
      </c>
      <c r="AX28" s="805" t="s">
        <v>171</v>
      </c>
      <c r="AY28" s="806"/>
      <c r="AZ28" s="806"/>
      <c r="BA28" s="806"/>
      <c r="BB28" s="806"/>
      <c r="BC28" s="807"/>
      <c r="BD28" s="812" t="str">
        <f>IF(AX28=SelectText,"",IF(ISERROR(VLOOKUP(AX28,Tables!$JD$2:$JE$20,2,FALSE)),"",VLOOKUP(AX28,Tables!$JD$2:$JE$20,2,FALSE)))</f>
        <v/>
      </c>
      <c r="BE28" s="813"/>
      <c r="BF28" s="813"/>
      <c r="BG28" s="813"/>
      <c r="BH28" s="814"/>
      <c r="BJ28" s="653"/>
      <c r="BK28" s="786"/>
      <c r="BL28" s="786"/>
      <c r="BM28" s="786"/>
      <c r="BN28" s="786"/>
      <c r="BO28" s="786"/>
      <c r="BP28" s="786"/>
      <c r="BQ28" s="786"/>
      <c r="BR28" s="786"/>
      <c r="BS28" s="786"/>
      <c r="BT28" s="786"/>
      <c r="BU28" s="786"/>
      <c r="BV28" s="786"/>
      <c r="BW28" s="786"/>
      <c r="BX28" s="786"/>
      <c r="BY28" s="786"/>
      <c r="BZ28" s="786"/>
      <c r="CA28" s="786"/>
      <c r="CB28" s="786"/>
      <c r="CC28" s="786"/>
      <c r="CD28" s="786"/>
      <c r="CE28" s="786"/>
      <c r="CF28" s="786"/>
      <c r="CG28" s="786"/>
      <c r="CH28" s="786"/>
      <c r="CI28" s="786"/>
      <c r="CJ28" s="786"/>
      <c r="CK28" s="786"/>
      <c r="CL28" s="786"/>
      <c r="CM28" s="786"/>
      <c r="CN28" s="786"/>
      <c r="CO28" s="786"/>
      <c r="CP28" s="786"/>
      <c r="CQ28" s="787"/>
      <c r="CT28" s="57"/>
      <c r="CU28" s="57"/>
      <c r="CV28" s="57"/>
      <c r="CW28" s="57"/>
      <c r="CZ28" s="145"/>
      <c r="DF28" s="57"/>
    </row>
    <row r="29" spans="2:110" ht="12" customHeight="1" thickTop="1" thickBot="1" x14ac:dyDescent="0.3">
      <c r="B29" s="600"/>
      <c r="C29" s="590" t="s">
        <v>846</v>
      </c>
      <c r="D29" s="598"/>
      <c r="E29" s="598"/>
      <c r="F29" s="598"/>
      <c r="G29" s="598"/>
      <c r="H29" s="598"/>
      <c r="I29" s="598"/>
      <c r="J29" s="598"/>
      <c r="K29" s="592"/>
      <c r="L29" s="592"/>
      <c r="M29" s="592"/>
      <c r="N29" s="592"/>
      <c r="O29" s="592"/>
      <c r="P29" s="592"/>
      <c r="Q29" s="592"/>
      <c r="R29" s="592"/>
      <c r="S29" s="592"/>
      <c r="T29" s="592"/>
      <c r="U29" s="592"/>
      <c r="V29" s="592"/>
      <c r="W29" s="598"/>
      <c r="X29" s="598"/>
      <c r="Y29" s="598"/>
      <c r="Z29" s="599"/>
      <c r="AB29" s="632"/>
      <c r="AC29" s="804">
        <v>10</v>
      </c>
      <c r="AD29" s="804"/>
      <c r="AE29" s="804"/>
      <c r="AF29" s="843" t="s">
        <v>171</v>
      </c>
      <c r="AG29" s="844"/>
      <c r="AH29" s="844"/>
      <c r="AI29" s="845"/>
      <c r="AJ29" s="335"/>
      <c r="AK29" s="829" t="str">
        <f>VLOOKUP(Start!AF29,Tables!$BI$6:$BJ$5003,2,FALSE)</f>
        <v/>
      </c>
      <c r="AL29" s="829"/>
      <c r="AM29" s="335"/>
      <c r="AN29" s="815"/>
      <c r="AO29" s="816"/>
      <c r="AP29" s="817"/>
      <c r="AQ29" s="636"/>
      <c r="AR29" s="625" t="str">
        <f>IF(OR(AF29="",AF29=Tables!$BI$6),"",IF(COUNTIF($AF$20:$AF29,AF29)&gt;1,"",MAX($AR$19:AR28)+1))</f>
        <v/>
      </c>
      <c r="AS29" s="626" t="str">
        <f t="shared" si="4"/>
        <v/>
      </c>
      <c r="AT29" s="116"/>
      <c r="AU29" s="632"/>
      <c r="AV29" s="804">
        <f t="shared" si="3"/>
        <v>14</v>
      </c>
      <c r="AW29" s="804">
        <v>14</v>
      </c>
      <c r="AX29" s="805" t="s">
        <v>171</v>
      </c>
      <c r="AY29" s="806"/>
      <c r="AZ29" s="806"/>
      <c r="BA29" s="806"/>
      <c r="BB29" s="806"/>
      <c r="BC29" s="807"/>
      <c r="BD29" s="812" t="str">
        <f>IF(AX29=SelectText,"",IF(ISERROR(VLOOKUP(AX29,Tables!$JD$2:$JE$20,2,FALSE)),"",VLOOKUP(AX29,Tables!$JD$2:$JE$20,2,FALSE)))</f>
        <v/>
      </c>
      <c r="BE29" s="813"/>
      <c r="BF29" s="813"/>
      <c r="BG29" s="813"/>
      <c r="BH29" s="814"/>
      <c r="BJ29" s="653"/>
      <c r="BK29" s="786"/>
      <c r="BL29" s="786"/>
      <c r="BM29" s="786"/>
      <c r="BN29" s="786"/>
      <c r="BO29" s="786"/>
      <c r="BP29" s="786"/>
      <c r="BQ29" s="786"/>
      <c r="BR29" s="786"/>
      <c r="BS29" s="786"/>
      <c r="BT29" s="786"/>
      <c r="BU29" s="786"/>
      <c r="BV29" s="786"/>
      <c r="BW29" s="786"/>
      <c r="BX29" s="786"/>
      <c r="BY29" s="786"/>
      <c r="BZ29" s="786"/>
      <c r="CA29" s="786"/>
      <c r="CB29" s="786"/>
      <c r="CC29" s="786"/>
      <c r="CD29" s="786"/>
      <c r="CE29" s="786"/>
      <c r="CF29" s="786"/>
      <c r="CG29" s="786"/>
      <c r="CH29" s="786"/>
      <c r="CI29" s="786"/>
      <c r="CJ29" s="786"/>
      <c r="CK29" s="786"/>
      <c r="CL29" s="786"/>
      <c r="CM29" s="786"/>
      <c r="CN29" s="786"/>
      <c r="CO29" s="786"/>
      <c r="CP29" s="786"/>
      <c r="CQ29" s="787"/>
      <c r="CT29" s="57"/>
      <c r="CU29" s="57"/>
      <c r="CV29" s="57"/>
      <c r="CW29" s="57"/>
      <c r="CZ29" s="145"/>
      <c r="DF29" s="57"/>
    </row>
    <row r="30" spans="2:110" ht="12" customHeight="1" thickTop="1" thickBot="1" x14ac:dyDescent="0.3">
      <c r="B30" s="880">
        <v>1</v>
      </c>
      <c r="C30" s="823" t="s">
        <v>171</v>
      </c>
      <c r="D30" s="823"/>
      <c r="E30" s="823"/>
      <c r="F30" s="823"/>
      <c r="G30" s="823"/>
      <c r="H30" s="823"/>
      <c r="I30" s="823"/>
      <c r="J30" s="823"/>
      <c r="K30" s="823"/>
      <c r="L30" s="823"/>
      <c r="M30" s="823"/>
      <c r="N30" s="823"/>
      <c r="O30" s="823"/>
      <c r="P30" s="823"/>
      <c r="Q30" s="823"/>
      <c r="R30" s="823"/>
      <c r="S30" s="823"/>
      <c r="T30" s="823"/>
      <c r="U30" s="823"/>
      <c r="V30" s="823"/>
      <c r="W30" s="823"/>
      <c r="X30" s="823"/>
      <c r="Y30" s="823"/>
      <c r="Z30" s="599"/>
      <c r="AB30" s="632"/>
      <c r="AC30" s="804">
        <v>11</v>
      </c>
      <c r="AD30" s="804"/>
      <c r="AE30" s="804"/>
      <c r="AF30" s="843" t="s">
        <v>171</v>
      </c>
      <c r="AG30" s="844"/>
      <c r="AH30" s="844"/>
      <c r="AI30" s="845"/>
      <c r="AJ30" s="335"/>
      <c r="AK30" s="829" t="str">
        <f>VLOOKUP(Start!AF30,Tables!$BI$6:$BJ$5003,2,FALSE)</f>
        <v/>
      </c>
      <c r="AL30" s="829"/>
      <c r="AM30" s="335"/>
      <c r="AN30" s="815"/>
      <c r="AO30" s="816"/>
      <c r="AP30" s="817"/>
      <c r="AQ30" s="636"/>
      <c r="AR30" s="625" t="str">
        <f>IF(OR(AF30="",AF30=Tables!$BI$6),"",IF(COUNTIF($AF$20:$AF30,AF30)&gt;1,"",MAX($AR$19:AR29)+1))</f>
        <v/>
      </c>
      <c r="AS30" s="626" t="str">
        <f t="shared" si="4"/>
        <v/>
      </c>
      <c r="AT30" s="116"/>
      <c r="AU30" s="632"/>
      <c r="AV30" s="804">
        <f t="shared" si="3"/>
        <v>15</v>
      </c>
      <c r="AW30" s="804">
        <v>15</v>
      </c>
      <c r="AX30" s="805" t="s">
        <v>171</v>
      </c>
      <c r="AY30" s="806"/>
      <c r="AZ30" s="806"/>
      <c r="BA30" s="806"/>
      <c r="BB30" s="806"/>
      <c r="BC30" s="807"/>
      <c r="BD30" s="812" t="str">
        <f>IF(AX30=SelectText,"",IF(ISERROR(VLOOKUP(AX30,Tables!$JD$2:$JE$20,2,FALSE)),"",VLOOKUP(AX30,Tables!$JD$2:$JE$20,2,FALSE)))</f>
        <v/>
      </c>
      <c r="BE30" s="813"/>
      <c r="BF30" s="813"/>
      <c r="BG30" s="813"/>
      <c r="BH30" s="814"/>
      <c r="BJ30" s="653"/>
      <c r="BK30" s="786"/>
      <c r="BL30" s="786"/>
      <c r="BM30" s="786"/>
      <c r="BN30" s="786"/>
      <c r="BO30" s="786"/>
      <c r="BP30" s="786"/>
      <c r="BQ30" s="786"/>
      <c r="BR30" s="786"/>
      <c r="BS30" s="786"/>
      <c r="BT30" s="786"/>
      <c r="BU30" s="786"/>
      <c r="BV30" s="786"/>
      <c r="BW30" s="786"/>
      <c r="BX30" s="786"/>
      <c r="BY30" s="786"/>
      <c r="BZ30" s="786"/>
      <c r="CA30" s="786"/>
      <c r="CB30" s="786"/>
      <c r="CC30" s="786"/>
      <c r="CD30" s="786"/>
      <c r="CE30" s="786"/>
      <c r="CF30" s="786"/>
      <c r="CG30" s="786"/>
      <c r="CH30" s="786"/>
      <c r="CI30" s="786"/>
      <c r="CJ30" s="786"/>
      <c r="CK30" s="786"/>
      <c r="CL30" s="786"/>
      <c r="CM30" s="786"/>
      <c r="CN30" s="786"/>
      <c r="CO30" s="786"/>
      <c r="CP30" s="786"/>
      <c r="CQ30" s="787"/>
      <c r="CT30" s="57"/>
      <c r="CU30" s="57"/>
      <c r="CV30" s="57"/>
      <c r="CW30" s="57"/>
      <c r="CZ30" s="145"/>
      <c r="DF30" s="57"/>
    </row>
    <row r="31" spans="2:110" ht="12" customHeight="1" thickTop="1" thickBot="1" x14ac:dyDescent="0.3">
      <c r="B31" s="880"/>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599"/>
      <c r="AB31" s="632"/>
      <c r="AC31" s="804">
        <v>12</v>
      </c>
      <c r="AD31" s="804"/>
      <c r="AE31" s="804"/>
      <c r="AF31" s="843" t="s">
        <v>171</v>
      </c>
      <c r="AG31" s="844"/>
      <c r="AH31" s="844"/>
      <c r="AI31" s="845"/>
      <c r="AJ31" s="335"/>
      <c r="AK31" s="829" t="str">
        <f>VLOOKUP(Start!AF31,Tables!$BI$6:$BJ$5003,2,FALSE)</f>
        <v/>
      </c>
      <c r="AL31" s="829"/>
      <c r="AM31" s="335"/>
      <c r="AN31" s="815"/>
      <c r="AO31" s="816"/>
      <c r="AP31" s="817"/>
      <c r="AQ31" s="636"/>
      <c r="AR31" s="625" t="str">
        <f>IF(OR(AF31="",AF31=Tables!$BI$6),"",IF(COUNTIF($AF$20:$AF31,AF31)&gt;1,"",MAX($AR$19:AR30)+1))</f>
        <v/>
      </c>
      <c r="AS31" s="626" t="str">
        <f t="shared" si="4"/>
        <v/>
      </c>
      <c r="AT31" s="116"/>
      <c r="AU31" s="632"/>
      <c r="AV31" s="804">
        <f t="shared" si="3"/>
        <v>16</v>
      </c>
      <c r="AW31" s="804">
        <v>16</v>
      </c>
      <c r="AX31" s="805" t="s">
        <v>171</v>
      </c>
      <c r="AY31" s="806"/>
      <c r="AZ31" s="806"/>
      <c r="BA31" s="806"/>
      <c r="BB31" s="806"/>
      <c r="BC31" s="807"/>
      <c r="BD31" s="812" t="str">
        <f>IF(AX31=SelectText,"",IF(ISERROR(VLOOKUP(AX31,Tables!$JD$2:$JE$20,2,FALSE)),"",VLOOKUP(AX31,Tables!$JD$2:$JE$20,2,FALSE)))</f>
        <v/>
      </c>
      <c r="BE31" s="813"/>
      <c r="BF31" s="813"/>
      <c r="BG31" s="813"/>
      <c r="BH31" s="814"/>
      <c r="BJ31" s="653"/>
      <c r="BK31" s="786"/>
      <c r="BL31" s="786"/>
      <c r="BM31" s="786"/>
      <c r="BN31" s="786"/>
      <c r="BO31" s="786"/>
      <c r="BP31" s="786"/>
      <c r="BQ31" s="786"/>
      <c r="BR31" s="786"/>
      <c r="BS31" s="786"/>
      <c r="BT31" s="786"/>
      <c r="BU31" s="786"/>
      <c r="BV31" s="786"/>
      <c r="BW31" s="786"/>
      <c r="BX31" s="786"/>
      <c r="BY31" s="786"/>
      <c r="BZ31" s="786"/>
      <c r="CA31" s="786"/>
      <c r="CB31" s="786"/>
      <c r="CC31" s="786"/>
      <c r="CD31" s="786"/>
      <c r="CE31" s="786"/>
      <c r="CF31" s="786"/>
      <c r="CG31" s="786"/>
      <c r="CH31" s="786"/>
      <c r="CI31" s="786"/>
      <c r="CJ31" s="786"/>
      <c r="CK31" s="786"/>
      <c r="CL31" s="786"/>
      <c r="CM31" s="786"/>
      <c r="CN31" s="786"/>
      <c r="CO31" s="786"/>
      <c r="CP31" s="786"/>
      <c r="CQ31" s="787"/>
      <c r="CT31" s="57"/>
      <c r="CU31" s="57"/>
      <c r="CV31" s="57"/>
      <c r="CW31" s="57"/>
      <c r="CZ31" s="145"/>
      <c r="DF31" s="57"/>
    </row>
    <row r="32" spans="2:110" ht="12" customHeight="1" thickTop="1" thickBot="1" x14ac:dyDescent="0.3">
      <c r="B32" s="880">
        <v>2</v>
      </c>
      <c r="C32" s="823" t="s">
        <v>171</v>
      </c>
      <c r="D32" s="823"/>
      <c r="E32" s="823"/>
      <c r="F32" s="823"/>
      <c r="G32" s="823"/>
      <c r="H32" s="823"/>
      <c r="I32" s="823"/>
      <c r="J32" s="823"/>
      <c r="K32" s="823"/>
      <c r="L32" s="823"/>
      <c r="M32" s="823"/>
      <c r="N32" s="823"/>
      <c r="O32" s="823"/>
      <c r="P32" s="823"/>
      <c r="Q32" s="823"/>
      <c r="R32" s="823"/>
      <c r="S32" s="823"/>
      <c r="T32" s="823"/>
      <c r="U32" s="823"/>
      <c r="V32" s="823"/>
      <c r="W32" s="823"/>
      <c r="X32" s="823"/>
      <c r="Y32" s="823"/>
      <c r="Z32" s="599"/>
      <c r="AB32" s="632"/>
      <c r="AC32" s="804">
        <v>13</v>
      </c>
      <c r="AD32" s="804"/>
      <c r="AE32" s="804"/>
      <c r="AF32" s="843" t="s">
        <v>171</v>
      </c>
      <c r="AG32" s="844"/>
      <c r="AH32" s="844"/>
      <c r="AI32" s="845"/>
      <c r="AJ32" s="335"/>
      <c r="AK32" s="829" t="str">
        <f>VLOOKUP(Start!AF32,Tables!$BI$6:$BJ$5003,2,FALSE)</f>
        <v/>
      </c>
      <c r="AL32" s="829"/>
      <c r="AM32" s="335"/>
      <c r="AN32" s="815"/>
      <c r="AO32" s="816"/>
      <c r="AP32" s="817"/>
      <c r="AQ32" s="636"/>
      <c r="AR32" s="625" t="str">
        <f>IF(OR(AF32="",AF32=Tables!$BI$6),"",IF(COUNTIF($AF$20:$AF32,AF32)&gt;1,"",MAX($AR$19:AR31)+1))</f>
        <v/>
      </c>
      <c r="AS32" s="626" t="str">
        <f t="shared" si="4"/>
        <v/>
      </c>
      <c r="AT32" s="116"/>
      <c r="AU32" s="632"/>
      <c r="AV32" s="335"/>
      <c r="AW32" s="335"/>
      <c r="AX32" s="335"/>
      <c r="AY32" s="335"/>
      <c r="AZ32" s="335"/>
      <c r="BA32" s="335"/>
      <c r="BB32" s="335"/>
      <c r="BC32" s="335"/>
      <c r="BD32" s="335"/>
      <c r="BE32" s="335"/>
      <c r="BF32" s="335"/>
      <c r="BG32" s="335"/>
      <c r="BH32" s="633"/>
      <c r="BJ32" s="653"/>
      <c r="BK32" s="786"/>
      <c r="BL32" s="786"/>
      <c r="BM32" s="786"/>
      <c r="BN32" s="786"/>
      <c r="BO32" s="786"/>
      <c r="BP32" s="786"/>
      <c r="BQ32" s="786"/>
      <c r="BR32" s="786"/>
      <c r="BS32" s="786"/>
      <c r="BT32" s="786"/>
      <c r="BU32" s="786"/>
      <c r="BV32" s="786"/>
      <c r="BW32" s="786"/>
      <c r="BX32" s="786"/>
      <c r="BY32" s="786"/>
      <c r="BZ32" s="786"/>
      <c r="CA32" s="786"/>
      <c r="CB32" s="786"/>
      <c r="CC32" s="786"/>
      <c r="CD32" s="786"/>
      <c r="CE32" s="786"/>
      <c r="CF32" s="786"/>
      <c r="CG32" s="786"/>
      <c r="CH32" s="786"/>
      <c r="CI32" s="786"/>
      <c r="CJ32" s="786"/>
      <c r="CK32" s="786"/>
      <c r="CL32" s="786"/>
      <c r="CM32" s="786"/>
      <c r="CN32" s="786"/>
      <c r="CO32" s="786"/>
      <c r="CP32" s="786"/>
      <c r="CQ32" s="787"/>
      <c r="CT32" s="57"/>
      <c r="CU32" s="57"/>
      <c r="CV32" s="57"/>
      <c r="CW32" s="57"/>
      <c r="CZ32" s="145"/>
      <c r="DF32" s="57"/>
    </row>
    <row r="33" spans="2:181" ht="12" customHeight="1" thickTop="1" thickBot="1" x14ac:dyDescent="0.3">
      <c r="B33" s="880"/>
      <c r="C33" s="823"/>
      <c r="D33" s="823"/>
      <c r="E33" s="823"/>
      <c r="F33" s="823"/>
      <c r="G33" s="823"/>
      <c r="H33" s="823"/>
      <c r="I33" s="823"/>
      <c r="J33" s="823"/>
      <c r="K33" s="823"/>
      <c r="L33" s="823"/>
      <c r="M33" s="823"/>
      <c r="N33" s="823"/>
      <c r="O33" s="823"/>
      <c r="P33" s="823"/>
      <c r="Q33" s="823"/>
      <c r="R33" s="823"/>
      <c r="S33" s="823"/>
      <c r="T33" s="823"/>
      <c r="U33" s="823"/>
      <c r="V33" s="823"/>
      <c r="W33" s="823"/>
      <c r="X33" s="823"/>
      <c r="Y33" s="823"/>
      <c r="Z33" s="599"/>
      <c r="AB33" s="632"/>
      <c r="AC33" s="804">
        <v>14</v>
      </c>
      <c r="AD33" s="804"/>
      <c r="AE33" s="804"/>
      <c r="AF33" s="843" t="s">
        <v>171</v>
      </c>
      <c r="AG33" s="844"/>
      <c r="AH33" s="844"/>
      <c r="AI33" s="845"/>
      <c r="AJ33" s="335"/>
      <c r="AK33" s="829" t="str">
        <f>VLOOKUP(Start!AF33,Tables!$BI$6:$BJ$5003,2,FALSE)</f>
        <v/>
      </c>
      <c r="AL33" s="829"/>
      <c r="AM33" s="335"/>
      <c r="AN33" s="815"/>
      <c r="AO33" s="816"/>
      <c r="AP33" s="817"/>
      <c r="AQ33" s="636"/>
      <c r="AR33" s="625" t="str">
        <f>IF(OR(AF33="",AF33=Tables!$BI$6),"",IF(COUNTIF($AF$20:$AF33,AF33)&gt;1,"",MAX($AR$19:AR32)+1))</f>
        <v/>
      </c>
      <c r="AS33" s="626" t="str">
        <f t="shared" si="4"/>
        <v/>
      </c>
      <c r="AT33" s="116"/>
      <c r="AU33" s="632"/>
      <c r="AV33" s="335"/>
      <c r="AW33" s="335"/>
      <c r="AX33" s="650"/>
      <c r="AY33" s="650"/>
      <c r="AZ33" s="593" t="str">
        <f>IF(CharacterLevel="","","SELECTED")</f>
        <v>SELECTED</v>
      </c>
      <c r="BA33" s="591">
        <f>IF(CharacterLevel="","",16-COUNTIF(AX16:BC31,"Select…"))</f>
        <v>0</v>
      </c>
      <c r="BB33" s="260" t="str">
        <f>IF(CharacterLevel="","","OF")</f>
        <v>OF</v>
      </c>
      <c r="BC33" s="591">
        <f>IF(CharacterLevel="","",Tables!G3+Tables!AM3+Tables!EY6+Tables!BX2+AY47+Tables!YL3)</f>
        <v>0</v>
      </c>
      <c r="BD33" s="650"/>
      <c r="BE33" s="647"/>
      <c r="BF33" s="647"/>
      <c r="BG33" s="648"/>
      <c r="BH33" s="633"/>
      <c r="BJ33" s="653"/>
      <c r="BK33" s="786"/>
      <c r="BL33" s="786"/>
      <c r="BM33" s="786"/>
      <c r="BN33" s="786"/>
      <c r="BO33" s="786"/>
      <c r="BP33" s="786"/>
      <c r="BQ33" s="786"/>
      <c r="BR33" s="786"/>
      <c r="BS33" s="786"/>
      <c r="BT33" s="786"/>
      <c r="BU33" s="786"/>
      <c r="BV33" s="786"/>
      <c r="BW33" s="786"/>
      <c r="BX33" s="786"/>
      <c r="BY33" s="786"/>
      <c r="BZ33" s="786"/>
      <c r="CA33" s="786"/>
      <c r="CB33" s="786"/>
      <c r="CC33" s="786"/>
      <c r="CD33" s="786"/>
      <c r="CE33" s="786"/>
      <c r="CF33" s="786"/>
      <c r="CG33" s="786"/>
      <c r="CH33" s="786"/>
      <c r="CI33" s="786"/>
      <c r="CJ33" s="786"/>
      <c r="CK33" s="786"/>
      <c r="CL33" s="786"/>
      <c r="CM33" s="786"/>
      <c r="CN33" s="786"/>
      <c r="CO33" s="786"/>
      <c r="CP33" s="786"/>
      <c r="CQ33" s="787"/>
      <c r="CT33" s="57"/>
      <c r="CU33" s="57"/>
      <c r="CV33" s="57"/>
      <c r="CW33" s="57"/>
      <c r="CZ33" s="145"/>
      <c r="DF33" s="57"/>
    </row>
    <row r="34" spans="2:181" ht="12" customHeight="1" thickTop="1" thickBot="1" x14ac:dyDescent="0.3">
      <c r="B34" s="600"/>
      <c r="C34" s="610" t="s">
        <v>1008</v>
      </c>
      <c r="D34" s="454"/>
      <c r="E34" s="454"/>
      <c r="F34" s="454"/>
      <c r="G34" s="454"/>
      <c r="H34" s="454"/>
      <c r="I34" s="454"/>
      <c r="J34" s="454"/>
      <c r="K34" s="454"/>
      <c r="L34" s="454"/>
      <c r="M34" s="454"/>
      <c r="N34" s="454"/>
      <c r="O34" s="454"/>
      <c r="P34" s="454"/>
      <c r="Q34" s="454"/>
      <c r="R34" s="454"/>
      <c r="S34" s="454"/>
      <c r="T34" s="454"/>
      <c r="U34" s="454"/>
      <c r="V34" s="454"/>
      <c r="W34" s="454"/>
      <c r="X34" s="454"/>
      <c r="Y34" s="454"/>
      <c r="Z34" s="599"/>
      <c r="AB34" s="632"/>
      <c r="AC34" s="804">
        <v>15</v>
      </c>
      <c r="AD34" s="804"/>
      <c r="AE34" s="804"/>
      <c r="AF34" s="843" t="s">
        <v>171</v>
      </c>
      <c r="AG34" s="844"/>
      <c r="AH34" s="844"/>
      <c r="AI34" s="845"/>
      <c r="AJ34" s="335"/>
      <c r="AK34" s="829" t="str">
        <f>VLOOKUP(Start!AF34,Tables!$BI$6:$BJ$5003,2,FALSE)</f>
        <v/>
      </c>
      <c r="AL34" s="829"/>
      <c r="AM34" s="335"/>
      <c r="AN34" s="815"/>
      <c r="AO34" s="816"/>
      <c r="AP34" s="817"/>
      <c r="AQ34" s="636"/>
      <c r="AR34" s="625" t="str">
        <f>IF(OR(AF34="",AF34=Tables!$BI$6),"",IF(COUNTIF($AF$20:$AF34,AF34)&gt;1,"",MAX($AR$19:AR33)+1))</f>
        <v/>
      </c>
      <c r="AS34" s="626" t="str">
        <f t="shared" si="4"/>
        <v/>
      </c>
      <c r="AT34" s="116"/>
      <c r="AU34" s="632"/>
      <c r="AV34" s="335"/>
      <c r="AW34" s="335"/>
      <c r="AX34" s="335"/>
      <c r="AY34" s="335"/>
      <c r="AZ34" s="335"/>
      <c r="BA34" s="335"/>
      <c r="BB34" s="335"/>
      <c r="BC34" s="335"/>
      <c r="BD34" s="335"/>
      <c r="BE34" s="335"/>
      <c r="BF34" s="335"/>
      <c r="BG34" s="335"/>
      <c r="BH34" s="633"/>
      <c r="BJ34" s="653"/>
      <c r="BK34" s="786"/>
      <c r="BL34" s="786"/>
      <c r="BM34" s="786"/>
      <c r="BN34" s="786"/>
      <c r="BO34" s="786"/>
      <c r="BP34" s="786"/>
      <c r="BQ34" s="786"/>
      <c r="BR34" s="786"/>
      <c r="BS34" s="786"/>
      <c r="BT34" s="786"/>
      <c r="BU34" s="786"/>
      <c r="BV34" s="786"/>
      <c r="BW34" s="786"/>
      <c r="BX34" s="786"/>
      <c r="BY34" s="786"/>
      <c r="BZ34" s="786"/>
      <c r="CA34" s="786"/>
      <c r="CB34" s="786"/>
      <c r="CC34" s="786"/>
      <c r="CD34" s="786"/>
      <c r="CE34" s="786"/>
      <c r="CF34" s="786"/>
      <c r="CG34" s="786"/>
      <c r="CH34" s="786"/>
      <c r="CI34" s="786"/>
      <c r="CJ34" s="786"/>
      <c r="CK34" s="786"/>
      <c r="CL34" s="786"/>
      <c r="CM34" s="786"/>
      <c r="CN34" s="786"/>
      <c r="CO34" s="786"/>
      <c r="CP34" s="786"/>
      <c r="CQ34" s="787"/>
      <c r="DF34" s="57"/>
    </row>
    <row r="35" spans="2:181" ht="12" customHeight="1" thickTop="1" thickBot="1" x14ac:dyDescent="0.3">
      <c r="B35" s="600"/>
      <c r="C35" s="823" t="s">
        <v>171</v>
      </c>
      <c r="D35" s="823"/>
      <c r="E35" s="823"/>
      <c r="F35" s="823"/>
      <c r="G35" s="823"/>
      <c r="H35" s="823"/>
      <c r="I35" s="823"/>
      <c r="J35" s="823"/>
      <c r="K35" s="823"/>
      <c r="L35" s="823"/>
      <c r="M35" s="823"/>
      <c r="N35" s="823"/>
      <c r="O35" s="823"/>
      <c r="P35" s="823"/>
      <c r="Q35" s="823"/>
      <c r="R35" s="823"/>
      <c r="S35" s="823"/>
      <c r="T35" s="823"/>
      <c r="U35" s="823"/>
      <c r="V35" s="823"/>
      <c r="W35" s="823"/>
      <c r="X35" s="823"/>
      <c r="Y35" s="823"/>
      <c r="Z35" s="599"/>
      <c r="AB35" s="632"/>
      <c r="AC35" s="804">
        <v>16</v>
      </c>
      <c r="AD35" s="804"/>
      <c r="AE35" s="804"/>
      <c r="AF35" s="843" t="s">
        <v>171</v>
      </c>
      <c r="AG35" s="844"/>
      <c r="AH35" s="844"/>
      <c r="AI35" s="845"/>
      <c r="AJ35" s="335"/>
      <c r="AK35" s="829" t="str">
        <f>VLOOKUP(Start!AF35,Tables!$BI$6:$BJ$5003,2,FALSE)</f>
        <v/>
      </c>
      <c r="AL35" s="829"/>
      <c r="AM35" s="335"/>
      <c r="AN35" s="815"/>
      <c r="AO35" s="816"/>
      <c r="AP35" s="817"/>
      <c r="AQ35" s="636"/>
      <c r="AR35" s="625" t="str">
        <f>IF(OR(AF35="",AF35=Tables!$BI$6),"",IF(COUNTIF($AF$20:$AF35,AF35)&gt;1,"",MAX($AR$19:AR34)+1))</f>
        <v/>
      </c>
      <c r="AS35" s="626" t="str">
        <f t="shared" si="4"/>
        <v/>
      </c>
      <c r="AT35" s="116"/>
      <c r="AU35" s="649" t="str">
        <f>IF(CharacterLevel="","","   RACE ("&amp;Tables!G3&amp;")")</f>
        <v xml:space="preserve">   RACE (0)</v>
      </c>
      <c r="AV35" s="335"/>
      <c r="AW35" s="335"/>
      <c r="AX35" s="335"/>
      <c r="AY35" s="335"/>
      <c r="AZ35" s="335"/>
      <c r="BA35" s="335"/>
      <c r="BB35" s="335"/>
      <c r="BC35" s="335"/>
      <c r="BD35" s="335"/>
      <c r="BE35" s="335"/>
      <c r="BF35" s="335"/>
      <c r="BG35" s="335"/>
      <c r="BH35" s="633"/>
      <c r="BJ35" s="653"/>
      <c r="BK35" s="786"/>
      <c r="BL35" s="786"/>
      <c r="BM35" s="786"/>
      <c r="BN35" s="786"/>
      <c r="BO35" s="786"/>
      <c r="BP35" s="786"/>
      <c r="BQ35" s="786"/>
      <c r="BR35" s="786"/>
      <c r="BS35" s="786"/>
      <c r="BT35" s="786"/>
      <c r="BU35" s="786"/>
      <c r="BV35" s="786"/>
      <c r="BW35" s="786"/>
      <c r="BX35" s="786"/>
      <c r="BY35" s="786"/>
      <c r="BZ35" s="786"/>
      <c r="CA35" s="786"/>
      <c r="CB35" s="786"/>
      <c r="CC35" s="786"/>
      <c r="CD35" s="786"/>
      <c r="CE35" s="786"/>
      <c r="CF35" s="786"/>
      <c r="CG35" s="786"/>
      <c r="CH35" s="786"/>
      <c r="CI35" s="786"/>
      <c r="CJ35" s="786"/>
      <c r="CK35" s="786"/>
      <c r="CL35" s="786"/>
      <c r="CM35" s="786"/>
      <c r="CN35" s="786"/>
      <c r="CO35" s="786"/>
      <c r="CP35" s="786"/>
      <c r="CQ35" s="787"/>
      <c r="DF35" s="57"/>
    </row>
    <row r="36" spans="2:181" ht="12" customHeight="1" thickTop="1" thickBot="1" x14ac:dyDescent="0.3">
      <c r="B36" s="600"/>
      <c r="C36" s="823"/>
      <c r="D36" s="823"/>
      <c r="E36" s="823"/>
      <c r="F36" s="823"/>
      <c r="G36" s="823"/>
      <c r="H36" s="823"/>
      <c r="I36" s="823"/>
      <c r="J36" s="823"/>
      <c r="K36" s="823"/>
      <c r="L36" s="823"/>
      <c r="M36" s="823"/>
      <c r="N36" s="823"/>
      <c r="O36" s="823"/>
      <c r="P36" s="823"/>
      <c r="Q36" s="823"/>
      <c r="R36" s="823"/>
      <c r="S36" s="823"/>
      <c r="T36" s="823"/>
      <c r="U36" s="823"/>
      <c r="V36" s="823"/>
      <c r="W36" s="823"/>
      <c r="X36" s="823"/>
      <c r="Y36" s="823"/>
      <c r="Z36" s="520"/>
      <c r="AB36" s="632"/>
      <c r="AC36" s="804">
        <v>17</v>
      </c>
      <c r="AD36" s="804"/>
      <c r="AE36" s="804"/>
      <c r="AF36" s="843" t="s">
        <v>171</v>
      </c>
      <c r="AG36" s="844"/>
      <c r="AH36" s="844"/>
      <c r="AI36" s="845"/>
      <c r="AJ36" s="335"/>
      <c r="AK36" s="829" t="str">
        <f>VLOOKUP(Start!AF36,Tables!$BI$6:$BJ$5003,2,FALSE)</f>
        <v/>
      </c>
      <c r="AL36" s="829"/>
      <c r="AM36" s="335"/>
      <c r="AN36" s="815"/>
      <c r="AO36" s="816"/>
      <c r="AP36" s="817"/>
      <c r="AQ36" s="636"/>
      <c r="AR36" s="625" t="str">
        <f>IF(OR(AF36="",AF36=Tables!$BI$6),"",IF(COUNTIF($AF$20:$AF36,AF36)&gt;1,"",MAX($AR$19:AR35)+1))</f>
        <v/>
      </c>
      <c r="AS36" s="626" t="str">
        <f t="shared" si="4"/>
        <v/>
      </c>
      <c r="AT36" s="116"/>
      <c r="AU36" s="632"/>
      <c r="AV36" s="786" t="str">
        <f>IF(CharacterLevel="","",Tables!F3)</f>
        <v>none</v>
      </c>
      <c r="AW36" s="786"/>
      <c r="AX36" s="786"/>
      <c r="AY36" s="786"/>
      <c r="AZ36" s="786"/>
      <c r="BA36" s="786"/>
      <c r="BB36" s="786"/>
      <c r="BC36" s="786"/>
      <c r="BD36" s="786"/>
      <c r="BE36" s="786"/>
      <c r="BF36" s="786"/>
      <c r="BG36" s="786"/>
      <c r="BH36" s="633"/>
      <c r="BJ36" s="653"/>
      <c r="BK36" s="786"/>
      <c r="BL36" s="786"/>
      <c r="BM36" s="786"/>
      <c r="BN36" s="786"/>
      <c r="BO36" s="786"/>
      <c r="BP36" s="786"/>
      <c r="BQ36" s="786"/>
      <c r="BR36" s="786"/>
      <c r="BS36" s="786"/>
      <c r="BT36" s="786"/>
      <c r="BU36" s="786"/>
      <c r="BV36" s="786"/>
      <c r="BW36" s="786"/>
      <c r="BX36" s="786"/>
      <c r="BY36" s="786"/>
      <c r="BZ36" s="786"/>
      <c r="CA36" s="786"/>
      <c r="CB36" s="786"/>
      <c r="CC36" s="786"/>
      <c r="CD36" s="786"/>
      <c r="CE36" s="786"/>
      <c r="CF36" s="786"/>
      <c r="CG36" s="786"/>
      <c r="CH36" s="786"/>
      <c r="CI36" s="786"/>
      <c r="CJ36" s="786"/>
      <c r="CK36" s="786"/>
      <c r="CL36" s="786"/>
      <c r="CM36" s="786"/>
      <c r="CN36" s="786"/>
      <c r="CO36" s="786"/>
      <c r="CP36" s="786"/>
      <c r="CQ36" s="787"/>
      <c r="CT36" s="57"/>
      <c r="CU36" s="57"/>
      <c r="CV36" s="57"/>
      <c r="CW36" s="57"/>
      <c r="CZ36" s="145"/>
      <c r="DF36" s="57"/>
    </row>
    <row r="37" spans="2:181" ht="12" customHeight="1" thickTop="1" thickBot="1" x14ac:dyDescent="0.3">
      <c r="B37" s="600"/>
      <c r="C37" s="610" t="s">
        <v>1009</v>
      </c>
      <c r="D37" s="454"/>
      <c r="E37" s="454"/>
      <c r="F37" s="454"/>
      <c r="G37" s="454"/>
      <c r="H37" s="454"/>
      <c r="I37" s="454"/>
      <c r="J37" s="454"/>
      <c r="K37" s="611"/>
      <c r="L37" s="611"/>
      <c r="M37" s="611"/>
      <c r="N37" s="611"/>
      <c r="O37" s="611"/>
      <c r="P37" s="611"/>
      <c r="Q37" s="611"/>
      <c r="R37" s="611"/>
      <c r="S37" s="611"/>
      <c r="T37" s="611"/>
      <c r="U37" s="611"/>
      <c r="V37" s="611"/>
      <c r="W37" s="454"/>
      <c r="X37" s="454"/>
      <c r="Y37" s="454"/>
      <c r="Z37" s="599"/>
      <c r="AB37" s="632"/>
      <c r="AC37" s="804">
        <v>18</v>
      </c>
      <c r="AD37" s="804"/>
      <c r="AE37" s="804"/>
      <c r="AF37" s="843" t="s">
        <v>171</v>
      </c>
      <c r="AG37" s="844"/>
      <c r="AH37" s="844"/>
      <c r="AI37" s="845"/>
      <c r="AJ37" s="335"/>
      <c r="AK37" s="829" t="str">
        <f>VLOOKUP(Start!AF37,Tables!$BI$6:$BJ$5003,2,FALSE)</f>
        <v/>
      </c>
      <c r="AL37" s="829"/>
      <c r="AM37" s="335"/>
      <c r="AN37" s="815"/>
      <c r="AO37" s="816"/>
      <c r="AP37" s="817"/>
      <c r="AQ37" s="636"/>
      <c r="AR37" s="625" t="str">
        <f>IF(OR(AF37="",AF37=Tables!$BI$6),"",IF(COUNTIF($AF$20:$AF37,AF37)&gt;1,"",MAX($AR$19:AR36)+1))</f>
        <v/>
      </c>
      <c r="AS37" s="626" t="str">
        <f t="shared" si="4"/>
        <v/>
      </c>
      <c r="AT37" s="116"/>
      <c r="AU37" s="632"/>
      <c r="AV37" s="786"/>
      <c r="AW37" s="786"/>
      <c r="AX37" s="786"/>
      <c r="AY37" s="786"/>
      <c r="AZ37" s="786"/>
      <c r="BA37" s="786"/>
      <c r="BB37" s="786"/>
      <c r="BC37" s="786"/>
      <c r="BD37" s="786"/>
      <c r="BE37" s="786"/>
      <c r="BF37" s="786"/>
      <c r="BG37" s="786"/>
      <c r="BH37" s="633"/>
      <c r="BJ37" s="653"/>
      <c r="BK37" s="786"/>
      <c r="BL37" s="786"/>
      <c r="BM37" s="786"/>
      <c r="BN37" s="786"/>
      <c r="BO37" s="786"/>
      <c r="BP37" s="786"/>
      <c r="BQ37" s="786"/>
      <c r="BR37" s="786"/>
      <c r="BS37" s="786"/>
      <c r="BT37" s="786"/>
      <c r="BU37" s="786"/>
      <c r="BV37" s="786"/>
      <c r="BW37" s="786"/>
      <c r="BX37" s="786"/>
      <c r="BY37" s="786"/>
      <c r="BZ37" s="786"/>
      <c r="CA37" s="786"/>
      <c r="CB37" s="786"/>
      <c r="CC37" s="786"/>
      <c r="CD37" s="786"/>
      <c r="CE37" s="786"/>
      <c r="CF37" s="786"/>
      <c r="CG37" s="786"/>
      <c r="CH37" s="786"/>
      <c r="CI37" s="786"/>
      <c r="CJ37" s="786"/>
      <c r="CK37" s="786"/>
      <c r="CL37" s="786"/>
      <c r="CM37" s="786"/>
      <c r="CN37" s="786"/>
      <c r="CO37" s="786"/>
      <c r="CP37" s="786"/>
      <c r="CQ37" s="787"/>
      <c r="CT37" s="57"/>
      <c r="CU37" s="57"/>
      <c r="CV37" s="57"/>
      <c r="CW37" s="57"/>
      <c r="CZ37" s="145"/>
      <c r="DF37" s="57"/>
    </row>
    <row r="38" spans="2:181" ht="12" customHeight="1" thickTop="1" thickBot="1" x14ac:dyDescent="0.3">
      <c r="B38" s="600"/>
      <c r="C38" s="823" t="s">
        <v>171</v>
      </c>
      <c r="D38" s="823"/>
      <c r="E38" s="823"/>
      <c r="F38" s="823"/>
      <c r="G38" s="823"/>
      <c r="H38" s="823"/>
      <c r="I38" s="823"/>
      <c r="J38" s="823"/>
      <c r="K38" s="823"/>
      <c r="L38" s="823"/>
      <c r="M38" s="823"/>
      <c r="N38" s="823"/>
      <c r="O38" s="823"/>
      <c r="P38" s="823"/>
      <c r="Q38" s="823"/>
      <c r="R38" s="823"/>
      <c r="S38" s="823"/>
      <c r="T38" s="823"/>
      <c r="U38" s="823"/>
      <c r="V38" s="823"/>
      <c r="W38" s="823"/>
      <c r="X38" s="823"/>
      <c r="Y38" s="823"/>
      <c r="Z38" s="599"/>
      <c r="AB38" s="632"/>
      <c r="AC38" s="804">
        <v>19</v>
      </c>
      <c r="AD38" s="804"/>
      <c r="AE38" s="804"/>
      <c r="AF38" s="843" t="s">
        <v>171</v>
      </c>
      <c r="AG38" s="844"/>
      <c r="AH38" s="844"/>
      <c r="AI38" s="845"/>
      <c r="AJ38" s="335"/>
      <c r="AK38" s="829" t="str">
        <f>VLOOKUP(Start!AF38,Tables!$BI$6:$BJ$5003,2,FALSE)</f>
        <v/>
      </c>
      <c r="AL38" s="829"/>
      <c r="AM38" s="335"/>
      <c r="AN38" s="815"/>
      <c r="AO38" s="816"/>
      <c r="AP38" s="817"/>
      <c r="AQ38" s="636"/>
      <c r="AR38" s="625" t="str">
        <f>IF(OR(AF38="",AF38=Tables!$BI$6),"",IF(COUNTIF($AF$20:$AF38,AF38)&gt;1,"",MAX($AR$19:AR37)+1))</f>
        <v/>
      </c>
      <c r="AS38" s="626" t="str">
        <f t="shared" si="4"/>
        <v/>
      </c>
      <c r="AT38" s="116"/>
      <c r="AU38" s="632" t="str">
        <f>IF(CharacterLevel="","","   CLASS ("&amp;Tables!BX2&amp;")")</f>
        <v xml:space="preserve">   CLASS (0)</v>
      </c>
      <c r="AV38" s="335"/>
      <c r="AW38" s="335"/>
      <c r="AX38" s="335"/>
      <c r="AY38" s="335"/>
      <c r="AZ38" s="335"/>
      <c r="BA38" s="335"/>
      <c r="BB38" s="335"/>
      <c r="BC38" s="335"/>
      <c r="BD38" s="335"/>
      <c r="BE38" s="335"/>
      <c r="BF38" s="335"/>
      <c r="BG38" s="335"/>
      <c r="BH38" s="633"/>
      <c r="BJ38" s="653"/>
      <c r="BK38" s="786"/>
      <c r="BL38" s="786"/>
      <c r="BM38" s="786"/>
      <c r="BN38" s="786"/>
      <c r="BO38" s="786"/>
      <c r="BP38" s="786"/>
      <c r="BQ38" s="786"/>
      <c r="BR38" s="786"/>
      <c r="BS38" s="786"/>
      <c r="BT38" s="786"/>
      <c r="BU38" s="786"/>
      <c r="BV38" s="786"/>
      <c r="BW38" s="786"/>
      <c r="BX38" s="786"/>
      <c r="BY38" s="786"/>
      <c r="BZ38" s="786"/>
      <c r="CA38" s="786"/>
      <c r="CB38" s="786"/>
      <c r="CC38" s="786"/>
      <c r="CD38" s="786"/>
      <c r="CE38" s="786"/>
      <c r="CF38" s="786"/>
      <c r="CG38" s="786"/>
      <c r="CH38" s="786"/>
      <c r="CI38" s="786"/>
      <c r="CJ38" s="786"/>
      <c r="CK38" s="786"/>
      <c r="CL38" s="786"/>
      <c r="CM38" s="786"/>
      <c r="CN38" s="786"/>
      <c r="CO38" s="786"/>
      <c r="CP38" s="786"/>
      <c r="CQ38" s="787"/>
      <c r="CT38" s="57"/>
      <c r="CU38" s="57"/>
      <c r="CV38" s="57"/>
      <c r="CW38" s="57"/>
      <c r="CZ38" s="145"/>
      <c r="DF38" s="57"/>
      <c r="FJ38" s="109"/>
      <c r="FK38" s="109"/>
      <c r="FL38" s="109"/>
      <c r="FM38" s="109"/>
      <c r="FN38" s="109"/>
      <c r="FO38" s="109"/>
      <c r="FP38" s="109"/>
      <c r="FQ38" s="109"/>
      <c r="FR38" s="109"/>
      <c r="FS38" s="109"/>
      <c r="FT38" s="109"/>
      <c r="FU38" s="109"/>
      <c r="FV38" s="148"/>
      <c r="FW38" s="148"/>
      <c r="FX38" s="148"/>
      <c r="FY38" s="148"/>
    </row>
    <row r="39" spans="2:181" ht="12" customHeight="1" thickTop="1" thickBot="1" x14ac:dyDescent="0.3">
      <c r="B39" s="600"/>
      <c r="C39" s="823"/>
      <c r="D39" s="823"/>
      <c r="E39" s="823"/>
      <c r="F39" s="823"/>
      <c r="G39" s="823"/>
      <c r="H39" s="823"/>
      <c r="I39" s="823"/>
      <c r="J39" s="823"/>
      <c r="K39" s="823"/>
      <c r="L39" s="823"/>
      <c r="M39" s="823"/>
      <c r="N39" s="823"/>
      <c r="O39" s="823"/>
      <c r="P39" s="823"/>
      <c r="Q39" s="823"/>
      <c r="R39" s="823"/>
      <c r="S39" s="823"/>
      <c r="T39" s="823"/>
      <c r="U39" s="823"/>
      <c r="V39" s="823"/>
      <c r="W39" s="823"/>
      <c r="X39" s="823"/>
      <c r="Y39" s="823"/>
      <c r="Z39" s="599"/>
      <c r="AB39" s="632"/>
      <c r="AC39" s="804">
        <v>20</v>
      </c>
      <c r="AD39" s="804"/>
      <c r="AE39" s="804"/>
      <c r="AF39" s="843" t="s">
        <v>171</v>
      </c>
      <c r="AG39" s="844"/>
      <c r="AH39" s="844"/>
      <c r="AI39" s="845"/>
      <c r="AJ39" s="335"/>
      <c r="AK39" s="829" t="str">
        <f>VLOOKUP(Start!AF39,Tables!$BI$6:$BJ$5003,2,FALSE)</f>
        <v/>
      </c>
      <c r="AL39" s="829"/>
      <c r="AM39" s="335"/>
      <c r="AN39" s="815"/>
      <c r="AO39" s="816"/>
      <c r="AP39" s="817"/>
      <c r="AQ39" s="636"/>
      <c r="AR39" s="625" t="str">
        <f>IF(OR(AF39="",AF39=Tables!$BI$6),"",IF(COUNTIF($AF$20:$AF39,AF39)&gt;1,"",MAX($AR$19:AR38)+1))</f>
        <v/>
      </c>
      <c r="AS39" s="626" t="str">
        <f t="shared" si="4"/>
        <v/>
      </c>
      <c r="AT39" s="116"/>
      <c r="AU39" s="632"/>
      <c r="AV39" s="786" t="str">
        <f>IF(CharacterLevel="","",Tables!BY2)</f>
        <v>none</v>
      </c>
      <c r="AW39" s="786"/>
      <c r="AX39" s="786"/>
      <c r="AY39" s="786"/>
      <c r="AZ39" s="786"/>
      <c r="BA39" s="786"/>
      <c r="BB39" s="786"/>
      <c r="BC39" s="786"/>
      <c r="BD39" s="786"/>
      <c r="BE39" s="786"/>
      <c r="BF39" s="786"/>
      <c r="BG39" s="786"/>
      <c r="BH39" s="787"/>
      <c r="BJ39" s="653"/>
      <c r="BK39" s="786"/>
      <c r="BL39" s="786"/>
      <c r="BM39" s="786"/>
      <c r="BN39" s="786"/>
      <c r="BO39" s="786"/>
      <c r="BP39" s="786"/>
      <c r="BQ39" s="786"/>
      <c r="BR39" s="786"/>
      <c r="BS39" s="786"/>
      <c r="BT39" s="786"/>
      <c r="BU39" s="786"/>
      <c r="BV39" s="786"/>
      <c r="BW39" s="786"/>
      <c r="BX39" s="786"/>
      <c r="BY39" s="786"/>
      <c r="BZ39" s="786"/>
      <c r="CA39" s="786"/>
      <c r="CB39" s="786"/>
      <c r="CC39" s="786"/>
      <c r="CD39" s="786"/>
      <c r="CE39" s="786"/>
      <c r="CF39" s="786"/>
      <c r="CG39" s="786"/>
      <c r="CH39" s="786"/>
      <c r="CI39" s="786"/>
      <c r="CJ39" s="786"/>
      <c r="CK39" s="786"/>
      <c r="CL39" s="786"/>
      <c r="CM39" s="786"/>
      <c r="CN39" s="786"/>
      <c r="CO39" s="786"/>
      <c r="CP39" s="786"/>
      <c r="CQ39" s="787"/>
      <c r="DF39" s="57"/>
      <c r="FJ39" s="109"/>
      <c r="FK39" s="109"/>
      <c r="FL39" s="109"/>
      <c r="FM39" s="109"/>
      <c r="FN39" s="109"/>
      <c r="FO39" s="109"/>
      <c r="FP39" s="109"/>
      <c r="FQ39" s="109"/>
      <c r="FR39" s="109"/>
      <c r="FS39" s="109"/>
      <c r="FT39" s="109"/>
      <c r="FU39" s="109"/>
      <c r="FV39" s="148"/>
      <c r="FW39" s="148"/>
      <c r="FX39" s="148"/>
      <c r="FY39" s="148"/>
    </row>
    <row r="40" spans="2:181" ht="12" customHeight="1" thickTop="1" thickBot="1" x14ac:dyDescent="0.3">
      <c r="B40" s="600"/>
      <c r="C40" s="610" t="s">
        <v>1010</v>
      </c>
      <c r="D40" s="454"/>
      <c r="E40" s="454"/>
      <c r="F40" s="454"/>
      <c r="G40" s="454"/>
      <c r="H40" s="454"/>
      <c r="I40" s="454"/>
      <c r="J40" s="454"/>
      <c r="K40" s="611"/>
      <c r="L40" s="611"/>
      <c r="M40" s="611"/>
      <c r="N40" s="611"/>
      <c r="O40" s="611"/>
      <c r="P40" s="611"/>
      <c r="Q40" s="611"/>
      <c r="R40" s="611"/>
      <c r="S40" s="611"/>
      <c r="T40" s="611"/>
      <c r="U40" s="611"/>
      <c r="V40" s="611"/>
      <c r="W40" s="454"/>
      <c r="X40" s="454"/>
      <c r="Y40" s="454"/>
      <c r="Z40" s="599"/>
      <c r="AB40" s="632"/>
      <c r="AC40" s="335"/>
      <c r="AD40" s="335"/>
      <c r="AE40" s="335"/>
      <c r="AF40" s="335"/>
      <c r="AG40" s="335"/>
      <c r="AH40" s="335"/>
      <c r="AI40" s="335"/>
      <c r="AJ40" s="335"/>
      <c r="AK40" s="335"/>
      <c r="AL40" s="335"/>
      <c r="AM40" s="335"/>
      <c r="AN40" s="335"/>
      <c r="AO40" s="335"/>
      <c r="AP40" s="335"/>
      <c r="AQ40" s="335"/>
      <c r="AR40" s="335"/>
      <c r="AS40" s="633"/>
      <c r="AT40" s="116"/>
      <c r="AU40" s="632"/>
      <c r="AV40" s="786"/>
      <c r="AW40" s="786"/>
      <c r="AX40" s="786"/>
      <c r="AY40" s="786"/>
      <c r="AZ40" s="786"/>
      <c r="BA40" s="786"/>
      <c r="BB40" s="786"/>
      <c r="BC40" s="786"/>
      <c r="BD40" s="786"/>
      <c r="BE40" s="786"/>
      <c r="BF40" s="786"/>
      <c r="BG40" s="786"/>
      <c r="BH40" s="787"/>
      <c r="BJ40" s="653"/>
      <c r="BK40" s="786"/>
      <c r="BL40" s="786"/>
      <c r="BM40" s="786"/>
      <c r="BN40" s="786"/>
      <c r="BO40" s="786"/>
      <c r="BP40" s="786"/>
      <c r="BQ40" s="786"/>
      <c r="BR40" s="786"/>
      <c r="BS40" s="786"/>
      <c r="BT40" s="786"/>
      <c r="BU40" s="786"/>
      <c r="BV40" s="786"/>
      <c r="BW40" s="786"/>
      <c r="BX40" s="786"/>
      <c r="BY40" s="786"/>
      <c r="BZ40" s="786"/>
      <c r="CA40" s="786"/>
      <c r="CB40" s="786"/>
      <c r="CC40" s="786"/>
      <c r="CD40" s="786"/>
      <c r="CE40" s="786"/>
      <c r="CF40" s="786"/>
      <c r="CG40" s="786"/>
      <c r="CH40" s="786"/>
      <c r="CI40" s="786"/>
      <c r="CJ40" s="786"/>
      <c r="CK40" s="786"/>
      <c r="CL40" s="786"/>
      <c r="CM40" s="786"/>
      <c r="CN40" s="786"/>
      <c r="CO40" s="786"/>
      <c r="CP40" s="786"/>
      <c r="CQ40" s="787"/>
      <c r="DF40" s="57"/>
      <c r="FJ40" s="109"/>
      <c r="FK40" s="109"/>
      <c r="FL40" s="109"/>
      <c r="FM40" s="109"/>
      <c r="FN40" s="109"/>
      <c r="FO40" s="109"/>
      <c r="FP40" s="109"/>
      <c r="FQ40" s="109"/>
      <c r="FR40" s="109"/>
      <c r="FS40" s="109"/>
      <c r="FT40" s="109"/>
      <c r="FU40" s="109"/>
      <c r="FV40" s="148"/>
      <c r="FW40" s="148"/>
      <c r="FX40" s="148"/>
      <c r="FY40" s="148"/>
    </row>
    <row r="41" spans="2:181" ht="12" customHeight="1" thickTop="1" thickBot="1" x14ac:dyDescent="0.3">
      <c r="B41" s="600"/>
      <c r="C41" s="823" t="s">
        <v>171</v>
      </c>
      <c r="D41" s="823"/>
      <c r="E41" s="823"/>
      <c r="F41" s="823"/>
      <c r="G41" s="823"/>
      <c r="H41" s="823"/>
      <c r="I41" s="823"/>
      <c r="J41" s="823"/>
      <c r="K41" s="823"/>
      <c r="L41" s="823"/>
      <c r="M41" s="823"/>
      <c r="N41" s="823"/>
      <c r="O41" s="823"/>
      <c r="P41" s="823"/>
      <c r="Q41" s="823"/>
      <c r="R41" s="823"/>
      <c r="S41" s="823"/>
      <c r="T41" s="823"/>
      <c r="U41" s="823"/>
      <c r="V41" s="823"/>
      <c r="W41" s="823"/>
      <c r="X41" s="823"/>
      <c r="Y41" s="823"/>
      <c r="Z41" s="599"/>
      <c r="AB41" s="637"/>
      <c r="AC41" s="579"/>
      <c r="AD41" s="579"/>
      <c r="AE41" s="335"/>
      <c r="AF41" s="335"/>
      <c r="AG41" s="335"/>
      <c r="AH41" s="335"/>
      <c r="AI41" s="335"/>
      <c r="AJ41" s="777" t="s">
        <v>769</v>
      </c>
      <c r="AK41" s="777"/>
      <c r="AL41" s="777"/>
      <c r="AM41" s="777"/>
      <c r="AN41" s="777" t="s">
        <v>769</v>
      </c>
      <c r="AO41" s="777"/>
      <c r="AP41" s="777"/>
      <c r="AQ41" s="627"/>
      <c r="AR41" s="514"/>
      <c r="AS41" s="638"/>
      <c r="AT41" s="116"/>
      <c r="AU41" s="632" t="str">
        <f>IF(CharacterLevel="","","   SUBCLASS ("&amp;Tables!EY6&amp;")")</f>
        <v xml:space="preserve">   SUBCLASS (0)</v>
      </c>
      <c r="AV41" s="335"/>
      <c r="AW41" s="335"/>
      <c r="AX41" s="335"/>
      <c r="AY41" s="335"/>
      <c r="AZ41" s="335"/>
      <c r="BA41" s="335"/>
      <c r="BB41" s="335"/>
      <c r="BC41" s="335"/>
      <c r="BD41" s="335"/>
      <c r="BE41" s="335"/>
      <c r="BF41" s="335"/>
      <c r="BG41" s="335"/>
      <c r="BH41" s="633"/>
      <c r="BJ41" s="653"/>
      <c r="BK41" s="786"/>
      <c r="BL41" s="786"/>
      <c r="BM41" s="786"/>
      <c r="BN41" s="786"/>
      <c r="BO41" s="786"/>
      <c r="BP41" s="786"/>
      <c r="BQ41" s="786"/>
      <c r="BR41" s="786"/>
      <c r="BS41" s="786"/>
      <c r="BT41" s="786"/>
      <c r="BU41" s="786"/>
      <c r="BV41" s="786"/>
      <c r="BW41" s="786"/>
      <c r="BX41" s="786"/>
      <c r="BY41" s="786"/>
      <c r="BZ41" s="786"/>
      <c r="CA41" s="786"/>
      <c r="CB41" s="786"/>
      <c r="CC41" s="786"/>
      <c r="CD41" s="786"/>
      <c r="CE41" s="786"/>
      <c r="CF41" s="786"/>
      <c r="CG41" s="786"/>
      <c r="CH41" s="786"/>
      <c r="CI41" s="786"/>
      <c r="CJ41" s="786"/>
      <c r="CK41" s="786"/>
      <c r="CL41" s="786"/>
      <c r="CM41" s="786"/>
      <c r="CN41" s="786"/>
      <c r="CO41" s="786"/>
      <c r="CP41" s="786"/>
      <c r="CQ41" s="787"/>
      <c r="DF41" s="57"/>
      <c r="FJ41" s="109"/>
      <c r="FK41" s="109"/>
      <c r="FL41" s="109"/>
      <c r="FM41" s="109"/>
      <c r="FN41" s="109"/>
      <c r="FO41" s="109"/>
      <c r="FP41" s="109"/>
      <c r="FQ41" s="109"/>
      <c r="FR41" s="109"/>
      <c r="FS41" s="109"/>
      <c r="FT41" s="109"/>
      <c r="FU41" s="109"/>
      <c r="FV41" s="148"/>
      <c r="FW41" s="148"/>
      <c r="FX41" s="148"/>
      <c r="FY41" s="148"/>
    </row>
    <row r="42" spans="2:181" ht="12" customHeight="1" thickTop="1" thickBot="1" x14ac:dyDescent="0.3">
      <c r="B42" s="600"/>
      <c r="C42" s="823"/>
      <c r="D42" s="823"/>
      <c r="E42" s="823"/>
      <c r="F42" s="823"/>
      <c r="G42" s="823"/>
      <c r="H42" s="823"/>
      <c r="I42" s="823"/>
      <c r="J42" s="823"/>
      <c r="K42" s="823"/>
      <c r="L42" s="823"/>
      <c r="M42" s="823"/>
      <c r="N42" s="823"/>
      <c r="O42" s="823"/>
      <c r="P42" s="823"/>
      <c r="Q42" s="823"/>
      <c r="R42" s="823"/>
      <c r="S42" s="823"/>
      <c r="T42" s="823"/>
      <c r="U42" s="823"/>
      <c r="V42" s="823"/>
      <c r="W42" s="823"/>
      <c r="X42" s="823"/>
      <c r="Y42" s="823"/>
      <c r="Z42" s="599"/>
      <c r="AB42" s="637"/>
      <c r="AC42" s="579"/>
      <c r="AD42" s="579"/>
      <c r="AE42" s="335"/>
      <c r="AF42" s="335"/>
      <c r="AG42" s="335"/>
      <c r="AH42" s="335"/>
      <c r="AI42" s="335"/>
      <c r="AJ42" s="857" t="s">
        <v>771</v>
      </c>
      <c r="AK42" s="857"/>
      <c r="AL42" s="857"/>
      <c r="AM42" s="857"/>
      <c r="AN42" s="857" t="s">
        <v>770</v>
      </c>
      <c r="AO42" s="857"/>
      <c r="AP42" s="857"/>
      <c r="AQ42" s="627"/>
      <c r="AR42" s="514"/>
      <c r="AS42" s="602"/>
      <c r="AT42" s="116"/>
      <c r="AU42" s="632"/>
      <c r="AV42" s="786" t="str">
        <f>IF(CharacterLevel="","",Tables!EX6)</f>
        <v>none</v>
      </c>
      <c r="AW42" s="786"/>
      <c r="AX42" s="786"/>
      <c r="AY42" s="786"/>
      <c r="AZ42" s="786"/>
      <c r="BA42" s="786"/>
      <c r="BB42" s="786"/>
      <c r="BC42" s="786"/>
      <c r="BD42" s="786"/>
      <c r="BE42" s="786"/>
      <c r="BF42" s="786"/>
      <c r="BG42" s="786"/>
      <c r="BH42" s="787"/>
      <c r="BJ42" s="653"/>
      <c r="BK42" s="786"/>
      <c r="BL42" s="786"/>
      <c r="BM42" s="786"/>
      <c r="BN42" s="786"/>
      <c r="BO42" s="786"/>
      <c r="BP42" s="786"/>
      <c r="BQ42" s="786"/>
      <c r="BR42" s="786"/>
      <c r="BS42" s="786"/>
      <c r="BT42" s="786"/>
      <c r="BU42" s="786"/>
      <c r="BV42" s="786"/>
      <c r="BW42" s="786"/>
      <c r="BX42" s="786"/>
      <c r="BY42" s="786"/>
      <c r="BZ42" s="786"/>
      <c r="CA42" s="786"/>
      <c r="CB42" s="786"/>
      <c r="CC42" s="786"/>
      <c r="CD42" s="786"/>
      <c r="CE42" s="786"/>
      <c r="CF42" s="786"/>
      <c r="CG42" s="786"/>
      <c r="CH42" s="786"/>
      <c r="CI42" s="786"/>
      <c r="CJ42" s="786"/>
      <c r="CK42" s="786"/>
      <c r="CL42" s="786"/>
      <c r="CM42" s="786"/>
      <c r="CN42" s="786"/>
      <c r="CO42" s="786"/>
      <c r="CP42" s="786"/>
      <c r="CQ42" s="787"/>
      <c r="FJ42" s="109"/>
      <c r="FK42" s="109"/>
      <c r="FL42" s="109"/>
      <c r="FM42" s="109"/>
      <c r="FN42" s="109"/>
      <c r="FO42" s="109"/>
      <c r="FP42" s="109"/>
      <c r="FQ42" s="109"/>
      <c r="FR42" s="109"/>
      <c r="FS42" s="109"/>
      <c r="FT42" s="109"/>
      <c r="FU42" s="109"/>
      <c r="FV42" s="148"/>
      <c r="FW42" s="148"/>
      <c r="FX42" s="148"/>
      <c r="FY42" s="148"/>
    </row>
    <row r="43" spans="2:181" ht="12" customHeight="1" thickTop="1" thickBot="1" x14ac:dyDescent="0.3">
      <c r="B43" s="600"/>
      <c r="C43" s="594" t="s">
        <v>4</v>
      </c>
      <c r="D43" s="598"/>
      <c r="E43" s="598"/>
      <c r="F43" s="598"/>
      <c r="G43" s="598"/>
      <c r="H43" s="598"/>
      <c r="I43" s="598"/>
      <c r="J43" s="598"/>
      <c r="K43" s="824" t="s">
        <v>171</v>
      </c>
      <c r="L43" s="825"/>
      <c r="M43" s="825"/>
      <c r="N43" s="825"/>
      <c r="O43" s="825"/>
      <c r="P43" s="825"/>
      <c r="Q43" s="825"/>
      <c r="R43" s="825"/>
      <c r="S43" s="825"/>
      <c r="T43" s="825"/>
      <c r="U43" s="825"/>
      <c r="V43" s="825"/>
      <c r="W43" s="825"/>
      <c r="X43" s="825"/>
      <c r="Y43" s="826"/>
      <c r="Z43" s="599"/>
      <c r="AB43" s="632"/>
      <c r="AC43" s="335"/>
      <c r="AD43" s="335"/>
      <c r="AE43" s="784" t="s">
        <v>369</v>
      </c>
      <c r="AF43" s="784"/>
      <c r="AG43" s="784"/>
      <c r="AH43" s="784"/>
      <c r="AI43" s="784"/>
      <c r="AJ43" s="789">
        <f>IF(CharacterLevel="","",CharacterLevel)</f>
        <v>1</v>
      </c>
      <c r="AK43" s="789"/>
      <c r="AL43" s="789"/>
      <c r="AM43" s="789"/>
      <c r="AN43" s="789" t="str">
        <f>IF(OR(CharacterLevel="",CONMod="",Class1=""),"",IF(SUM(Start!AN20:AN39)=0,"",SUM(Start!AN20:AN39)+CONMod*CharacterLevel+IF(Tables!ZT9="",0,2*CharacterLevel)+SorcererDraconicBloodlineLevel+IF(Subrace="Hill",CharacterLevel,0)))</f>
        <v/>
      </c>
      <c r="AO43" s="789"/>
      <c r="AP43" s="789"/>
      <c r="AQ43" s="848" t="str">
        <f>IF(CharacterLevel="","",IF(Tables!ZT9="","","TOUGH
FEAT"))</f>
        <v/>
      </c>
      <c r="AR43" s="848"/>
      <c r="AS43" s="849"/>
      <c r="AT43" s="116"/>
      <c r="AU43" s="632"/>
      <c r="AV43" s="786"/>
      <c r="AW43" s="786"/>
      <c r="AX43" s="786"/>
      <c r="AY43" s="786"/>
      <c r="AZ43" s="786"/>
      <c r="BA43" s="786"/>
      <c r="BB43" s="786"/>
      <c r="BC43" s="786"/>
      <c r="BD43" s="786"/>
      <c r="BE43" s="786"/>
      <c r="BF43" s="786"/>
      <c r="BG43" s="786"/>
      <c r="BH43" s="787"/>
      <c r="BJ43" s="653"/>
      <c r="BK43" s="786"/>
      <c r="BL43" s="786"/>
      <c r="BM43" s="786"/>
      <c r="BN43" s="786"/>
      <c r="BO43" s="786"/>
      <c r="BP43" s="786"/>
      <c r="BQ43" s="786"/>
      <c r="BR43" s="786"/>
      <c r="BS43" s="786"/>
      <c r="BT43" s="786"/>
      <c r="BU43" s="786"/>
      <c r="BV43" s="786"/>
      <c r="BW43" s="786"/>
      <c r="BX43" s="786"/>
      <c r="BY43" s="786"/>
      <c r="BZ43" s="786"/>
      <c r="CA43" s="786"/>
      <c r="CB43" s="786"/>
      <c r="CC43" s="786"/>
      <c r="CD43" s="786"/>
      <c r="CE43" s="786"/>
      <c r="CF43" s="786"/>
      <c r="CG43" s="786"/>
      <c r="CH43" s="786"/>
      <c r="CI43" s="786"/>
      <c r="CJ43" s="786"/>
      <c r="CK43" s="786"/>
      <c r="CL43" s="786"/>
      <c r="CM43" s="786"/>
      <c r="CN43" s="786"/>
      <c r="CO43" s="786"/>
      <c r="CP43" s="786"/>
      <c r="CQ43" s="787"/>
      <c r="FJ43" s="109"/>
      <c r="FK43" s="109"/>
      <c r="FL43" s="109"/>
      <c r="FM43" s="109"/>
      <c r="FN43" s="109"/>
      <c r="FO43" s="109"/>
      <c r="FP43" s="109"/>
      <c r="FQ43" s="109"/>
      <c r="FR43" s="109"/>
      <c r="FS43" s="109"/>
      <c r="FT43" s="109"/>
      <c r="FU43" s="120"/>
      <c r="FV43" s="148"/>
      <c r="FW43" s="148"/>
      <c r="FX43" s="148"/>
      <c r="FY43" s="148"/>
    </row>
    <row r="44" spans="2:181" ht="12" customHeight="1" thickTop="1" thickBot="1" x14ac:dyDescent="0.3">
      <c r="B44" s="600"/>
      <c r="C44" s="594" t="s">
        <v>10</v>
      </c>
      <c r="D44" s="598"/>
      <c r="E44" s="598"/>
      <c r="F44" s="598"/>
      <c r="G44" s="598"/>
      <c r="H44" s="598"/>
      <c r="I44" s="598"/>
      <c r="J44" s="598"/>
      <c r="K44" s="824">
        <v>0</v>
      </c>
      <c r="L44" s="825"/>
      <c r="M44" s="825"/>
      <c r="N44" s="825"/>
      <c r="O44" s="825"/>
      <c r="P44" s="825"/>
      <c r="Q44" s="825"/>
      <c r="R44" s="825"/>
      <c r="S44" s="825"/>
      <c r="T44" s="825"/>
      <c r="U44" s="825"/>
      <c r="V44" s="825"/>
      <c r="W44" s="825"/>
      <c r="X44" s="825"/>
      <c r="Y44" s="826"/>
      <c r="Z44" s="599"/>
      <c r="AB44" s="632"/>
      <c r="AC44" s="335"/>
      <c r="AD44" s="335"/>
      <c r="AE44" s="784"/>
      <c r="AF44" s="784"/>
      <c r="AG44" s="784"/>
      <c r="AH44" s="784"/>
      <c r="AI44" s="784"/>
      <c r="AJ44" s="789"/>
      <c r="AK44" s="789"/>
      <c r="AL44" s="789"/>
      <c r="AM44" s="789"/>
      <c r="AN44" s="789"/>
      <c r="AO44" s="789"/>
      <c r="AP44" s="789"/>
      <c r="AQ44" s="848"/>
      <c r="AR44" s="848"/>
      <c r="AS44" s="849"/>
      <c r="AT44" s="116"/>
      <c r="AU44" s="632" t="str">
        <f>IF(CharacterLevel="","","   BACKGROUND ("&amp;Tables!AM3&amp;")")</f>
        <v xml:space="preserve">   BACKGROUND (0)</v>
      </c>
      <c r="AV44" s="335"/>
      <c r="AW44" s="335"/>
      <c r="AX44" s="335"/>
      <c r="AY44" s="335"/>
      <c r="AZ44" s="335"/>
      <c r="BA44" s="335"/>
      <c r="BB44" s="335"/>
      <c r="BC44" s="335"/>
      <c r="BD44" s="335"/>
      <c r="BE44" s="335"/>
      <c r="BF44" s="335"/>
      <c r="BG44" s="335"/>
      <c r="BH44" s="633"/>
      <c r="BJ44" s="653"/>
      <c r="BK44" s="786"/>
      <c r="BL44" s="786"/>
      <c r="BM44" s="786"/>
      <c r="BN44" s="786"/>
      <c r="BO44" s="786"/>
      <c r="BP44" s="786"/>
      <c r="BQ44" s="786"/>
      <c r="BR44" s="786"/>
      <c r="BS44" s="786"/>
      <c r="BT44" s="786"/>
      <c r="BU44" s="786"/>
      <c r="BV44" s="786"/>
      <c r="BW44" s="786"/>
      <c r="BX44" s="786"/>
      <c r="BY44" s="786"/>
      <c r="BZ44" s="786"/>
      <c r="CA44" s="786"/>
      <c r="CB44" s="786"/>
      <c r="CC44" s="786"/>
      <c r="CD44" s="786"/>
      <c r="CE44" s="786"/>
      <c r="CF44" s="786"/>
      <c r="CG44" s="786"/>
      <c r="CH44" s="786"/>
      <c r="CI44" s="786"/>
      <c r="CJ44" s="786"/>
      <c r="CK44" s="786"/>
      <c r="CL44" s="786"/>
      <c r="CM44" s="786"/>
      <c r="CN44" s="786"/>
      <c r="CO44" s="786"/>
      <c r="CP44" s="786"/>
      <c r="CQ44" s="787"/>
      <c r="FJ44" s="109"/>
      <c r="FK44" s="109"/>
      <c r="FL44" s="109"/>
      <c r="FM44" s="109"/>
      <c r="FN44" s="109"/>
      <c r="FO44" s="109"/>
      <c r="FP44" s="109"/>
      <c r="FQ44" s="109"/>
      <c r="FR44" s="109"/>
      <c r="FS44" s="109"/>
      <c r="FT44" s="109"/>
      <c r="FU44" s="148"/>
      <c r="FV44" s="148"/>
      <c r="FW44" s="148"/>
      <c r="FX44" s="148"/>
      <c r="FY44" s="148"/>
    </row>
    <row r="45" spans="2:181" ht="12" customHeight="1" thickTop="1" x14ac:dyDescent="0.25">
      <c r="B45" s="600"/>
      <c r="C45" s="881" t="str">
        <f>IF(Race=SelectText,"",Tables!R3)</f>
        <v/>
      </c>
      <c r="D45" s="881"/>
      <c r="E45" s="881"/>
      <c r="F45" s="881"/>
      <c r="G45" s="881"/>
      <c r="H45" s="881"/>
      <c r="I45" s="881"/>
      <c r="J45" s="881"/>
      <c r="K45" s="881"/>
      <c r="L45" s="881"/>
      <c r="M45" s="881"/>
      <c r="N45" s="881"/>
      <c r="O45" s="881"/>
      <c r="P45" s="881"/>
      <c r="Q45" s="881"/>
      <c r="R45" s="881"/>
      <c r="S45" s="881"/>
      <c r="T45" s="881"/>
      <c r="U45" s="881"/>
      <c r="V45" s="881"/>
      <c r="W45" s="881"/>
      <c r="X45" s="881"/>
      <c r="Y45" s="881"/>
      <c r="Z45" s="882"/>
      <c r="AB45" s="632"/>
      <c r="AC45" s="727" t="s">
        <v>2</v>
      </c>
      <c r="AD45" s="731"/>
      <c r="AE45" s="731"/>
      <c r="AF45" s="731"/>
      <c r="AG45" s="731"/>
      <c r="AH45" s="335"/>
      <c r="AI45" s="335"/>
      <c r="AJ45" s="335"/>
      <c r="AK45" s="335"/>
      <c r="AL45" s="335"/>
      <c r="AM45" s="335"/>
      <c r="AN45" s="335"/>
      <c r="AO45" s="335"/>
      <c r="AP45" s="335"/>
      <c r="AQ45" s="335"/>
      <c r="AR45" s="335"/>
      <c r="AS45" s="628"/>
      <c r="AT45" s="154"/>
      <c r="AU45" s="632"/>
      <c r="AV45" s="820" t="str">
        <f>IF(CharacterLevel="","",Tables!AL3)</f>
        <v>none</v>
      </c>
      <c r="AW45" s="820"/>
      <c r="AX45" s="820"/>
      <c r="AY45" s="820"/>
      <c r="AZ45" s="820"/>
      <c r="BA45" s="820"/>
      <c r="BB45" s="820"/>
      <c r="BC45" s="820"/>
      <c r="BD45" s="820"/>
      <c r="BE45" s="820"/>
      <c r="BF45" s="820"/>
      <c r="BG45" s="820"/>
      <c r="BH45" s="633"/>
      <c r="BJ45" s="653"/>
      <c r="BK45" s="786"/>
      <c r="BL45" s="786"/>
      <c r="BM45" s="786"/>
      <c r="BN45" s="786"/>
      <c r="BO45" s="786"/>
      <c r="BP45" s="786"/>
      <c r="BQ45" s="786"/>
      <c r="BR45" s="786"/>
      <c r="BS45" s="786"/>
      <c r="BT45" s="786"/>
      <c r="BU45" s="786"/>
      <c r="BV45" s="786"/>
      <c r="BW45" s="786"/>
      <c r="BX45" s="786"/>
      <c r="BY45" s="786"/>
      <c r="BZ45" s="786"/>
      <c r="CA45" s="786"/>
      <c r="CB45" s="786"/>
      <c r="CC45" s="786"/>
      <c r="CD45" s="786"/>
      <c r="CE45" s="786"/>
      <c r="CF45" s="786"/>
      <c r="CG45" s="786"/>
      <c r="CH45" s="786"/>
      <c r="CI45" s="786"/>
      <c r="CJ45" s="786"/>
      <c r="CK45" s="786"/>
      <c r="CL45" s="786"/>
      <c r="CM45" s="786"/>
      <c r="CN45" s="786"/>
      <c r="CO45" s="786"/>
      <c r="CP45" s="786"/>
      <c r="CQ45" s="787"/>
      <c r="FJ45" s="109"/>
      <c r="FK45" s="109"/>
      <c r="FL45" s="109"/>
      <c r="FM45" s="109"/>
      <c r="FN45" s="109"/>
      <c r="FO45" s="109"/>
      <c r="FP45" s="109"/>
      <c r="FQ45" s="109"/>
      <c r="FR45" s="109"/>
      <c r="FS45" s="109"/>
      <c r="FT45" s="109"/>
      <c r="FU45" s="148"/>
      <c r="FV45" s="148"/>
      <c r="FW45" s="148"/>
      <c r="FX45" s="148"/>
      <c r="FY45" s="148"/>
    </row>
    <row r="46" spans="2:181" ht="12" customHeight="1" thickBot="1" x14ac:dyDescent="0.3">
      <c r="B46" s="600"/>
      <c r="C46" s="881"/>
      <c r="D46" s="881"/>
      <c r="E46" s="881"/>
      <c r="F46" s="881"/>
      <c r="G46" s="881"/>
      <c r="H46" s="881"/>
      <c r="I46" s="881"/>
      <c r="J46" s="881"/>
      <c r="K46" s="881"/>
      <c r="L46" s="881"/>
      <c r="M46" s="881"/>
      <c r="N46" s="881"/>
      <c r="O46" s="881"/>
      <c r="P46" s="881"/>
      <c r="Q46" s="881"/>
      <c r="R46" s="881"/>
      <c r="S46" s="881"/>
      <c r="T46" s="881"/>
      <c r="U46" s="881"/>
      <c r="V46" s="881"/>
      <c r="W46" s="881"/>
      <c r="X46" s="881"/>
      <c r="Y46" s="881"/>
      <c r="Z46" s="882"/>
      <c r="AB46" s="632"/>
      <c r="AC46" s="867" t="str">
        <f>Tables!BI2</f>
        <v/>
      </c>
      <c r="AD46" s="867"/>
      <c r="AE46" s="867"/>
      <c r="AF46" s="867"/>
      <c r="AG46" s="867"/>
      <c r="AH46" s="867"/>
      <c r="AI46" s="867"/>
      <c r="AJ46" s="867"/>
      <c r="AK46" s="867"/>
      <c r="AL46" s="867"/>
      <c r="AM46" s="867"/>
      <c r="AN46" s="867"/>
      <c r="AO46" s="867"/>
      <c r="AP46" s="867"/>
      <c r="AQ46" s="867"/>
      <c r="AR46" s="867"/>
      <c r="AS46" s="628"/>
      <c r="AT46" s="154"/>
      <c r="AU46" s="632"/>
      <c r="AV46" s="820"/>
      <c r="AW46" s="820"/>
      <c r="AX46" s="820"/>
      <c r="AY46" s="820"/>
      <c r="AZ46" s="820"/>
      <c r="BA46" s="820"/>
      <c r="BB46" s="820"/>
      <c r="BC46" s="820"/>
      <c r="BD46" s="820"/>
      <c r="BE46" s="820"/>
      <c r="BF46" s="820"/>
      <c r="BG46" s="820"/>
      <c r="BH46" s="633"/>
      <c r="BJ46" s="653"/>
      <c r="BK46" s="786"/>
      <c r="BL46" s="786"/>
      <c r="BM46" s="786"/>
      <c r="BN46" s="786"/>
      <c r="BO46" s="786"/>
      <c r="BP46" s="786"/>
      <c r="BQ46" s="786"/>
      <c r="BR46" s="786"/>
      <c r="BS46" s="786"/>
      <c r="BT46" s="786"/>
      <c r="BU46" s="786"/>
      <c r="BV46" s="786"/>
      <c r="BW46" s="786"/>
      <c r="BX46" s="786"/>
      <c r="BY46" s="786"/>
      <c r="BZ46" s="786"/>
      <c r="CA46" s="786"/>
      <c r="CB46" s="786"/>
      <c r="CC46" s="786"/>
      <c r="CD46" s="786"/>
      <c r="CE46" s="786"/>
      <c r="CF46" s="786"/>
      <c r="CG46" s="786"/>
      <c r="CH46" s="786"/>
      <c r="CI46" s="786"/>
      <c r="CJ46" s="786"/>
      <c r="CK46" s="786"/>
      <c r="CL46" s="786"/>
      <c r="CM46" s="786"/>
      <c r="CN46" s="786"/>
      <c r="CO46" s="786"/>
      <c r="CP46" s="786"/>
      <c r="CQ46" s="787"/>
      <c r="FJ46" s="109"/>
      <c r="FK46" s="109"/>
      <c r="FL46" s="109"/>
      <c r="FM46" s="109"/>
      <c r="FN46" s="109"/>
      <c r="FO46" s="109"/>
      <c r="FP46" s="109"/>
      <c r="FQ46" s="109"/>
      <c r="FR46" s="109"/>
      <c r="FS46" s="109"/>
      <c r="FT46" s="109"/>
      <c r="FU46" s="148"/>
      <c r="FV46" s="148"/>
      <c r="FW46" s="148"/>
      <c r="FX46" s="148"/>
      <c r="FY46" s="148"/>
    </row>
    <row r="47" spans="2:181" ht="12" customHeight="1" thickTop="1" thickBot="1" x14ac:dyDescent="0.3">
      <c r="B47" s="600"/>
      <c r="C47" s="594" t="s">
        <v>11</v>
      </c>
      <c r="D47" s="598"/>
      <c r="E47" s="598"/>
      <c r="F47" s="598"/>
      <c r="G47" s="612" t="str">
        <f>IF(Race=SelectText,"",Tables!S3)</f>
        <v/>
      </c>
      <c r="H47" s="598"/>
      <c r="I47" s="598"/>
      <c r="J47" s="598"/>
      <c r="K47" s="824">
        <v>0</v>
      </c>
      <c r="L47" s="825"/>
      <c r="M47" s="825"/>
      <c r="N47" s="825"/>
      <c r="O47" s="825"/>
      <c r="P47" s="825"/>
      <c r="Q47" s="825"/>
      <c r="R47" s="825"/>
      <c r="S47" s="825"/>
      <c r="T47" s="825"/>
      <c r="U47" s="825"/>
      <c r="V47" s="825"/>
      <c r="W47" s="825"/>
      <c r="X47" s="825"/>
      <c r="Y47" s="826"/>
      <c r="Z47" s="599"/>
      <c r="AB47" s="632"/>
      <c r="AC47" s="335"/>
      <c r="AD47" s="335"/>
      <c r="AE47" s="335"/>
      <c r="AF47" s="335"/>
      <c r="AG47" s="335"/>
      <c r="AH47" s="335"/>
      <c r="AI47" s="335"/>
      <c r="AJ47" s="335"/>
      <c r="AK47" s="335"/>
      <c r="AL47" s="335"/>
      <c r="AM47" s="335"/>
      <c r="AN47" s="335"/>
      <c r="AO47" s="335"/>
      <c r="AP47" s="335"/>
      <c r="AQ47" s="335"/>
      <c r="AR47" s="335"/>
      <c r="AS47" s="633"/>
      <c r="AT47" s="154"/>
      <c r="AU47" s="632" t="str">
        <f>IF(CharacterLevel="","","   TRAINING    (")</f>
        <v xml:space="preserve">   TRAINING    (</v>
      </c>
      <c r="AV47" s="335"/>
      <c r="AW47" s="335"/>
      <c r="AX47" s="335"/>
      <c r="AY47" s="645"/>
      <c r="AZ47" s="592" t="str">
        <f>IF(CharacterLevel="","",")")</f>
        <v>)</v>
      </c>
      <c r="BB47" s="335"/>
      <c r="BC47" s="335"/>
      <c r="BD47" s="335"/>
      <c r="BE47" s="335"/>
      <c r="BF47" s="335"/>
      <c r="BG47" s="335"/>
      <c r="BH47" s="633"/>
      <c r="BJ47" s="653"/>
      <c r="BK47" s="786"/>
      <c r="BL47" s="786"/>
      <c r="BM47" s="786"/>
      <c r="BN47" s="786"/>
      <c r="BO47" s="786"/>
      <c r="BP47" s="786"/>
      <c r="BQ47" s="786"/>
      <c r="BR47" s="786"/>
      <c r="BS47" s="786"/>
      <c r="BT47" s="786"/>
      <c r="BU47" s="786"/>
      <c r="BV47" s="786"/>
      <c r="BW47" s="786"/>
      <c r="BX47" s="786"/>
      <c r="BY47" s="786"/>
      <c r="BZ47" s="786"/>
      <c r="CA47" s="786"/>
      <c r="CB47" s="786"/>
      <c r="CC47" s="786"/>
      <c r="CD47" s="786"/>
      <c r="CE47" s="786"/>
      <c r="CF47" s="786"/>
      <c r="CG47" s="786"/>
      <c r="CH47" s="786"/>
      <c r="CI47" s="786"/>
      <c r="CJ47" s="786"/>
      <c r="CK47" s="786"/>
      <c r="CL47" s="786"/>
      <c r="CM47" s="786"/>
      <c r="CN47" s="786"/>
      <c r="CO47" s="786"/>
      <c r="CP47" s="786"/>
      <c r="CQ47" s="787"/>
      <c r="FJ47" s="109"/>
      <c r="FK47" s="109"/>
      <c r="FL47" s="109"/>
      <c r="FM47" s="109"/>
      <c r="FN47" s="109"/>
      <c r="FO47" s="109"/>
      <c r="FP47" s="109"/>
      <c r="FQ47" s="109"/>
      <c r="FR47" s="109"/>
      <c r="FS47" s="109"/>
      <c r="FT47" s="109"/>
      <c r="FU47" s="148"/>
      <c r="FV47" s="148"/>
      <c r="FW47" s="148"/>
      <c r="FX47" s="148"/>
      <c r="FY47" s="148"/>
    </row>
    <row r="48" spans="2:181" ht="12" customHeight="1" thickTop="1" thickBot="1" x14ac:dyDescent="0.3">
      <c r="B48" s="600"/>
      <c r="C48" s="594" t="s">
        <v>12</v>
      </c>
      <c r="D48" s="598"/>
      <c r="E48" s="598"/>
      <c r="F48" s="598"/>
      <c r="G48" s="612" t="str">
        <f>IF(Race=SelectText,"",Tables!T3)</f>
        <v/>
      </c>
      <c r="H48" s="598"/>
      <c r="I48" s="598"/>
      <c r="J48" s="598"/>
      <c r="K48" s="824"/>
      <c r="L48" s="825"/>
      <c r="M48" s="825"/>
      <c r="N48" s="825"/>
      <c r="O48" s="825"/>
      <c r="P48" s="825"/>
      <c r="Q48" s="825"/>
      <c r="R48" s="825"/>
      <c r="S48" s="825"/>
      <c r="T48" s="825"/>
      <c r="U48" s="825"/>
      <c r="V48" s="825"/>
      <c r="W48" s="825"/>
      <c r="X48" s="825"/>
      <c r="Y48" s="826"/>
      <c r="Z48" s="599"/>
      <c r="AB48" s="637"/>
      <c r="AC48" s="727" t="str">
        <f>IF(Tables!BN2="SINGLE","SUBCLASS","SUBCLASSES")</f>
        <v>SUBCLASS</v>
      </c>
      <c r="AD48" s="725"/>
      <c r="AE48" s="725"/>
      <c r="AF48" s="725"/>
      <c r="AG48" s="725"/>
      <c r="AH48" s="725"/>
      <c r="AI48" s="725"/>
      <c r="AJ48" s="579"/>
      <c r="AK48" s="579"/>
      <c r="AL48" s="579"/>
      <c r="AM48" s="579"/>
      <c r="AN48" s="579"/>
      <c r="AO48" s="579"/>
      <c r="AP48" s="579"/>
      <c r="AQ48" s="579"/>
      <c r="AR48" s="579"/>
      <c r="AS48" s="602"/>
      <c r="AT48" s="122"/>
      <c r="AU48" s="632"/>
      <c r="AV48" s="335"/>
      <c r="AW48" s="335"/>
      <c r="AX48" s="335"/>
      <c r="AY48" s="335"/>
      <c r="AZ48" s="335"/>
      <c r="BA48" s="335"/>
      <c r="BB48" s="335"/>
      <c r="BC48" s="335"/>
      <c r="BD48" s="335"/>
      <c r="BE48" s="335"/>
      <c r="BF48" s="335"/>
      <c r="BG48" s="335"/>
      <c r="BH48" s="633"/>
      <c r="BJ48" s="653"/>
      <c r="BK48" s="786"/>
      <c r="BL48" s="786"/>
      <c r="BM48" s="786"/>
      <c r="BN48" s="786"/>
      <c r="BO48" s="786"/>
      <c r="BP48" s="786"/>
      <c r="BQ48" s="786"/>
      <c r="BR48" s="786"/>
      <c r="BS48" s="786"/>
      <c r="BT48" s="786"/>
      <c r="BU48" s="786"/>
      <c r="BV48" s="786"/>
      <c r="BW48" s="786"/>
      <c r="BX48" s="786"/>
      <c r="BY48" s="786"/>
      <c r="BZ48" s="786"/>
      <c r="CA48" s="786"/>
      <c r="CB48" s="786"/>
      <c r="CC48" s="786"/>
      <c r="CD48" s="786"/>
      <c r="CE48" s="786"/>
      <c r="CF48" s="786"/>
      <c r="CG48" s="786"/>
      <c r="CH48" s="786"/>
      <c r="CI48" s="786"/>
      <c r="CJ48" s="786"/>
      <c r="CK48" s="786"/>
      <c r="CL48" s="786"/>
      <c r="CM48" s="786"/>
      <c r="CN48" s="786"/>
      <c r="CO48" s="786"/>
      <c r="CP48" s="786"/>
      <c r="CQ48" s="787"/>
      <c r="FJ48" s="109"/>
      <c r="FK48" s="109"/>
      <c r="FL48" s="109"/>
      <c r="FM48" s="109"/>
      <c r="FN48" s="109"/>
      <c r="FO48" s="109"/>
      <c r="FP48" s="109"/>
      <c r="FQ48" s="109"/>
      <c r="FR48" s="109"/>
      <c r="FS48" s="109"/>
      <c r="FT48" s="109"/>
      <c r="FU48" s="148"/>
      <c r="FV48" s="148"/>
      <c r="FW48" s="148"/>
      <c r="FX48" s="148"/>
      <c r="FY48" s="148"/>
    </row>
    <row r="49" spans="2:181" ht="12" customHeight="1" thickTop="1" thickBot="1" x14ac:dyDescent="0.3">
      <c r="B49" s="600"/>
      <c r="C49" s="594" t="s">
        <v>814</v>
      </c>
      <c r="D49" s="598"/>
      <c r="E49" s="598"/>
      <c r="F49" s="598"/>
      <c r="G49" s="598"/>
      <c r="H49" s="598"/>
      <c r="I49" s="598"/>
      <c r="J49" s="598"/>
      <c r="K49" s="824"/>
      <c r="L49" s="825"/>
      <c r="M49" s="825"/>
      <c r="N49" s="825"/>
      <c r="O49" s="825"/>
      <c r="P49" s="825"/>
      <c r="Q49" s="825"/>
      <c r="R49" s="825"/>
      <c r="S49" s="825"/>
      <c r="T49" s="825"/>
      <c r="U49" s="825"/>
      <c r="V49" s="825"/>
      <c r="W49" s="825"/>
      <c r="X49" s="825"/>
      <c r="Y49" s="826"/>
      <c r="Z49" s="599"/>
      <c r="AB49" s="632"/>
      <c r="AC49" s="770" t="str">
        <f>IF(Tables!BS3=FALSE,"SUBCLASS 1",Tables!FD5)</f>
        <v>SUBCLASS 1</v>
      </c>
      <c r="AD49" s="770"/>
      <c r="AE49" s="770"/>
      <c r="AF49" s="770"/>
      <c r="AG49" s="770"/>
      <c r="AH49" s="770"/>
      <c r="AI49" s="770"/>
      <c r="AJ49" s="854" t="s">
        <v>293</v>
      </c>
      <c r="AK49" s="854"/>
      <c r="AL49" s="854"/>
      <c r="AM49" s="854"/>
      <c r="AN49" s="854"/>
      <c r="AO49" s="854"/>
      <c r="AP49" s="854"/>
      <c r="AQ49" s="854"/>
      <c r="AR49" s="855"/>
      <c r="AS49" s="633"/>
      <c r="AT49" s="122"/>
      <c r="AU49" s="632" t="str">
        <f>IF(CharacterLevel="","","   FEATS ("&amp;IF(OR(AV50="",AV50="none"),0,3)&amp;")")</f>
        <v xml:space="preserve">   FEATS (0)</v>
      </c>
      <c r="AV49" s="335"/>
      <c r="AW49" s="335"/>
      <c r="AX49" s="335"/>
      <c r="AY49" s="335"/>
      <c r="AZ49" s="335"/>
      <c r="BA49" s="335"/>
      <c r="BB49" s="335"/>
      <c r="BC49" s="335"/>
      <c r="BD49" s="335"/>
      <c r="BE49" s="335"/>
      <c r="BF49" s="335"/>
      <c r="BG49" s="335"/>
      <c r="BH49" s="633"/>
      <c r="BJ49" s="653"/>
      <c r="BK49" s="786"/>
      <c r="BL49" s="786"/>
      <c r="BM49" s="786"/>
      <c r="BN49" s="786"/>
      <c r="BO49" s="786"/>
      <c r="BP49" s="786"/>
      <c r="BQ49" s="786"/>
      <c r="BR49" s="786"/>
      <c r="BS49" s="786"/>
      <c r="BT49" s="786"/>
      <c r="BU49" s="786"/>
      <c r="BV49" s="786"/>
      <c r="BW49" s="786"/>
      <c r="BX49" s="786"/>
      <c r="BY49" s="786"/>
      <c r="BZ49" s="786"/>
      <c r="CA49" s="786"/>
      <c r="CB49" s="786"/>
      <c r="CC49" s="786"/>
      <c r="CD49" s="786"/>
      <c r="CE49" s="786"/>
      <c r="CF49" s="786"/>
      <c r="CG49" s="786"/>
      <c r="CH49" s="786"/>
      <c r="CI49" s="786"/>
      <c r="CJ49" s="786"/>
      <c r="CK49" s="786"/>
      <c r="CL49" s="786"/>
      <c r="CM49" s="786"/>
      <c r="CN49" s="786"/>
      <c r="CO49" s="786"/>
      <c r="CP49" s="786"/>
      <c r="CQ49" s="787"/>
      <c r="FJ49" s="109"/>
      <c r="FK49" s="109"/>
      <c r="FL49" s="109"/>
      <c r="FM49" s="109"/>
      <c r="FN49" s="109"/>
      <c r="FO49" s="109"/>
      <c r="FP49" s="109"/>
      <c r="FQ49" s="109"/>
      <c r="FR49" s="109"/>
      <c r="FS49" s="109"/>
      <c r="FT49" s="109"/>
      <c r="FU49" s="148"/>
      <c r="FV49" s="148"/>
      <c r="FW49" s="148"/>
      <c r="FX49" s="148"/>
      <c r="FY49" s="148"/>
    </row>
    <row r="50" spans="2:181" ht="12" customHeight="1" thickTop="1" thickBot="1" x14ac:dyDescent="0.3">
      <c r="B50" s="600"/>
      <c r="C50" s="594" t="s">
        <v>13</v>
      </c>
      <c r="D50" s="598"/>
      <c r="E50" s="598"/>
      <c r="F50" s="598"/>
      <c r="G50" s="598"/>
      <c r="H50" s="598"/>
      <c r="I50" s="598"/>
      <c r="J50" s="598"/>
      <c r="K50" s="824"/>
      <c r="L50" s="825"/>
      <c r="M50" s="825"/>
      <c r="N50" s="825"/>
      <c r="O50" s="825"/>
      <c r="P50" s="825"/>
      <c r="Q50" s="825"/>
      <c r="R50" s="825"/>
      <c r="S50" s="825"/>
      <c r="T50" s="825"/>
      <c r="U50" s="825"/>
      <c r="V50" s="825"/>
      <c r="W50" s="825"/>
      <c r="X50" s="825"/>
      <c r="Y50" s="826"/>
      <c r="Z50" s="599"/>
      <c r="AB50" s="632"/>
      <c r="AC50" s="770" t="str">
        <f>IF(Tables!BS4=FALSE,"SUBCLASS 2",Tables!FH5)</f>
        <v>SUBCLASS 2</v>
      </c>
      <c r="AD50" s="770"/>
      <c r="AE50" s="770"/>
      <c r="AF50" s="770"/>
      <c r="AG50" s="770"/>
      <c r="AH50" s="770"/>
      <c r="AI50" s="770"/>
      <c r="AJ50" s="854" t="s">
        <v>171</v>
      </c>
      <c r="AK50" s="854"/>
      <c r="AL50" s="854"/>
      <c r="AM50" s="854"/>
      <c r="AN50" s="854"/>
      <c r="AO50" s="854"/>
      <c r="AP50" s="854"/>
      <c r="AQ50" s="854"/>
      <c r="AR50" s="855"/>
      <c r="AS50" s="633"/>
      <c r="AT50" s="122"/>
      <c r="AU50" s="632"/>
      <c r="AV50" s="786" t="str">
        <f>IF(CharacterLevel="","",IF(Tables!ZT6="","none",Tables!ZT6))</f>
        <v>none</v>
      </c>
      <c r="AW50" s="786"/>
      <c r="AX50" s="786"/>
      <c r="AY50" s="786"/>
      <c r="AZ50" s="786"/>
      <c r="BA50" s="786"/>
      <c r="BB50" s="786"/>
      <c r="BC50" s="786"/>
      <c r="BD50" s="786"/>
      <c r="BE50" s="786"/>
      <c r="BF50" s="786"/>
      <c r="BG50" s="786"/>
      <c r="BH50" s="787"/>
      <c r="BJ50" s="653"/>
      <c r="BK50" s="786"/>
      <c r="BL50" s="786"/>
      <c r="BM50" s="786"/>
      <c r="BN50" s="786"/>
      <c r="BO50" s="786"/>
      <c r="BP50" s="786"/>
      <c r="BQ50" s="786"/>
      <c r="BR50" s="786"/>
      <c r="BS50" s="786"/>
      <c r="BT50" s="786"/>
      <c r="BU50" s="786"/>
      <c r="BV50" s="786"/>
      <c r="BW50" s="786"/>
      <c r="BX50" s="786"/>
      <c r="BY50" s="786"/>
      <c r="BZ50" s="786"/>
      <c r="CA50" s="786"/>
      <c r="CB50" s="786"/>
      <c r="CC50" s="786"/>
      <c r="CD50" s="786"/>
      <c r="CE50" s="786"/>
      <c r="CF50" s="786"/>
      <c r="CG50" s="786"/>
      <c r="CH50" s="786"/>
      <c r="CI50" s="786"/>
      <c r="CJ50" s="786"/>
      <c r="CK50" s="786"/>
      <c r="CL50" s="786"/>
      <c r="CM50" s="786"/>
      <c r="CN50" s="786"/>
      <c r="CO50" s="786"/>
      <c r="CP50" s="786"/>
      <c r="CQ50" s="787"/>
      <c r="FJ50" s="109"/>
      <c r="FK50" s="109"/>
      <c r="FL50" s="109"/>
      <c r="FM50" s="109"/>
      <c r="FN50" s="109"/>
      <c r="FO50" s="109"/>
      <c r="FP50" s="109"/>
      <c r="FQ50" s="109"/>
      <c r="FR50" s="109"/>
      <c r="FS50" s="109"/>
      <c r="FT50" s="109"/>
      <c r="FU50" s="148"/>
      <c r="FV50" s="148"/>
      <c r="FW50" s="148"/>
      <c r="FX50" s="148"/>
      <c r="FY50" s="148"/>
    </row>
    <row r="51" spans="2:181" ht="12" customHeight="1" thickTop="1" thickBot="1" x14ac:dyDescent="0.3">
      <c r="B51" s="600"/>
      <c r="C51" s="594" t="s">
        <v>14</v>
      </c>
      <c r="D51" s="598"/>
      <c r="E51" s="598"/>
      <c r="F51" s="598"/>
      <c r="G51" s="598"/>
      <c r="H51" s="598"/>
      <c r="I51" s="598"/>
      <c r="J51" s="598"/>
      <c r="K51" s="824"/>
      <c r="L51" s="825"/>
      <c r="M51" s="825"/>
      <c r="N51" s="825"/>
      <c r="O51" s="825"/>
      <c r="P51" s="825"/>
      <c r="Q51" s="825"/>
      <c r="R51" s="825"/>
      <c r="S51" s="825"/>
      <c r="T51" s="825"/>
      <c r="U51" s="825"/>
      <c r="V51" s="825"/>
      <c r="W51" s="825"/>
      <c r="X51" s="825"/>
      <c r="Y51" s="826"/>
      <c r="Z51" s="599"/>
      <c r="AB51" s="632"/>
      <c r="AC51" s="770" t="str">
        <f>IF(Tables!BS5=FALSE,"SUBCLASS 3",Tables!FL5)</f>
        <v>SUBCLASS 3</v>
      </c>
      <c r="AD51" s="770"/>
      <c r="AE51" s="770"/>
      <c r="AF51" s="770"/>
      <c r="AG51" s="770"/>
      <c r="AH51" s="770"/>
      <c r="AI51" s="770"/>
      <c r="AJ51" s="854" t="s">
        <v>171</v>
      </c>
      <c r="AK51" s="854"/>
      <c r="AL51" s="854"/>
      <c r="AM51" s="854"/>
      <c r="AN51" s="854"/>
      <c r="AO51" s="854"/>
      <c r="AP51" s="854"/>
      <c r="AQ51" s="854"/>
      <c r="AR51" s="855"/>
      <c r="AS51" s="633"/>
      <c r="AT51" s="154"/>
      <c r="AU51" s="632"/>
      <c r="AV51" s="786"/>
      <c r="AW51" s="786"/>
      <c r="AX51" s="786"/>
      <c r="AY51" s="786"/>
      <c r="AZ51" s="786"/>
      <c r="BA51" s="786"/>
      <c r="BB51" s="786"/>
      <c r="BC51" s="786"/>
      <c r="BD51" s="786"/>
      <c r="BE51" s="786"/>
      <c r="BF51" s="786"/>
      <c r="BG51" s="786"/>
      <c r="BH51" s="787"/>
      <c r="BJ51" s="653"/>
      <c r="BK51" s="786"/>
      <c r="BL51" s="786"/>
      <c r="BM51" s="786"/>
      <c r="BN51" s="786"/>
      <c r="BO51" s="786"/>
      <c r="BP51" s="786"/>
      <c r="BQ51" s="786"/>
      <c r="BR51" s="786"/>
      <c r="BS51" s="786"/>
      <c r="BT51" s="786"/>
      <c r="BU51" s="786"/>
      <c r="BV51" s="786"/>
      <c r="BW51" s="786"/>
      <c r="BX51" s="786"/>
      <c r="BY51" s="786"/>
      <c r="BZ51" s="786"/>
      <c r="CA51" s="786"/>
      <c r="CB51" s="786"/>
      <c r="CC51" s="786"/>
      <c r="CD51" s="786"/>
      <c r="CE51" s="786"/>
      <c r="CF51" s="786"/>
      <c r="CG51" s="786"/>
      <c r="CH51" s="786"/>
      <c r="CI51" s="786"/>
      <c r="CJ51" s="786"/>
      <c r="CK51" s="786"/>
      <c r="CL51" s="786"/>
      <c r="CM51" s="786"/>
      <c r="CN51" s="786"/>
      <c r="CO51" s="786"/>
      <c r="CP51" s="786"/>
      <c r="CQ51" s="787"/>
      <c r="FE51" s="109"/>
      <c r="FF51" s="109"/>
      <c r="FG51" s="109"/>
      <c r="FH51" s="109"/>
      <c r="FI51" s="109"/>
      <c r="FJ51" s="109"/>
      <c r="FK51" s="109"/>
      <c r="FL51" s="109"/>
      <c r="FM51" s="109"/>
      <c r="FN51" s="109"/>
      <c r="FO51" s="109"/>
      <c r="FP51" s="109"/>
      <c r="FQ51" s="109"/>
      <c r="FR51" s="109"/>
      <c r="FS51" s="109"/>
      <c r="FT51" s="109"/>
      <c r="FU51" s="148"/>
      <c r="FV51" s="148"/>
      <c r="FW51" s="148"/>
      <c r="FX51" s="148"/>
      <c r="FY51" s="148"/>
    </row>
    <row r="52" spans="2:181" ht="12" customHeight="1" thickTop="1" thickBot="1" x14ac:dyDescent="0.3">
      <c r="B52" s="600"/>
      <c r="C52" s="594" t="s">
        <v>5</v>
      </c>
      <c r="D52" s="541"/>
      <c r="E52" s="541"/>
      <c r="F52" s="541"/>
      <c r="G52" s="541"/>
      <c r="H52" s="541"/>
      <c r="I52" s="541"/>
      <c r="J52" s="541"/>
      <c r="K52" s="824" t="s">
        <v>171</v>
      </c>
      <c r="L52" s="825"/>
      <c r="M52" s="825"/>
      <c r="N52" s="825"/>
      <c r="O52" s="825"/>
      <c r="P52" s="825"/>
      <c r="Q52" s="825"/>
      <c r="R52" s="825"/>
      <c r="S52" s="825"/>
      <c r="T52" s="825"/>
      <c r="U52" s="825"/>
      <c r="V52" s="825"/>
      <c r="W52" s="825"/>
      <c r="X52" s="825"/>
      <c r="Y52" s="826"/>
      <c r="Z52" s="599"/>
      <c r="AB52" s="629" t="b">
        <f>IF(COUNTIF(Tables!$DN$3:$DN$5,"=Land")&gt;0,TRUE,FALSE)</f>
        <v>0</v>
      </c>
      <c r="AC52" s="868" t="s">
        <v>3199</v>
      </c>
      <c r="AD52" s="868"/>
      <c r="AE52" s="868"/>
      <c r="AF52" s="868"/>
      <c r="AG52" s="868"/>
      <c r="AH52" s="868"/>
      <c r="AI52" s="868"/>
      <c r="AJ52" s="850" t="s">
        <v>171</v>
      </c>
      <c r="AK52" s="850"/>
      <c r="AL52" s="850"/>
      <c r="AM52" s="850"/>
      <c r="AN52" s="850"/>
      <c r="AO52" s="850"/>
      <c r="AP52" s="850"/>
      <c r="AQ52" s="850"/>
      <c r="AR52" s="853"/>
      <c r="AS52" s="633"/>
      <c r="AT52" s="154"/>
      <c r="AU52" s="632"/>
      <c r="AV52" s="786"/>
      <c r="AW52" s="786"/>
      <c r="AX52" s="786"/>
      <c r="AY52" s="786"/>
      <c r="AZ52" s="786"/>
      <c r="BA52" s="786"/>
      <c r="BB52" s="786"/>
      <c r="BC52" s="786"/>
      <c r="BD52" s="786"/>
      <c r="BE52" s="786"/>
      <c r="BF52" s="786"/>
      <c r="BG52" s="786"/>
      <c r="BH52" s="787"/>
      <c r="BJ52" s="653"/>
      <c r="BK52" s="786"/>
      <c r="BL52" s="786"/>
      <c r="BM52" s="786"/>
      <c r="BN52" s="786"/>
      <c r="BO52" s="786"/>
      <c r="BP52" s="786"/>
      <c r="BQ52" s="786"/>
      <c r="BR52" s="786"/>
      <c r="BS52" s="786"/>
      <c r="BT52" s="786"/>
      <c r="BU52" s="786"/>
      <c r="BV52" s="786"/>
      <c r="BW52" s="786"/>
      <c r="BX52" s="786"/>
      <c r="BY52" s="786"/>
      <c r="BZ52" s="786"/>
      <c r="CA52" s="786"/>
      <c r="CB52" s="786"/>
      <c r="CC52" s="786"/>
      <c r="CD52" s="786"/>
      <c r="CE52" s="786"/>
      <c r="CF52" s="786"/>
      <c r="CG52" s="786"/>
      <c r="CH52" s="786"/>
      <c r="CI52" s="786"/>
      <c r="CJ52" s="786"/>
      <c r="CK52" s="786"/>
      <c r="CL52" s="786"/>
      <c r="CM52" s="786"/>
      <c r="CN52" s="786"/>
      <c r="CO52" s="786"/>
      <c r="CP52" s="786"/>
      <c r="CQ52" s="787"/>
      <c r="FE52" s="109"/>
      <c r="FF52" s="109"/>
      <c r="FG52" s="109"/>
      <c r="FH52" s="109"/>
      <c r="FI52" s="109"/>
      <c r="FJ52" s="109"/>
      <c r="FK52" s="109"/>
      <c r="FL52" s="109"/>
      <c r="FM52" s="109"/>
      <c r="FN52" s="109"/>
      <c r="FO52" s="109"/>
      <c r="FP52" s="109"/>
      <c r="FQ52" s="109"/>
      <c r="FR52" s="109"/>
      <c r="FS52" s="109"/>
      <c r="FT52" s="109"/>
      <c r="FU52" s="148"/>
      <c r="FV52" s="148"/>
      <c r="FW52" s="148"/>
      <c r="FX52" s="148"/>
      <c r="FY52" s="148"/>
    </row>
    <row r="53" spans="2:181" ht="12" customHeight="1" thickTop="1" x14ac:dyDescent="0.25">
      <c r="B53" s="600"/>
      <c r="C53" s="827" t="str">
        <f>IF(ISERROR(VLOOKUP(Alignment,Tables!$IV$3:$IW$12,2,FALSE)),"",VLOOKUP(Alignment,Tables!$IV$3:$IW$12,2,FALSE))</f>
        <v>-</v>
      </c>
      <c r="D53" s="827"/>
      <c r="E53" s="827"/>
      <c r="F53" s="827"/>
      <c r="G53" s="827"/>
      <c r="H53" s="827"/>
      <c r="I53" s="827"/>
      <c r="J53" s="827"/>
      <c r="K53" s="827"/>
      <c r="L53" s="827"/>
      <c r="M53" s="827"/>
      <c r="N53" s="827"/>
      <c r="O53" s="827"/>
      <c r="P53" s="827"/>
      <c r="Q53" s="827"/>
      <c r="R53" s="827"/>
      <c r="S53" s="827"/>
      <c r="T53" s="827"/>
      <c r="U53" s="827"/>
      <c r="V53" s="827"/>
      <c r="W53" s="827"/>
      <c r="X53" s="827"/>
      <c r="Y53" s="827"/>
      <c r="Z53" s="828"/>
      <c r="AB53" s="629" t="b">
        <f>IF(COUNTIF(Tables!$DN$3:$DN$5,"=Draconic Bloodline")&gt;0,TRUE,FALSE)</f>
        <v>0</v>
      </c>
      <c r="AC53" s="868" t="s">
        <v>3200</v>
      </c>
      <c r="AD53" s="868"/>
      <c r="AE53" s="868"/>
      <c r="AF53" s="868"/>
      <c r="AG53" s="868"/>
      <c r="AH53" s="868"/>
      <c r="AI53" s="868"/>
      <c r="AJ53" s="850" t="s">
        <v>171</v>
      </c>
      <c r="AK53" s="850"/>
      <c r="AL53" s="850"/>
      <c r="AM53" s="850"/>
      <c r="AN53" s="850"/>
      <c r="AO53" s="851" t="str">
        <f>VLOOKUP(AJ53,Tables!U15:W25,3,FALSE)</f>
        <v/>
      </c>
      <c r="AP53" s="851"/>
      <c r="AQ53" s="851"/>
      <c r="AR53" s="852"/>
      <c r="AS53" s="633"/>
      <c r="AT53" s="154"/>
      <c r="AU53" s="632"/>
      <c r="AV53" s="786"/>
      <c r="AW53" s="786"/>
      <c r="AX53" s="786"/>
      <c r="AY53" s="786"/>
      <c r="AZ53" s="786"/>
      <c r="BA53" s="786"/>
      <c r="BB53" s="786"/>
      <c r="BC53" s="786"/>
      <c r="BD53" s="786"/>
      <c r="BE53" s="786"/>
      <c r="BF53" s="786"/>
      <c r="BG53" s="786"/>
      <c r="BH53" s="787"/>
      <c r="BJ53" s="653"/>
      <c r="BK53" s="786"/>
      <c r="BL53" s="786"/>
      <c r="BM53" s="786"/>
      <c r="BN53" s="786"/>
      <c r="BO53" s="786"/>
      <c r="BP53" s="786"/>
      <c r="BQ53" s="786"/>
      <c r="BR53" s="786"/>
      <c r="BS53" s="786"/>
      <c r="BT53" s="786"/>
      <c r="BU53" s="786"/>
      <c r="BV53" s="786"/>
      <c r="BW53" s="786"/>
      <c r="BX53" s="786"/>
      <c r="BY53" s="786"/>
      <c r="BZ53" s="786"/>
      <c r="CA53" s="786"/>
      <c r="CB53" s="786"/>
      <c r="CC53" s="786"/>
      <c r="CD53" s="786"/>
      <c r="CE53" s="786"/>
      <c r="CF53" s="786"/>
      <c r="CG53" s="786"/>
      <c r="CH53" s="786"/>
      <c r="CI53" s="786"/>
      <c r="CJ53" s="786"/>
      <c r="CK53" s="786"/>
      <c r="CL53" s="786"/>
      <c r="CM53" s="786"/>
      <c r="CN53" s="786"/>
      <c r="CO53" s="786"/>
      <c r="CP53" s="786"/>
      <c r="CQ53" s="787"/>
      <c r="FE53" s="109"/>
      <c r="FF53" s="109"/>
      <c r="FG53" s="109"/>
      <c r="FH53" s="109"/>
      <c r="FI53" s="109"/>
      <c r="FJ53" s="109"/>
      <c r="FK53" s="109"/>
      <c r="FL53" s="109"/>
      <c r="FM53" s="109"/>
      <c r="FN53" s="109"/>
      <c r="FO53" s="109"/>
      <c r="FP53" s="109"/>
      <c r="FQ53" s="109"/>
      <c r="FR53" s="109"/>
      <c r="FS53" s="109"/>
      <c r="FT53" s="109"/>
      <c r="FU53" s="148"/>
      <c r="FV53" s="148"/>
      <c r="FW53" s="148"/>
      <c r="FX53" s="148"/>
      <c r="FY53" s="148"/>
    </row>
    <row r="54" spans="2:181" ht="12" customHeight="1" thickBot="1" x14ac:dyDescent="0.3">
      <c r="B54" s="600"/>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8"/>
      <c r="AB54" s="629" t="b">
        <f>IF(WarlockLevel&gt;=3,TRUE,FALSE)</f>
        <v>0</v>
      </c>
      <c r="AC54" s="856" t="s">
        <v>3324</v>
      </c>
      <c r="AD54" s="856"/>
      <c r="AE54" s="856"/>
      <c r="AF54" s="856"/>
      <c r="AG54" s="856"/>
      <c r="AH54" s="856"/>
      <c r="AI54" s="856"/>
      <c r="AJ54" s="869" t="s">
        <v>171</v>
      </c>
      <c r="AK54" s="869"/>
      <c r="AL54" s="869"/>
      <c r="AM54" s="869"/>
      <c r="AN54" s="869"/>
      <c r="AO54" s="869"/>
      <c r="AP54" s="869"/>
      <c r="AQ54" s="869"/>
      <c r="AR54" s="869"/>
      <c r="AS54" s="633"/>
      <c r="AT54" s="154"/>
      <c r="AU54" s="632"/>
      <c r="AV54" s="786"/>
      <c r="AW54" s="786"/>
      <c r="AX54" s="786"/>
      <c r="AY54" s="786"/>
      <c r="AZ54" s="786"/>
      <c r="BA54" s="786"/>
      <c r="BB54" s="786"/>
      <c r="BC54" s="786"/>
      <c r="BD54" s="786"/>
      <c r="BE54" s="786"/>
      <c r="BF54" s="786"/>
      <c r="BG54" s="786"/>
      <c r="BH54" s="787"/>
      <c r="BJ54" s="653"/>
      <c r="BK54" s="786"/>
      <c r="BL54" s="786"/>
      <c r="BM54" s="786"/>
      <c r="BN54" s="786"/>
      <c r="BO54" s="786"/>
      <c r="BP54" s="786"/>
      <c r="BQ54" s="786"/>
      <c r="BR54" s="786"/>
      <c r="BS54" s="786"/>
      <c r="BT54" s="786"/>
      <c r="BU54" s="786"/>
      <c r="BV54" s="786"/>
      <c r="BW54" s="786"/>
      <c r="BX54" s="786"/>
      <c r="BY54" s="786"/>
      <c r="BZ54" s="786"/>
      <c r="CA54" s="786"/>
      <c r="CB54" s="786"/>
      <c r="CC54" s="786"/>
      <c r="CD54" s="786"/>
      <c r="CE54" s="786"/>
      <c r="CF54" s="786"/>
      <c r="CG54" s="786"/>
      <c r="CH54" s="786"/>
      <c r="CI54" s="786"/>
      <c r="CJ54" s="786"/>
      <c r="CK54" s="786"/>
      <c r="CL54" s="786"/>
      <c r="CM54" s="786"/>
      <c r="CN54" s="786"/>
      <c r="CO54" s="786"/>
      <c r="CP54" s="786"/>
      <c r="CQ54" s="787"/>
      <c r="FE54" s="109"/>
      <c r="FF54" s="109"/>
      <c r="FG54" s="109"/>
      <c r="FH54" s="109"/>
      <c r="FI54" s="109"/>
      <c r="FJ54" s="109"/>
      <c r="FK54" s="109"/>
      <c r="FL54" s="109"/>
      <c r="FM54" s="109"/>
      <c r="FN54" s="109"/>
      <c r="FO54" s="109"/>
      <c r="FP54" s="109"/>
      <c r="FQ54" s="109"/>
      <c r="FR54" s="109"/>
      <c r="FS54" s="109"/>
      <c r="FT54" s="109"/>
      <c r="FU54" s="148"/>
      <c r="FV54" s="148"/>
      <c r="FW54" s="148"/>
      <c r="FX54" s="148"/>
      <c r="FY54" s="148"/>
    </row>
    <row r="55" spans="2:181" ht="12" customHeight="1" thickTop="1" thickBot="1" x14ac:dyDescent="0.3">
      <c r="B55" s="600"/>
      <c r="C55" s="579" t="s">
        <v>6</v>
      </c>
      <c r="D55" s="598"/>
      <c r="E55" s="598"/>
      <c r="F55" s="598"/>
      <c r="G55" s="598"/>
      <c r="H55" s="598"/>
      <c r="I55" s="598"/>
      <c r="J55" s="598"/>
      <c r="K55" s="824" t="s">
        <v>171</v>
      </c>
      <c r="L55" s="825"/>
      <c r="M55" s="825"/>
      <c r="N55" s="825"/>
      <c r="O55" s="825"/>
      <c r="P55" s="825"/>
      <c r="Q55" s="825"/>
      <c r="R55" s="825"/>
      <c r="S55" s="825"/>
      <c r="T55" s="825"/>
      <c r="U55" s="825"/>
      <c r="V55" s="825"/>
      <c r="W55" s="825"/>
      <c r="X55" s="825"/>
      <c r="Y55" s="826"/>
      <c r="Z55" s="603"/>
      <c r="AB55" s="629"/>
      <c r="AC55" s="335"/>
      <c r="AD55" s="727"/>
      <c r="AE55" s="727"/>
      <c r="AF55" s="727"/>
      <c r="AG55" s="727"/>
      <c r="AH55" s="728"/>
      <c r="AI55" s="721"/>
      <c r="AJ55" s="540"/>
      <c r="AK55" s="540"/>
      <c r="AL55" s="540"/>
      <c r="AM55" s="540"/>
      <c r="AN55" s="540"/>
      <c r="AO55" s="540"/>
      <c r="AP55" s="540"/>
      <c r="AQ55" s="540"/>
      <c r="AR55" s="540"/>
      <c r="AS55" s="631"/>
      <c r="AT55" s="154"/>
      <c r="AU55" s="639"/>
      <c r="AV55" s="640"/>
      <c r="AW55" s="640"/>
      <c r="AX55" s="640"/>
      <c r="AY55" s="640"/>
      <c r="AZ55" s="640"/>
      <c r="BA55" s="640"/>
      <c r="BB55" s="640"/>
      <c r="BC55" s="640"/>
      <c r="BD55" s="640"/>
      <c r="BE55" s="640"/>
      <c r="BF55" s="640"/>
      <c r="BG55" s="640"/>
      <c r="BH55" s="641"/>
      <c r="BJ55" s="653"/>
      <c r="BK55" s="786"/>
      <c r="BL55" s="786"/>
      <c r="BM55" s="786"/>
      <c r="BN55" s="786"/>
      <c r="BO55" s="786"/>
      <c r="BP55" s="786"/>
      <c r="BQ55" s="786"/>
      <c r="BR55" s="786"/>
      <c r="BS55" s="786"/>
      <c r="BT55" s="786"/>
      <c r="BU55" s="786"/>
      <c r="BV55" s="786"/>
      <c r="BW55" s="786"/>
      <c r="BX55" s="786"/>
      <c r="BY55" s="786"/>
      <c r="BZ55" s="786"/>
      <c r="CA55" s="786"/>
      <c r="CB55" s="786"/>
      <c r="CC55" s="786"/>
      <c r="CD55" s="786"/>
      <c r="CE55" s="786"/>
      <c r="CF55" s="786"/>
      <c r="CG55" s="786"/>
      <c r="CH55" s="786"/>
      <c r="CI55" s="786"/>
      <c r="CJ55" s="786"/>
      <c r="CK55" s="786"/>
      <c r="CL55" s="786"/>
      <c r="CM55" s="786"/>
      <c r="CN55" s="786"/>
      <c r="CO55" s="786"/>
      <c r="CP55" s="786"/>
      <c r="CQ55" s="787"/>
      <c r="FE55" s="109"/>
      <c r="FF55" s="109"/>
      <c r="FG55" s="109"/>
      <c r="FH55" s="109"/>
      <c r="FI55" s="109"/>
      <c r="FJ55" s="109"/>
      <c r="FK55" s="109"/>
      <c r="FL55" s="109"/>
      <c r="FM55" s="109"/>
      <c r="FN55" s="109"/>
      <c r="FO55" s="109"/>
      <c r="FP55" s="109"/>
      <c r="FQ55" s="109"/>
      <c r="FR55" s="109"/>
      <c r="FS55" s="109"/>
      <c r="FT55" s="109"/>
      <c r="FU55" s="148"/>
      <c r="FV55" s="148"/>
      <c r="FW55" s="148"/>
      <c r="FX55" s="148"/>
      <c r="FY55" s="148"/>
    </row>
    <row r="56" spans="2:181" ht="12" customHeight="1" thickTop="1" thickBot="1" x14ac:dyDescent="0.3">
      <c r="B56" s="600"/>
      <c r="C56" s="785" t="str">
        <f>IF(ISERROR(VLOOKUP(Deity,Tables!IX3:$JB$5038,2,FALSE)),"",VLOOKUP(Deity,Tables!IX3:$JB$5038,2,FALSE)&amp;"
Alignment: "&amp;VLOOKUP(Deity,Tables!IX3:$JB$5038,3,FALSE))&amp;"
Domains: "&amp;VLOOKUP(Deity,Tables!IX3:$JB$5038,4,FALSE)&amp;"
Symbol: "&amp;VLOOKUP(Deity,Tables!IX3:$JB$5038,5,FALSE)</f>
        <v xml:space="preserve">-
Alignment: 
Domains: 
Symbol: </v>
      </c>
      <c r="D56" s="785"/>
      <c r="E56" s="785"/>
      <c r="F56" s="785"/>
      <c r="G56" s="785"/>
      <c r="H56" s="785"/>
      <c r="I56" s="785"/>
      <c r="J56" s="785"/>
      <c r="K56" s="785"/>
      <c r="L56" s="785"/>
      <c r="M56" s="785"/>
      <c r="N56" s="785"/>
      <c r="O56" s="785"/>
      <c r="P56" s="785"/>
      <c r="Q56" s="785"/>
      <c r="R56" s="785"/>
      <c r="S56" s="785"/>
      <c r="T56" s="785"/>
      <c r="U56" s="785"/>
      <c r="V56" s="785"/>
      <c r="W56" s="785"/>
      <c r="X56" s="785"/>
      <c r="Y56" s="785"/>
      <c r="Z56" s="609"/>
      <c r="AB56" s="632"/>
      <c r="AC56" s="725" t="s">
        <v>3290</v>
      </c>
      <c r="AD56" s="725"/>
      <c r="AE56" s="725"/>
      <c r="AF56" s="725"/>
      <c r="AG56" s="725"/>
      <c r="AH56" s="725"/>
      <c r="AI56" s="725"/>
      <c r="AJ56" s="579"/>
      <c r="AK56" s="579"/>
      <c r="AL56" s="579"/>
      <c r="AM56" s="579"/>
      <c r="AN56" s="579"/>
      <c r="AO56" s="579"/>
      <c r="AP56" s="579"/>
      <c r="AQ56" s="579"/>
      <c r="AR56" s="579"/>
      <c r="AS56" s="633"/>
      <c r="AT56" s="154"/>
      <c r="BJ56" s="653"/>
      <c r="BK56" s="786"/>
      <c r="BL56" s="786"/>
      <c r="BM56" s="786"/>
      <c r="BN56" s="786"/>
      <c r="BO56" s="786"/>
      <c r="BP56" s="786"/>
      <c r="BQ56" s="786"/>
      <c r="BR56" s="786"/>
      <c r="BS56" s="786"/>
      <c r="BT56" s="786"/>
      <c r="BU56" s="786"/>
      <c r="BV56" s="786"/>
      <c r="BW56" s="786"/>
      <c r="BX56" s="786"/>
      <c r="BY56" s="786"/>
      <c r="BZ56" s="786"/>
      <c r="CA56" s="786"/>
      <c r="CB56" s="786"/>
      <c r="CC56" s="786"/>
      <c r="CD56" s="786"/>
      <c r="CE56" s="786"/>
      <c r="CF56" s="786"/>
      <c r="CG56" s="786"/>
      <c r="CH56" s="786"/>
      <c r="CI56" s="786"/>
      <c r="CJ56" s="786"/>
      <c r="CK56" s="786"/>
      <c r="CL56" s="786"/>
      <c r="CM56" s="786"/>
      <c r="CN56" s="786"/>
      <c r="CO56" s="786"/>
      <c r="CP56" s="786"/>
      <c r="CQ56" s="787"/>
      <c r="FE56" s="109"/>
      <c r="FF56" s="109"/>
      <c r="FG56" s="109"/>
      <c r="FH56" s="109"/>
      <c r="FI56" s="109"/>
      <c r="FJ56" s="109"/>
      <c r="FK56" s="109"/>
      <c r="FL56" s="109"/>
      <c r="FM56" s="109"/>
      <c r="FN56" s="109"/>
      <c r="FO56" s="109"/>
      <c r="FP56" s="109"/>
      <c r="FQ56" s="109"/>
      <c r="FR56" s="109"/>
      <c r="FS56" s="109"/>
      <c r="FT56" s="109"/>
      <c r="FU56" s="148"/>
      <c r="FV56" s="148"/>
      <c r="FW56" s="148"/>
      <c r="FX56" s="148"/>
      <c r="FY56" s="148"/>
    </row>
    <row r="57" spans="2:181" ht="12" customHeight="1" thickTop="1" thickBot="1" x14ac:dyDescent="0.3">
      <c r="B57" s="600"/>
      <c r="C57" s="785"/>
      <c r="D57" s="785"/>
      <c r="E57" s="785"/>
      <c r="F57" s="785"/>
      <c r="G57" s="785"/>
      <c r="H57" s="785"/>
      <c r="I57" s="785"/>
      <c r="J57" s="785"/>
      <c r="K57" s="785"/>
      <c r="L57" s="785"/>
      <c r="M57" s="785"/>
      <c r="N57" s="785"/>
      <c r="O57" s="785"/>
      <c r="P57" s="785"/>
      <c r="Q57" s="785"/>
      <c r="R57" s="785"/>
      <c r="S57" s="785"/>
      <c r="T57" s="785"/>
      <c r="U57" s="785"/>
      <c r="V57" s="785"/>
      <c r="W57" s="785"/>
      <c r="X57" s="785"/>
      <c r="Y57" s="785"/>
      <c r="Z57" s="609"/>
      <c r="AB57" s="632"/>
      <c r="AC57" s="770" t="str">
        <f ca="1">IF(Tables!FZ2="",Tables!$FX$1&amp;" 1",Tables!FZ2)</f>
        <v>FIGHTING STYLE 1</v>
      </c>
      <c r="AD57" s="770"/>
      <c r="AE57" s="770"/>
      <c r="AF57" s="770"/>
      <c r="AG57" s="770"/>
      <c r="AH57" s="770"/>
      <c r="AI57" s="770"/>
      <c r="AJ57" s="772" t="s">
        <v>171</v>
      </c>
      <c r="AK57" s="773"/>
      <c r="AL57" s="773"/>
      <c r="AM57" s="773"/>
      <c r="AN57" s="773"/>
      <c r="AO57" s="773"/>
      <c r="AP57" s="773"/>
      <c r="AQ57" s="773"/>
      <c r="AR57" s="774"/>
      <c r="AS57" s="633"/>
      <c r="AT57" s="154"/>
      <c r="AU57" s="106" t="s">
        <v>79</v>
      </c>
      <c r="AV57" s="278"/>
      <c r="AW57" s="279"/>
      <c r="AX57" s="279"/>
      <c r="AY57" s="279"/>
      <c r="AZ57" s="279"/>
      <c r="BA57" s="279"/>
      <c r="BB57" s="279"/>
      <c r="BC57" s="279"/>
      <c r="BD57" s="279"/>
      <c r="BE57" s="279"/>
      <c r="BF57" s="279"/>
      <c r="BG57" s="279"/>
      <c r="BH57" s="280"/>
      <c r="BJ57" s="653"/>
      <c r="BK57" s="786"/>
      <c r="BL57" s="786"/>
      <c r="BM57" s="786"/>
      <c r="BN57" s="786"/>
      <c r="BO57" s="786"/>
      <c r="BP57" s="786"/>
      <c r="BQ57" s="786"/>
      <c r="BR57" s="786"/>
      <c r="BS57" s="786"/>
      <c r="BT57" s="786"/>
      <c r="BU57" s="786"/>
      <c r="BV57" s="786"/>
      <c r="BW57" s="786"/>
      <c r="BX57" s="786"/>
      <c r="BY57" s="786"/>
      <c r="BZ57" s="786"/>
      <c r="CA57" s="786"/>
      <c r="CB57" s="786"/>
      <c r="CC57" s="786"/>
      <c r="CD57" s="786"/>
      <c r="CE57" s="786"/>
      <c r="CF57" s="786"/>
      <c r="CG57" s="786"/>
      <c r="CH57" s="786"/>
      <c r="CI57" s="786"/>
      <c r="CJ57" s="786"/>
      <c r="CK57" s="786"/>
      <c r="CL57" s="786"/>
      <c r="CM57" s="786"/>
      <c r="CN57" s="786"/>
      <c r="CO57" s="786"/>
      <c r="CP57" s="786"/>
      <c r="CQ57" s="787"/>
      <c r="FE57" s="109"/>
      <c r="FF57" s="109"/>
      <c r="FG57" s="109"/>
      <c r="FH57" s="109"/>
      <c r="FI57" s="109"/>
      <c r="FJ57" s="109"/>
      <c r="FK57" s="109"/>
      <c r="FL57" s="109"/>
      <c r="FM57" s="109"/>
      <c r="FN57" s="109"/>
      <c r="FO57" s="109"/>
      <c r="FP57" s="109"/>
      <c r="FQ57" s="109"/>
      <c r="FR57" s="109"/>
      <c r="FS57" s="109"/>
      <c r="FT57" s="109"/>
      <c r="FU57" s="148"/>
      <c r="FV57" s="148"/>
      <c r="FW57" s="148"/>
      <c r="FX57" s="148"/>
      <c r="FY57" s="148"/>
    </row>
    <row r="58" spans="2:181" ht="12" customHeight="1" thickTop="1" thickBot="1" x14ac:dyDescent="0.3">
      <c r="B58" s="600"/>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609"/>
      <c r="AB58" s="632"/>
      <c r="AC58" s="770" t="str">
        <f ca="1">IF(Tables!FZ3="",Tables!$FX$1&amp;" 2",Tables!FZ3)</f>
        <v>FIGHTING STYLE 2</v>
      </c>
      <c r="AD58" s="770"/>
      <c r="AE58" s="770"/>
      <c r="AF58" s="770"/>
      <c r="AG58" s="770"/>
      <c r="AH58" s="770"/>
      <c r="AI58" s="770"/>
      <c r="AJ58" s="772" t="s">
        <v>171</v>
      </c>
      <c r="AK58" s="773"/>
      <c r="AL58" s="773"/>
      <c r="AM58" s="773"/>
      <c r="AN58" s="773"/>
      <c r="AO58" s="773"/>
      <c r="AP58" s="773"/>
      <c r="AQ58" s="773"/>
      <c r="AR58" s="774"/>
      <c r="AS58" s="633"/>
      <c r="AT58" s="154"/>
      <c r="AU58" s="622"/>
      <c r="AV58" s="260"/>
      <c r="AW58" s="260"/>
      <c r="AX58" s="260"/>
      <c r="AY58" s="260"/>
      <c r="AZ58" s="634"/>
      <c r="BA58" s="260"/>
      <c r="BB58" s="260"/>
      <c r="BC58" s="260"/>
      <c r="BD58" s="260"/>
      <c r="BE58" s="260"/>
      <c r="BF58" s="260"/>
      <c r="BG58" s="260"/>
      <c r="BH58" s="633"/>
      <c r="BJ58" s="653"/>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6"/>
      <c r="CM58" s="786"/>
      <c r="CN58" s="786"/>
      <c r="CO58" s="786"/>
      <c r="CP58" s="786"/>
      <c r="CQ58" s="787"/>
      <c r="FE58" s="109"/>
      <c r="FF58" s="109"/>
      <c r="FG58" s="109"/>
      <c r="FH58" s="109"/>
      <c r="FI58" s="109"/>
      <c r="FJ58" s="109"/>
      <c r="FK58" s="109"/>
      <c r="FL58" s="109"/>
      <c r="FM58" s="109"/>
      <c r="FN58" s="109"/>
      <c r="FO58" s="109"/>
      <c r="FP58" s="109"/>
      <c r="FQ58" s="109"/>
      <c r="FR58" s="109"/>
      <c r="FS58" s="109"/>
      <c r="FT58" s="109"/>
      <c r="FU58" s="121"/>
      <c r="FV58" s="121"/>
      <c r="FW58" s="121"/>
      <c r="FX58" s="148"/>
      <c r="FY58" s="148"/>
    </row>
    <row r="59" spans="2:181" ht="12" customHeight="1" thickTop="1" thickBot="1" x14ac:dyDescent="0.3">
      <c r="B59" s="600"/>
      <c r="C59" s="785"/>
      <c r="D59" s="785"/>
      <c r="E59" s="785"/>
      <c r="F59" s="785"/>
      <c r="G59" s="785"/>
      <c r="H59" s="785"/>
      <c r="I59" s="785"/>
      <c r="J59" s="785"/>
      <c r="K59" s="785"/>
      <c r="L59" s="785"/>
      <c r="M59" s="785"/>
      <c r="N59" s="785"/>
      <c r="O59" s="785"/>
      <c r="P59" s="785"/>
      <c r="Q59" s="785"/>
      <c r="R59" s="785"/>
      <c r="S59" s="785"/>
      <c r="T59" s="785"/>
      <c r="U59" s="785"/>
      <c r="V59" s="785"/>
      <c r="W59" s="785"/>
      <c r="X59" s="785"/>
      <c r="Y59" s="785"/>
      <c r="Z59" s="599"/>
      <c r="AB59" s="632"/>
      <c r="AC59" s="770" t="str">
        <f ca="1">IF(Tables!FZ4="",Tables!$FX$1&amp;" 3",Tables!FZ4)</f>
        <v>FIGHTING STYLE 3</v>
      </c>
      <c r="AD59" s="770"/>
      <c r="AE59" s="770"/>
      <c r="AF59" s="770"/>
      <c r="AG59" s="770"/>
      <c r="AH59" s="770"/>
      <c r="AI59" s="770"/>
      <c r="AJ59" s="772" t="s">
        <v>171</v>
      </c>
      <c r="AK59" s="773"/>
      <c r="AL59" s="773"/>
      <c r="AM59" s="773"/>
      <c r="AN59" s="773"/>
      <c r="AO59" s="773"/>
      <c r="AP59" s="773"/>
      <c r="AQ59" s="773"/>
      <c r="AR59" s="774"/>
      <c r="AS59" s="633"/>
      <c r="AT59" s="154"/>
      <c r="AU59" s="622"/>
      <c r="AV59" s="804">
        <v>1</v>
      </c>
      <c r="AW59" s="804"/>
      <c r="AX59" s="805" t="s">
        <v>171</v>
      </c>
      <c r="AY59" s="806"/>
      <c r="AZ59" s="806"/>
      <c r="BA59" s="806"/>
      <c r="BB59" s="806"/>
      <c r="BC59" s="806"/>
      <c r="BD59" s="806"/>
      <c r="BE59" s="806"/>
      <c r="BF59" s="807"/>
      <c r="BG59" s="260"/>
      <c r="BH59" s="633"/>
      <c r="BJ59" s="653"/>
      <c r="BK59" s="786"/>
      <c r="BL59" s="786"/>
      <c r="BM59" s="786"/>
      <c r="BN59" s="786"/>
      <c r="BO59" s="786"/>
      <c r="BP59" s="786"/>
      <c r="BQ59" s="786"/>
      <c r="BR59" s="786"/>
      <c r="BS59" s="786"/>
      <c r="BT59" s="786"/>
      <c r="BU59" s="786"/>
      <c r="BV59" s="786"/>
      <c r="BW59" s="786"/>
      <c r="BX59" s="786"/>
      <c r="BY59" s="786"/>
      <c r="BZ59" s="786"/>
      <c r="CA59" s="786"/>
      <c r="CB59" s="786"/>
      <c r="CC59" s="786"/>
      <c r="CD59" s="786"/>
      <c r="CE59" s="786"/>
      <c r="CF59" s="786"/>
      <c r="CG59" s="786"/>
      <c r="CH59" s="786"/>
      <c r="CI59" s="786"/>
      <c r="CJ59" s="786"/>
      <c r="CK59" s="786"/>
      <c r="CL59" s="786"/>
      <c r="CM59" s="786"/>
      <c r="CN59" s="786"/>
      <c r="CO59" s="786"/>
      <c r="CP59" s="786"/>
      <c r="CQ59" s="787"/>
      <c r="FE59" s="109"/>
      <c r="FF59" s="109"/>
      <c r="FG59" s="109"/>
      <c r="FH59" s="109"/>
      <c r="FI59" s="109"/>
      <c r="FJ59" s="109"/>
      <c r="FK59" s="109"/>
      <c r="FL59" s="109"/>
      <c r="FM59" s="109"/>
      <c r="FN59" s="109"/>
      <c r="FO59" s="109"/>
      <c r="FP59" s="109"/>
      <c r="FQ59" s="109"/>
      <c r="FR59" s="109"/>
      <c r="FS59" s="109"/>
      <c r="FT59" s="109"/>
      <c r="FU59" s="121"/>
      <c r="FV59" s="121"/>
      <c r="FW59" s="121"/>
      <c r="FX59" s="148"/>
      <c r="FY59" s="148"/>
    </row>
    <row r="60" spans="2:181" ht="12" customHeight="1" thickTop="1" thickBot="1" x14ac:dyDescent="0.3">
      <c r="B60" s="600"/>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599"/>
      <c r="AB60" s="632"/>
      <c r="AC60" s="770" t="str">
        <f ca="1">IF(Tables!FZ5="",Tables!$FX$1&amp;" 4",Tables!FZ5)</f>
        <v>FIGHTING STYLE 4</v>
      </c>
      <c r="AD60" s="770"/>
      <c r="AE60" s="770"/>
      <c r="AF60" s="770"/>
      <c r="AG60" s="770"/>
      <c r="AH60" s="770"/>
      <c r="AI60" s="770"/>
      <c r="AJ60" s="772" t="s">
        <v>171</v>
      </c>
      <c r="AK60" s="773"/>
      <c r="AL60" s="773"/>
      <c r="AM60" s="773"/>
      <c r="AN60" s="773"/>
      <c r="AO60" s="773"/>
      <c r="AP60" s="773"/>
      <c r="AQ60" s="773"/>
      <c r="AR60" s="774"/>
      <c r="AS60" s="633"/>
      <c r="AT60" s="154"/>
      <c r="AU60" s="632"/>
      <c r="AV60" s="804">
        <f t="shared" ref="AV60:AV73" si="5">AV59+1</f>
        <v>2</v>
      </c>
      <c r="AW60" s="804">
        <v>2</v>
      </c>
      <c r="AX60" s="805" t="s">
        <v>171</v>
      </c>
      <c r="AY60" s="806"/>
      <c r="AZ60" s="806"/>
      <c r="BA60" s="806"/>
      <c r="BB60" s="806"/>
      <c r="BC60" s="806"/>
      <c r="BD60" s="806"/>
      <c r="BE60" s="806"/>
      <c r="BF60" s="807"/>
      <c r="BG60" s="651"/>
      <c r="BH60" s="633"/>
      <c r="BJ60" s="653"/>
      <c r="BK60" s="786"/>
      <c r="BL60" s="786"/>
      <c r="BM60" s="786"/>
      <c r="BN60" s="786"/>
      <c r="BO60" s="786"/>
      <c r="BP60" s="786"/>
      <c r="BQ60" s="786"/>
      <c r="BR60" s="786"/>
      <c r="BS60" s="786"/>
      <c r="BT60" s="786"/>
      <c r="BU60" s="786"/>
      <c r="BV60" s="786"/>
      <c r="BW60" s="786"/>
      <c r="BX60" s="786"/>
      <c r="BY60" s="786"/>
      <c r="BZ60" s="786"/>
      <c r="CA60" s="786"/>
      <c r="CB60" s="786"/>
      <c r="CC60" s="786"/>
      <c r="CD60" s="786"/>
      <c r="CE60" s="786"/>
      <c r="CF60" s="786"/>
      <c r="CG60" s="786"/>
      <c r="CH60" s="786"/>
      <c r="CI60" s="786"/>
      <c r="CJ60" s="786"/>
      <c r="CK60" s="786"/>
      <c r="CL60" s="786"/>
      <c r="CM60" s="786"/>
      <c r="CN60" s="786"/>
      <c r="CO60" s="786"/>
      <c r="CP60" s="786"/>
      <c r="CQ60" s="787"/>
      <c r="FE60" s="109"/>
      <c r="FF60" s="109"/>
      <c r="FG60" s="109"/>
      <c r="FH60" s="109"/>
      <c r="FI60" s="109"/>
      <c r="FJ60" s="109"/>
      <c r="FK60" s="109"/>
      <c r="FL60" s="109"/>
      <c r="FM60" s="109"/>
      <c r="FN60" s="109"/>
      <c r="FO60" s="109"/>
      <c r="FP60" s="109"/>
      <c r="FQ60" s="109"/>
      <c r="FR60" s="109"/>
      <c r="FS60" s="109"/>
      <c r="FT60" s="109"/>
      <c r="FU60" s="121"/>
      <c r="FV60" s="121"/>
      <c r="FW60" s="121"/>
      <c r="FX60" s="148"/>
      <c r="FY60" s="148"/>
    </row>
    <row r="61" spans="2:181" ht="12" customHeight="1" thickTop="1" thickBot="1" x14ac:dyDescent="0.3">
      <c r="B61" s="613"/>
      <c r="C61" s="614"/>
      <c r="D61" s="614"/>
      <c r="E61" s="614"/>
      <c r="F61" s="614"/>
      <c r="G61" s="614"/>
      <c r="H61" s="614"/>
      <c r="I61" s="614"/>
      <c r="J61" s="614"/>
      <c r="K61" s="614"/>
      <c r="L61" s="614"/>
      <c r="M61" s="614"/>
      <c r="N61" s="614"/>
      <c r="O61" s="614"/>
      <c r="P61" s="614"/>
      <c r="Q61" s="614"/>
      <c r="R61" s="614"/>
      <c r="S61" s="614"/>
      <c r="T61" s="614"/>
      <c r="U61" s="614"/>
      <c r="V61" s="614"/>
      <c r="W61" s="614"/>
      <c r="X61" s="614"/>
      <c r="Y61" s="614"/>
      <c r="Z61" s="615"/>
      <c r="AB61" s="632"/>
      <c r="AC61" s="728"/>
      <c r="AD61" s="728"/>
      <c r="AE61" s="728"/>
      <c r="AF61" s="728"/>
      <c r="AG61" s="728"/>
      <c r="AH61" s="728"/>
      <c r="AI61" s="728"/>
      <c r="AJ61" s="335"/>
      <c r="AK61" s="335"/>
      <c r="AL61" s="335"/>
      <c r="AM61" s="335"/>
      <c r="AN61" s="335"/>
      <c r="AO61" s="335"/>
      <c r="AP61" s="335"/>
      <c r="AQ61" s="335"/>
      <c r="AR61" s="335"/>
      <c r="AS61" s="633"/>
      <c r="AT61" s="154"/>
      <c r="AU61" s="632"/>
      <c r="AV61" s="804">
        <f t="shared" si="5"/>
        <v>3</v>
      </c>
      <c r="AW61" s="804">
        <v>3</v>
      </c>
      <c r="AX61" s="805" t="s">
        <v>171</v>
      </c>
      <c r="AY61" s="806"/>
      <c r="AZ61" s="806"/>
      <c r="BA61" s="806"/>
      <c r="BB61" s="806"/>
      <c r="BC61" s="806"/>
      <c r="BD61" s="806"/>
      <c r="BE61" s="806"/>
      <c r="BF61" s="807"/>
      <c r="BG61" s="651"/>
      <c r="BH61" s="633"/>
      <c r="BJ61" s="653"/>
      <c r="BK61" s="786"/>
      <c r="BL61" s="786"/>
      <c r="BM61" s="786"/>
      <c r="BN61" s="786"/>
      <c r="BO61" s="786"/>
      <c r="BP61" s="786"/>
      <c r="BQ61" s="786"/>
      <c r="BR61" s="786"/>
      <c r="BS61" s="786"/>
      <c r="BT61" s="786"/>
      <c r="BU61" s="786"/>
      <c r="BV61" s="786"/>
      <c r="BW61" s="786"/>
      <c r="BX61" s="786"/>
      <c r="BY61" s="786"/>
      <c r="BZ61" s="786"/>
      <c r="CA61" s="786"/>
      <c r="CB61" s="786"/>
      <c r="CC61" s="786"/>
      <c r="CD61" s="786"/>
      <c r="CE61" s="786"/>
      <c r="CF61" s="786"/>
      <c r="CG61" s="786"/>
      <c r="CH61" s="786"/>
      <c r="CI61" s="786"/>
      <c r="CJ61" s="786"/>
      <c r="CK61" s="786"/>
      <c r="CL61" s="786"/>
      <c r="CM61" s="786"/>
      <c r="CN61" s="786"/>
      <c r="CO61" s="786"/>
      <c r="CP61" s="786"/>
      <c r="CQ61" s="787"/>
      <c r="FE61" s="109"/>
      <c r="FF61" s="109"/>
      <c r="FG61" s="109"/>
      <c r="FH61" s="109"/>
      <c r="FI61" s="109"/>
      <c r="FJ61" s="109"/>
      <c r="FK61" s="109"/>
      <c r="FL61" s="109"/>
      <c r="FM61" s="109"/>
      <c r="FN61" s="109"/>
      <c r="FO61" s="109"/>
      <c r="FP61" s="109"/>
      <c r="FQ61" s="109"/>
      <c r="FR61" s="109"/>
      <c r="FS61" s="109"/>
      <c r="FT61" s="109"/>
      <c r="FU61" s="148"/>
      <c r="FV61" s="148"/>
      <c r="FW61" s="148"/>
      <c r="FX61" s="148"/>
      <c r="FY61" s="148"/>
    </row>
    <row r="62" spans="2:181" ht="12" customHeight="1" thickTop="1" thickBot="1" x14ac:dyDescent="0.3">
      <c r="AB62" s="632"/>
      <c r="AC62" s="725" t="s">
        <v>1882</v>
      </c>
      <c r="AD62" s="728"/>
      <c r="AE62" s="728"/>
      <c r="AF62" s="728"/>
      <c r="AG62" s="728"/>
      <c r="AH62" s="728"/>
      <c r="AI62" s="728"/>
      <c r="AJ62" s="335"/>
      <c r="AK62" s="335"/>
      <c r="AL62" s="335"/>
      <c r="AM62" s="335"/>
      <c r="AN62" s="335"/>
      <c r="AO62" s="335"/>
      <c r="AP62" s="335"/>
      <c r="AQ62" s="335"/>
      <c r="AR62" s="335"/>
      <c r="AS62" s="633"/>
      <c r="AT62" s="154"/>
      <c r="AU62" s="632"/>
      <c r="AV62" s="804">
        <f t="shared" si="5"/>
        <v>4</v>
      </c>
      <c r="AW62" s="804">
        <v>4</v>
      </c>
      <c r="AX62" s="805" t="s">
        <v>171</v>
      </c>
      <c r="AY62" s="806"/>
      <c r="AZ62" s="806"/>
      <c r="BA62" s="806"/>
      <c r="BB62" s="806"/>
      <c r="BC62" s="806"/>
      <c r="BD62" s="806"/>
      <c r="BE62" s="806"/>
      <c r="BF62" s="807"/>
      <c r="BG62" s="651"/>
      <c r="BH62" s="633"/>
      <c r="BJ62" s="653"/>
      <c r="BK62" s="786"/>
      <c r="BL62" s="786"/>
      <c r="BM62" s="786"/>
      <c r="BN62" s="786"/>
      <c r="BO62" s="786"/>
      <c r="BP62" s="786"/>
      <c r="BQ62" s="786"/>
      <c r="BR62" s="786"/>
      <c r="BS62" s="786"/>
      <c r="BT62" s="786"/>
      <c r="BU62" s="786"/>
      <c r="BV62" s="786"/>
      <c r="BW62" s="786"/>
      <c r="BX62" s="786"/>
      <c r="BY62" s="786"/>
      <c r="BZ62" s="786"/>
      <c r="CA62" s="786"/>
      <c r="CB62" s="786"/>
      <c r="CC62" s="786"/>
      <c r="CD62" s="786"/>
      <c r="CE62" s="786"/>
      <c r="CF62" s="786"/>
      <c r="CG62" s="786"/>
      <c r="CH62" s="786"/>
      <c r="CI62" s="786"/>
      <c r="CJ62" s="786"/>
      <c r="CK62" s="786"/>
      <c r="CL62" s="786"/>
      <c r="CM62" s="786"/>
      <c r="CN62" s="786"/>
      <c r="CO62" s="786"/>
      <c r="CP62" s="786"/>
      <c r="CQ62" s="787"/>
      <c r="FE62" s="109"/>
      <c r="FF62" s="109"/>
      <c r="FG62" s="109"/>
      <c r="FH62" s="109"/>
      <c r="FI62" s="109"/>
      <c r="FJ62" s="109"/>
      <c r="FK62" s="109"/>
      <c r="FL62" s="109"/>
      <c r="FM62" s="109"/>
      <c r="FN62" s="109"/>
      <c r="FO62" s="109"/>
      <c r="FP62" s="109"/>
      <c r="FQ62" s="109"/>
      <c r="FR62" s="109"/>
      <c r="FS62" s="109"/>
      <c r="FT62" s="109"/>
      <c r="FU62" s="120"/>
      <c r="FV62" s="120"/>
      <c r="FW62" s="120"/>
      <c r="FX62" s="148"/>
      <c r="FY62" s="148"/>
    </row>
    <row r="63" spans="2:181" ht="12" customHeight="1" thickTop="1" thickBot="1" x14ac:dyDescent="0.3">
      <c r="B63" s="117" t="s">
        <v>33</v>
      </c>
      <c r="C63" s="118"/>
      <c r="D63" s="118"/>
      <c r="E63" s="146"/>
      <c r="F63" s="146"/>
      <c r="G63" s="146"/>
      <c r="H63" s="146"/>
      <c r="I63" s="146"/>
      <c r="J63" s="146"/>
      <c r="K63" s="146"/>
      <c r="L63" s="146"/>
      <c r="M63" s="146"/>
      <c r="N63" s="146"/>
      <c r="O63" s="146"/>
      <c r="P63" s="146"/>
      <c r="Q63" s="146"/>
      <c r="R63" s="146"/>
      <c r="S63" s="146"/>
      <c r="T63" s="146"/>
      <c r="U63" s="146"/>
      <c r="V63" s="146"/>
      <c r="W63" s="146"/>
      <c r="X63" s="146"/>
      <c r="Y63" s="146"/>
      <c r="Z63" s="147"/>
      <c r="AB63" s="632"/>
      <c r="AC63" s="770" t="str">
        <f>Tables!FT3</f>
        <v>EXPERTISE 1</v>
      </c>
      <c r="AD63" s="770"/>
      <c r="AE63" s="770"/>
      <c r="AF63" s="770"/>
      <c r="AG63" s="770"/>
      <c r="AH63" s="770"/>
      <c r="AI63" s="770"/>
      <c r="AJ63" s="772" t="s">
        <v>171</v>
      </c>
      <c r="AK63" s="773"/>
      <c r="AL63" s="773"/>
      <c r="AM63" s="773"/>
      <c r="AN63" s="773"/>
      <c r="AO63" s="773"/>
      <c r="AP63" s="773"/>
      <c r="AQ63" s="773"/>
      <c r="AR63" s="774"/>
      <c r="AS63" s="633"/>
      <c r="AT63" s="154"/>
      <c r="AU63" s="632"/>
      <c r="AV63" s="804">
        <f t="shared" si="5"/>
        <v>5</v>
      </c>
      <c r="AW63" s="804">
        <v>5</v>
      </c>
      <c r="AX63" s="805" t="s">
        <v>171</v>
      </c>
      <c r="AY63" s="806"/>
      <c r="AZ63" s="806"/>
      <c r="BA63" s="806"/>
      <c r="BB63" s="806"/>
      <c r="BC63" s="806"/>
      <c r="BD63" s="806"/>
      <c r="BE63" s="806"/>
      <c r="BF63" s="807"/>
      <c r="BG63" s="651"/>
      <c r="BH63" s="633"/>
      <c r="BJ63" s="653"/>
      <c r="BK63" s="786"/>
      <c r="BL63" s="786"/>
      <c r="BM63" s="786"/>
      <c r="BN63" s="786"/>
      <c r="BO63" s="786"/>
      <c r="BP63" s="786"/>
      <c r="BQ63" s="786"/>
      <c r="BR63" s="786"/>
      <c r="BS63" s="786"/>
      <c r="BT63" s="786"/>
      <c r="BU63" s="786"/>
      <c r="BV63" s="786"/>
      <c r="BW63" s="786"/>
      <c r="BX63" s="786"/>
      <c r="BY63" s="786"/>
      <c r="BZ63" s="786"/>
      <c r="CA63" s="786"/>
      <c r="CB63" s="786"/>
      <c r="CC63" s="786"/>
      <c r="CD63" s="786"/>
      <c r="CE63" s="786"/>
      <c r="CF63" s="786"/>
      <c r="CG63" s="786"/>
      <c r="CH63" s="786"/>
      <c r="CI63" s="786"/>
      <c r="CJ63" s="786"/>
      <c r="CK63" s="786"/>
      <c r="CL63" s="786"/>
      <c r="CM63" s="786"/>
      <c r="CN63" s="786"/>
      <c r="CO63" s="786"/>
      <c r="CP63" s="786"/>
      <c r="CQ63" s="787"/>
      <c r="FE63" s="154"/>
      <c r="FF63" s="109"/>
      <c r="FG63" s="109"/>
      <c r="FH63" s="109"/>
      <c r="FI63" s="109"/>
      <c r="FJ63" s="109"/>
      <c r="FK63" s="109"/>
      <c r="FL63" s="109"/>
      <c r="FM63" s="109"/>
      <c r="FN63" s="109"/>
      <c r="FO63" s="109"/>
      <c r="FP63" s="109"/>
      <c r="FQ63" s="109"/>
      <c r="FR63" s="109"/>
      <c r="FS63" s="109"/>
      <c r="FT63" s="109"/>
      <c r="FU63" s="120"/>
      <c r="FV63" s="120"/>
      <c r="FW63" s="120"/>
      <c r="FX63" s="148"/>
      <c r="FY63" s="148"/>
    </row>
    <row r="64" spans="2:181" ht="12" customHeight="1" thickTop="1" thickBot="1" x14ac:dyDescent="0.3">
      <c r="B64" s="642"/>
      <c r="C64" s="592"/>
      <c r="D64" s="592"/>
      <c r="E64" s="335"/>
      <c r="F64" s="335"/>
      <c r="G64" s="335"/>
      <c r="H64" s="335"/>
      <c r="I64" s="335"/>
      <c r="J64" s="335"/>
      <c r="K64" s="335"/>
      <c r="L64" s="335"/>
      <c r="M64" s="335"/>
      <c r="N64" s="335"/>
      <c r="O64" s="335"/>
      <c r="P64" s="335"/>
      <c r="Q64" s="335"/>
      <c r="R64" s="335"/>
      <c r="S64" s="335"/>
      <c r="T64" s="335"/>
      <c r="U64" s="335"/>
      <c r="V64" s="335"/>
      <c r="W64" s="335"/>
      <c r="X64" s="335"/>
      <c r="Y64" s="335"/>
      <c r="Z64" s="633"/>
      <c r="AB64" s="632"/>
      <c r="AC64" s="770" t="str">
        <f>Tables!FT4</f>
        <v>EXPERTISE 2</v>
      </c>
      <c r="AD64" s="770"/>
      <c r="AE64" s="770"/>
      <c r="AF64" s="770"/>
      <c r="AG64" s="770"/>
      <c r="AH64" s="770"/>
      <c r="AI64" s="770"/>
      <c r="AJ64" s="772" t="s">
        <v>171</v>
      </c>
      <c r="AK64" s="773"/>
      <c r="AL64" s="773"/>
      <c r="AM64" s="773"/>
      <c r="AN64" s="773"/>
      <c r="AO64" s="773"/>
      <c r="AP64" s="773"/>
      <c r="AQ64" s="773"/>
      <c r="AR64" s="774"/>
      <c r="AS64" s="633"/>
      <c r="AT64" s="154"/>
      <c r="AU64" s="632"/>
      <c r="AV64" s="804">
        <f t="shared" si="5"/>
        <v>6</v>
      </c>
      <c r="AW64" s="804">
        <v>6</v>
      </c>
      <c r="AX64" s="805" t="s">
        <v>171</v>
      </c>
      <c r="AY64" s="806"/>
      <c r="AZ64" s="806"/>
      <c r="BA64" s="806"/>
      <c r="BB64" s="806"/>
      <c r="BC64" s="806"/>
      <c r="BD64" s="806"/>
      <c r="BE64" s="806"/>
      <c r="BF64" s="807"/>
      <c r="BG64" s="651"/>
      <c r="BH64" s="633"/>
      <c r="BJ64" s="653"/>
      <c r="BK64" s="786"/>
      <c r="BL64" s="786"/>
      <c r="BM64" s="786"/>
      <c r="BN64" s="786"/>
      <c r="BO64" s="786"/>
      <c r="BP64" s="786"/>
      <c r="BQ64" s="786"/>
      <c r="BR64" s="786"/>
      <c r="BS64" s="786"/>
      <c r="BT64" s="786"/>
      <c r="BU64" s="786"/>
      <c r="BV64" s="786"/>
      <c r="BW64" s="786"/>
      <c r="BX64" s="786"/>
      <c r="BY64" s="786"/>
      <c r="BZ64" s="786"/>
      <c r="CA64" s="786"/>
      <c r="CB64" s="786"/>
      <c r="CC64" s="786"/>
      <c r="CD64" s="786"/>
      <c r="CE64" s="786"/>
      <c r="CF64" s="786"/>
      <c r="CG64" s="786"/>
      <c r="CH64" s="786"/>
      <c r="CI64" s="786"/>
      <c r="CJ64" s="786"/>
      <c r="CK64" s="786"/>
      <c r="CL64" s="786"/>
      <c r="CM64" s="786"/>
      <c r="CN64" s="786"/>
      <c r="CO64" s="786"/>
      <c r="CP64" s="786"/>
      <c r="CQ64" s="787"/>
      <c r="FE64" s="148"/>
      <c r="FF64" s="109"/>
      <c r="FG64" s="109"/>
      <c r="FH64" s="109"/>
      <c r="FI64" s="109"/>
      <c r="FJ64" s="109"/>
      <c r="FK64" s="109"/>
      <c r="FL64" s="109"/>
      <c r="FM64" s="109"/>
      <c r="FN64" s="109"/>
      <c r="FO64" s="109"/>
      <c r="FP64" s="109"/>
      <c r="FQ64" s="109"/>
      <c r="FR64" s="109"/>
      <c r="FS64" s="109"/>
      <c r="FT64" s="109"/>
      <c r="FU64" s="148"/>
      <c r="FV64" s="148"/>
      <c r="FW64" s="148"/>
      <c r="FX64" s="148"/>
      <c r="FY64" s="148"/>
    </row>
    <row r="65" spans="2:283" ht="12" customHeight="1" thickTop="1" thickBot="1" x14ac:dyDescent="0.3">
      <c r="B65" s="632"/>
      <c r="C65" s="590" t="s">
        <v>63</v>
      </c>
      <c r="D65" s="335"/>
      <c r="E65" s="335"/>
      <c r="F65" s="335"/>
      <c r="G65" s="335"/>
      <c r="H65" s="335"/>
      <c r="I65" s="777" t="s">
        <v>23</v>
      </c>
      <c r="J65" s="777"/>
      <c r="K65" s="777"/>
      <c r="L65" s="835"/>
      <c r="M65" s="836"/>
      <c r="N65" s="335"/>
      <c r="O65" s="590" t="s">
        <v>68</v>
      </c>
      <c r="P65" s="335"/>
      <c r="Q65" s="335"/>
      <c r="R65" s="335"/>
      <c r="S65" s="335"/>
      <c r="T65" s="335"/>
      <c r="U65" s="777" t="s">
        <v>39</v>
      </c>
      <c r="V65" s="777"/>
      <c r="W65" s="883"/>
      <c r="X65" s="835"/>
      <c r="Y65" s="836"/>
      <c r="Z65" s="633"/>
      <c r="AB65" s="632"/>
      <c r="AC65" s="770" t="str">
        <f>Tables!FT5</f>
        <v>EXPERTISE 3</v>
      </c>
      <c r="AD65" s="770"/>
      <c r="AE65" s="770"/>
      <c r="AF65" s="770"/>
      <c r="AG65" s="770"/>
      <c r="AH65" s="770"/>
      <c r="AI65" s="770"/>
      <c r="AJ65" s="772" t="s">
        <v>171</v>
      </c>
      <c r="AK65" s="773"/>
      <c r="AL65" s="773"/>
      <c r="AM65" s="773"/>
      <c r="AN65" s="773"/>
      <c r="AO65" s="773"/>
      <c r="AP65" s="773"/>
      <c r="AQ65" s="773"/>
      <c r="AR65" s="774"/>
      <c r="AS65" s="633"/>
      <c r="AT65" s="154"/>
      <c r="AU65" s="632"/>
      <c r="AV65" s="804">
        <f t="shared" si="5"/>
        <v>7</v>
      </c>
      <c r="AW65" s="804">
        <v>7</v>
      </c>
      <c r="AX65" s="805" t="s">
        <v>171</v>
      </c>
      <c r="AY65" s="806"/>
      <c r="AZ65" s="806"/>
      <c r="BA65" s="806"/>
      <c r="BB65" s="806"/>
      <c r="BC65" s="806"/>
      <c r="BD65" s="806"/>
      <c r="BE65" s="806"/>
      <c r="BF65" s="807"/>
      <c r="BG65" s="651"/>
      <c r="BH65" s="633"/>
      <c r="BJ65" s="653"/>
      <c r="BK65" s="786"/>
      <c r="BL65" s="786"/>
      <c r="BM65" s="786"/>
      <c r="BN65" s="786"/>
      <c r="BO65" s="786"/>
      <c r="BP65" s="786"/>
      <c r="BQ65" s="786"/>
      <c r="BR65" s="786"/>
      <c r="BS65" s="786"/>
      <c r="BT65" s="786"/>
      <c r="BU65" s="786"/>
      <c r="BV65" s="786"/>
      <c r="BW65" s="786"/>
      <c r="BX65" s="786"/>
      <c r="BY65" s="786"/>
      <c r="BZ65" s="786"/>
      <c r="CA65" s="786"/>
      <c r="CB65" s="786"/>
      <c r="CC65" s="786"/>
      <c r="CD65" s="786"/>
      <c r="CE65" s="786"/>
      <c r="CF65" s="786"/>
      <c r="CG65" s="786"/>
      <c r="CH65" s="786"/>
      <c r="CI65" s="786"/>
      <c r="CJ65" s="786"/>
      <c r="CK65" s="786"/>
      <c r="CL65" s="786"/>
      <c r="CM65" s="786"/>
      <c r="CN65" s="786"/>
      <c r="CO65" s="786"/>
      <c r="CP65" s="786"/>
      <c r="CQ65" s="787"/>
      <c r="FE65" s="148"/>
      <c r="FF65" s="109"/>
      <c r="FG65" s="109"/>
      <c r="FH65" s="109"/>
      <c r="FI65" s="109"/>
      <c r="FJ65" s="109"/>
      <c r="FK65" s="109"/>
      <c r="FL65" s="109"/>
      <c r="FM65" s="109"/>
      <c r="FN65" s="109"/>
      <c r="FO65" s="109"/>
      <c r="FP65" s="109"/>
      <c r="FQ65" s="109"/>
      <c r="FR65" s="109"/>
      <c r="FS65" s="109"/>
      <c r="FT65" s="109"/>
      <c r="FU65" s="206"/>
      <c r="FV65" s="206"/>
      <c r="FW65" s="206"/>
      <c r="FX65" s="148"/>
      <c r="FY65" s="148"/>
    </row>
    <row r="66" spans="2:283" ht="12" customHeight="1" thickTop="1" thickBot="1" x14ac:dyDescent="0.3">
      <c r="B66" s="632"/>
      <c r="C66" s="590" t="s">
        <v>64</v>
      </c>
      <c r="D66" s="335"/>
      <c r="E66" s="335"/>
      <c r="F66" s="335"/>
      <c r="G66" s="335"/>
      <c r="H66" s="335"/>
      <c r="I66" s="777" t="s">
        <v>39</v>
      </c>
      <c r="J66" s="777"/>
      <c r="K66" s="777"/>
      <c r="L66" s="835"/>
      <c r="M66" s="836"/>
      <c r="N66" s="335"/>
      <c r="O66" s="590" t="s">
        <v>185</v>
      </c>
      <c r="P66" s="335"/>
      <c r="Q66" s="335"/>
      <c r="R66" s="335"/>
      <c r="S66" s="335"/>
      <c r="T66" s="335"/>
      <c r="U66" s="777" t="s">
        <v>34</v>
      </c>
      <c r="V66" s="777"/>
      <c r="W66" s="883"/>
      <c r="X66" s="835"/>
      <c r="Y66" s="836"/>
      <c r="Z66" s="633"/>
      <c r="AB66" s="632"/>
      <c r="AC66" s="770" t="str">
        <f>Tables!FT6</f>
        <v>EXPERTISE 4</v>
      </c>
      <c r="AD66" s="770"/>
      <c r="AE66" s="770"/>
      <c r="AF66" s="770"/>
      <c r="AG66" s="770"/>
      <c r="AH66" s="770"/>
      <c r="AI66" s="770"/>
      <c r="AJ66" s="772" t="s">
        <v>171</v>
      </c>
      <c r="AK66" s="773"/>
      <c r="AL66" s="773"/>
      <c r="AM66" s="773"/>
      <c r="AN66" s="773"/>
      <c r="AO66" s="773"/>
      <c r="AP66" s="773"/>
      <c r="AQ66" s="773"/>
      <c r="AR66" s="774"/>
      <c r="AS66" s="633"/>
      <c r="AT66" s="154"/>
      <c r="AU66" s="632"/>
      <c r="AV66" s="804">
        <f t="shared" si="5"/>
        <v>8</v>
      </c>
      <c r="AW66" s="804">
        <v>8</v>
      </c>
      <c r="AX66" s="805" t="s">
        <v>171</v>
      </c>
      <c r="AY66" s="806"/>
      <c r="AZ66" s="806"/>
      <c r="BA66" s="806"/>
      <c r="BB66" s="806"/>
      <c r="BC66" s="806"/>
      <c r="BD66" s="806"/>
      <c r="BE66" s="806"/>
      <c r="BF66" s="807"/>
      <c r="BG66" s="651"/>
      <c r="BH66" s="633"/>
      <c r="BJ66" s="653"/>
      <c r="BK66" s="786"/>
      <c r="BL66" s="786"/>
      <c r="BM66" s="786"/>
      <c r="BN66" s="786"/>
      <c r="BO66" s="786"/>
      <c r="BP66" s="786"/>
      <c r="BQ66" s="786"/>
      <c r="BR66" s="786"/>
      <c r="BS66" s="786"/>
      <c r="BT66" s="786"/>
      <c r="BU66" s="786"/>
      <c r="BV66" s="786"/>
      <c r="BW66" s="786"/>
      <c r="BX66" s="786"/>
      <c r="BY66" s="786"/>
      <c r="BZ66" s="786"/>
      <c r="CA66" s="786"/>
      <c r="CB66" s="786"/>
      <c r="CC66" s="786"/>
      <c r="CD66" s="786"/>
      <c r="CE66" s="786"/>
      <c r="CF66" s="786"/>
      <c r="CG66" s="786"/>
      <c r="CH66" s="786"/>
      <c r="CI66" s="786"/>
      <c r="CJ66" s="786"/>
      <c r="CK66" s="786"/>
      <c r="CL66" s="786"/>
      <c r="CM66" s="786"/>
      <c r="CN66" s="786"/>
      <c r="CO66" s="786"/>
      <c r="CP66" s="786"/>
      <c r="CQ66" s="787"/>
      <c r="FE66" s="148"/>
      <c r="FF66" s="109"/>
      <c r="FG66" s="109"/>
      <c r="FH66" s="109"/>
      <c r="FI66" s="109"/>
      <c r="FJ66" s="109"/>
      <c r="FK66" s="109"/>
      <c r="FL66" s="109"/>
      <c r="FM66" s="109"/>
      <c r="FN66" s="109"/>
      <c r="FO66" s="109"/>
      <c r="FP66" s="109"/>
      <c r="FQ66" s="109"/>
      <c r="FR66" s="109"/>
      <c r="FS66" s="109"/>
      <c r="FT66" s="109"/>
      <c r="FU66" s="206"/>
      <c r="FV66" s="206"/>
      <c r="FW66" s="206"/>
      <c r="FX66" s="148"/>
      <c r="FY66" s="148"/>
    </row>
    <row r="67" spans="2:283" ht="12" customHeight="1" thickTop="1" thickBot="1" x14ac:dyDescent="0.3">
      <c r="B67" s="632"/>
      <c r="C67" s="590" t="s">
        <v>183</v>
      </c>
      <c r="D67" s="335"/>
      <c r="E67" s="335"/>
      <c r="F67" s="335"/>
      <c r="G67" s="335"/>
      <c r="H67" s="335"/>
      <c r="I67" s="777" t="s">
        <v>34</v>
      </c>
      <c r="J67" s="777"/>
      <c r="K67" s="777"/>
      <c r="L67" s="835"/>
      <c r="M67" s="836"/>
      <c r="N67" s="335"/>
      <c r="O67" s="590" t="s">
        <v>182</v>
      </c>
      <c r="P67" s="335"/>
      <c r="Q67" s="335"/>
      <c r="R67" s="335"/>
      <c r="S67" s="335"/>
      <c r="T67" s="335"/>
      <c r="U67" s="777" t="s">
        <v>39</v>
      </c>
      <c r="V67" s="777"/>
      <c r="W67" s="883"/>
      <c r="X67" s="835"/>
      <c r="Y67" s="836"/>
      <c r="Z67" s="633"/>
      <c r="AB67" s="632"/>
      <c r="AC67" s="728"/>
      <c r="AD67" s="728"/>
      <c r="AE67" s="728"/>
      <c r="AF67" s="728"/>
      <c r="AG67" s="728"/>
      <c r="AH67" s="728"/>
      <c r="AI67" s="728"/>
      <c r="AJ67" s="335"/>
      <c r="AK67" s="335"/>
      <c r="AL67" s="335"/>
      <c r="AM67" s="335"/>
      <c r="AN67" s="335"/>
      <c r="AO67" s="335"/>
      <c r="AP67" s="335"/>
      <c r="AQ67" s="335"/>
      <c r="AR67" s="335"/>
      <c r="AS67" s="633"/>
      <c r="AT67" s="154"/>
      <c r="AU67" s="632"/>
      <c r="AV67" s="804">
        <f t="shared" si="5"/>
        <v>9</v>
      </c>
      <c r="AW67" s="804">
        <v>9</v>
      </c>
      <c r="AX67" s="805" t="s">
        <v>171</v>
      </c>
      <c r="AY67" s="806"/>
      <c r="AZ67" s="806"/>
      <c r="BA67" s="806"/>
      <c r="BB67" s="806"/>
      <c r="BC67" s="806"/>
      <c r="BD67" s="806"/>
      <c r="BE67" s="806"/>
      <c r="BF67" s="807"/>
      <c r="BG67" s="651"/>
      <c r="BH67" s="633"/>
      <c r="BJ67" s="653"/>
      <c r="BK67" s="786"/>
      <c r="BL67" s="786"/>
      <c r="BM67" s="786"/>
      <c r="BN67" s="786"/>
      <c r="BO67" s="786"/>
      <c r="BP67" s="786"/>
      <c r="BQ67" s="786"/>
      <c r="BR67" s="786"/>
      <c r="BS67" s="786"/>
      <c r="BT67" s="786"/>
      <c r="BU67" s="786"/>
      <c r="BV67" s="786"/>
      <c r="BW67" s="786"/>
      <c r="BX67" s="786"/>
      <c r="BY67" s="786"/>
      <c r="BZ67" s="786"/>
      <c r="CA67" s="786"/>
      <c r="CB67" s="786"/>
      <c r="CC67" s="786"/>
      <c r="CD67" s="786"/>
      <c r="CE67" s="786"/>
      <c r="CF67" s="786"/>
      <c r="CG67" s="786"/>
      <c r="CH67" s="786"/>
      <c r="CI67" s="786"/>
      <c r="CJ67" s="786"/>
      <c r="CK67" s="786"/>
      <c r="CL67" s="786"/>
      <c r="CM67" s="786"/>
      <c r="CN67" s="786"/>
      <c r="CO67" s="786"/>
      <c r="CP67" s="786"/>
      <c r="CQ67" s="787"/>
      <c r="FE67" s="148"/>
      <c r="FF67" s="109"/>
      <c r="FG67" s="109"/>
      <c r="FH67" s="109"/>
      <c r="FI67" s="109"/>
      <c r="FJ67" s="109"/>
      <c r="FK67" s="109"/>
      <c r="FL67" s="109"/>
      <c r="FM67" s="109"/>
      <c r="FN67" s="109"/>
      <c r="FO67" s="109"/>
      <c r="FP67" s="109"/>
      <c r="FQ67" s="109"/>
      <c r="FR67" s="109"/>
      <c r="FS67" s="109"/>
      <c r="FT67" s="109"/>
      <c r="FU67" s="120"/>
      <c r="FV67" s="120"/>
      <c r="FW67" s="120"/>
      <c r="FX67" s="148"/>
      <c r="FY67" s="148"/>
    </row>
    <row r="68" spans="2:283" ht="12" customHeight="1" thickTop="1" thickBot="1" x14ac:dyDescent="0.3">
      <c r="B68" s="632"/>
      <c r="C68" s="590" t="s">
        <v>188</v>
      </c>
      <c r="D68" s="335"/>
      <c r="E68" s="335"/>
      <c r="F68" s="335"/>
      <c r="G68" s="335"/>
      <c r="H68" s="335"/>
      <c r="I68" s="777" t="s">
        <v>19</v>
      </c>
      <c r="J68" s="777"/>
      <c r="K68" s="777"/>
      <c r="L68" s="835"/>
      <c r="M68" s="836"/>
      <c r="N68" s="335"/>
      <c r="O68" s="590" t="s">
        <v>70</v>
      </c>
      <c r="P68" s="335"/>
      <c r="Q68" s="335"/>
      <c r="R68" s="335"/>
      <c r="S68" s="335"/>
      <c r="T68" s="335"/>
      <c r="U68" s="777" t="s">
        <v>42</v>
      </c>
      <c r="V68" s="777"/>
      <c r="W68" s="883"/>
      <c r="X68" s="835"/>
      <c r="Y68" s="836"/>
      <c r="Z68" s="633"/>
      <c r="AB68" s="632"/>
      <c r="AC68" s="728" t="s">
        <v>2823</v>
      </c>
      <c r="AD68" s="728"/>
      <c r="AE68" s="728"/>
      <c r="AF68" s="728"/>
      <c r="AG68" s="728"/>
      <c r="AH68" s="728"/>
      <c r="AI68" s="728"/>
      <c r="AJ68" s="335"/>
      <c r="AK68" s="335"/>
      <c r="AL68" s="335"/>
      <c r="AM68" s="335"/>
      <c r="AN68" s="335"/>
      <c r="AO68" s="335"/>
      <c r="AP68" s="335"/>
      <c r="AQ68" s="335"/>
      <c r="AR68" s="335"/>
      <c r="AS68" s="633"/>
      <c r="AT68" s="154"/>
      <c r="AU68" s="632"/>
      <c r="AV68" s="804">
        <f t="shared" si="5"/>
        <v>10</v>
      </c>
      <c r="AW68" s="804">
        <v>10</v>
      </c>
      <c r="AX68" s="805" t="s">
        <v>171</v>
      </c>
      <c r="AY68" s="806"/>
      <c r="AZ68" s="806"/>
      <c r="BA68" s="806"/>
      <c r="BB68" s="806"/>
      <c r="BC68" s="806"/>
      <c r="BD68" s="806"/>
      <c r="BE68" s="806"/>
      <c r="BF68" s="807"/>
      <c r="BG68" s="651"/>
      <c r="BH68" s="633"/>
      <c r="BJ68" s="653"/>
      <c r="BK68" s="786"/>
      <c r="BL68" s="786"/>
      <c r="BM68" s="786"/>
      <c r="BN68" s="786"/>
      <c r="BO68" s="786"/>
      <c r="BP68" s="786"/>
      <c r="BQ68" s="786"/>
      <c r="BR68" s="786"/>
      <c r="BS68" s="786"/>
      <c r="BT68" s="786"/>
      <c r="BU68" s="786"/>
      <c r="BV68" s="786"/>
      <c r="BW68" s="786"/>
      <c r="BX68" s="786"/>
      <c r="BY68" s="786"/>
      <c r="BZ68" s="786"/>
      <c r="CA68" s="786"/>
      <c r="CB68" s="786"/>
      <c r="CC68" s="786"/>
      <c r="CD68" s="786"/>
      <c r="CE68" s="786"/>
      <c r="CF68" s="786"/>
      <c r="CG68" s="786"/>
      <c r="CH68" s="786"/>
      <c r="CI68" s="786"/>
      <c r="CJ68" s="786"/>
      <c r="CK68" s="786"/>
      <c r="CL68" s="786"/>
      <c r="CM68" s="786"/>
      <c r="CN68" s="786"/>
      <c r="CO68" s="786"/>
      <c r="CP68" s="786"/>
      <c r="CQ68" s="787"/>
      <c r="FE68" s="148"/>
      <c r="FF68" s="109"/>
      <c r="FG68" s="109"/>
      <c r="FH68" s="109"/>
      <c r="FI68" s="109"/>
      <c r="FJ68" s="109"/>
      <c r="FK68" s="109"/>
      <c r="FL68" s="109"/>
      <c r="FM68" s="109"/>
      <c r="FN68" s="109"/>
      <c r="FO68" s="109"/>
      <c r="FP68" s="109"/>
      <c r="FQ68" s="109"/>
      <c r="FR68" s="109"/>
      <c r="FS68" s="109"/>
      <c r="FT68" s="109"/>
      <c r="FU68" s="148"/>
      <c r="FV68" s="148"/>
      <c r="FW68" s="148"/>
      <c r="FX68" s="148"/>
      <c r="FY68" s="148"/>
    </row>
    <row r="69" spans="2:283" ht="12" customHeight="1" thickTop="1" thickBot="1" x14ac:dyDescent="0.3">
      <c r="B69" s="632"/>
      <c r="C69" s="590" t="s">
        <v>65</v>
      </c>
      <c r="D69" s="335"/>
      <c r="E69" s="335"/>
      <c r="F69" s="335"/>
      <c r="G69" s="335"/>
      <c r="H69" s="335"/>
      <c r="I69" s="777" t="s">
        <v>42</v>
      </c>
      <c r="J69" s="777"/>
      <c r="K69" s="777"/>
      <c r="L69" s="835"/>
      <c r="M69" s="836"/>
      <c r="N69" s="335"/>
      <c r="O69" s="590" t="s">
        <v>69</v>
      </c>
      <c r="P69" s="335"/>
      <c r="Q69" s="335"/>
      <c r="R69" s="335"/>
      <c r="S69" s="335"/>
      <c r="T69" s="335"/>
      <c r="U69" s="777" t="s">
        <v>42</v>
      </c>
      <c r="V69" s="777"/>
      <c r="W69" s="883"/>
      <c r="X69" s="835"/>
      <c r="Y69" s="836"/>
      <c r="Z69" s="633"/>
      <c r="AB69" s="632"/>
      <c r="AC69" s="770" t="str">
        <f ca="1">Tables!HH4</f>
        <v>TOTEM SPIRIT 1</v>
      </c>
      <c r="AD69" s="770"/>
      <c r="AE69" s="770"/>
      <c r="AF69" s="770"/>
      <c r="AG69" s="770"/>
      <c r="AH69" s="770"/>
      <c r="AI69" s="770"/>
      <c r="AJ69" s="772" t="s">
        <v>171</v>
      </c>
      <c r="AK69" s="773"/>
      <c r="AL69" s="773"/>
      <c r="AM69" s="773"/>
      <c r="AN69" s="773"/>
      <c r="AO69" s="773"/>
      <c r="AP69" s="773"/>
      <c r="AQ69" s="773"/>
      <c r="AR69" s="774"/>
      <c r="AS69" s="633"/>
      <c r="AT69" s="154"/>
      <c r="AU69" s="632"/>
      <c r="AV69" s="804">
        <f t="shared" si="5"/>
        <v>11</v>
      </c>
      <c r="AW69" s="804">
        <v>11</v>
      </c>
      <c r="AX69" s="805" t="s">
        <v>171</v>
      </c>
      <c r="AY69" s="806"/>
      <c r="AZ69" s="806"/>
      <c r="BA69" s="806"/>
      <c r="BB69" s="806"/>
      <c r="BC69" s="806"/>
      <c r="BD69" s="806"/>
      <c r="BE69" s="806"/>
      <c r="BF69" s="807"/>
      <c r="BG69" s="651"/>
      <c r="BH69" s="633"/>
      <c r="BJ69" s="653"/>
      <c r="BK69" s="786"/>
      <c r="BL69" s="786"/>
      <c r="BM69" s="786"/>
      <c r="BN69" s="786"/>
      <c r="BO69" s="786"/>
      <c r="BP69" s="786"/>
      <c r="BQ69" s="786"/>
      <c r="BR69" s="786"/>
      <c r="BS69" s="786"/>
      <c r="BT69" s="786"/>
      <c r="BU69" s="786"/>
      <c r="BV69" s="786"/>
      <c r="BW69" s="786"/>
      <c r="BX69" s="786"/>
      <c r="BY69" s="786"/>
      <c r="BZ69" s="786"/>
      <c r="CA69" s="786"/>
      <c r="CB69" s="786"/>
      <c r="CC69" s="786"/>
      <c r="CD69" s="786"/>
      <c r="CE69" s="786"/>
      <c r="CF69" s="786"/>
      <c r="CG69" s="786"/>
      <c r="CH69" s="786"/>
      <c r="CI69" s="786"/>
      <c r="CJ69" s="786"/>
      <c r="CK69" s="786"/>
      <c r="CL69" s="786"/>
      <c r="CM69" s="786"/>
      <c r="CN69" s="786"/>
      <c r="CO69" s="786"/>
      <c r="CP69" s="786"/>
      <c r="CQ69" s="787"/>
      <c r="FE69" s="148"/>
      <c r="FF69" s="109"/>
      <c r="FG69" s="109"/>
      <c r="FH69" s="109"/>
      <c r="FI69" s="109"/>
      <c r="FJ69" s="109"/>
      <c r="FK69" s="109"/>
      <c r="FL69" s="109"/>
      <c r="FM69" s="109"/>
      <c r="FN69" s="109"/>
      <c r="FO69" s="109"/>
      <c r="FP69" s="109"/>
      <c r="FQ69" s="109"/>
      <c r="FR69" s="109"/>
      <c r="FS69" s="109"/>
      <c r="FT69" s="109"/>
      <c r="FU69" s="148"/>
      <c r="FV69" s="148"/>
      <c r="FW69" s="148"/>
      <c r="FX69" s="148"/>
      <c r="FY69" s="148"/>
    </row>
    <row r="70" spans="2:283" ht="12" customHeight="1" thickTop="1" thickBot="1" x14ac:dyDescent="0.3">
      <c r="B70" s="632"/>
      <c r="C70" s="590" t="s">
        <v>184</v>
      </c>
      <c r="D70" s="335"/>
      <c r="E70" s="335"/>
      <c r="F70" s="335"/>
      <c r="G70" s="335"/>
      <c r="H70" s="335"/>
      <c r="I70" s="777" t="s">
        <v>34</v>
      </c>
      <c r="J70" s="777"/>
      <c r="K70" s="777"/>
      <c r="L70" s="835"/>
      <c r="M70" s="836"/>
      <c r="N70" s="335"/>
      <c r="O70" s="590" t="s">
        <v>186</v>
      </c>
      <c r="P70" s="335"/>
      <c r="Q70" s="335"/>
      <c r="R70" s="335"/>
      <c r="S70" s="335"/>
      <c r="T70" s="335"/>
      <c r="U70" s="777" t="s">
        <v>34</v>
      </c>
      <c r="V70" s="777"/>
      <c r="W70" s="883"/>
      <c r="X70" s="835"/>
      <c r="Y70" s="836"/>
      <c r="Z70" s="633"/>
      <c r="AB70" s="632"/>
      <c r="AC70" s="770" t="str">
        <f ca="1">Tables!HH5</f>
        <v>TOTEM SPIRIT 2</v>
      </c>
      <c r="AD70" s="770"/>
      <c r="AE70" s="770"/>
      <c r="AF70" s="770"/>
      <c r="AG70" s="770"/>
      <c r="AH70" s="770"/>
      <c r="AI70" s="770"/>
      <c r="AJ70" s="772" t="s">
        <v>171</v>
      </c>
      <c r="AK70" s="773"/>
      <c r="AL70" s="773"/>
      <c r="AM70" s="773"/>
      <c r="AN70" s="773"/>
      <c r="AO70" s="773"/>
      <c r="AP70" s="773"/>
      <c r="AQ70" s="773"/>
      <c r="AR70" s="774"/>
      <c r="AS70" s="633"/>
      <c r="AT70" s="154"/>
      <c r="AU70" s="632"/>
      <c r="AV70" s="804">
        <f t="shared" si="5"/>
        <v>12</v>
      </c>
      <c r="AW70" s="804">
        <v>12</v>
      </c>
      <c r="AX70" s="805" t="s">
        <v>171</v>
      </c>
      <c r="AY70" s="806"/>
      <c r="AZ70" s="806"/>
      <c r="BA70" s="806"/>
      <c r="BB70" s="806"/>
      <c r="BC70" s="806"/>
      <c r="BD70" s="806"/>
      <c r="BE70" s="806"/>
      <c r="BF70" s="807"/>
      <c r="BG70" s="335"/>
      <c r="BH70" s="633"/>
      <c r="BJ70" s="653"/>
      <c r="BK70" s="786"/>
      <c r="BL70" s="786"/>
      <c r="BM70" s="786"/>
      <c r="BN70" s="786"/>
      <c r="BO70" s="786"/>
      <c r="BP70" s="786"/>
      <c r="BQ70" s="786"/>
      <c r="BR70" s="786"/>
      <c r="BS70" s="786"/>
      <c r="BT70" s="786"/>
      <c r="BU70" s="786"/>
      <c r="BV70" s="786"/>
      <c r="BW70" s="786"/>
      <c r="BX70" s="786"/>
      <c r="BY70" s="786"/>
      <c r="BZ70" s="786"/>
      <c r="CA70" s="786"/>
      <c r="CB70" s="786"/>
      <c r="CC70" s="786"/>
      <c r="CD70" s="786"/>
      <c r="CE70" s="786"/>
      <c r="CF70" s="786"/>
      <c r="CG70" s="786"/>
      <c r="CH70" s="786"/>
      <c r="CI70" s="786"/>
      <c r="CJ70" s="786"/>
      <c r="CK70" s="786"/>
      <c r="CL70" s="786"/>
      <c r="CM70" s="786"/>
      <c r="CN70" s="786"/>
      <c r="CO70" s="786"/>
      <c r="CP70" s="786"/>
      <c r="CQ70" s="787"/>
      <c r="FE70" s="148"/>
      <c r="FF70" s="109"/>
      <c r="FG70" s="109"/>
      <c r="FH70" s="109"/>
      <c r="FI70" s="109"/>
      <c r="FJ70" s="109"/>
      <c r="FK70" s="109"/>
      <c r="FL70" s="109"/>
      <c r="FM70" s="109"/>
      <c r="FN70" s="109"/>
      <c r="FO70" s="109"/>
      <c r="FP70" s="109"/>
      <c r="FQ70" s="109"/>
      <c r="FR70" s="109"/>
      <c r="FS70" s="109"/>
      <c r="FT70" s="109"/>
      <c r="FU70" s="286"/>
      <c r="FV70" s="286"/>
      <c r="FW70" s="286"/>
      <c r="FX70" s="148"/>
      <c r="FY70" s="148"/>
    </row>
    <row r="71" spans="2:283" ht="12" customHeight="1" thickTop="1" thickBot="1" x14ac:dyDescent="0.3">
      <c r="B71" s="632"/>
      <c r="C71" s="590" t="s">
        <v>66</v>
      </c>
      <c r="D71" s="335"/>
      <c r="E71" s="335"/>
      <c r="F71" s="335"/>
      <c r="G71" s="335"/>
      <c r="H71" s="335"/>
      <c r="I71" s="777" t="s">
        <v>39</v>
      </c>
      <c r="J71" s="777"/>
      <c r="K71" s="777"/>
      <c r="L71" s="835"/>
      <c r="M71" s="836"/>
      <c r="N71" s="335"/>
      <c r="O71" s="590" t="s">
        <v>71</v>
      </c>
      <c r="P71" s="335"/>
      <c r="Q71" s="335"/>
      <c r="R71" s="335"/>
      <c r="S71" s="335"/>
      <c r="T71" s="335"/>
      <c r="U71" s="777" t="s">
        <v>23</v>
      </c>
      <c r="V71" s="777"/>
      <c r="W71" s="883"/>
      <c r="X71" s="835"/>
      <c r="Y71" s="836"/>
      <c r="Z71" s="633"/>
      <c r="AB71" s="632"/>
      <c r="AC71" s="770" t="str">
        <f ca="1">Tables!HH6</f>
        <v>TOTEM SPIRIT 3</v>
      </c>
      <c r="AD71" s="770"/>
      <c r="AE71" s="770"/>
      <c r="AF71" s="770"/>
      <c r="AG71" s="770"/>
      <c r="AH71" s="770"/>
      <c r="AI71" s="770"/>
      <c r="AJ71" s="772" t="s">
        <v>171</v>
      </c>
      <c r="AK71" s="773"/>
      <c r="AL71" s="773"/>
      <c r="AM71" s="773"/>
      <c r="AN71" s="773"/>
      <c r="AO71" s="773"/>
      <c r="AP71" s="773"/>
      <c r="AQ71" s="773"/>
      <c r="AR71" s="774"/>
      <c r="AS71" s="633"/>
      <c r="AT71" s="154"/>
      <c r="AU71" s="632"/>
      <c r="AV71" s="804">
        <f t="shared" si="5"/>
        <v>13</v>
      </c>
      <c r="AW71" s="804">
        <v>13</v>
      </c>
      <c r="AX71" s="805" t="s">
        <v>171</v>
      </c>
      <c r="AY71" s="806"/>
      <c r="AZ71" s="806"/>
      <c r="BA71" s="806"/>
      <c r="BB71" s="806"/>
      <c r="BC71" s="806"/>
      <c r="BD71" s="806"/>
      <c r="BE71" s="806"/>
      <c r="BF71" s="807"/>
      <c r="BG71" s="335"/>
      <c r="BH71" s="633"/>
      <c r="BJ71" s="653"/>
      <c r="BK71" s="786"/>
      <c r="BL71" s="786"/>
      <c r="BM71" s="786"/>
      <c r="BN71" s="786"/>
      <c r="BO71" s="786"/>
      <c r="BP71" s="786"/>
      <c r="BQ71" s="786"/>
      <c r="BR71" s="786"/>
      <c r="BS71" s="786"/>
      <c r="BT71" s="786"/>
      <c r="BU71" s="786"/>
      <c r="BV71" s="786"/>
      <c r="BW71" s="786"/>
      <c r="BX71" s="786"/>
      <c r="BY71" s="786"/>
      <c r="BZ71" s="786"/>
      <c r="CA71" s="786"/>
      <c r="CB71" s="786"/>
      <c r="CC71" s="786"/>
      <c r="CD71" s="786"/>
      <c r="CE71" s="786"/>
      <c r="CF71" s="786"/>
      <c r="CG71" s="786"/>
      <c r="CH71" s="786"/>
      <c r="CI71" s="786"/>
      <c r="CJ71" s="786"/>
      <c r="CK71" s="786"/>
      <c r="CL71" s="786"/>
      <c r="CM71" s="786"/>
      <c r="CN71" s="786"/>
      <c r="CO71" s="786"/>
      <c r="CP71" s="786"/>
      <c r="CQ71" s="787"/>
      <c r="FE71" s="148"/>
      <c r="FF71" s="109"/>
      <c r="FG71" s="109"/>
      <c r="FH71" s="109"/>
      <c r="FI71" s="109"/>
      <c r="FJ71" s="109"/>
      <c r="FK71" s="109"/>
      <c r="FL71" s="109"/>
      <c r="FM71" s="109"/>
      <c r="FN71" s="109"/>
      <c r="FO71" s="109"/>
      <c r="FP71" s="109"/>
      <c r="FQ71" s="109"/>
      <c r="FR71" s="109"/>
      <c r="FS71" s="109"/>
      <c r="FT71" s="109"/>
      <c r="FU71" s="286"/>
      <c r="FV71" s="286"/>
      <c r="FW71" s="286"/>
      <c r="FX71" s="148"/>
      <c r="FY71" s="148"/>
    </row>
    <row r="72" spans="2:283" ht="12" customHeight="1" thickTop="1" thickBot="1" x14ac:dyDescent="0.3">
      <c r="B72" s="632"/>
      <c r="C72" s="590" t="s">
        <v>67</v>
      </c>
      <c r="D72" s="335"/>
      <c r="E72" s="335"/>
      <c r="F72" s="335"/>
      <c r="G72" s="335"/>
      <c r="H72" s="335"/>
      <c r="I72" s="777" t="s">
        <v>42</v>
      </c>
      <c r="J72" s="777"/>
      <c r="K72" s="777"/>
      <c r="L72" s="835"/>
      <c r="M72" s="836"/>
      <c r="N72" s="335"/>
      <c r="O72" s="590" t="s">
        <v>181</v>
      </c>
      <c r="P72" s="335"/>
      <c r="Q72" s="335"/>
      <c r="R72" s="335"/>
      <c r="S72" s="335"/>
      <c r="T72" s="335"/>
      <c r="U72" s="777" t="s">
        <v>23</v>
      </c>
      <c r="V72" s="777"/>
      <c r="W72" s="883"/>
      <c r="X72" s="835"/>
      <c r="Y72" s="836"/>
      <c r="Z72" s="633"/>
      <c r="AA72" s="148"/>
      <c r="AB72" s="701"/>
      <c r="AC72" s="148"/>
      <c r="AD72" s="148"/>
      <c r="AE72" s="148"/>
      <c r="AF72" s="148"/>
      <c r="AG72" s="148"/>
      <c r="AH72" s="148"/>
      <c r="AI72" s="148"/>
      <c r="AJ72" s="148"/>
      <c r="AK72" s="148"/>
      <c r="AL72" s="148"/>
      <c r="AM72" s="148"/>
      <c r="AN72" s="148"/>
      <c r="AO72" s="148"/>
      <c r="AP72" s="148"/>
      <c r="AQ72" s="148"/>
      <c r="AR72" s="148"/>
      <c r="AS72" s="149"/>
      <c r="AT72" s="154"/>
      <c r="AU72" s="632"/>
      <c r="AV72" s="804">
        <f t="shared" si="5"/>
        <v>14</v>
      </c>
      <c r="AW72" s="804">
        <v>14</v>
      </c>
      <c r="AX72" s="805" t="s">
        <v>171</v>
      </c>
      <c r="AY72" s="806"/>
      <c r="AZ72" s="806"/>
      <c r="BA72" s="806"/>
      <c r="BB72" s="806"/>
      <c r="BC72" s="806"/>
      <c r="BD72" s="806"/>
      <c r="BE72" s="806"/>
      <c r="BF72" s="807"/>
      <c r="BG72" s="335"/>
      <c r="BH72" s="633"/>
      <c r="BJ72" s="653"/>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7"/>
      <c r="FE72" s="148"/>
      <c r="FF72" s="109"/>
      <c r="FG72" s="109"/>
      <c r="FH72" s="109"/>
      <c r="FI72" s="109"/>
      <c r="FJ72" s="109"/>
      <c r="FK72" s="109"/>
      <c r="FL72" s="109"/>
      <c r="FM72" s="109"/>
      <c r="FN72" s="109"/>
      <c r="FO72" s="109"/>
      <c r="FP72" s="109"/>
      <c r="FQ72" s="109"/>
      <c r="FR72" s="109"/>
      <c r="FS72" s="109"/>
      <c r="FT72" s="109"/>
      <c r="FU72" s="286"/>
      <c r="FV72" s="286"/>
      <c r="FW72" s="286"/>
      <c r="FX72" s="148"/>
      <c r="FY72" s="148"/>
    </row>
    <row r="73" spans="2:283" ht="12" customHeight="1" thickTop="1" thickBot="1" x14ac:dyDescent="0.3">
      <c r="B73" s="632"/>
      <c r="C73" s="590" t="s">
        <v>797</v>
      </c>
      <c r="D73" s="335"/>
      <c r="E73" s="335"/>
      <c r="F73" s="335"/>
      <c r="G73" s="335"/>
      <c r="H73" s="335"/>
      <c r="I73" s="777" t="s">
        <v>34</v>
      </c>
      <c r="J73" s="777"/>
      <c r="K73" s="777"/>
      <c r="L73" s="835"/>
      <c r="M73" s="836"/>
      <c r="N73" s="335"/>
      <c r="O73" s="590" t="s">
        <v>72</v>
      </c>
      <c r="P73" s="335"/>
      <c r="Q73" s="335"/>
      <c r="R73" s="335"/>
      <c r="S73" s="335"/>
      <c r="T73" s="335"/>
      <c r="U73" s="777" t="s">
        <v>39</v>
      </c>
      <c r="V73" s="777"/>
      <c r="W73" s="883"/>
      <c r="X73" s="835"/>
      <c r="Y73" s="836"/>
      <c r="Z73" s="633"/>
      <c r="AA73" s="148"/>
      <c r="AB73" s="632"/>
      <c r="AC73" s="728" t="s">
        <v>2346</v>
      </c>
      <c r="AD73" s="728"/>
      <c r="AE73" s="728"/>
      <c r="AF73" s="728"/>
      <c r="AG73" s="728"/>
      <c r="AH73" s="728"/>
      <c r="AI73" s="728"/>
      <c r="AJ73" s="335"/>
      <c r="AK73" s="335"/>
      <c r="AL73" s="335"/>
      <c r="AM73" s="335"/>
      <c r="AN73" s="335"/>
      <c r="AO73" s="335"/>
      <c r="AP73" s="335"/>
      <c r="AQ73" s="335"/>
      <c r="AR73" s="335"/>
      <c r="AS73" s="633"/>
      <c r="AT73" s="154"/>
      <c r="AU73" s="632"/>
      <c r="AV73" s="804">
        <f t="shared" si="5"/>
        <v>15</v>
      </c>
      <c r="AW73" s="804">
        <v>15</v>
      </c>
      <c r="AX73" s="805" t="s">
        <v>171</v>
      </c>
      <c r="AY73" s="806"/>
      <c r="AZ73" s="806"/>
      <c r="BA73" s="806"/>
      <c r="BB73" s="806"/>
      <c r="BC73" s="806"/>
      <c r="BD73" s="806"/>
      <c r="BE73" s="806"/>
      <c r="BF73" s="807"/>
      <c r="BG73" s="335"/>
      <c r="BH73" s="283"/>
      <c r="BJ73" s="653"/>
      <c r="BK73" s="786"/>
      <c r="BL73" s="786"/>
      <c r="BM73" s="786"/>
      <c r="BN73" s="786"/>
      <c r="BO73" s="786"/>
      <c r="BP73" s="786"/>
      <c r="BQ73" s="786"/>
      <c r="BR73" s="786"/>
      <c r="BS73" s="786"/>
      <c r="BT73" s="786"/>
      <c r="BU73" s="786"/>
      <c r="BV73" s="786"/>
      <c r="BW73" s="786"/>
      <c r="BX73" s="786"/>
      <c r="BY73" s="786"/>
      <c r="BZ73" s="786"/>
      <c r="CA73" s="786"/>
      <c r="CB73" s="786"/>
      <c r="CC73" s="786"/>
      <c r="CD73" s="786"/>
      <c r="CE73" s="786"/>
      <c r="CF73" s="786"/>
      <c r="CG73" s="786"/>
      <c r="CH73" s="786"/>
      <c r="CI73" s="786"/>
      <c r="CJ73" s="786"/>
      <c r="CK73" s="786"/>
      <c r="CL73" s="786"/>
      <c r="CM73" s="786"/>
      <c r="CN73" s="786"/>
      <c r="CO73" s="786"/>
      <c r="CP73" s="786"/>
      <c r="CQ73" s="787"/>
      <c r="FF73" s="109"/>
      <c r="FG73" s="109"/>
      <c r="FH73" s="109"/>
      <c r="FI73" s="109"/>
      <c r="FJ73" s="109"/>
      <c r="FK73" s="109"/>
      <c r="FL73" s="109"/>
      <c r="FM73" s="109"/>
      <c r="FN73" s="109"/>
      <c r="FO73" s="109"/>
      <c r="FP73" s="109"/>
      <c r="FQ73" s="109"/>
      <c r="FR73" s="109"/>
      <c r="FS73" s="109"/>
      <c r="FT73" s="109"/>
      <c r="FU73" s="286"/>
      <c r="FV73" s="286"/>
      <c r="FW73" s="286"/>
      <c r="FX73" s="148"/>
      <c r="FY73" s="148"/>
    </row>
    <row r="74" spans="2:283" ht="12" customHeight="1" thickTop="1" thickBot="1" x14ac:dyDescent="0.3">
      <c r="B74" s="632"/>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633"/>
      <c r="AA74" s="148"/>
      <c r="AB74" s="632"/>
      <c r="AC74" s="770" t="str">
        <f ca="1">IF(ClericKnowledgeLevel&gt;0,"Knowledge Skill 1","SKILL 1")</f>
        <v>SKILL 1</v>
      </c>
      <c r="AD74" s="770"/>
      <c r="AE74" s="770"/>
      <c r="AF74" s="770"/>
      <c r="AG74" s="770"/>
      <c r="AH74" s="770"/>
      <c r="AI74" s="770"/>
      <c r="AJ74" s="772" t="s">
        <v>171</v>
      </c>
      <c r="AK74" s="773"/>
      <c r="AL74" s="773"/>
      <c r="AM74" s="773"/>
      <c r="AN74" s="773"/>
      <c r="AO74" s="773"/>
      <c r="AP74" s="773"/>
      <c r="AQ74" s="773"/>
      <c r="AR74" s="774"/>
      <c r="AS74" s="633"/>
      <c r="AT74" s="154"/>
      <c r="AU74" s="632"/>
      <c r="AV74" s="335"/>
      <c r="AW74" s="335"/>
      <c r="AX74" s="335"/>
      <c r="AY74" s="335"/>
      <c r="AZ74" s="335"/>
      <c r="BA74" s="335"/>
      <c r="BB74" s="335"/>
      <c r="BC74" s="335"/>
      <c r="BD74" s="335"/>
      <c r="BE74" s="335"/>
      <c r="BF74" s="335"/>
      <c r="BG74" s="335"/>
      <c r="BH74" s="283"/>
      <c r="BJ74" s="653"/>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7"/>
      <c r="FF74" s="109"/>
      <c r="FG74" s="109"/>
      <c r="FH74" s="109"/>
      <c r="FI74" s="109"/>
      <c r="FJ74" s="109"/>
      <c r="FK74" s="109"/>
      <c r="FL74" s="109"/>
      <c r="FM74" s="109"/>
      <c r="FN74" s="109"/>
      <c r="FO74" s="109"/>
      <c r="FP74" s="109"/>
      <c r="FQ74" s="109"/>
      <c r="FR74" s="109"/>
      <c r="FS74" s="109"/>
      <c r="FT74" s="109"/>
      <c r="FU74" s="286"/>
      <c r="FV74" s="286"/>
      <c r="FW74" s="286"/>
      <c r="FX74" s="148"/>
      <c r="FY74" s="148"/>
    </row>
    <row r="75" spans="2:283" ht="12" customHeight="1" thickTop="1" thickBot="1" x14ac:dyDescent="0.3">
      <c r="B75" s="632" t="str">
        <f>IF(CharacterLevel="","","   RACE ("&amp;Tables!I3&amp;")")</f>
        <v xml:space="preserve">   RACE (0)</v>
      </c>
      <c r="C75" s="335"/>
      <c r="D75" s="335"/>
      <c r="E75" s="335"/>
      <c r="F75" s="335"/>
      <c r="G75" s="335"/>
      <c r="H75" s="335"/>
      <c r="I75" s="335"/>
      <c r="J75" s="335"/>
      <c r="K75" s="335"/>
      <c r="L75" s="335"/>
      <c r="M75" s="335"/>
      <c r="N75" s="335"/>
      <c r="O75" s="335"/>
      <c r="P75" s="335"/>
      <c r="Q75" s="335"/>
      <c r="R75" s="335"/>
      <c r="S75" s="335"/>
      <c r="T75" s="335"/>
      <c r="U75" s="335"/>
      <c r="V75" s="593" t="str">
        <f>IF(CharacterLevel="","","SELECTED")</f>
        <v>SELECTED</v>
      </c>
      <c r="W75" s="591">
        <f>IF(CharacterLevel="","",COUNTIF(X65:X73,"•")+COUNTIF(L65:L73,"•"))</f>
        <v>0</v>
      </c>
      <c r="X75" s="591" t="str">
        <f>IF(CharacterLevel="","","OF")</f>
        <v>OF</v>
      </c>
      <c r="Y75" s="591">
        <f>IF(CharacterLevel="","",Tables!I3+Tables!AI3+Tables!CJ1+Tables!EW6+E98)</f>
        <v>0</v>
      </c>
      <c r="Z75" s="633"/>
      <c r="AA75" s="148"/>
      <c r="AB75" s="632"/>
      <c r="AC75" s="770" t="str">
        <f ca="1">IF(ClericKnowledgeLevel&gt;0,"Knowledge Skill 2","SKILL 2")</f>
        <v>SKILL 2</v>
      </c>
      <c r="AD75" s="770"/>
      <c r="AE75" s="770"/>
      <c r="AF75" s="770"/>
      <c r="AG75" s="770"/>
      <c r="AH75" s="770"/>
      <c r="AI75" s="770"/>
      <c r="AJ75" s="772" t="s">
        <v>171</v>
      </c>
      <c r="AK75" s="773"/>
      <c r="AL75" s="773"/>
      <c r="AM75" s="773"/>
      <c r="AN75" s="773"/>
      <c r="AO75" s="773"/>
      <c r="AP75" s="773"/>
      <c r="AQ75" s="773"/>
      <c r="AR75" s="774"/>
      <c r="AS75" s="633"/>
      <c r="AT75" s="154"/>
      <c r="AU75" s="632"/>
      <c r="AV75" s="335"/>
      <c r="AW75" s="634"/>
      <c r="AX75" s="634"/>
      <c r="AY75" s="634"/>
      <c r="AZ75" s="634"/>
      <c r="BA75" s="634"/>
      <c r="BB75" s="652"/>
      <c r="BC75" s="593" t="str">
        <f>IF(CharacterLevel="","","SELECTED")</f>
        <v>SELECTED</v>
      </c>
      <c r="BD75" s="591">
        <f>IF(CharacterLevel="","",MAX(AV59:AW73)-COUNTIF(AX59:BC73,"Select…"))</f>
        <v>0</v>
      </c>
      <c r="BE75" s="591" t="str">
        <f>IF(CharacterLevel="","","OF")</f>
        <v>OF</v>
      </c>
      <c r="BF75" s="591">
        <f>IF(CharacterLevel="","",Tables!K3+Tables!AK3+Tables!CE3+Tables!CE4+Tables!CE5+Tables!EU6+AY89+AX91)</f>
        <v>0</v>
      </c>
      <c r="BG75" s="335"/>
      <c r="BH75" s="633"/>
      <c r="BJ75" s="653"/>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7"/>
      <c r="FG75" s="109"/>
      <c r="FH75" s="109"/>
      <c r="FI75" s="109"/>
      <c r="FJ75" s="109"/>
      <c r="FK75" s="109"/>
      <c r="FL75" s="109"/>
      <c r="FM75" s="109"/>
      <c r="FN75" s="109"/>
      <c r="FO75" s="109"/>
      <c r="FP75" s="109"/>
      <c r="FQ75" s="109"/>
      <c r="FR75" s="109"/>
      <c r="FS75" s="109"/>
      <c r="FT75" s="109"/>
      <c r="FU75" s="148"/>
      <c r="FV75" s="148"/>
      <c r="FW75" s="148"/>
      <c r="FX75" s="148"/>
      <c r="FY75" s="148"/>
    </row>
    <row r="76" spans="2:283" ht="12" customHeight="1" thickTop="1" x14ac:dyDescent="0.25">
      <c r="B76" s="632"/>
      <c r="C76" s="820" t="str">
        <f>IF(CharacterLevel="","",Tables!H3)</f>
        <v>none</v>
      </c>
      <c r="D76" s="820"/>
      <c r="E76" s="820"/>
      <c r="F76" s="820"/>
      <c r="G76" s="820"/>
      <c r="H76" s="820"/>
      <c r="I76" s="820"/>
      <c r="J76" s="820"/>
      <c r="K76" s="820"/>
      <c r="L76" s="820"/>
      <c r="M76" s="820"/>
      <c r="N76" s="820"/>
      <c r="O76" s="820"/>
      <c r="P76" s="820"/>
      <c r="Q76" s="820"/>
      <c r="R76" s="820"/>
      <c r="S76" s="820"/>
      <c r="T76" s="820"/>
      <c r="U76" s="820"/>
      <c r="V76" s="820"/>
      <c r="W76" s="820"/>
      <c r="X76" s="820"/>
      <c r="Y76" s="820"/>
      <c r="Z76" s="821"/>
      <c r="AA76" s="148"/>
      <c r="AB76" s="632"/>
      <c r="AC76" s="728"/>
      <c r="AD76" s="728"/>
      <c r="AE76" s="728"/>
      <c r="AF76" s="728"/>
      <c r="AG76" s="728"/>
      <c r="AH76" s="728"/>
      <c r="AI76" s="728"/>
      <c r="AJ76" s="335"/>
      <c r="AK76" s="335"/>
      <c r="AL76" s="335"/>
      <c r="AM76" s="335"/>
      <c r="AN76" s="335"/>
      <c r="AO76" s="335"/>
      <c r="AP76" s="335"/>
      <c r="AQ76" s="335"/>
      <c r="AR76" s="335"/>
      <c r="AS76" s="633"/>
      <c r="AT76" s="154"/>
      <c r="AU76" s="632"/>
      <c r="AV76" s="335"/>
      <c r="AW76" s="335"/>
      <c r="AX76" s="335"/>
      <c r="AY76" s="335"/>
      <c r="AZ76" s="634"/>
      <c r="BA76" s="634"/>
      <c r="BB76" s="634"/>
      <c r="BC76" s="634"/>
      <c r="BD76" s="335"/>
      <c r="BE76" s="335"/>
      <c r="BF76" s="335"/>
      <c r="BG76" s="335"/>
      <c r="BH76" s="633"/>
      <c r="BJ76" s="653"/>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7"/>
      <c r="FG76" s="148"/>
      <c r="FH76" s="148"/>
      <c r="FI76" s="148"/>
      <c r="FJ76" s="148"/>
      <c r="FK76" s="148"/>
      <c r="FL76" s="148"/>
      <c r="FM76" s="148"/>
      <c r="FN76" s="148"/>
      <c r="FO76" s="148"/>
      <c r="FP76" s="148"/>
      <c r="FQ76" s="148"/>
      <c r="FR76" s="148"/>
      <c r="FS76" s="148"/>
      <c r="FT76" s="148"/>
      <c r="FU76" s="148"/>
      <c r="FV76" s="148"/>
      <c r="FW76" s="148"/>
      <c r="FX76" s="148"/>
      <c r="FY76" s="148"/>
    </row>
    <row r="77" spans="2:283" ht="12" customHeight="1" thickBot="1" x14ac:dyDescent="0.3">
      <c r="B77" s="632"/>
      <c r="C77" s="820"/>
      <c r="D77" s="820"/>
      <c r="E77" s="820"/>
      <c r="F77" s="820"/>
      <c r="G77" s="820"/>
      <c r="H77" s="820"/>
      <c r="I77" s="820"/>
      <c r="J77" s="820"/>
      <c r="K77" s="820"/>
      <c r="L77" s="820"/>
      <c r="M77" s="820"/>
      <c r="N77" s="820"/>
      <c r="O77" s="820"/>
      <c r="P77" s="820"/>
      <c r="Q77" s="820"/>
      <c r="R77" s="820"/>
      <c r="S77" s="820"/>
      <c r="T77" s="820"/>
      <c r="U77" s="820"/>
      <c r="V77" s="820"/>
      <c r="W77" s="820"/>
      <c r="X77" s="820"/>
      <c r="Y77" s="820"/>
      <c r="Z77" s="821"/>
      <c r="AA77" s="148"/>
      <c r="AB77" s="632"/>
      <c r="AC77" s="728" t="s">
        <v>3432</v>
      </c>
      <c r="AD77" s="335"/>
      <c r="AE77" s="335"/>
      <c r="AF77" s="335"/>
      <c r="AG77" s="335"/>
      <c r="AH77" s="335"/>
      <c r="AI77" s="335"/>
      <c r="AJ77" s="335"/>
      <c r="AK77" s="335"/>
      <c r="AL77" s="335"/>
      <c r="AM77" s="335"/>
      <c r="AN77" s="335"/>
      <c r="AO77" s="335"/>
      <c r="AP77" s="335"/>
      <c r="AQ77" s="335"/>
      <c r="AR77" s="335"/>
      <c r="AS77" s="633"/>
      <c r="AU77" s="649" t="str">
        <f>IF(CharacterLevel="","","   RACE ("&amp;Tables!K3&amp;")")</f>
        <v xml:space="preserve">   RACE (0)</v>
      </c>
      <c r="AV77" s="335"/>
      <c r="AW77" s="335"/>
      <c r="AX77" s="335"/>
      <c r="AY77" s="335"/>
      <c r="AZ77" s="335"/>
      <c r="BA77" s="335"/>
      <c r="BB77" s="335"/>
      <c r="BC77" s="335"/>
      <c r="BD77" s="335"/>
      <c r="BE77" s="335"/>
      <c r="BF77" s="335"/>
      <c r="BG77" s="335"/>
      <c r="BH77" s="633"/>
      <c r="BJ77" s="653"/>
      <c r="BK77" s="786"/>
      <c r="BL77" s="786"/>
      <c r="BM77" s="786"/>
      <c r="BN77" s="786"/>
      <c r="BO77" s="786"/>
      <c r="BP77" s="786"/>
      <c r="BQ77" s="786"/>
      <c r="BR77" s="786"/>
      <c r="BS77" s="786"/>
      <c r="BT77" s="786"/>
      <c r="BU77" s="786"/>
      <c r="BV77" s="786"/>
      <c r="BW77" s="786"/>
      <c r="BX77" s="786"/>
      <c r="BY77" s="786"/>
      <c r="BZ77" s="786"/>
      <c r="CA77" s="786"/>
      <c r="CB77" s="786"/>
      <c r="CC77" s="786"/>
      <c r="CD77" s="786"/>
      <c r="CE77" s="786"/>
      <c r="CF77" s="786"/>
      <c r="CG77" s="786"/>
      <c r="CH77" s="786"/>
      <c r="CI77" s="786"/>
      <c r="CJ77" s="786"/>
      <c r="CK77" s="786"/>
      <c r="CL77" s="786"/>
      <c r="CM77" s="786"/>
      <c r="CN77" s="786"/>
      <c r="CO77" s="786"/>
      <c r="CP77" s="786"/>
      <c r="CQ77" s="787"/>
      <c r="EQ77" s="109"/>
      <c r="FG77" s="109"/>
      <c r="FH77" s="109"/>
      <c r="FI77" s="109"/>
      <c r="FJ77" s="109"/>
      <c r="FK77" s="109"/>
      <c r="FL77" s="109"/>
      <c r="FM77" s="109"/>
      <c r="FN77" s="109"/>
      <c r="FO77" s="109"/>
      <c r="FP77" s="109"/>
      <c r="FQ77" s="109"/>
      <c r="FR77" s="109"/>
      <c r="FS77" s="109"/>
      <c r="FT77" s="109"/>
      <c r="FU77" s="109"/>
      <c r="FV77" s="148"/>
      <c r="FW77" s="148"/>
      <c r="FX77" s="148"/>
      <c r="FY77" s="148"/>
    </row>
    <row r="78" spans="2:283" ht="12" customHeight="1" thickTop="1" thickBot="1" x14ac:dyDescent="0.3">
      <c r="B78" s="632" t="str">
        <f>IF(CharacterLevel="","","   BACKGROUND ("&amp;Tables!AI3&amp;")")</f>
        <v xml:space="preserve">   BACKGROUND (0)</v>
      </c>
      <c r="C78" s="643"/>
      <c r="D78" s="335"/>
      <c r="E78" s="335"/>
      <c r="F78" s="335"/>
      <c r="G78" s="335"/>
      <c r="H78" s="335"/>
      <c r="I78" s="335"/>
      <c r="J78" s="335"/>
      <c r="K78" s="347"/>
      <c r="L78" s="347"/>
      <c r="M78" s="347"/>
      <c r="N78" s="347"/>
      <c r="O78" s="335"/>
      <c r="P78" s="335"/>
      <c r="Q78" s="335"/>
      <c r="R78" s="335"/>
      <c r="S78" s="335"/>
      <c r="T78" s="335"/>
      <c r="U78" s="335"/>
      <c r="V78" s="335"/>
      <c r="W78" s="335"/>
      <c r="X78" s="335"/>
      <c r="Y78" s="335"/>
      <c r="Z78" s="633"/>
      <c r="AA78" s="148"/>
      <c r="AB78" s="632"/>
      <c r="AC78" s="775" t="str">
        <f>Tables!GG3</f>
        <v>MANEUVER 1</v>
      </c>
      <c r="AD78" s="775"/>
      <c r="AE78" s="775"/>
      <c r="AF78" s="775"/>
      <c r="AG78" s="775"/>
      <c r="AH78" s="775"/>
      <c r="AI78" s="775"/>
      <c r="AJ78" s="790" t="s">
        <v>171</v>
      </c>
      <c r="AK78" s="791"/>
      <c r="AL78" s="791"/>
      <c r="AM78" s="791"/>
      <c r="AN78" s="791"/>
      <c r="AO78" s="791"/>
      <c r="AP78" s="791"/>
      <c r="AQ78" s="791"/>
      <c r="AR78" s="792"/>
      <c r="AS78" s="633"/>
      <c r="AT78" s="148"/>
      <c r="AU78" s="637"/>
      <c r="AV78" s="786" t="str">
        <f>IF(CharacterLevel="","",Tables!J3)</f>
        <v>none</v>
      </c>
      <c r="AW78" s="786"/>
      <c r="AX78" s="786"/>
      <c r="AY78" s="786"/>
      <c r="AZ78" s="786"/>
      <c r="BA78" s="786"/>
      <c r="BB78" s="786"/>
      <c r="BC78" s="786"/>
      <c r="BD78" s="786"/>
      <c r="BE78" s="786"/>
      <c r="BF78" s="786"/>
      <c r="BG78" s="786"/>
      <c r="BH78" s="633"/>
      <c r="BI78" s="148"/>
      <c r="BJ78" s="653"/>
      <c r="BK78" s="786"/>
      <c r="BL78" s="786"/>
      <c r="BM78" s="786"/>
      <c r="BN78" s="786"/>
      <c r="BO78" s="786"/>
      <c r="BP78" s="786"/>
      <c r="BQ78" s="786"/>
      <c r="BR78" s="786"/>
      <c r="BS78" s="786"/>
      <c r="BT78" s="786"/>
      <c r="BU78" s="786"/>
      <c r="BV78" s="786"/>
      <c r="BW78" s="786"/>
      <c r="BX78" s="786"/>
      <c r="BY78" s="786"/>
      <c r="BZ78" s="786"/>
      <c r="CA78" s="786"/>
      <c r="CB78" s="786"/>
      <c r="CC78" s="786"/>
      <c r="CD78" s="786"/>
      <c r="CE78" s="786"/>
      <c r="CF78" s="786"/>
      <c r="CG78" s="786"/>
      <c r="CH78" s="786"/>
      <c r="CI78" s="786"/>
      <c r="CJ78" s="786"/>
      <c r="CK78" s="786"/>
      <c r="CL78" s="786"/>
      <c r="CM78" s="786"/>
      <c r="CN78" s="786"/>
      <c r="CO78" s="786"/>
      <c r="CP78" s="786"/>
      <c r="CQ78" s="787"/>
      <c r="EQ78" s="109"/>
      <c r="FG78" s="109"/>
      <c r="FH78" s="109"/>
      <c r="FI78" s="109"/>
      <c r="FJ78" s="109"/>
      <c r="FK78" s="109"/>
      <c r="FL78" s="109"/>
      <c r="FM78" s="109"/>
      <c r="FN78" s="109"/>
      <c r="FO78" s="109"/>
      <c r="FP78" s="109"/>
      <c r="FQ78" s="109"/>
      <c r="FR78" s="109"/>
      <c r="FS78" s="109"/>
      <c r="FT78" s="109"/>
      <c r="FU78" s="109"/>
      <c r="FV78" s="148"/>
      <c r="FW78" s="148"/>
      <c r="FX78" s="148"/>
      <c r="FY78" s="148"/>
    </row>
    <row r="79" spans="2:283" ht="12" customHeight="1" thickTop="1" thickBot="1" x14ac:dyDescent="0.3">
      <c r="B79" s="632"/>
      <c r="C79" s="786" t="str">
        <f>IF(CharacterLevel="","",Tables!AH3)</f>
        <v>none</v>
      </c>
      <c r="D79" s="786"/>
      <c r="E79" s="786"/>
      <c r="F79" s="786"/>
      <c r="G79" s="786"/>
      <c r="H79" s="786"/>
      <c r="I79" s="786"/>
      <c r="J79" s="786"/>
      <c r="K79" s="786"/>
      <c r="L79" s="786"/>
      <c r="M79" s="786"/>
      <c r="N79" s="786"/>
      <c r="O79" s="786"/>
      <c r="P79" s="786"/>
      <c r="Q79" s="786"/>
      <c r="R79" s="786"/>
      <c r="S79" s="786"/>
      <c r="T79" s="786"/>
      <c r="U79" s="786"/>
      <c r="V79" s="786"/>
      <c r="W79" s="786"/>
      <c r="X79" s="786"/>
      <c r="Y79" s="786"/>
      <c r="Z79" s="787"/>
      <c r="AA79" s="148"/>
      <c r="AB79" s="632"/>
      <c r="AC79" s="775" t="str">
        <f>Tables!GG4</f>
        <v>MANEUVER 2</v>
      </c>
      <c r="AD79" s="775"/>
      <c r="AE79" s="775"/>
      <c r="AF79" s="775"/>
      <c r="AG79" s="775"/>
      <c r="AH79" s="775"/>
      <c r="AI79" s="775"/>
      <c r="AJ79" s="790" t="s">
        <v>171</v>
      </c>
      <c r="AK79" s="791"/>
      <c r="AL79" s="791"/>
      <c r="AM79" s="791"/>
      <c r="AN79" s="791"/>
      <c r="AO79" s="791"/>
      <c r="AP79" s="791"/>
      <c r="AQ79" s="791"/>
      <c r="AR79" s="792"/>
      <c r="AS79" s="633"/>
      <c r="AU79" s="632"/>
      <c r="AV79" s="786"/>
      <c r="AW79" s="786"/>
      <c r="AX79" s="786"/>
      <c r="AY79" s="786"/>
      <c r="AZ79" s="786"/>
      <c r="BA79" s="786"/>
      <c r="BB79" s="786"/>
      <c r="BC79" s="786"/>
      <c r="BD79" s="786"/>
      <c r="BE79" s="786"/>
      <c r="BF79" s="786"/>
      <c r="BG79" s="786"/>
      <c r="BH79" s="633"/>
      <c r="BJ79" s="653"/>
      <c r="BK79" s="786"/>
      <c r="BL79" s="786"/>
      <c r="BM79" s="786"/>
      <c r="BN79" s="786"/>
      <c r="BO79" s="786"/>
      <c r="BP79" s="786"/>
      <c r="BQ79" s="786"/>
      <c r="BR79" s="786"/>
      <c r="BS79" s="786"/>
      <c r="BT79" s="786"/>
      <c r="BU79" s="786"/>
      <c r="BV79" s="786"/>
      <c r="BW79" s="786"/>
      <c r="BX79" s="786"/>
      <c r="BY79" s="786"/>
      <c r="BZ79" s="786"/>
      <c r="CA79" s="786"/>
      <c r="CB79" s="786"/>
      <c r="CC79" s="786"/>
      <c r="CD79" s="786"/>
      <c r="CE79" s="786"/>
      <c r="CF79" s="786"/>
      <c r="CG79" s="786"/>
      <c r="CH79" s="786"/>
      <c r="CI79" s="786"/>
      <c r="CJ79" s="786"/>
      <c r="CK79" s="786"/>
      <c r="CL79" s="786"/>
      <c r="CM79" s="786"/>
      <c r="CN79" s="786"/>
      <c r="CO79" s="786"/>
      <c r="CP79" s="786"/>
      <c r="CQ79" s="787"/>
      <c r="EQ79" s="109"/>
      <c r="FG79" s="109"/>
      <c r="FH79" s="109"/>
      <c r="FI79" s="109"/>
      <c r="FJ79" s="109"/>
      <c r="FK79" s="109"/>
      <c r="FL79" s="109"/>
      <c r="FM79" s="109"/>
      <c r="FN79" s="109"/>
      <c r="FO79" s="109"/>
      <c r="FP79" s="109"/>
      <c r="FQ79" s="109"/>
      <c r="FR79" s="109"/>
      <c r="FS79" s="109"/>
      <c r="FT79" s="109"/>
      <c r="FU79" s="109"/>
      <c r="FV79" s="148"/>
      <c r="FW79" s="148"/>
      <c r="FX79" s="148"/>
      <c r="FY79" s="148"/>
      <c r="IT79" s="105"/>
      <c r="IU79" s="105"/>
      <c r="IV79" s="105"/>
      <c r="IW79" s="105"/>
      <c r="IX79" s="105"/>
      <c r="IY79" s="105"/>
      <c r="IZ79" s="105"/>
      <c r="JA79" s="105"/>
      <c r="JB79" s="105"/>
      <c r="JC79" s="105"/>
      <c r="JD79" s="105"/>
      <c r="JE79" s="105"/>
      <c r="JF79" s="105"/>
      <c r="JG79" s="105"/>
      <c r="JH79" s="105"/>
      <c r="JI79" s="105"/>
      <c r="JJ79" s="105"/>
      <c r="JK79" s="105"/>
      <c r="JL79" s="105"/>
      <c r="JM79" s="105"/>
      <c r="JN79" s="105"/>
      <c r="JO79" s="105"/>
      <c r="JP79" s="105"/>
      <c r="JQ79" s="105"/>
      <c r="JR79" s="105"/>
      <c r="JS79" s="105"/>
      <c r="JT79" s="105"/>
      <c r="JU79" s="105"/>
      <c r="JV79" s="105"/>
      <c r="JW79" s="105"/>
    </row>
    <row r="80" spans="2:283" ht="12" customHeight="1" thickTop="1" thickBot="1" x14ac:dyDescent="0.3">
      <c r="B80" s="632"/>
      <c r="C80" s="786"/>
      <c r="D80" s="786"/>
      <c r="E80" s="786"/>
      <c r="F80" s="786"/>
      <c r="G80" s="786"/>
      <c r="H80" s="786"/>
      <c r="I80" s="786"/>
      <c r="J80" s="786"/>
      <c r="K80" s="786"/>
      <c r="L80" s="786"/>
      <c r="M80" s="786"/>
      <c r="N80" s="786"/>
      <c r="O80" s="786"/>
      <c r="P80" s="786"/>
      <c r="Q80" s="786"/>
      <c r="R80" s="786"/>
      <c r="S80" s="786"/>
      <c r="T80" s="786"/>
      <c r="U80" s="786"/>
      <c r="V80" s="786"/>
      <c r="W80" s="786"/>
      <c r="X80" s="786"/>
      <c r="Y80" s="786"/>
      <c r="Z80" s="787"/>
      <c r="AB80" s="632"/>
      <c r="AC80" s="775" t="str">
        <f>Tables!GG5</f>
        <v>MANEUVER 3</v>
      </c>
      <c r="AD80" s="775"/>
      <c r="AE80" s="775"/>
      <c r="AF80" s="775"/>
      <c r="AG80" s="775"/>
      <c r="AH80" s="775"/>
      <c r="AI80" s="775"/>
      <c r="AJ80" s="790" t="s">
        <v>171</v>
      </c>
      <c r="AK80" s="791"/>
      <c r="AL80" s="791"/>
      <c r="AM80" s="791"/>
      <c r="AN80" s="791"/>
      <c r="AO80" s="791"/>
      <c r="AP80" s="791"/>
      <c r="AQ80" s="791"/>
      <c r="AR80" s="792"/>
      <c r="AS80" s="633"/>
      <c r="AU80" s="632" t="str">
        <f>IF(CharacterLevel="","","   BACKGROUND ("&amp;Tables!AK3&amp;")")</f>
        <v xml:space="preserve">   BACKGROUND (0)</v>
      </c>
      <c r="AV80" s="335"/>
      <c r="AW80" s="335"/>
      <c r="AX80" s="335"/>
      <c r="AY80" s="335"/>
      <c r="AZ80" s="335"/>
      <c r="BA80" s="335"/>
      <c r="BB80" s="335"/>
      <c r="BC80" s="335"/>
      <c r="BD80" s="335"/>
      <c r="BE80" s="335"/>
      <c r="BF80" s="335"/>
      <c r="BG80" s="335"/>
      <c r="BH80" s="633"/>
      <c r="BJ80" s="653"/>
      <c r="BK80" s="786"/>
      <c r="BL80" s="786"/>
      <c r="BM80" s="786"/>
      <c r="BN80" s="786"/>
      <c r="BO80" s="786"/>
      <c r="BP80" s="786"/>
      <c r="BQ80" s="786"/>
      <c r="BR80" s="786"/>
      <c r="BS80" s="786"/>
      <c r="BT80" s="786"/>
      <c r="BU80" s="786"/>
      <c r="BV80" s="786"/>
      <c r="BW80" s="786"/>
      <c r="BX80" s="786"/>
      <c r="BY80" s="786"/>
      <c r="BZ80" s="786"/>
      <c r="CA80" s="786"/>
      <c r="CB80" s="786"/>
      <c r="CC80" s="786"/>
      <c r="CD80" s="786"/>
      <c r="CE80" s="786"/>
      <c r="CF80" s="786"/>
      <c r="CG80" s="786"/>
      <c r="CH80" s="786"/>
      <c r="CI80" s="786"/>
      <c r="CJ80" s="786"/>
      <c r="CK80" s="786"/>
      <c r="CL80" s="786"/>
      <c r="CM80" s="786"/>
      <c r="CN80" s="786"/>
      <c r="CO80" s="786"/>
      <c r="CP80" s="786"/>
      <c r="CQ80" s="787"/>
      <c r="EQ80" s="109"/>
      <c r="FG80" s="109"/>
      <c r="FH80" s="109"/>
      <c r="FI80" s="109"/>
      <c r="FJ80" s="109"/>
      <c r="FK80" s="109"/>
      <c r="FL80" s="109"/>
      <c r="FM80" s="109"/>
      <c r="FN80" s="109"/>
      <c r="FO80" s="109"/>
      <c r="FP80" s="109"/>
      <c r="FQ80" s="109"/>
      <c r="FR80" s="109"/>
      <c r="FS80" s="109"/>
      <c r="FT80" s="109"/>
      <c r="FU80" s="109"/>
      <c r="FV80" s="148"/>
      <c r="FW80" s="148"/>
      <c r="FX80" s="148"/>
      <c r="FY80" s="148"/>
      <c r="IT80" s="105"/>
      <c r="IU80" s="105"/>
      <c r="IV80" s="105"/>
      <c r="IW80" s="105"/>
      <c r="IX80" s="105"/>
      <c r="IY80" s="105"/>
      <c r="IZ80" s="105"/>
      <c r="JA80" s="105"/>
      <c r="JB80" s="105"/>
      <c r="JC80" s="105"/>
      <c r="JD80" s="105"/>
      <c r="JE80" s="105"/>
      <c r="JF80" s="105"/>
      <c r="JG80" s="105"/>
      <c r="JH80" s="105"/>
      <c r="JI80" s="105"/>
      <c r="JJ80" s="105"/>
      <c r="JK80" s="105"/>
      <c r="JL80" s="105"/>
      <c r="JM80" s="105"/>
      <c r="JN80" s="105"/>
      <c r="JO80" s="105"/>
      <c r="JP80" s="105"/>
      <c r="JQ80" s="105"/>
      <c r="JR80" s="105"/>
      <c r="JS80" s="105"/>
      <c r="JT80" s="105"/>
      <c r="JU80" s="105"/>
      <c r="JV80" s="105"/>
      <c r="JW80" s="105"/>
    </row>
    <row r="81" spans="2:283" ht="12" customHeight="1" thickTop="1" thickBot="1" x14ac:dyDescent="0.3">
      <c r="B81" s="632" t="str">
        <f>IF(CharacterLevel="","","   CLASS ("&amp;Tables!CJ1&amp;")")</f>
        <v xml:space="preserve">   CLASS (0)</v>
      </c>
      <c r="C81" s="643"/>
      <c r="D81" s="335"/>
      <c r="E81" s="335"/>
      <c r="F81" s="335"/>
      <c r="G81" s="335"/>
      <c r="H81" s="347"/>
      <c r="I81" s="347"/>
      <c r="J81" s="347"/>
      <c r="K81" s="347"/>
      <c r="L81" s="347"/>
      <c r="M81" s="347"/>
      <c r="N81" s="347"/>
      <c r="O81" s="347"/>
      <c r="P81" s="347"/>
      <c r="Q81" s="347"/>
      <c r="R81" s="347"/>
      <c r="S81" s="347"/>
      <c r="T81" s="347"/>
      <c r="U81" s="347"/>
      <c r="V81" s="347"/>
      <c r="W81" s="347"/>
      <c r="X81" s="347"/>
      <c r="Y81" s="347"/>
      <c r="Z81" s="633"/>
      <c r="AB81" s="632"/>
      <c r="AC81" s="775" t="str">
        <f>Tables!GG6</f>
        <v>MANEUVER 4</v>
      </c>
      <c r="AD81" s="775"/>
      <c r="AE81" s="775"/>
      <c r="AF81" s="775"/>
      <c r="AG81" s="775"/>
      <c r="AH81" s="775"/>
      <c r="AI81" s="775"/>
      <c r="AJ81" s="790" t="s">
        <v>171</v>
      </c>
      <c r="AK81" s="791"/>
      <c r="AL81" s="791"/>
      <c r="AM81" s="791"/>
      <c r="AN81" s="791"/>
      <c r="AO81" s="791"/>
      <c r="AP81" s="791"/>
      <c r="AQ81" s="791"/>
      <c r="AR81" s="792"/>
      <c r="AS81" s="633"/>
      <c r="AU81" s="632"/>
      <c r="AV81" s="785" t="str">
        <f>IF(CharacterLevel="","",Tables!AJ3)</f>
        <v>none</v>
      </c>
      <c r="AW81" s="785"/>
      <c r="AX81" s="785"/>
      <c r="AY81" s="785"/>
      <c r="AZ81" s="785"/>
      <c r="BA81" s="785"/>
      <c r="BB81" s="785"/>
      <c r="BC81" s="785"/>
      <c r="BD81" s="785"/>
      <c r="BE81" s="785"/>
      <c r="BF81" s="785"/>
      <c r="BG81" s="785"/>
      <c r="BH81" s="633"/>
      <c r="BJ81" s="653"/>
      <c r="BK81" s="786"/>
      <c r="BL81" s="786"/>
      <c r="BM81" s="786"/>
      <c r="BN81" s="786"/>
      <c r="BO81" s="786"/>
      <c r="BP81" s="786"/>
      <c r="BQ81" s="786"/>
      <c r="BR81" s="786"/>
      <c r="BS81" s="786"/>
      <c r="BT81" s="786"/>
      <c r="BU81" s="786"/>
      <c r="BV81" s="786"/>
      <c r="BW81" s="786"/>
      <c r="BX81" s="786"/>
      <c r="BY81" s="786"/>
      <c r="BZ81" s="786"/>
      <c r="CA81" s="786"/>
      <c r="CB81" s="786"/>
      <c r="CC81" s="786"/>
      <c r="CD81" s="786"/>
      <c r="CE81" s="786"/>
      <c r="CF81" s="786"/>
      <c r="CG81" s="786"/>
      <c r="CH81" s="786"/>
      <c r="CI81" s="786"/>
      <c r="CJ81" s="786"/>
      <c r="CK81" s="786"/>
      <c r="CL81" s="786"/>
      <c r="CM81" s="786"/>
      <c r="CN81" s="786"/>
      <c r="CO81" s="786"/>
      <c r="CP81" s="786"/>
      <c r="CQ81" s="787"/>
      <c r="EQ81" s="109"/>
      <c r="FG81" s="109"/>
      <c r="FH81" s="109"/>
      <c r="FI81" s="109"/>
      <c r="FJ81" s="109"/>
      <c r="FK81" s="109"/>
      <c r="FL81" s="109"/>
      <c r="FM81" s="109"/>
      <c r="FN81" s="109"/>
      <c r="FO81" s="109"/>
      <c r="FP81" s="109"/>
      <c r="FQ81" s="109"/>
      <c r="FR81" s="109"/>
      <c r="FS81" s="109"/>
      <c r="FT81" s="109"/>
      <c r="FU81" s="109"/>
      <c r="FV81" s="148"/>
      <c r="FW81" s="148"/>
      <c r="FX81" s="148"/>
      <c r="FY81" s="148"/>
      <c r="IT81" s="105"/>
      <c r="IU81" s="105"/>
      <c r="IV81" s="105"/>
      <c r="IW81" s="105"/>
      <c r="IX81" s="105"/>
      <c r="IY81" s="105"/>
      <c r="IZ81" s="105"/>
      <c r="JA81" s="105"/>
      <c r="JB81" s="105"/>
      <c r="JC81" s="105"/>
      <c r="JD81" s="105"/>
      <c r="JE81" s="105"/>
      <c r="JF81" s="105"/>
      <c r="JG81" s="105"/>
      <c r="JH81" s="105"/>
      <c r="JI81" s="105"/>
      <c r="JJ81" s="105"/>
      <c r="JK81" s="105"/>
      <c r="JL81" s="105"/>
      <c r="JM81" s="105"/>
      <c r="JN81" s="105"/>
      <c r="JO81" s="105"/>
      <c r="JP81" s="105"/>
      <c r="JQ81" s="105"/>
      <c r="JR81" s="105"/>
      <c r="JS81" s="105"/>
      <c r="JT81" s="105"/>
      <c r="JU81" s="105"/>
      <c r="JV81" s="105"/>
      <c r="JW81" s="105"/>
    </row>
    <row r="82" spans="2:283" ht="12" customHeight="1" thickTop="1" thickBot="1" x14ac:dyDescent="0.3">
      <c r="B82" s="632"/>
      <c r="C82" s="786" t="str">
        <f>IF(CharacterLevel="","",Tables!DH2)</f>
        <v>none</v>
      </c>
      <c r="D82" s="786"/>
      <c r="E82" s="786"/>
      <c r="F82" s="786"/>
      <c r="G82" s="786"/>
      <c r="H82" s="786"/>
      <c r="I82" s="786"/>
      <c r="J82" s="786"/>
      <c r="K82" s="786"/>
      <c r="L82" s="786"/>
      <c r="M82" s="786"/>
      <c r="N82" s="786"/>
      <c r="O82" s="786"/>
      <c r="P82" s="786"/>
      <c r="Q82" s="786"/>
      <c r="R82" s="786"/>
      <c r="S82" s="786"/>
      <c r="T82" s="786"/>
      <c r="U82" s="786"/>
      <c r="V82" s="786"/>
      <c r="W82" s="786"/>
      <c r="X82" s="786"/>
      <c r="Y82" s="786"/>
      <c r="Z82" s="787"/>
      <c r="AB82" s="632"/>
      <c r="AC82" s="775" t="str">
        <f>Tables!GG7</f>
        <v>MANEUVER 5</v>
      </c>
      <c r="AD82" s="775"/>
      <c r="AE82" s="775"/>
      <c r="AF82" s="775"/>
      <c r="AG82" s="775"/>
      <c r="AH82" s="775"/>
      <c r="AI82" s="775"/>
      <c r="AJ82" s="790" t="s">
        <v>171</v>
      </c>
      <c r="AK82" s="791"/>
      <c r="AL82" s="791"/>
      <c r="AM82" s="791"/>
      <c r="AN82" s="791"/>
      <c r="AO82" s="791"/>
      <c r="AP82" s="791"/>
      <c r="AQ82" s="791"/>
      <c r="AR82" s="792"/>
      <c r="AS82" s="633"/>
      <c r="AU82" s="632"/>
      <c r="AV82" s="785"/>
      <c r="AW82" s="785"/>
      <c r="AX82" s="785"/>
      <c r="AY82" s="785"/>
      <c r="AZ82" s="785"/>
      <c r="BA82" s="785"/>
      <c r="BB82" s="785"/>
      <c r="BC82" s="785"/>
      <c r="BD82" s="785"/>
      <c r="BE82" s="785"/>
      <c r="BF82" s="785"/>
      <c r="BG82" s="785"/>
      <c r="BH82" s="633"/>
      <c r="BJ82" s="653"/>
      <c r="BK82" s="786"/>
      <c r="BL82" s="786"/>
      <c r="BM82" s="786"/>
      <c r="BN82" s="786"/>
      <c r="BO82" s="786"/>
      <c r="BP82" s="786"/>
      <c r="BQ82" s="786"/>
      <c r="BR82" s="786"/>
      <c r="BS82" s="786"/>
      <c r="BT82" s="786"/>
      <c r="BU82" s="786"/>
      <c r="BV82" s="786"/>
      <c r="BW82" s="786"/>
      <c r="BX82" s="786"/>
      <c r="BY82" s="786"/>
      <c r="BZ82" s="786"/>
      <c r="CA82" s="786"/>
      <c r="CB82" s="786"/>
      <c r="CC82" s="786"/>
      <c r="CD82" s="786"/>
      <c r="CE82" s="786"/>
      <c r="CF82" s="786"/>
      <c r="CG82" s="786"/>
      <c r="CH82" s="786"/>
      <c r="CI82" s="786"/>
      <c r="CJ82" s="786"/>
      <c r="CK82" s="786"/>
      <c r="CL82" s="786"/>
      <c r="CM82" s="786"/>
      <c r="CN82" s="786"/>
      <c r="CO82" s="786"/>
      <c r="CP82" s="786"/>
      <c r="CQ82" s="787"/>
      <c r="EQ82" s="109"/>
      <c r="FG82" s="109"/>
      <c r="FH82" s="109"/>
      <c r="FI82" s="109"/>
      <c r="FJ82" s="109"/>
      <c r="FK82" s="109"/>
      <c r="FL82" s="109"/>
      <c r="FM82" s="109"/>
      <c r="FN82" s="109"/>
      <c r="FO82" s="109"/>
      <c r="FP82" s="109"/>
      <c r="FQ82" s="109"/>
      <c r="FR82" s="109"/>
      <c r="FS82" s="109"/>
      <c r="FT82" s="109"/>
      <c r="FU82" s="109"/>
      <c r="FV82" s="148"/>
      <c r="FW82" s="148"/>
      <c r="FX82" s="148"/>
      <c r="FY82" s="148"/>
      <c r="IT82" s="105"/>
      <c r="IU82" s="105"/>
      <c r="IV82" s="105"/>
      <c r="IW82" s="105"/>
      <c r="IX82" s="105"/>
      <c r="IY82" s="105"/>
      <c r="IZ82" s="105"/>
      <c r="JA82" s="105"/>
      <c r="JB82" s="105"/>
      <c r="JC82" s="105"/>
      <c r="JD82" s="105"/>
      <c r="JE82" s="105"/>
      <c r="JF82" s="105"/>
      <c r="JG82" s="105"/>
      <c r="JH82" s="105"/>
      <c r="JI82" s="105"/>
      <c r="JJ82" s="105"/>
      <c r="JK82" s="105"/>
      <c r="JL82" s="105"/>
      <c r="JM82" s="105"/>
      <c r="JN82" s="105"/>
      <c r="JO82" s="105"/>
      <c r="JP82" s="105"/>
      <c r="JQ82" s="105"/>
      <c r="JR82" s="105"/>
      <c r="JS82" s="105"/>
      <c r="JT82" s="105"/>
      <c r="JU82" s="105"/>
      <c r="JV82" s="105"/>
      <c r="JW82" s="105"/>
    </row>
    <row r="83" spans="2:283" ht="12" customHeight="1" thickTop="1" thickBot="1" x14ac:dyDescent="0.3">
      <c r="B83" s="632"/>
      <c r="C83" s="786"/>
      <c r="D83" s="786"/>
      <c r="E83" s="786"/>
      <c r="F83" s="786"/>
      <c r="G83" s="786"/>
      <c r="H83" s="786"/>
      <c r="I83" s="786"/>
      <c r="J83" s="786"/>
      <c r="K83" s="786"/>
      <c r="L83" s="786"/>
      <c r="M83" s="786"/>
      <c r="N83" s="786"/>
      <c r="O83" s="786"/>
      <c r="P83" s="786"/>
      <c r="Q83" s="786"/>
      <c r="R83" s="786"/>
      <c r="S83" s="786"/>
      <c r="T83" s="786"/>
      <c r="U83" s="786"/>
      <c r="V83" s="786"/>
      <c r="W83" s="786"/>
      <c r="X83" s="786"/>
      <c r="Y83" s="786"/>
      <c r="Z83" s="787"/>
      <c r="AB83" s="632"/>
      <c r="AC83" s="775" t="str">
        <f>Tables!GG8</f>
        <v>MANEUVER 6</v>
      </c>
      <c r="AD83" s="775"/>
      <c r="AE83" s="775"/>
      <c r="AF83" s="775"/>
      <c r="AG83" s="775"/>
      <c r="AH83" s="775"/>
      <c r="AI83" s="775"/>
      <c r="AJ83" s="790" t="s">
        <v>171</v>
      </c>
      <c r="AK83" s="791"/>
      <c r="AL83" s="791"/>
      <c r="AM83" s="791"/>
      <c r="AN83" s="791"/>
      <c r="AO83" s="791"/>
      <c r="AP83" s="791"/>
      <c r="AQ83" s="791"/>
      <c r="AR83" s="792"/>
      <c r="AS83" s="633"/>
      <c r="AU83" s="632" t="str">
        <f>IF(CharacterLevel="","","   CLASS ("&amp;Tables!CE1&amp;")")</f>
        <v xml:space="preserve">   CLASS (0)</v>
      </c>
      <c r="AV83" s="335"/>
      <c r="AW83" s="335"/>
      <c r="AX83" s="335"/>
      <c r="AY83" s="335"/>
      <c r="AZ83" s="335"/>
      <c r="BA83" s="335"/>
      <c r="BB83" s="335"/>
      <c r="BC83" s="335"/>
      <c r="BD83" s="335"/>
      <c r="BE83" s="335"/>
      <c r="BF83" s="335"/>
      <c r="BG83" s="335"/>
      <c r="BH83" s="633"/>
      <c r="BJ83" s="653"/>
      <c r="BK83" s="786"/>
      <c r="BL83" s="786"/>
      <c r="BM83" s="786"/>
      <c r="BN83" s="786"/>
      <c r="BO83" s="786"/>
      <c r="BP83" s="786"/>
      <c r="BQ83" s="786"/>
      <c r="BR83" s="786"/>
      <c r="BS83" s="786"/>
      <c r="BT83" s="786"/>
      <c r="BU83" s="786"/>
      <c r="BV83" s="786"/>
      <c r="BW83" s="786"/>
      <c r="BX83" s="786"/>
      <c r="BY83" s="786"/>
      <c r="BZ83" s="786"/>
      <c r="CA83" s="786"/>
      <c r="CB83" s="786"/>
      <c r="CC83" s="786"/>
      <c r="CD83" s="786"/>
      <c r="CE83" s="786"/>
      <c r="CF83" s="786"/>
      <c r="CG83" s="786"/>
      <c r="CH83" s="786"/>
      <c r="CI83" s="786"/>
      <c r="CJ83" s="786"/>
      <c r="CK83" s="786"/>
      <c r="CL83" s="786"/>
      <c r="CM83" s="786"/>
      <c r="CN83" s="786"/>
      <c r="CO83" s="786"/>
      <c r="CP83" s="786"/>
      <c r="CQ83" s="787"/>
      <c r="EQ83" s="109"/>
      <c r="FG83" s="109"/>
      <c r="FH83" s="109"/>
      <c r="FI83" s="109"/>
      <c r="FJ83" s="109"/>
      <c r="FK83" s="109"/>
      <c r="FL83" s="109"/>
      <c r="FM83" s="109"/>
      <c r="FN83" s="109"/>
      <c r="FO83" s="109"/>
      <c r="FP83" s="109"/>
      <c r="FQ83" s="109"/>
      <c r="FR83" s="109"/>
      <c r="FS83" s="109"/>
      <c r="FT83" s="109"/>
      <c r="FU83" s="109"/>
      <c r="FV83" s="148"/>
      <c r="FW83" s="148"/>
      <c r="FX83" s="148"/>
      <c r="FY83" s="148"/>
      <c r="IT83" s="105"/>
      <c r="IU83" s="105"/>
      <c r="IV83" s="105"/>
      <c r="IW83" s="105"/>
      <c r="IX83" s="105"/>
      <c r="IY83" s="105"/>
      <c r="IZ83" s="105"/>
      <c r="JA83" s="105"/>
      <c r="JB83" s="105"/>
      <c r="JC83" s="105"/>
      <c r="JD83" s="105"/>
      <c r="JE83" s="105"/>
      <c r="JF83" s="105"/>
      <c r="JG83" s="105"/>
      <c r="JH83" s="105"/>
      <c r="JI83" s="105"/>
      <c r="JJ83" s="105"/>
      <c r="JK83" s="105"/>
      <c r="JL83" s="105"/>
      <c r="JM83" s="105"/>
      <c r="JN83" s="105"/>
      <c r="JO83" s="105"/>
      <c r="JP83" s="105"/>
      <c r="JQ83" s="105"/>
      <c r="JR83" s="105"/>
      <c r="JS83" s="105"/>
      <c r="JT83" s="105"/>
      <c r="JU83" s="105"/>
      <c r="JV83" s="105"/>
      <c r="JW83" s="105"/>
    </row>
    <row r="84" spans="2:283" ht="12" customHeight="1" thickTop="1" thickBot="1" x14ac:dyDescent="0.3">
      <c r="B84" s="632"/>
      <c r="C84" s="786"/>
      <c r="D84" s="786"/>
      <c r="E84" s="786"/>
      <c r="F84" s="786"/>
      <c r="G84" s="786"/>
      <c r="H84" s="786"/>
      <c r="I84" s="786"/>
      <c r="J84" s="786"/>
      <c r="K84" s="786"/>
      <c r="L84" s="786"/>
      <c r="M84" s="786"/>
      <c r="N84" s="786"/>
      <c r="O84" s="786"/>
      <c r="P84" s="786"/>
      <c r="Q84" s="786"/>
      <c r="R84" s="786"/>
      <c r="S84" s="786"/>
      <c r="T84" s="786"/>
      <c r="U84" s="786"/>
      <c r="V84" s="786"/>
      <c r="W84" s="786"/>
      <c r="X84" s="786"/>
      <c r="Y84" s="786"/>
      <c r="Z84" s="787"/>
      <c r="AB84" s="632"/>
      <c r="AC84" s="775" t="str">
        <f>Tables!GG9</f>
        <v>MANEUVER 7</v>
      </c>
      <c r="AD84" s="775"/>
      <c r="AE84" s="775"/>
      <c r="AF84" s="775"/>
      <c r="AG84" s="775"/>
      <c r="AH84" s="775"/>
      <c r="AI84" s="775"/>
      <c r="AJ84" s="790" t="s">
        <v>171</v>
      </c>
      <c r="AK84" s="791"/>
      <c r="AL84" s="791"/>
      <c r="AM84" s="791"/>
      <c r="AN84" s="791"/>
      <c r="AO84" s="791"/>
      <c r="AP84" s="791"/>
      <c r="AQ84" s="791"/>
      <c r="AR84" s="792"/>
      <c r="AS84" s="633"/>
      <c r="AU84" s="632"/>
      <c r="AV84" s="786" t="str">
        <f>IF(CharacterLevel="","",Tables!KT3)</f>
        <v>none</v>
      </c>
      <c r="AW84" s="786"/>
      <c r="AX84" s="786"/>
      <c r="AY84" s="786"/>
      <c r="AZ84" s="786"/>
      <c r="BA84" s="786"/>
      <c r="BB84" s="786"/>
      <c r="BC84" s="786"/>
      <c r="BD84" s="786"/>
      <c r="BE84" s="786"/>
      <c r="BF84" s="786"/>
      <c r="BG84" s="786"/>
      <c r="BH84" s="633"/>
      <c r="BJ84" s="653"/>
      <c r="BK84" s="786"/>
      <c r="BL84" s="786"/>
      <c r="BM84" s="786"/>
      <c r="BN84" s="786"/>
      <c r="BO84" s="786"/>
      <c r="BP84" s="786"/>
      <c r="BQ84" s="786"/>
      <c r="BR84" s="786"/>
      <c r="BS84" s="786"/>
      <c r="BT84" s="786"/>
      <c r="BU84" s="786"/>
      <c r="BV84" s="786"/>
      <c r="BW84" s="786"/>
      <c r="BX84" s="786"/>
      <c r="BY84" s="786"/>
      <c r="BZ84" s="786"/>
      <c r="CA84" s="786"/>
      <c r="CB84" s="786"/>
      <c r="CC84" s="786"/>
      <c r="CD84" s="786"/>
      <c r="CE84" s="786"/>
      <c r="CF84" s="786"/>
      <c r="CG84" s="786"/>
      <c r="CH84" s="786"/>
      <c r="CI84" s="786"/>
      <c r="CJ84" s="786"/>
      <c r="CK84" s="786"/>
      <c r="CL84" s="786"/>
      <c r="CM84" s="786"/>
      <c r="CN84" s="786"/>
      <c r="CO84" s="786"/>
      <c r="CP84" s="786"/>
      <c r="CQ84" s="787"/>
      <c r="EQ84" s="109"/>
      <c r="FM84" s="109"/>
      <c r="FN84" s="109"/>
      <c r="FO84" s="109"/>
      <c r="FP84" s="109"/>
      <c r="FQ84" s="109"/>
      <c r="FR84" s="109"/>
      <c r="FS84" s="109"/>
      <c r="FT84" s="109"/>
      <c r="FU84" s="109"/>
      <c r="FV84" s="148"/>
      <c r="FW84" s="148"/>
      <c r="FX84" s="148"/>
      <c r="FY84" s="148"/>
      <c r="IT84" s="105"/>
      <c r="IU84" s="105"/>
      <c r="IV84" s="105"/>
      <c r="IW84" s="105"/>
      <c r="IX84" s="105"/>
      <c r="IY84" s="105"/>
      <c r="IZ84" s="105"/>
      <c r="JA84" s="105"/>
      <c r="JB84" s="105"/>
      <c r="JC84" s="105"/>
      <c r="JD84" s="105"/>
      <c r="JE84" s="105"/>
      <c r="JF84" s="105"/>
      <c r="JG84" s="105"/>
      <c r="JH84" s="105"/>
      <c r="JI84" s="105"/>
      <c r="JJ84" s="105"/>
      <c r="JK84" s="105"/>
      <c r="JL84" s="105"/>
      <c r="JM84" s="105"/>
      <c r="JN84" s="105"/>
      <c r="JO84" s="105"/>
      <c r="JP84" s="105"/>
      <c r="JQ84" s="105"/>
      <c r="JR84" s="105"/>
      <c r="JS84" s="105"/>
      <c r="JT84" s="105"/>
      <c r="JU84" s="105"/>
      <c r="JV84" s="105"/>
      <c r="JW84" s="105"/>
    </row>
    <row r="85" spans="2:283" ht="12" customHeight="1" thickTop="1" thickBot="1" x14ac:dyDescent="0.3">
      <c r="B85" s="632"/>
      <c r="C85" s="786"/>
      <c r="D85" s="786"/>
      <c r="E85" s="786"/>
      <c r="F85" s="786"/>
      <c r="G85" s="786"/>
      <c r="H85" s="786"/>
      <c r="I85" s="786"/>
      <c r="J85" s="786"/>
      <c r="K85" s="786"/>
      <c r="L85" s="786"/>
      <c r="M85" s="786"/>
      <c r="N85" s="786"/>
      <c r="O85" s="786"/>
      <c r="P85" s="786"/>
      <c r="Q85" s="786"/>
      <c r="R85" s="786"/>
      <c r="S85" s="786"/>
      <c r="T85" s="786"/>
      <c r="U85" s="786"/>
      <c r="V85" s="786"/>
      <c r="W85" s="786"/>
      <c r="X85" s="786"/>
      <c r="Y85" s="786"/>
      <c r="Z85" s="787"/>
      <c r="AB85" s="632"/>
      <c r="AC85" s="775" t="str">
        <f>Tables!GG10</f>
        <v>MANEUVER 8</v>
      </c>
      <c r="AD85" s="775"/>
      <c r="AE85" s="775"/>
      <c r="AF85" s="775"/>
      <c r="AG85" s="775"/>
      <c r="AH85" s="775"/>
      <c r="AI85" s="775"/>
      <c r="AJ85" s="790" t="s">
        <v>171</v>
      </c>
      <c r="AK85" s="791"/>
      <c r="AL85" s="791"/>
      <c r="AM85" s="791"/>
      <c r="AN85" s="791"/>
      <c r="AO85" s="791"/>
      <c r="AP85" s="791"/>
      <c r="AQ85" s="791"/>
      <c r="AR85" s="792"/>
      <c r="AS85" s="633"/>
      <c r="AU85" s="632"/>
      <c r="AV85" s="786"/>
      <c r="AW85" s="786"/>
      <c r="AX85" s="786"/>
      <c r="AY85" s="786"/>
      <c r="AZ85" s="786"/>
      <c r="BA85" s="786"/>
      <c r="BB85" s="786"/>
      <c r="BC85" s="786"/>
      <c r="BD85" s="786"/>
      <c r="BE85" s="786"/>
      <c r="BF85" s="786"/>
      <c r="BG85" s="786"/>
      <c r="BH85" s="633"/>
      <c r="BJ85" s="653"/>
      <c r="BK85" s="786"/>
      <c r="BL85" s="786"/>
      <c r="BM85" s="786"/>
      <c r="BN85" s="786"/>
      <c r="BO85" s="786"/>
      <c r="BP85" s="786"/>
      <c r="BQ85" s="786"/>
      <c r="BR85" s="786"/>
      <c r="BS85" s="786"/>
      <c r="BT85" s="786"/>
      <c r="BU85" s="786"/>
      <c r="BV85" s="786"/>
      <c r="BW85" s="786"/>
      <c r="BX85" s="786"/>
      <c r="BY85" s="786"/>
      <c r="BZ85" s="786"/>
      <c r="CA85" s="786"/>
      <c r="CB85" s="786"/>
      <c r="CC85" s="786"/>
      <c r="CD85" s="786"/>
      <c r="CE85" s="786"/>
      <c r="CF85" s="786"/>
      <c r="CG85" s="786"/>
      <c r="CH85" s="786"/>
      <c r="CI85" s="786"/>
      <c r="CJ85" s="786"/>
      <c r="CK85" s="786"/>
      <c r="CL85" s="786"/>
      <c r="CM85" s="786"/>
      <c r="CN85" s="786"/>
      <c r="CO85" s="786"/>
      <c r="CP85" s="786"/>
      <c r="CQ85" s="787"/>
      <c r="EQ85" s="109"/>
      <c r="FM85" s="109"/>
      <c r="FN85" s="109"/>
      <c r="FO85" s="109"/>
      <c r="FP85" s="109"/>
      <c r="FQ85" s="109"/>
      <c r="FR85" s="109"/>
      <c r="FS85" s="109"/>
      <c r="FT85" s="109"/>
      <c r="FU85" s="109"/>
      <c r="FV85" s="148"/>
      <c r="FW85" s="148"/>
      <c r="FX85" s="148"/>
      <c r="FY85" s="148"/>
      <c r="IT85" s="105"/>
      <c r="IU85" s="105"/>
      <c r="IV85" s="105"/>
      <c r="IW85" s="105"/>
      <c r="IX85" s="105"/>
      <c r="IY85" s="105"/>
      <c r="IZ85" s="105"/>
      <c r="JA85" s="105"/>
      <c r="JB85" s="105"/>
      <c r="JC85" s="105"/>
      <c r="JD85" s="105"/>
      <c r="JE85" s="105"/>
      <c r="JF85" s="105"/>
      <c r="JG85" s="105"/>
      <c r="JH85" s="105"/>
      <c r="JI85" s="105"/>
      <c r="JJ85" s="105"/>
      <c r="JK85" s="105"/>
      <c r="JL85" s="105"/>
      <c r="JM85" s="105"/>
      <c r="JN85" s="105"/>
      <c r="JO85" s="105"/>
      <c r="JP85" s="105"/>
      <c r="JQ85" s="105"/>
      <c r="JR85" s="105"/>
      <c r="JS85" s="105"/>
      <c r="JT85" s="105"/>
      <c r="JU85" s="105"/>
      <c r="JV85" s="105"/>
      <c r="JW85" s="105"/>
    </row>
    <row r="86" spans="2:283" ht="12" customHeight="1" thickTop="1" thickBot="1" x14ac:dyDescent="0.3">
      <c r="B86" s="632"/>
      <c r="C86" s="786"/>
      <c r="D86" s="786"/>
      <c r="E86" s="786"/>
      <c r="F86" s="786"/>
      <c r="G86" s="786"/>
      <c r="H86" s="786"/>
      <c r="I86" s="786"/>
      <c r="J86" s="786"/>
      <c r="K86" s="786"/>
      <c r="L86" s="786"/>
      <c r="M86" s="786"/>
      <c r="N86" s="786"/>
      <c r="O86" s="786"/>
      <c r="P86" s="786"/>
      <c r="Q86" s="786"/>
      <c r="R86" s="786"/>
      <c r="S86" s="786"/>
      <c r="T86" s="786"/>
      <c r="U86" s="786"/>
      <c r="V86" s="786"/>
      <c r="W86" s="786"/>
      <c r="X86" s="786"/>
      <c r="Y86" s="786"/>
      <c r="Z86" s="787"/>
      <c r="AB86" s="632"/>
      <c r="AC86" s="775" t="str">
        <f>Tables!GG11</f>
        <v>MANEUVER 9</v>
      </c>
      <c r="AD86" s="775"/>
      <c r="AE86" s="775"/>
      <c r="AF86" s="775"/>
      <c r="AG86" s="775"/>
      <c r="AH86" s="775"/>
      <c r="AI86" s="775"/>
      <c r="AJ86" s="790" t="s">
        <v>171</v>
      </c>
      <c r="AK86" s="791"/>
      <c r="AL86" s="791"/>
      <c r="AM86" s="791"/>
      <c r="AN86" s="791"/>
      <c r="AO86" s="791"/>
      <c r="AP86" s="791"/>
      <c r="AQ86" s="791"/>
      <c r="AR86" s="792"/>
      <c r="AS86" s="633"/>
      <c r="AU86" s="632" t="str">
        <f>IF(CharacterLevel="","","   SUBCLASS ("&amp;Tables!EU6&amp;")")</f>
        <v xml:space="preserve">   SUBCLASS (0)</v>
      </c>
      <c r="AV86" s="335"/>
      <c r="AW86" s="335"/>
      <c r="AX86" s="335"/>
      <c r="AY86" s="335"/>
      <c r="AZ86" s="335"/>
      <c r="BA86" s="335"/>
      <c r="BB86" s="335"/>
      <c r="BC86" s="335"/>
      <c r="BD86" s="335"/>
      <c r="BE86" s="335"/>
      <c r="BF86" s="335"/>
      <c r="BG86" s="335"/>
      <c r="BH86" s="633"/>
      <c r="BJ86" s="653"/>
      <c r="BK86" s="786"/>
      <c r="BL86" s="786"/>
      <c r="BM86" s="786"/>
      <c r="BN86" s="786"/>
      <c r="BO86" s="786"/>
      <c r="BP86" s="786"/>
      <c r="BQ86" s="786"/>
      <c r="BR86" s="786"/>
      <c r="BS86" s="786"/>
      <c r="BT86" s="786"/>
      <c r="BU86" s="786"/>
      <c r="BV86" s="786"/>
      <c r="BW86" s="786"/>
      <c r="BX86" s="786"/>
      <c r="BY86" s="786"/>
      <c r="BZ86" s="786"/>
      <c r="CA86" s="786"/>
      <c r="CB86" s="786"/>
      <c r="CC86" s="786"/>
      <c r="CD86" s="786"/>
      <c r="CE86" s="786"/>
      <c r="CF86" s="786"/>
      <c r="CG86" s="786"/>
      <c r="CH86" s="786"/>
      <c r="CI86" s="786"/>
      <c r="CJ86" s="786"/>
      <c r="CK86" s="786"/>
      <c r="CL86" s="786"/>
      <c r="CM86" s="786"/>
      <c r="CN86" s="786"/>
      <c r="CO86" s="786"/>
      <c r="CP86" s="786"/>
      <c r="CQ86" s="787"/>
      <c r="EQ86" s="109"/>
      <c r="FM86" s="109"/>
      <c r="FN86" s="109"/>
      <c r="FO86" s="109"/>
      <c r="FP86" s="109"/>
      <c r="FQ86" s="109"/>
      <c r="FR86" s="109"/>
      <c r="FS86" s="109"/>
      <c r="FT86" s="109"/>
      <c r="FU86" s="109"/>
      <c r="FV86" s="148"/>
      <c r="FW86" s="148"/>
      <c r="FX86" s="148"/>
      <c r="FY86" s="148"/>
      <c r="IT86" s="105"/>
      <c r="IU86" s="105"/>
      <c r="IV86" s="105"/>
      <c r="IW86" s="105"/>
      <c r="IX86" s="105"/>
      <c r="IY86" s="105"/>
      <c r="IZ86" s="105"/>
      <c r="JA86" s="105"/>
      <c r="JB86" s="105"/>
      <c r="JC86" s="105"/>
      <c r="JD86" s="105"/>
      <c r="JE86" s="105"/>
      <c r="JF86" s="105"/>
      <c r="JG86" s="105"/>
      <c r="JH86" s="105"/>
      <c r="JI86" s="105"/>
      <c r="JJ86" s="105"/>
      <c r="JK86" s="105"/>
      <c r="JL86" s="105"/>
      <c r="JM86" s="105"/>
      <c r="JN86" s="105"/>
      <c r="JO86" s="105"/>
      <c r="JP86" s="105"/>
      <c r="JQ86" s="105"/>
      <c r="JR86" s="105"/>
      <c r="JS86" s="105"/>
      <c r="JT86" s="105"/>
      <c r="JU86" s="105"/>
      <c r="JV86" s="105"/>
      <c r="JW86" s="105"/>
    </row>
    <row r="87" spans="2:283" ht="12" customHeight="1" thickTop="1" thickBot="1" x14ac:dyDescent="0.3">
      <c r="B87" s="632"/>
      <c r="C87" s="786"/>
      <c r="D87" s="786"/>
      <c r="E87" s="786"/>
      <c r="F87" s="786"/>
      <c r="G87" s="786"/>
      <c r="H87" s="786"/>
      <c r="I87" s="786"/>
      <c r="J87" s="786"/>
      <c r="K87" s="786"/>
      <c r="L87" s="786"/>
      <c r="M87" s="786"/>
      <c r="N87" s="786"/>
      <c r="O87" s="786"/>
      <c r="P87" s="786"/>
      <c r="Q87" s="786"/>
      <c r="R87" s="786"/>
      <c r="S87" s="786"/>
      <c r="T87" s="786"/>
      <c r="U87" s="786"/>
      <c r="V87" s="786"/>
      <c r="W87" s="786"/>
      <c r="X87" s="786"/>
      <c r="Y87" s="786"/>
      <c r="Z87" s="787"/>
      <c r="AB87" s="632"/>
      <c r="AC87" s="775" t="str">
        <f>Tables!GG12</f>
        <v>MANEUVER 10</v>
      </c>
      <c r="AD87" s="775"/>
      <c r="AE87" s="775"/>
      <c r="AF87" s="775"/>
      <c r="AG87" s="775"/>
      <c r="AH87" s="775"/>
      <c r="AI87" s="775"/>
      <c r="AJ87" s="790" t="s">
        <v>171</v>
      </c>
      <c r="AK87" s="791"/>
      <c r="AL87" s="791"/>
      <c r="AM87" s="791"/>
      <c r="AN87" s="791"/>
      <c r="AO87" s="791"/>
      <c r="AP87" s="791"/>
      <c r="AQ87" s="791"/>
      <c r="AR87" s="792"/>
      <c r="AS87" s="633"/>
      <c r="AU87" s="632"/>
      <c r="AV87" s="786" t="str">
        <f>IF(CharacterLevel="","",Tables!ET6)</f>
        <v>none</v>
      </c>
      <c r="AW87" s="786"/>
      <c r="AX87" s="786"/>
      <c r="AY87" s="786"/>
      <c r="AZ87" s="786"/>
      <c r="BA87" s="786"/>
      <c r="BB87" s="786"/>
      <c r="BC87" s="786"/>
      <c r="BD87" s="786"/>
      <c r="BE87" s="786"/>
      <c r="BF87" s="786"/>
      <c r="BG87" s="786"/>
      <c r="BH87" s="787"/>
      <c r="BJ87" s="653"/>
      <c r="BK87" s="786"/>
      <c r="BL87" s="786"/>
      <c r="BM87" s="786"/>
      <c r="BN87" s="786"/>
      <c r="BO87" s="786"/>
      <c r="BP87" s="786"/>
      <c r="BQ87" s="786"/>
      <c r="BR87" s="786"/>
      <c r="BS87" s="786"/>
      <c r="BT87" s="786"/>
      <c r="BU87" s="786"/>
      <c r="BV87" s="786"/>
      <c r="BW87" s="786"/>
      <c r="BX87" s="786"/>
      <c r="BY87" s="786"/>
      <c r="BZ87" s="786"/>
      <c r="CA87" s="786"/>
      <c r="CB87" s="786"/>
      <c r="CC87" s="786"/>
      <c r="CD87" s="786"/>
      <c r="CE87" s="786"/>
      <c r="CF87" s="786"/>
      <c r="CG87" s="786"/>
      <c r="CH87" s="786"/>
      <c r="CI87" s="786"/>
      <c r="CJ87" s="786"/>
      <c r="CK87" s="786"/>
      <c r="CL87" s="786"/>
      <c r="CM87" s="786"/>
      <c r="CN87" s="786"/>
      <c r="CO87" s="786"/>
      <c r="CP87" s="786"/>
      <c r="CQ87" s="787"/>
      <c r="FV87" s="105"/>
      <c r="FW87" s="105"/>
      <c r="FX87" s="105"/>
      <c r="FY87" s="105"/>
      <c r="FZ87" s="105"/>
      <c r="GA87" s="105"/>
      <c r="GB87" s="105"/>
      <c r="GC87" s="105"/>
      <c r="GD87" s="105"/>
      <c r="GE87" s="105"/>
      <c r="GF87" s="105"/>
      <c r="GG87" s="105"/>
      <c r="GH87" s="105"/>
      <c r="GI87" s="105"/>
    </row>
    <row r="88" spans="2:283" ht="12" customHeight="1" thickTop="1" thickBot="1" x14ac:dyDescent="0.3">
      <c r="B88" s="632"/>
      <c r="C88" s="786"/>
      <c r="D88" s="786"/>
      <c r="E88" s="786"/>
      <c r="F88" s="786"/>
      <c r="G88" s="786"/>
      <c r="H88" s="786"/>
      <c r="I88" s="786"/>
      <c r="J88" s="786"/>
      <c r="K88" s="786"/>
      <c r="L88" s="786"/>
      <c r="M88" s="786"/>
      <c r="N88" s="786"/>
      <c r="O88" s="786"/>
      <c r="P88" s="786"/>
      <c r="Q88" s="786"/>
      <c r="R88" s="786"/>
      <c r="S88" s="786"/>
      <c r="T88" s="786"/>
      <c r="U88" s="786"/>
      <c r="V88" s="786"/>
      <c r="W88" s="786"/>
      <c r="X88" s="786"/>
      <c r="Y88" s="786"/>
      <c r="Z88" s="787"/>
      <c r="AB88" s="632"/>
      <c r="AC88" s="775" t="str">
        <f>Tables!GG13</f>
        <v>MANEUVER 11</v>
      </c>
      <c r="AD88" s="775"/>
      <c r="AE88" s="775"/>
      <c r="AF88" s="775"/>
      <c r="AG88" s="775"/>
      <c r="AH88" s="775"/>
      <c r="AI88" s="775"/>
      <c r="AJ88" s="790" t="s">
        <v>171</v>
      </c>
      <c r="AK88" s="791"/>
      <c r="AL88" s="791"/>
      <c r="AM88" s="791"/>
      <c r="AN88" s="791"/>
      <c r="AO88" s="791"/>
      <c r="AP88" s="791"/>
      <c r="AQ88" s="791"/>
      <c r="AR88" s="792"/>
      <c r="AS88" s="633"/>
      <c r="AU88" s="632"/>
      <c r="AV88" s="786"/>
      <c r="AW88" s="786"/>
      <c r="AX88" s="786"/>
      <c r="AY88" s="786"/>
      <c r="AZ88" s="786"/>
      <c r="BA88" s="786"/>
      <c r="BB88" s="786"/>
      <c r="BC88" s="786"/>
      <c r="BD88" s="786"/>
      <c r="BE88" s="786"/>
      <c r="BF88" s="786"/>
      <c r="BG88" s="786"/>
      <c r="BH88" s="787"/>
      <c r="BJ88" s="653"/>
      <c r="BK88" s="786"/>
      <c r="BL88" s="786"/>
      <c r="BM88" s="786"/>
      <c r="BN88" s="786"/>
      <c r="BO88" s="786"/>
      <c r="BP88" s="786"/>
      <c r="BQ88" s="786"/>
      <c r="BR88" s="786"/>
      <c r="BS88" s="786"/>
      <c r="BT88" s="786"/>
      <c r="BU88" s="786"/>
      <c r="BV88" s="786"/>
      <c r="BW88" s="786"/>
      <c r="BX88" s="786"/>
      <c r="BY88" s="786"/>
      <c r="BZ88" s="786"/>
      <c r="CA88" s="786"/>
      <c r="CB88" s="786"/>
      <c r="CC88" s="786"/>
      <c r="CD88" s="786"/>
      <c r="CE88" s="786"/>
      <c r="CF88" s="786"/>
      <c r="CG88" s="786"/>
      <c r="CH88" s="786"/>
      <c r="CI88" s="786"/>
      <c r="CJ88" s="786"/>
      <c r="CK88" s="786"/>
      <c r="CL88" s="786"/>
      <c r="CM88" s="786"/>
      <c r="CN88" s="786"/>
      <c r="CO88" s="786"/>
      <c r="CP88" s="786"/>
      <c r="CQ88" s="787"/>
      <c r="FV88" s="105"/>
      <c r="FW88" s="105"/>
      <c r="FX88" s="105"/>
      <c r="FY88" s="105"/>
      <c r="FZ88" s="105"/>
      <c r="GA88" s="105"/>
      <c r="GB88" s="105"/>
      <c r="GC88" s="105"/>
      <c r="GD88" s="105"/>
      <c r="GE88" s="105"/>
      <c r="GF88" s="105"/>
      <c r="GG88" s="105"/>
      <c r="GH88" s="105"/>
      <c r="GI88" s="105"/>
    </row>
    <row r="89" spans="2:283" ht="12" customHeight="1" thickTop="1" x14ac:dyDescent="0.25">
      <c r="B89" s="632"/>
      <c r="C89" s="786"/>
      <c r="D89" s="786"/>
      <c r="E89" s="786"/>
      <c r="F89" s="786"/>
      <c r="G89" s="786"/>
      <c r="H89" s="786"/>
      <c r="I89" s="786"/>
      <c r="J89" s="786"/>
      <c r="K89" s="786"/>
      <c r="L89" s="786"/>
      <c r="M89" s="786"/>
      <c r="N89" s="786"/>
      <c r="O89" s="786"/>
      <c r="P89" s="786"/>
      <c r="Q89" s="786"/>
      <c r="R89" s="786"/>
      <c r="S89" s="786"/>
      <c r="T89" s="786"/>
      <c r="U89" s="786"/>
      <c r="V89" s="786"/>
      <c r="W89" s="786"/>
      <c r="X89" s="786"/>
      <c r="Y89" s="786"/>
      <c r="Z89" s="787"/>
      <c r="AB89" s="632"/>
      <c r="AC89" s="335"/>
      <c r="AD89" s="335"/>
      <c r="AE89" s="335"/>
      <c r="AF89" s="335"/>
      <c r="AG89" s="335"/>
      <c r="AH89" s="335"/>
      <c r="AI89" s="335"/>
      <c r="AJ89" s="335"/>
      <c r="AK89" s="335"/>
      <c r="AL89" s="335"/>
      <c r="AM89" s="335"/>
      <c r="AN89" s="335"/>
      <c r="AO89" s="335"/>
      <c r="AP89" s="335"/>
      <c r="AQ89" s="335"/>
      <c r="AR89" s="335"/>
      <c r="AS89" s="633"/>
      <c r="AU89" s="632" t="str">
        <f>IF(CharacterLevel="","","   TRAINING    (")</f>
        <v xml:space="preserve">   TRAINING    (</v>
      </c>
      <c r="AV89" s="335"/>
      <c r="AW89" s="335"/>
      <c r="AX89" s="335"/>
      <c r="AY89" s="645"/>
      <c r="AZ89" s="592" t="str">
        <f>IF(CharacterLevel="","",")")</f>
        <v>)</v>
      </c>
      <c r="BB89" s="616"/>
      <c r="BC89" s="616"/>
      <c r="BD89" s="616"/>
      <c r="BE89" s="616"/>
      <c r="BF89" s="616"/>
      <c r="BG89" s="616"/>
      <c r="BH89" s="633"/>
      <c r="BJ89" s="653"/>
      <c r="BK89" s="786"/>
      <c r="BL89" s="786"/>
      <c r="BM89" s="786"/>
      <c r="BN89" s="786"/>
      <c r="BO89" s="786"/>
      <c r="BP89" s="786"/>
      <c r="BQ89" s="786"/>
      <c r="BR89" s="786"/>
      <c r="BS89" s="786"/>
      <c r="BT89" s="786"/>
      <c r="BU89" s="786"/>
      <c r="BV89" s="786"/>
      <c r="BW89" s="786"/>
      <c r="BX89" s="786"/>
      <c r="BY89" s="786"/>
      <c r="BZ89" s="786"/>
      <c r="CA89" s="786"/>
      <c r="CB89" s="786"/>
      <c r="CC89" s="786"/>
      <c r="CD89" s="786"/>
      <c r="CE89" s="786"/>
      <c r="CF89" s="786"/>
      <c r="CG89" s="786"/>
      <c r="CH89" s="786"/>
      <c r="CI89" s="786"/>
      <c r="CJ89" s="786"/>
      <c r="CK89" s="786"/>
      <c r="CL89" s="786"/>
      <c r="CM89" s="786"/>
      <c r="CN89" s="786"/>
      <c r="CO89" s="786"/>
      <c r="CP89" s="786"/>
      <c r="CQ89" s="787"/>
      <c r="FV89" s="105"/>
      <c r="FW89" s="105"/>
      <c r="FX89" s="105"/>
      <c r="FY89" s="105"/>
      <c r="FZ89" s="105"/>
      <c r="GA89" s="105"/>
      <c r="GB89" s="105"/>
      <c r="GC89" s="105"/>
      <c r="GD89" s="105"/>
      <c r="GE89" s="105"/>
      <c r="GF89" s="105"/>
      <c r="GG89" s="105"/>
      <c r="GH89" s="105"/>
      <c r="GI89" s="105"/>
    </row>
    <row r="90" spans="2:283" ht="12" customHeight="1" thickBot="1" x14ac:dyDescent="0.3">
      <c r="B90" s="632" t="str">
        <f>IF(CharacterLevel="","","   SUBCLASS ("&amp;Tables!EW6&amp;")")</f>
        <v xml:space="preserve">   SUBCLASS (0)</v>
      </c>
      <c r="C90" s="634"/>
      <c r="D90" s="347"/>
      <c r="E90" s="347"/>
      <c r="F90" s="347"/>
      <c r="G90" s="347"/>
      <c r="H90" s="347"/>
      <c r="I90" s="347"/>
      <c r="J90" s="347"/>
      <c r="K90" s="347"/>
      <c r="L90" s="347"/>
      <c r="M90" s="347"/>
      <c r="N90" s="347"/>
      <c r="O90" s="347"/>
      <c r="P90" s="347"/>
      <c r="Q90" s="347"/>
      <c r="R90" s="347"/>
      <c r="S90" s="347"/>
      <c r="T90" s="347"/>
      <c r="U90" s="347"/>
      <c r="V90" s="347"/>
      <c r="W90" s="347"/>
      <c r="X90" s="347"/>
      <c r="Y90" s="347"/>
      <c r="Z90" s="283"/>
      <c r="AB90" s="632"/>
      <c r="AC90" s="735" t="s">
        <v>2800</v>
      </c>
      <c r="AD90" s="735"/>
      <c r="AE90" s="735"/>
      <c r="AF90" s="735"/>
      <c r="AG90" s="735"/>
      <c r="AH90" s="735"/>
      <c r="AI90" s="735"/>
      <c r="AJ90" s="335"/>
      <c r="AK90" s="335"/>
      <c r="AL90" s="335"/>
      <c r="AM90" s="335"/>
      <c r="AN90" s="335"/>
      <c r="AO90" s="335"/>
      <c r="AP90" s="335"/>
      <c r="AQ90" s="335"/>
      <c r="AR90" s="335"/>
      <c r="AS90" s="633"/>
      <c r="AU90" s="632"/>
      <c r="AV90" s="335"/>
      <c r="AW90" s="335"/>
      <c r="AX90" s="335"/>
      <c r="AY90" s="335"/>
      <c r="AZ90" s="335"/>
      <c r="BA90" s="335"/>
      <c r="BB90" s="335"/>
      <c r="BC90" s="335"/>
      <c r="BD90" s="335"/>
      <c r="BE90" s="335"/>
      <c r="BF90" s="335"/>
      <c r="BG90" s="335"/>
      <c r="BH90" s="633"/>
      <c r="BJ90" s="653"/>
      <c r="BK90" s="786"/>
      <c r="BL90" s="786"/>
      <c r="BM90" s="786"/>
      <c r="BN90" s="786"/>
      <c r="BO90" s="786"/>
      <c r="BP90" s="786"/>
      <c r="BQ90" s="786"/>
      <c r="BR90" s="786"/>
      <c r="BS90" s="786"/>
      <c r="BT90" s="786"/>
      <c r="BU90" s="786"/>
      <c r="BV90" s="786"/>
      <c r="BW90" s="786"/>
      <c r="BX90" s="786"/>
      <c r="BY90" s="786"/>
      <c r="BZ90" s="786"/>
      <c r="CA90" s="786"/>
      <c r="CB90" s="786"/>
      <c r="CC90" s="786"/>
      <c r="CD90" s="786"/>
      <c r="CE90" s="786"/>
      <c r="CF90" s="786"/>
      <c r="CG90" s="786"/>
      <c r="CH90" s="786"/>
      <c r="CI90" s="786"/>
      <c r="CJ90" s="786"/>
      <c r="CK90" s="786"/>
      <c r="CL90" s="786"/>
      <c r="CM90" s="786"/>
      <c r="CN90" s="786"/>
      <c r="CO90" s="786"/>
      <c r="CP90" s="786"/>
      <c r="CQ90" s="787"/>
      <c r="FV90" s="105"/>
      <c r="FW90" s="105"/>
      <c r="FX90" s="105"/>
      <c r="FY90" s="105"/>
      <c r="FZ90" s="105"/>
      <c r="GA90" s="105"/>
      <c r="GB90" s="105"/>
      <c r="GC90" s="105"/>
      <c r="GD90" s="105"/>
      <c r="GE90" s="105"/>
      <c r="GF90" s="105"/>
      <c r="GG90" s="105"/>
      <c r="GH90" s="105"/>
      <c r="GI90" s="105"/>
    </row>
    <row r="91" spans="2:283" ht="12" customHeight="1" thickTop="1" thickBot="1" x14ac:dyDescent="0.3">
      <c r="B91" s="632"/>
      <c r="C91" s="795" t="str">
        <f>IF(CharacterLevel="","",Tables!EV6)</f>
        <v>none</v>
      </c>
      <c r="D91" s="795"/>
      <c r="E91" s="795"/>
      <c r="F91" s="795"/>
      <c r="G91" s="795"/>
      <c r="H91" s="795"/>
      <c r="I91" s="795"/>
      <c r="J91" s="795"/>
      <c r="K91" s="795"/>
      <c r="L91" s="795"/>
      <c r="M91" s="795"/>
      <c r="N91" s="795"/>
      <c r="O91" s="795"/>
      <c r="P91" s="795"/>
      <c r="Q91" s="795"/>
      <c r="R91" s="795"/>
      <c r="S91" s="795"/>
      <c r="T91" s="795"/>
      <c r="U91" s="795"/>
      <c r="V91" s="795"/>
      <c r="W91" s="795"/>
      <c r="X91" s="795"/>
      <c r="Y91" s="795"/>
      <c r="Z91" s="283"/>
      <c r="AB91" s="632"/>
      <c r="AC91" s="770" t="str">
        <f ca="1">Tables!GZ4</f>
        <v>DISCIPLINE 1</v>
      </c>
      <c r="AD91" s="770"/>
      <c r="AE91" s="770"/>
      <c r="AF91" s="770"/>
      <c r="AG91" s="770"/>
      <c r="AH91" s="770"/>
      <c r="AI91" s="770"/>
      <c r="AJ91" s="772" t="s">
        <v>171</v>
      </c>
      <c r="AK91" s="773"/>
      <c r="AL91" s="773"/>
      <c r="AM91" s="773"/>
      <c r="AN91" s="773"/>
      <c r="AO91" s="773"/>
      <c r="AP91" s="773"/>
      <c r="AQ91" s="773"/>
      <c r="AR91" s="774"/>
      <c r="AS91" s="633"/>
      <c r="AU91" s="632" t="str">
        <f>IF(CharacterLevel="","","   FEATS   (")</f>
        <v xml:space="preserve">   FEATS   (</v>
      </c>
      <c r="AV91" s="335"/>
      <c r="AW91" s="335"/>
      <c r="AX91" s="645"/>
      <c r="AY91" s="592" t="str">
        <f>IF(CharacterLevel="","",IF(AV92="none",")",") max"))</f>
        <v>)</v>
      </c>
      <c r="BA91" s="646" t="str">
        <f>IF(OR(CharacterLevel="",AV92="none"),"",3-E98)</f>
        <v/>
      </c>
      <c r="BC91" s="630"/>
      <c r="BD91" s="335"/>
      <c r="BE91" s="335"/>
      <c r="BF91" s="335"/>
      <c r="BG91" s="335"/>
      <c r="BH91" s="633"/>
      <c r="BJ91" s="653"/>
      <c r="BK91" s="786"/>
      <c r="BL91" s="786"/>
      <c r="BM91" s="786"/>
      <c r="BN91" s="786"/>
      <c r="BO91" s="786"/>
      <c r="BP91" s="786"/>
      <c r="BQ91" s="786"/>
      <c r="BR91" s="786"/>
      <c r="BS91" s="786"/>
      <c r="BT91" s="786"/>
      <c r="BU91" s="786"/>
      <c r="BV91" s="786"/>
      <c r="BW91" s="786"/>
      <c r="BX91" s="786"/>
      <c r="BY91" s="786"/>
      <c r="BZ91" s="786"/>
      <c r="CA91" s="786"/>
      <c r="CB91" s="786"/>
      <c r="CC91" s="786"/>
      <c r="CD91" s="786"/>
      <c r="CE91" s="786"/>
      <c r="CF91" s="786"/>
      <c r="CG91" s="786"/>
      <c r="CH91" s="786"/>
      <c r="CI91" s="786"/>
      <c r="CJ91" s="786"/>
      <c r="CK91" s="786"/>
      <c r="CL91" s="786"/>
      <c r="CM91" s="786"/>
      <c r="CN91" s="786"/>
      <c r="CO91" s="786"/>
      <c r="CP91" s="786"/>
      <c r="CQ91" s="787"/>
      <c r="FV91" s="105"/>
      <c r="FW91" s="105"/>
      <c r="FX91" s="105"/>
      <c r="FY91" s="105"/>
      <c r="FZ91" s="105"/>
      <c r="GA91" s="105"/>
      <c r="GB91" s="105"/>
      <c r="GC91" s="105"/>
      <c r="GD91" s="105"/>
      <c r="GE91" s="105"/>
      <c r="GF91" s="105"/>
      <c r="GG91" s="105"/>
      <c r="GH91" s="105"/>
      <c r="GI91" s="105"/>
    </row>
    <row r="92" spans="2:283" ht="12" customHeight="1" thickTop="1" thickBot="1" x14ac:dyDescent="0.3">
      <c r="B92" s="632"/>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283"/>
      <c r="AB92" s="632"/>
      <c r="AC92" s="770" t="str">
        <f ca="1">Tables!GZ5</f>
        <v>DISCIPLINE 2</v>
      </c>
      <c r="AD92" s="770"/>
      <c r="AE92" s="770"/>
      <c r="AF92" s="770"/>
      <c r="AG92" s="770"/>
      <c r="AH92" s="770"/>
      <c r="AI92" s="770"/>
      <c r="AJ92" s="772" t="s">
        <v>171</v>
      </c>
      <c r="AK92" s="773"/>
      <c r="AL92" s="773"/>
      <c r="AM92" s="773"/>
      <c r="AN92" s="773"/>
      <c r="AO92" s="773"/>
      <c r="AP92" s="773"/>
      <c r="AQ92" s="773"/>
      <c r="AR92" s="774"/>
      <c r="AS92" s="633"/>
      <c r="AU92" s="632"/>
      <c r="AV92" s="786" t="str">
        <f>IF(CharacterLevel="","",IF(Tables!ZT8="","none",Tables!ZT8))</f>
        <v>none</v>
      </c>
      <c r="AW92" s="786"/>
      <c r="AX92" s="786"/>
      <c r="AY92" s="786"/>
      <c r="AZ92" s="786"/>
      <c r="BA92" s="786"/>
      <c r="BB92" s="786"/>
      <c r="BC92" s="786"/>
      <c r="BD92" s="786"/>
      <c r="BE92" s="786"/>
      <c r="BF92" s="786"/>
      <c r="BG92" s="786"/>
      <c r="BH92" s="633"/>
      <c r="BJ92" s="653"/>
      <c r="BK92" s="786"/>
      <c r="BL92" s="786"/>
      <c r="BM92" s="786"/>
      <c r="BN92" s="786"/>
      <c r="BO92" s="786"/>
      <c r="BP92" s="786"/>
      <c r="BQ92" s="786"/>
      <c r="BR92" s="786"/>
      <c r="BS92" s="786"/>
      <c r="BT92" s="786"/>
      <c r="BU92" s="786"/>
      <c r="BV92" s="786"/>
      <c r="BW92" s="786"/>
      <c r="BX92" s="786"/>
      <c r="BY92" s="786"/>
      <c r="BZ92" s="786"/>
      <c r="CA92" s="786"/>
      <c r="CB92" s="786"/>
      <c r="CC92" s="786"/>
      <c r="CD92" s="786"/>
      <c r="CE92" s="786"/>
      <c r="CF92" s="786"/>
      <c r="CG92" s="786"/>
      <c r="CH92" s="786"/>
      <c r="CI92" s="786"/>
      <c r="CJ92" s="786"/>
      <c r="CK92" s="786"/>
      <c r="CL92" s="786"/>
      <c r="CM92" s="786"/>
      <c r="CN92" s="786"/>
      <c r="CO92" s="786"/>
      <c r="CP92" s="786"/>
      <c r="CQ92" s="787"/>
      <c r="FV92" s="105"/>
      <c r="FW92" s="105"/>
      <c r="FX92" s="105"/>
      <c r="FY92" s="105"/>
      <c r="FZ92" s="105"/>
      <c r="GA92" s="105"/>
      <c r="GB92" s="105"/>
      <c r="GC92" s="105"/>
      <c r="GD92" s="105"/>
      <c r="GE92" s="105"/>
      <c r="GF92" s="105"/>
      <c r="GG92" s="105"/>
      <c r="GH92" s="105"/>
      <c r="GI92" s="105"/>
    </row>
    <row r="93" spans="2:283" ht="12" customHeight="1" thickTop="1" thickBot="1" x14ac:dyDescent="0.3">
      <c r="B93" s="632"/>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283"/>
      <c r="AB93" s="632"/>
      <c r="AC93" s="770" t="str">
        <f ca="1">Tables!GZ6</f>
        <v>DISCIPLINE 3</v>
      </c>
      <c r="AD93" s="770"/>
      <c r="AE93" s="770"/>
      <c r="AF93" s="770"/>
      <c r="AG93" s="770"/>
      <c r="AH93" s="770"/>
      <c r="AI93" s="770"/>
      <c r="AJ93" s="772" t="s">
        <v>171</v>
      </c>
      <c r="AK93" s="773"/>
      <c r="AL93" s="773"/>
      <c r="AM93" s="773"/>
      <c r="AN93" s="773"/>
      <c r="AO93" s="773"/>
      <c r="AP93" s="773"/>
      <c r="AQ93" s="773"/>
      <c r="AR93" s="774"/>
      <c r="AS93" s="633"/>
      <c r="AU93" s="632"/>
      <c r="AV93" s="786"/>
      <c r="AW93" s="786"/>
      <c r="AX93" s="786"/>
      <c r="AY93" s="786"/>
      <c r="AZ93" s="786"/>
      <c r="BA93" s="786"/>
      <c r="BB93" s="786"/>
      <c r="BC93" s="786"/>
      <c r="BD93" s="786"/>
      <c r="BE93" s="786"/>
      <c r="BF93" s="786"/>
      <c r="BG93" s="786"/>
      <c r="BH93" s="633"/>
      <c r="BJ93" s="653"/>
      <c r="BK93" s="786"/>
      <c r="BL93" s="786"/>
      <c r="BM93" s="786"/>
      <c r="BN93" s="786"/>
      <c r="BO93" s="786"/>
      <c r="BP93" s="786"/>
      <c r="BQ93" s="786"/>
      <c r="BR93" s="786"/>
      <c r="BS93" s="786"/>
      <c r="BT93" s="786"/>
      <c r="BU93" s="786"/>
      <c r="BV93" s="786"/>
      <c r="BW93" s="786"/>
      <c r="BX93" s="786"/>
      <c r="BY93" s="786"/>
      <c r="BZ93" s="786"/>
      <c r="CA93" s="786"/>
      <c r="CB93" s="786"/>
      <c r="CC93" s="786"/>
      <c r="CD93" s="786"/>
      <c r="CE93" s="786"/>
      <c r="CF93" s="786"/>
      <c r="CG93" s="786"/>
      <c r="CH93" s="786"/>
      <c r="CI93" s="786"/>
      <c r="CJ93" s="786"/>
      <c r="CK93" s="786"/>
      <c r="CL93" s="786"/>
      <c r="CM93" s="786"/>
      <c r="CN93" s="786"/>
      <c r="CO93" s="786"/>
      <c r="CP93" s="786"/>
      <c r="CQ93" s="787"/>
      <c r="FV93" s="105"/>
      <c r="FW93" s="105"/>
      <c r="FX93" s="105"/>
      <c r="FY93" s="105"/>
      <c r="FZ93" s="105"/>
      <c r="GA93" s="105"/>
      <c r="GB93" s="105"/>
      <c r="GC93" s="105"/>
      <c r="GD93" s="105"/>
      <c r="GE93" s="105"/>
      <c r="GF93" s="105"/>
      <c r="GG93" s="105"/>
      <c r="GH93" s="105"/>
      <c r="GI93" s="105"/>
    </row>
    <row r="94" spans="2:283" ht="12" customHeight="1" thickTop="1" thickBot="1" x14ac:dyDescent="0.3">
      <c r="B94" s="632"/>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644"/>
      <c r="AB94" s="632"/>
      <c r="AC94" s="770" t="str">
        <f ca="1">Tables!GZ7</f>
        <v>DISCIPLINE 4</v>
      </c>
      <c r="AD94" s="770"/>
      <c r="AE94" s="770"/>
      <c r="AF94" s="770"/>
      <c r="AG94" s="770"/>
      <c r="AH94" s="770"/>
      <c r="AI94" s="770"/>
      <c r="AJ94" s="772" t="s">
        <v>171</v>
      </c>
      <c r="AK94" s="773"/>
      <c r="AL94" s="773"/>
      <c r="AM94" s="773"/>
      <c r="AN94" s="773"/>
      <c r="AO94" s="773"/>
      <c r="AP94" s="773"/>
      <c r="AQ94" s="773"/>
      <c r="AR94" s="774"/>
      <c r="AS94" s="633"/>
      <c r="AU94" s="632"/>
      <c r="AV94" s="786"/>
      <c r="AW94" s="786"/>
      <c r="AX94" s="786"/>
      <c r="AY94" s="786"/>
      <c r="AZ94" s="786"/>
      <c r="BA94" s="786"/>
      <c r="BB94" s="786"/>
      <c r="BC94" s="786"/>
      <c r="BD94" s="786"/>
      <c r="BE94" s="786"/>
      <c r="BF94" s="786"/>
      <c r="BG94" s="786"/>
      <c r="BH94" s="633"/>
      <c r="BJ94" s="653"/>
      <c r="BK94" s="786"/>
      <c r="BL94" s="786"/>
      <c r="BM94" s="786"/>
      <c r="BN94" s="786"/>
      <c r="BO94" s="786"/>
      <c r="BP94" s="786"/>
      <c r="BQ94" s="786"/>
      <c r="BR94" s="786"/>
      <c r="BS94" s="786"/>
      <c r="BT94" s="786"/>
      <c r="BU94" s="786"/>
      <c r="BV94" s="786"/>
      <c r="BW94" s="786"/>
      <c r="BX94" s="786"/>
      <c r="BY94" s="786"/>
      <c r="BZ94" s="786"/>
      <c r="CA94" s="786"/>
      <c r="CB94" s="786"/>
      <c r="CC94" s="786"/>
      <c r="CD94" s="786"/>
      <c r="CE94" s="786"/>
      <c r="CF94" s="786"/>
      <c r="CG94" s="786"/>
      <c r="CH94" s="786"/>
      <c r="CI94" s="786"/>
      <c r="CJ94" s="786"/>
      <c r="CK94" s="786"/>
      <c r="CL94" s="786"/>
      <c r="CM94" s="786"/>
      <c r="CN94" s="786"/>
      <c r="CO94" s="786"/>
      <c r="CP94" s="786"/>
      <c r="CQ94" s="787"/>
      <c r="FV94" s="105"/>
      <c r="FW94" s="105"/>
      <c r="FX94" s="105"/>
      <c r="FY94" s="105"/>
      <c r="FZ94" s="105"/>
      <c r="GA94" s="105"/>
      <c r="GB94" s="105"/>
      <c r="GC94" s="105"/>
      <c r="GD94" s="105"/>
      <c r="GE94" s="105"/>
      <c r="GF94" s="105"/>
      <c r="GG94" s="105"/>
      <c r="GH94" s="105"/>
      <c r="GI94" s="105"/>
    </row>
    <row r="95" spans="2:283" ht="12" customHeight="1" thickTop="1" x14ac:dyDescent="0.25">
      <c r="B95" s="632"/>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644"/>
      <c r="AB95" s="632"/>
      <c r="AC95" s="728"/>
      <c r="AD95" s="728"/>
      <c r="AE95" s="728"/>
      <c r="AF95" s="728"/>
      <c r="AG95" s="728"/>
      <c r="AH95" s="728"/>
      <c r="AI95" s="728"/>
      <c r="AJ95" s="335"/>
      <c r="AK95" s="335"/>
      <c r="AL95" s="335"/>
      <c r="AM95" s="335"/>
      <c r="AN95" s="335"/>
      <c r="AO95" s="335"/>
      <c r="AP95" s="335"/>
      <c r="AQ95" s="335"/>
      <c r="AR95" s="335"/>
      <c r="AS95" s="633"/>
      <c r="AU95" s="632"/>
      <c r="AV95" s="786"/>
      <c r="AW95" s="786"/>
      <c r="AX95" s="786"/>
      <c r="AY95" s="786"/>
      <c r="AZ95" s="786"/>
      <c r="BA95" s="786"/>
      <c r="BB95" s="786"/>
      <c r="BC95" s="786"/>
      <c r="BD95" s="786"/>
      <c r="BE95" s="786"/>
      <c r="BF95" s="786"/>
      <c r="BG95" s="786"/>
      <c r="BH95" s="633"/>
      <c r="BJ95" s="653"/>
      <c r="BK95" s="786"/>
      <c r="BL95" s="786"/>
      <c r="BM95" s="786"/>
      <c r="BN95" s="786"/>
      <c r="BO95" s="786"/>
      <c r="BP95" s="786"/>
      <c r="BQ95" s="786"/>
      <c r="BR95" s="786"/>
      <c r="BS95" s="786"/>
      <c r="BT95" s="786"/>
      <c r="BU95" s="786"/>
      <c r="BV95" s="786"/>
      <c r="BW95" s="786"/>
      <c r="BX95" s="786"/>
      <c r="BY95" s="786"/>
      <c r="BZ95" s="786"/>
      <c r="CA95" s="786"/>
      <c r="CB95" s="786"/>
      <c r="CC95" s="786"/>
      <c r="CD95" s="786"/>
      <c r="CE95" s="786"/>
      <c r="CF95" s="786"/>
      <c r="CG95" s="786"/>
      <c r="CH95" s="786"/>
      <c r="CI95" s="786"/>
      <c r="CJ95" s="786"/>
      <c r="CK95" s="786"/>
      <c r="CL95" s="786"/>
      <c r="CM95" s="786"/>
      <c r="CN95" s="786"/>
      <c r="CO95" s="786"/>
      <c r="CP95" s="786"/>
      <c r="CQ95" s="787"/>
      <c r="FV95" s="105"/>
      <c r="FW95" s="105"/>
      <c r="FX95" s="105"/>
      <c r="FY95" s="105"/>
      <c r="FZ95" s="105"/>
      <c r="GA95" s="105"/>
      <c r="GB95" s="105"/>
      <c r="GC95" s="105"/>
      <c r="GD95" s="105"/>
      <c r="GE95" s="105"/>
      <c r="GF95" s="105"/>
      <c r="GG95" s="105"/>
      <c r="GH95" s="105"/>
      <c r="GI95" s="105"/>
    </row>
    <row r="96" spans="2:283" ht="12" customHeight="1" thickBot="1" x14ac:dyDescent="0.3">
      <c r="B96" s="632"/>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644"/>
      <c r="AB96" s="632"/>
      <c r="AC96" s="728" t="s">
        <v>3289</v>
      </c>
      <c r="AD96" s="728"/>
      <c r="AE96" s="728"/>
      <c r="AF96" s="728"/>
      <c r="AG96" s="728"/>
      <c r="AH96" s="728"/>
      <c r="AI96" s="728"/>
      <c r="AJ96" s="335"/>
      <c r="AK96" s="335"/>
      <c r="AL96" s="335"/>
      <c r="AM96" s="335"/>
      <c r="AN96" s="335"/>
      <c r="AO96" s="335"/>
      <c r="AP96" s="335"/>
      <c r="AQ96" s="335"/>
      <c r="AR96" s="335"/>
      <c r="AS96" s="633"/>
      <c r="AU96" s="632"/>
      <c r="AV96" s="786"/>
      <c r="AW96" s="786"/>
      <c r="AX96" s="786"/>
      <c r="AY96" s="786"/>
      <c r="AZ96" s="786"/>
      <c r="BA96" s="786"/>
      <c r="BB96" s="786"/>
      <c r="BC96" s="786"/>
      <c r="BD96" s="786"/>
      <c r="BE96" s="786"/>
      <c r="BF96" s="786"/>
      <c r="BG96" s="786"/>
      <c r="BH96" s="633"/>
      <c r="BJ96" s="653"/>
      <c r="BK96" s="786"/>
      <c r="BL96" s="786"/>
      <c r="BM96" s="786"/>
      <c r="BN96" s="786"/>
      <c r="BO96" s="786"/>
      <c r="BP96" s="786"/>
      <c r="BQ96" s="786"/>
      <c r="BR96" s="786"/>
      <c r="BS96" s="786"/>
      <c r="BT96" s="786"/>
      <c r="BU96" s="786"/>
      <c r="BV96" s="786"/>
      <c r="BW96" s="786"/>
      <c r="BX96" s="786"/>
      <c r="BY96" s="786"/>
      <c r="BZ96" s="786"/>
      <c r="CA96" s="786"/>
      <c r="CB96" s="786"/>
      <c r="CC96" s="786"/>
      <c r="CD96" s="786"/>
      <c r="CE96" s="786"/>
      <c r="CF96" s="786"/>
      <c r="CG96" s="786"/>
      <c r="CH96" s="786"/>
      <c r="CI96" s="786"/>
      <c r="CJ96" s="786"/>
      <c r="CK96" s="786"/>
      <c r="CL96" s="786"/>
      <c r="CM96" s="786"/>
      <c r="CN96" s="786"/>
      <c r="CO96" s="786"/>
      <c r="CP96" s="786"/>
      <c r="CQ96" s="787"/>
      <c r="FV96" s="105"/>
      <c r="FW96" s="105"/>
      <c r="FX96" s="105"/>
      <c r="FY96" s="105"/>
      <c r="FZ96" s="105"/>
      <c r="GA96" s="105"/>
      <c r="GB96" s="105"/>
      <c r="GC96" s="105"/>
      <c r="GD96" s="105"/>
      <c r="GE96" s="105"/>
      <c r="GF96" s="105"/>
      <c r="GG96" s="105"/>
      <c r="GH96" s="105"/>
      <c r="GI96" s="105"/>
    </row>
    <row r="97" spans="2:191" ht="12" customHeight="1" thickTop="1" thickBot="1" x14ac:dyDescent="0.3">
      <c r="B97" s="632"/>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644"/>
      <c r="AB97" s="632"/>
      <c r="AC97" s="770" t="str">
        <f>Tables!HO4</f>
        <v>ENEMY 1</v>
      </c>
      <c r="AD97" s="770"/>
      <c r="AE97" s="770"/>
      <c r="AF97" s="770"/>
      <c r="AG97" s="770"/>
      <c r="AH97" s="770"/>
      <c r="AI97" s="771"/>
      <c r="AJ97" s="798" t="s">
        <v>171</v>
      </c>
      <c r="AK97" s="798"/>
      <c r="AL97" s="798"/>
      <c r="AM97" s="798"/>
      <c r="AN97" s="798"/>
      <c r="AO97" s="780" t="s">
        <v>171</v>
      </c>
      <c r="AP97" s="780"/>
      <c r="AQ97" s="780"/>
      <c r="AR97" s="780"/>
      <c r="AS97" s="633"/>
      <c r="AU97" s="632"/>
      <c r="AV97" s="786"/>
      <c r="AW97" s="786"/>
      <c r="AX97" s="786"/>
      <c r="AY97" s="786"/>
      <c r="AZ97" s="786"/>
      <c r="BA97" s="786"/>
      <c r="BB97" s="786"/>
      <c r="BC97" s="786"/>
      <c r="BD97" s="786"/>
      <c r="BE97" s="786"/>
      <c r="BF97" s="786"/>
      <c r="BG97" s="786"/>
      <c r="BH97" s="633"/>
      <c r="BJ97" s="653"/>
      <c r="BK97" s="786"/>
      <c r="BL97" s="786"/>
      <c r="BM97" s="786"/>
      <c r="BN97" s="786"/>
      <c r="BO97" s="786"/>
      <c r="BP97" s="786"/>
      <c r="BQ97" s="786"/>
      <c r="BR97" s="786"/>
      <c r="BS97" s="786"/>
      <c r="BT97" s="786"/>
      <c r="BU97" s="786"/>
      <c r="BV97" s="786"/>
      <c r="BW97" s="786"/>
      <c r="BX97" s="786"/>
      <c r="BY97" s="786"/>
      <c r="BZ97" s="786"/>
      <c r="CA97" s="786"/>
      <c r="CB97" s="786"/>
      <c r="CC97" s="786"/>
      <c r="CD97" s="786"/>
      <c r="CE97" s="786"/>
      <c r="CF97" s="786"/>
      <c r="CG97" s="786"/>
      <c r="CH97" s="786"/>
      <c r="CI97" s="786"/>
      <c r="CJ97" s="786"/>
      <c r="CK97" s="786"/>
      <c r="CL97" s="786"/>
      <c r="CM97" s="786"/>
      <c r="CN97" s="786"/>
      <c r="CO97" s="786"/>
      <c r="CP97" s="786"/>
      <c r="CQ97" s="787"/>
      <c r="FV97" s="105"/>
      <c r="FW97" s="105"/>
      <c r="FX97" s="105"/>
      <c r="FY97" s="105"/>
      <c r="FZ97" s="105"/>
      <c r="GA97" s="105"/>
      <c r="GB97" s="105"/>
      <c r="GC97" s="105"/>
      <c r="GD97" s="105"/>
      <c r="GE97" s="105"/>
      <c r="GF97" s="105"/>
      <c r="GG97" s="105"/>
      <c r="GH97" s="105"/>
      <c r="GI97" s="105"/>
    </row>
    <row r="98" spans="2:191" ht="12" customHeight="1" thickTop="1" thickBot="1" x14ac:dyDescent="0.3">
      <c r="B98" s="632" t="str">
        <f>IF(CharacterLevel="","","   FEATS   (")</f>
        <v xml:space="preserve">   FEATS   (</v>
      </c>
      <c r="C98" s="616"/>
      <c r="D98" s="616"/>
      <c r="E98" s="645"/>
      <c r="F98" s="592" t="str">
        <f>IF(CharacterLevel="","",IF(C99="none",")",") max"))</f>
        <v>)</v>
      </c>
      <c r="G98" s="616"/>
      <c r="H98" s="646" t="str">
        <f>IF(OR(CharacterLevel="",C99="none"),"",3-AX91)</f>
        <v/>
      </c>
      <c r="J98" s="634"/>
      <c r="K98" s="616"/>
      <c r="L98" s="616"/>
      <c r="M98" s="616"/>
      <c r="N98" s="616"/>
      <c r="O98" s="616"/>
      <c r="P98" s="616"/>
      <c r="Q98" s="616"/>
      <c r="R98" s="616"/>
      <c r="S98" s="616"/>
      <c r="T98" s="616"/>
      <c r="U98" s="616"/>
      <c r="V98" s="616"/>
      <c r="W98" s="616"/>
      <c r="X98" s="616"/>
      <c r="Y98" s="616"/>
      <c r="Z98" s="644"/>
      <c r="AB98" s="632"/>
      <c r="AC98" s="770" t="str">
        <f>Tables!HO5</f>
        <v>ENEMY 2</v>
      </c>
      <c r="AD98" s="770"/>
      <c r="AE98" s="770"/>
      <c r="AF98" s="770"/>
      <c r="AG98" s="770"/>
      <c r="AH98" s="770"/>
      <c r="AI98" s="771"/>
      <c r="AJ98" s="798" t="s">
        <v>171</v>
      </c>
      <c r="AK98" s="798"/>
      <c r="AL98" s="798"/>
      <c r="AM98" s="798"/>
      <c r="AN98" s="798"/>
      <c r="AO98" s="780" t="s">
        <v>171</v>
      </c>
      <c r="AP98" s="780"/>
      <c r="AQ98" s="780"/>
      <c r="AR98" s="780"/>
      <c r="AS98" s="633"/>
      <c r="AU98" s="639"/>
      <c r="AV98" s="640"/>
      <c r="AW98" s="640"/>
      <c r="AX98" s="640"/>
      <c r="AY98" s="640"/>
      <c r="AZ98" s="640"/>
      <c r="BA98" s="640"/>
      <c r="BB98" s="640"/>
      <c r="BC98" s="640"/>
      <c r="BD98" s="640"/>
      <c r="BE98" s="640"/>
      <c r="BF98" s="640"/>
      <c r="BG98" s="640"/>
      <c r="BH98" s="641"/>
      <c r="BJ98" s="653"/>
      <c r="BK98" s="786"/>
      <c r="BL98" s="786"/>
      <c r="BM98" s="786"/>
      <c r="BN98" s="786"/>
      <c r="BO98" s="786"/>
      <c r="BP98" s="786"/>
      <c r="BQ98" s="786"/>
      <c r="BR98" s="786"/>
      <c r="BS98" s="786"/>
      <c r="BT98" s="786"/>
      <c r="BU98" s="786"/>
      <c r="BV98" s="786"/>
      <c r="BW98" s="786"/>
      <c r="BX98" s="786"/>
      <c r="BY98" s="786"/>
      <c r="BZ98" s="786"/>
      <c r="CA98" s="786"/>
      <c r="CB98" s="786"/>
      <c r="CC98" s="786"/>
      <c r="CD98" s="786"/>
      <c r="CE98" s="786"/>
      <c r="CF98" s="786"/>
      <c r="CG98" s="786"/>
      <c r="CH98" s="786"/>
      <c r="CI98" s="786"/>
      <c r="CJ98" s="786"/>
      <c r="CK98" s="786"/>
      <c r="CL98" s="786"/>
      <c r="CM98" s="786"/>
      <c r="CN98" s="786"/>
      <c r="CO98" s="786"/>
      <c r="CP98" s="786"/>
      <c r="CQ98" s="787"/>
      <c r="FV98" s="105"/>
      <c r="FW98" s="105"/>
      <c r="FX98" s="105"/>
      <c r="FY98" s="105"/>
      <c r="FZ98" s="105"/>
      <c r="GA98" s="105"/>
      <c r="GB98" s="105"/>
      <c r="GC98" s="105"/>
      <c r="GD98" s="105"/>
      <c r="GE98" s="105"/>
      <c r="GF98" s="105"/>
      <c r="GG98" s="105"/>
      <c r="GH98" s="105"/>
      <c r="GI98" s="105"/>
    </row>
    <row r="99" spans="2:191" ht="12" customHeight="1" thickTop="1" x14ac:dyDescent="0.25">
      <c r="B99" s="632"/>
      <c r="C99" s="786" t="str">
        <f>IF(CharacterLevel="","",IF(Tables!ZT8="","none",Tables!ZT8))</f>
        <v>none</v>
      </c>
      <c r="D99" s="786"/>
      <c r="E99" s="786"/>
      <c r="F99" s="786"/>
      <c r="G99" s="786"/>
      <c r="H99" s="786"/>
      <c r="I99" s="786"/>
      <c r="J99" s="786"/>
      <c r="K99" s="786"/>
      <c r="L99" s="786"/>
      <c r="M99" s="786"/>
      <c r="N99" s="786"/>
      <c r="O99" s="786"/>
      <c r="P99" s="786"/>
      <c r="Q99" s="786"/>
      <c r="R99" s="786"/>
      <c r="S99" s="786"/>
      <c r="T99" s="786"/>
      <c r="U99" s="786"/>
      <c r="V99" s="786"/>
      <c r="W99" s="786"/>
      <c r="X99" s="786"/>
      <c r="Y99" s="786"/>
      <c r="Z99" s="644"/>
      <c r="AB99" s="632"/>
      <c r="AC99" s="770" t="str">
        <f>Tables!HO6</f>
        <v>ENEMY 3</v>
      </c>
      <c r="AD99" s="770"/>
      <c r="AE99" s="770"/>
      <c r="AF99" s="770"/>
      <c r="AG99" s="770"/>
      <c r="AH99" s="770"/>
      <c r="AI99" s="771"/>
      <c r="AJ99" s="778" t="s">
        <v>171</v>
      </c>
      <c r="AK99" s="778"/>
      <c r="AL99" s="778"/>
      <c r="AM99" s="778"/>
      <c r="AN99" s="778"/>
      <c r="AO99" s="796" t="s">
        <v>171</v>
      </c>
      <c r="AP99" s="796"/>
      <c r="AQ99" s="796"/>
      <c r="AR99" s="796"/>
      <c r="AS99" s="633"/>
      <c r="AU99" s="748"/>
      <c r="AV99" s="748"/>
      <c r="AW99" s="748"/>
      <c r="AX99" s="748"/>
      <c r="AY99" s="748"/>
      <c r="AZ99" s="748"/>
      <c r="BA99" s="748"/>
      <c r="BB99" s="748"/>
      <c r="BC99" s="748"/>
      <c r="BD99" s="748"/>
      <c r="BE99" s="748"/>
      <c r="BF99" s="748"/>
      <c r="BG99" s="748"/>
      <c r="BH99" s="748"/>
      <c r="BJ99" s="653"/>
      <c r="BK99" s="786"/>
      <c r="BL99" s="786"/>
      <c r="BM99" s="786"/>
      <c r="BN99" s="786"/>
      <c r="BO99" s="786"/>
      <c r="BP99" s="786"/>
      <c r="BQ99" s="786"/>
      <c r="BR99" s="786"/>
      <c r="BS99" s="786"/>
      <c r="BT99" s="786"/>
      <c r="BU99" s="786"/>
      <c r="BV99" s="786"/>
      <c r="BW99" s="786"/>
      <c r="BX99" s="786"/>
      <c r="BY99" s="786"/>
      <c r="BZ99" s="786"/>
      <c r="CA99" s="786"/>
      <c r="CB99" s="786"/>
      <c r="CC99" s="786"/>
      <c r="CD99" s="786"/>
      <c r="CE99" s="786"/>
      <c r="CF99" s="786"/>
      <c r="CG99" s="786"/>
      <c r="CH99" s="786"/>
      <c r="CI99" s="786"/>
      <c r="CJ99" s="786"/>
      <c r="CK99" s="786"/>
      <c r="CL99" s="786"/>
      <c r="CM99" s="786"/>
      <c r="CN99" s="786"/>
      <c r="CO99" s="786"/>
      <c r="CP99" s="786"/>
      <c r="CQ99" s="787"/>
      <c r="FV99" s="105"/>
      <c r="FW99" s="105"/>
      <c r="FX99" s="105"/>
      <c r="FY99" s="105"/>
      <c r="FZ99" s="105"/>
      <c r="GA99" s="105"/>
      <c r="GB99" s="105"/>
      <c r="GC99" s="105"/>
      <c r="GD99" s="105"/>
      <c r="GE99" s="105"/>
      <c r="GF99" s="105"/>
      <c r="GG99" s="105"/>
      <c r="GH99" s="105"/>
      <c r="GI99" s="105"/>
    </row>
    <row r="100" spans="2:191" ht="12" customHeight="1" x14ac:dyDescent="0.25">
      <c r="B100" s="632"/>
      <c r="C100" s="786"/>
      <c r="D100" s="786"/>
      <c r="E100" s="786"/>
      <c r="F100" s="786"/>
      <c r="G100" s="786"/>
      <c r="H100" s="786"/>
      <c r="I100" s="786"/>
      <c r="J100" s="786"/>
      <c r="K100" s="786"/>
      <c r="L100" s="786"/>
      <c r="M100" s="786"/>
      <c r="N100" s="786"/>
      <c r="O100" s="786"/>
      <c r="P100" s="786"/>
      <c r="Q100" s="786"/>
      <c r="R100" s="786"/>
      <c r="S100" s="786"/>
      <c r="T100" s="786"/>
      <c r="U100" s="786"/>
      <c r="V100" s="786"/>
      <c r="W100" s="786"/>
      <c r="X100" s="786"/>
      <c r="Y100" s="786"/>
      <c r="Z100" s="633"/>
      <c r="AB100" s="632"/>
      <c r="AC100" s="728"/>
      <c r="AD100" s="728"/>
      <c r="AE100" s="728"/>
      <c r="AF100" s="728"/>
      <c r="AG100" s="728"/>
      <c r="AH100" s="728"/>
      <c r="AI100" s="728"/>
      <c r="AJ100" s="335"/>
      <c r="AK100" s="335"/>
      <c r="AL100" s="335"/>
      <c r="AM100" s="335"/>
      <c r="AN100" s="335"/>
      <c r="AO100" s="335"/>
      <c r="AP100" s="335"/>
      <c r="AQ100" s="335"/>
      <c r="AR100" s="335"/>
      <c r="AS100" s="633"/>
      <c r="AU100" s="701"/>
      <c r="AV100" s="148"/>
      <c r="AW100" s="148"/>
      <c r="AX100" s="148"/>
      <c r="AY100" s="148"/>
      <c r="AZ100" s="148"/>
      <c r="BA100" s="148"/>
      <c r="BB100" s="148"/>
      <c r="BC100" s="148"/>
      <c r="BD100" s="148"/>
      <c r="BE100" s="148"/>
      <c r="BF100" s="148"/>
      <c r="BG100" s="148"/>
      <c r="BH100" s="149"/>
      <c r="BJ100" s="653"/>
      <c r="BK100" s="786"/>
      <c r="BL100" s="786"/>
      <c r="BM100" s="786"/>
      <c r="BN100" s="786"/>
      <c r="BO100" s="786"/>
      <c r="BP100" s="786"/>
      <c r="BQ100" s="786"/>
      <c r="BR100" s="786"/>
      <c r="BS100" s="786"/>
      <c r="BT100" s="786"/>
      <c r="BU100" s="786"/>
      <c r="BV100" s="786"/>
      <c r="BW100" s="786"/>
      <c r="BX100" s="786"/>
      <c r="BY100" s="786"/>
      <c r="BZ100" s="786"/>
      <c r="CA100" s="786"/>
      <c r="CB100" s="786"/>
      <c r="CC100" s="786"/>
      <c r="CD100" s="786"/>
      <c r="CE100" s="786"/>
      <c r="CF100" s="786"/>
      <c r="CG100" s="786"/>
      <c r="CH100" s="786"/>
      <c r="CI100" s="786"/>
      <c r="CJ100" s="786"/>
      <c r="CK100" s="786"/>
      <c r="CL100" s="786"/>
      <c r="CM100" s="786"/>
      <c r="CN100" s="786"/>
      <c r="CO100" s="786"/>
      <c r="CP100" s="786"/>
      <c r="CQ100" s="787"/>
      <c r="ER100" s="144"/>
      <c r="ES100" s="144"/>
      <c r="ET100" s="144"/>
      <c r="EU100" s="144"/>
      <c r="EV100" s="144"/>
      <c r="EW100" s="144"/>
      <c r="EX100" s="144"/>
      <c r="EY100" s="144"/>
      <c r="EZ100" s="144"/>
      <c r="FA100" s="144"/>
      <c r="FB100" s="144"/>
      <c r="FC100" s="144"/>
      <c r="FD100" s="144"/>
      <c r="FE100" s="144"/>
      <c r="FF100" s="144"/>
      <c r="FG100" s="144"/>
      <c r="FH100" s="144"/>
      <c r="FI100" s="144"/>
      <c r="FV100" s="105"/>
      <c r="FW100" s="105"/>
      <c r="FX100" s="105"/>
      <c r="FY100" s="105"/>
      <c r="FZ100" s="105"/>
      <c r="GA100" s="105"/>
      <c r="GB100" s="105"/>
      <c r="GC100" s="105"/>
      <c r="GD100" s="105"/>
      <c r="GE100" s="105"/>
      <c r="GF100" s="105"/>
      <c r="GG100" s="105"/>
      <c r="GH100" s="105"/>
      <c r="GI100" s="105"/>
    </row>
    <row r="101" spans="2:191" ht="12" customHeight="1" thickBot="1" x14ac:dyDescent="0.3">
      <c r="B101" s="632"/>
      <c r="C101" s="786"/>
      <c r="D101" s="786"/>
      <c r="E101" s="786"/>
      <c r="F101" s="786"/>
      <c r="G101" s="786"/>
      <c r="H101" s="786"/>
      <c r="I101" s="786"/>
      <c r="J101" s="786"/>
      <c r="K101" s="786"/>
      <c r="L101" s="786"/>
      <c r="M101" s="786"/>
      <c r="N101" s="786"/>
      <c r="O101" s="786"/>
      <c r="P101" s="786"/>
      <c r="Q101" s="786"/>
      <c r="R101" s="786"/>
      <c r="S101" s="786"/>
      <c r="T101" s="786"/>
      <c r="U101" s="786"/>
      <c r="V101" s="786"/>
      <c r="W101" s="786"/>
      <c r="X101" s="786"/>
      <c r="Y101" s="786"/>
      <c r="Z101" s="633"/>
      <c r="AB101" s="632"/>
      <c r="AC101" s="728" t="s">
        <v>2954</v>
      </c>
      <c r="AD101" s="728"/>
      <c r="AE101" s="728"/>
      <c r="AF101" s="728"/>
      <c r="AG101" s="728"/>
      <c r="AH101" s="728"/>
      <c r="AI101" s="728"/>
      <c r="AJ101" s="335"/>
      <c r="AK101" s="335"/>
      <c r="AL101" s="335"/>
      <c r="AM101" s="335"/>
      <c r="AN101" s="335"/>
      <c r="AO101" s="335"/>
      <c r="AP101" s="335"/>
      <c r="AQ101" s="335"/>
      <c r="AR101" s="335"/>
      <c r="AS101" s="633"/>
      <c r="AU101" s="701"/>
      <c r="AV101" s="148"/>
      <c r="AW101" s="148"/>
      <c r="AX101" s="148"/>
      <c r="AY101" s="148"/>
      <c r="AZ101" s="148"/>
      <c r="BA101" s="148"/>
      <c r="BB101" s="148"/>
      <c r="BC101" s="148"/>
      <c r="BD101" s="148"/>
      <c r="BE101" s="148"/>
      <c r="BF101" s="148"/>
      <c r="BG101" s="148"/>
      <c r="BH101" s="149"/>
      <c r="BJ101" s="653"/>
      <c r="BK101" s="786"/>
      <c r="BL101" s="786"/>
      <c r="BM101" s="786"/>
      <c r="BN101" s="786"/>
      <c r="BO101" s="786"/>
      <c r="BP101" s="786"/>
      <c r="BQ101" s="786"/>
      <c r="BR101" s="786"/>
      <c r="BS101" s="786"/>
      <c r="BT101" s="786"/>
      <c r="BU101" s="786"/>
      <c r="BV101" s="786"/>
      <c r="BW101" s="786"/>
      <c r="BX101" s="786"/>
      <c r="BY101" s="786"/>
      <c r="BZ101" s="786"/>
      <c r="CA101" s="786"/>
      <c r="CB101" s="786"/>
      <c r="CC101" s="786"/>
      <c r="CD101" s="786"/>
      <c r="CE101" s="786"/>
      <c r="CF101" s="786"/>
      <c r="CG101" s="786"/>
      <c r="CH101" s="786"/>
      <c r="CI101" s="786"/>
      <c r="CJ101" s="786"/>
      <c r="CK101" s="786"/>
      <c r="CL101" s="786"/>
      <c r="CM101" s="786"/>
      <c r="CN101" s="786"/>
      <c r="CO101" s="786"/>
      <c r="CP101" s="786"/>
      <c r="CQ101" s="787"/>
      <c r="ER101" s="144"/>
      <c r="ES101" s="144"/>
      <c r="ET101" s="144"/>
      <c r="EU101" s="144"/>
      <c r="EV101" s="144"/>
      <c r="EW101" s="144"/>
      <c r="EX101" s="144"/>
      <c r="EY101" s="144"/>
      <c r="EZ101" s="144"/>
      <c r="FA101" s="144"/>
      <c r="FB101" s="144"/>
      <c r="FC101" s="144"/>
      <c r="FD101" s="144"/>
      <c r="FE101" s="144"/>
      <c r="FF101" s="144"/>
      <c r="FG101" s="144"/>
      <c r="FH101" s="144"/>
      <c r="FI101" s="144"/>
      <c r="FV101" s="105"/>
      <c r="FW101" s="105"/>
      <c r="FX101" s="105"/>
      <c r="FY101" s="105"/>
      <c r="FZ101" s="105"/>
      <c r="GA101" s="105"/>
      <c r="GB101" s="105"/>
      <c r="GC101" s="105"/>
      <c r="GD101" s="105"/>
      <c r="GE101" s="105"/>
      <c r="GF101" s="105"/>
      <c r="GG101" s="105"/>
      <c r="GH101" s="105"/>
      <c r="GI101" s="105"/>
    </row>
    <row r="102" spans="2:191" ht="12" customHeight="1" thickTop="1" thickBot="1" x14ac:dyDescent="0.3">
      <c r="B102" s="632"/>
      <c r="C102" s="786"/>
      <c r="D102" s="786"/>
      <c r="E102" s="786"/>
      <c r="F102" s="786"/>
      <c r="G102" s="786"/>
      <c r="H102" s="786"/>
      <c r="I102" s="786"/>
      <c r="J102" s="786"/>
      <c r="K102" s="786"/>
      <c r="L102" s="786"/>
      <c r="M102" s="786"/>
      <c r="N102" s="786"/>
      <c r="O102" s="786"/>
      <c r="P102" s="786"/>
      <c r="Q102" s="786"/>
      <c r="R102" s="786"/>
      <c r="S102" s="786"/>
      <c r="T102" s="786"/>
      <c r="U102" s="786"/>
      <c r="V102" s="786"/>
      <c r="W102" s="786"/>
      <c r="X102" s="786"/>
      <c r="Y102" s="786"/>
      <c r="Z102" s="633"/>
      <c r="AB102" s="632"/>
      <c r="AC102" s="770" t="str">
        <f>Tables!HV4</f>
        <v>TERRAIN 1</v>
      </c>
      <c r="AD102" s="770"/>
      <c r="AE102" s="770"/>
      <c r="AF102" s="770"/>
      <c r="AG102" s="770"/>
      <c r="AH102" s="770"/>
      <c r="AI102" s="771"/>
      <c r="AJ102" s="772" t="s">
        <v>171</v>
      </c>
      <c r="AK102" s="773"/>
      <c r="AL102" s="773"/>
      <c r="AM102" s="773"/>
      <c r="AN102" s="773"/>
      <c r="AO102" s="773"/>
      <c r="AP102" s="773"/>
      <c r="AQ102" s="773"/>
      <c r="AR102" s="774"/>
      <c r="AS102" s="633"/>
      <c r="AU102" s="701"/>
      <c r="AV102" s="148"/>
      <c r="AW102" s="148"/>
      <c r="AX102" s="148"/>
      <c r="AY102" s="148"/>
      <c r="AZ102" s="148"/>
      <c r="BA102" s="148"/>
      <c r="BB102" s="148"/>
      <c r="BC102" s="148"/>
      <c r="BD102" s="148"/>
      <c r="BE102" s="148"/>
      <c r="BF102" s="148"/>
      <c r="BG102" s="148"/>
      <c r="BH102" s="149"/>
      <c r="BJ102" s="653"/>
      <c r="BK102" s="786"/>
      <c r="BL102" s="786"/>
      <c r="BM102" s="786"/>
      <c r="BN102" s="786"/>
      <c r="BO102" s="786"/>
      <c r="BP102" s="786"/>
      <c r="BQ102" s="786"/>
      <c r="BR102" s="786"/>
      <c r="BS102" s="786"/>
      <c r="BT102" s="786"/>
      <c r="BU102" s="786"/>
      <c r="BV102" s="786"/>
      <c r="BW102" s="786"/>
      <c r="BX102" s="786"/>
      <c r="BY102" s="786"/>
      <c r="BZ102" s="786"/>
      <c r="CA102" s="786"/>
      <c r="CB102" s="786"/>
      <c r="CC102" s="786"/>
      <c r="CD102" s="786"/>
      <c r="CE102" s="786"/>
      <c r="CF102" s="786"/>
      <c r="CG102" s="786"/>
      <c r="CH102" s="786"/>
      <c r="CI102" s="786"/>
      <c r="CJ102" s="786"/>
      <c r="CK102" s="786"/>
      <c r="CL102" s="786"/>
      <c r="CM102" s="786"/>
      <c r="CN102" s="786"/>
      <c r="CO102" s="786"/>
      <c r="CP102" s="786"/>
      <c r="CQ102" s="787"/>
      <c r="ER102" s="144"/>
      <c r="ES102" s="144"/>
      <c r="ET102" s="144"/>
      <c r="EU102" s="144"/>
      <c r="EV102" s="144"/>
      <c r="EW102" s="144"/>
      <c r="EX102" s="144"/>
      <c r="EY102" s="144"/>
      <c r="EZ102" s="144"/>
      <c r="FA102" s="144"/>
      <c r="FB102" s="144"/>
      <c r="FC102" s="144"/>
      <c r="FD102" s="144"/>
      <c r="FE102" s="144"/>
      <c r="FF102" s="144"/>
      <c r="FG102" s="144"/>
      <c r="FH102" s="144"/>
      <c r="FI102" s="144"/>
      <c r="FV102" s="105"/>
      <c r="FW102" s="105"/>
      <c r="FX102" s="105"/>
      <c r="FY102" s="105"/>
      <c r="FZ102" s="105"/>
      <c r="GA102" s="105"/>
      <c r="GB102" s="105"/>
      <c r="GC102" s="105"/>
      <c r="GD102" s="105"/>
      <c r="GE102" s="105"/>
      <c r="GF102" s="105"/>
      <c r="GG102" s="105"/>
      <c r="GH102" s="105"/>
      <c r="GI102" s="105"/>
    </row>
    <row r="103" spans="2:191" ht="12" customHeight="1" thickTop="1" thickBot="1" x14ac:dyDescent="0.3">
      <c r="B103" s="632"/>
      <c r="C103" s="786"/>
      <c r="D103" s="786"/>
      <c r="E103" s="786"/>
      <c r="F103" s="786"/>
      <c r="G103" s="786"/>
      <c r="H103" s="786"/>
      <c r="I103" s="786"/>
      <c r="J103" s="786"/>
      <c r="K103" s="786"/>
      <c r="L103" s="786"/>
      <c r="M103" s="786"/>
      <c r="N103" s="786"/>
      <c r="O103" s="786"/>
      <c r="P103" s="786"/>
      <c r="Q103" s="786"/>
      <c r="R103" s="786"/>
      <c r="S103" s="786"/>
      <c r="T103" s="786"/>
      <c r="U103" s="786"/>
      <c r="V103" s="786"/>
      <c r="W103" s="786"/>
      <c r="X103" s="786"/>
      <c r="Y103" s="786"/>
      <c r="Z103" s="633"/>
      <c r="AB103" s="632"/>
      <c r="AC103" s="770" t="str">
        <f>Tables!HV5</f>
        <v>TERRAIN 2</v>
      </c>
      <c r="AD103" s="770"/>
      <c r="AE103" s="770"/>
      <c r="AF103" s="770"/>
      <c r="AG103" s="770"/>
      <c r="AH103" s="770"/>
      <c r="AI103" s="771"/>
      <c r="AJ103" s="772" t="s">
        <v>171</v>
      </c>
      <c r="AK103" s="773"/>
      <c r="AL103" s="773"/>
      <c r="AM103" s="773"/>
      <c r="AN103" s="773"/>
      <c r="AO103" s="773"/>
      <c r="AP103" s="773"/>
      <c r="AQ103" s="773"/>
      <c r="AR103" s="774"/>
      <c r="AS103" s="633"/>
      <c r="AU103" s="701"/>
      <c r="AV103" s="148"/>
      <c r="AW103" s="148"/>
      <c r="AX103" s="148"/>
      <c r="AY103" s="148"/>
      <c r="AZ103" s="148"/>
      <c r="BA103" s="148"/>
      <c r="BB103" s="148"/>
      <c r="BC103" s="148"/>
      <c r="BD103" s="148"/>
      <c r="BE103" s="148"/>
      <c r="BF103" s="148"/>
      <c r="BG103" s="148"/>
      <c r="BH103" s="149"/>
      <c r="BJ103" s="653"/>
      <c r="BK103" s="786"/>
      <c r="BL103" s="786"/>
      <c r="BM103" s="786"/>
      <c r="BN103" s="786"/>
      <c r="BO103" s="786"/>
      <c r="BP103" s="786"/>
      <c r="BQ103" s="786"/>
      <c r="BR103" s="786"/>
      <c r="BS103" s="786"/>
      <c r="BT103" s="786"/>
      <c r="BU103" s="786"/>
      <c r="BV103" s="786"/>
      <c r="BW103" s="786"/>
      <c r="BX103" s="786"/>
      <c r="BY103" s="786"/>
      <c r="BZ103" s="786"/>
      <c r="CA103" s="786"/>
      <c r="CB103" s="786"/>
      <c r="CC103" s="786"/>
      <c r="CD103" s="786"/>
      <c r="CE103" s="786"/>
      <c r="CF103" s="786"/>
      <c r="CG103" s="786"/>
      <c r="CH103" s="786"/>
      <c r="CI103" s="786"/>
      <c r="CJ103" s="786"/>
      <c r="CK103" s="786"/>
      <c r="CL103" s="786"/>
      <c r="CM103" s="786"/>
      <c r="CN103" s="786"/>
      <c r="CO103" s="786"/>
      <c r="CP103" s="786"/>
      <c r="CQ103" s="787"/>
      <c r="ER103" s="144"/>
      <c r="ES103" s="144"/>
      <c r="ET103" s="144"/>
      <c r="EU103" s="144"/>
      <c r="EV103" s="144"/>
      <c r="EW103" s="144"/>
      <c r="EX103" s="144"/>
      <c r="EY103" s="144"/>
      <c r="EZ103" s="144"/>
      <c r="FA103" s="144"/>
      <c r="FB103" s="144"/>
      <c r="FC103" s="144"/>
      <c r="FD103" s="144"/>
      <c r="FE103" s="144"/>
      <c r="FF103" s="144"/>
      <c r="FG103" s="144"/>
      <c r="FH103" s="144"/>
      <c r="FI103" s="144"/>
      <c r="FV103" s="105"/>
      <c r="FW103" s="105"/>
      <c r="FX103" s="105"/>
      <c r="FY103" s="105"/>
      <c r="FZ103" s="105"/>
      <c r="GA103" s="105"/>
      <c r="GB103" s="105"/>
      <c r="GC103" s="105"/>
      <c r="GD103" s="105"/>
      <c r="GE103" s="105"/>
      <c r="GF103" s="105"/>
      <c r="GG103" s="105"/>
      <c r="GH103" s="105"/>
      <c r="GI103" s="105"/>
    </row>
    <row r="104" spans="2:191" ht="12" customHeight="1" thickTop="1" thickBot="1" x14ac:dyDescent="0.3">
      <c r="B104" s="632"/>
      <c r="C104" s="786"/>
      <c r="D104" s="786"/>
      <c r="E104" s="786"/>
      <c r="F104" s="786"/>
      <c r="G104" s="786"/>
      <c r="H104" s="786"/>
      <c r="I104" s="786"/>
      <c r="J104" s="786"/>
      <c r="K104" s="786"/>
      <c r="L104" s="786"/>
      <c r="M104" s="786"/>
      <c r="N104" s="786"/>
      <c r="O104" s="786"/>
      <c r="P104" s="786"/>
      <c r="Q104" s="786"/>
      <c r="R104" s="786"/>
      <c r="S104" s="786"/>
      <c r="T104" s="786"/>
      <c r="U104" s="786"/>
      <c r="V104" s="786"/>
      <c r="W104" s="786"/>
      <c r="X104" s="786"/>
      <c r="Y104" s="786"/>
      <c r="Z104" s="633"/>
      <c r="AB104" s="632"/>
      <c r="AC104" s="770" t="str">
        <f>Tables!HV6</f>
        <v>TERRAIN 3</v>
      </c>
      <c r="AD104" s="770"/>
      <c r="AE104" s="770"/>
      <c r="AF104" s="770"/>
      <c r="AG104" s="770"/>
      <c r="AH104" s="770"/>
      <c r="AI104" s="771"/>
      <c r="AJ104" s="772" t="s">
        <v>171</v>
      </c>
      <c r="AK104" s="773"/>
      <c r="AL104" s="773"/>
      <c r="AM104" s="773"/>
      <c r="AN104" s="773"/>
      <c r="AO104" s="773"/>
      <c r="AP104" s="773"/>
      <c r="AQ104" s="773"/>
      <c r="AR104" s="774"/>
      <c r="AS104" s="633"/>
      <c r="AU104" s="701"/>
      <c r="AV104" s="148"/>
      <c r="AW104" s="148"/>
      <c r="AX104" s="148"/>
      <c r="AY104" s="148"/>
      <c r="AZ104" s="148"/>
      <c r="BA104" s="148"/>
      <c r="BB104" s="148"/>
      <c r="BC104" s="148"/>
      <c r="BD104" s="148"/>
      <c r="BE104" s="148"/>
      <c r="BF104" s="148"/>
      <c r="BG104" s="148"/>
      <c r="BH104" s="149"/>
      <c r="BJ104" s="653"/>
      <c r="BK104" s="786"/>
      <c r="BL104" s="786"/>
      <c r="BM104" s="786"/>
      <c r="BN104" s="786"/>
      <c r="BO104" s="786"/>
      <c r="BP104" s="786"/>
      <c r="BQ104" s="786"/>
      <c r="BR104" s="786"/>
      <c r="BS104" s="786"/>
      <c r="BT104" s="786"/>
      <c r="BU104" s="786"/>
      <c r="BV104" s="786"/>
      <c r="BW104" s="786"/>
      <c r="BX104" s="786"/>
      <c r="BY104" s="786"/>
      <c r="BZ104" s="786"/>
      <c r="CA104" s="786"/>
      <c r="CB104" s="786"/>
      <c r="CC104" s="786"/>
      <c r="CD104" s="786"/>
      <c r="CE104" s="786"/>
      <c r="CF104" s="786"/>
      <c r="CG104" s="786"/>
      <c r="CH104" s="786"/>
      <c r="CI104" s="786"/>
      <c r="CJ104" s="786"/>
      <c r="CK104" s="786"/>
      <c r="CL104" s="786"/>
      <c r="CM104" s="786"/>
      <c r="CN104" s="786"/>
      <c r="CO104" s="786"/>
      <c r="CP104" s="786"/>
      <c r="CQ104" s="787"/>
      <c r="ER104" s="144"/>
      <c r="ES104" s="144"/>
      <c r="ET104" s="144"/>
      <c r="EU104" s="144"/>
      <c r="EV104" s="144"/>
      <c r="EW104" s="144"/>
      <c r="EX104" s="144"/>
      <c r="EY104" s="144"/>
      <c r="EZ104" s="144"/>
      <c r="FA104" s="144"/>
      <c r="FB104" s="144"/>
      <c r="FC104" s="144"/>
      <c r="FD104" s="144"/>
      <c r="FE104" s="144"/>
      <c r="FF104" s="144"/>
      <c r="FG104" s="144"/>
      <c r="FH104" s="144"/>
      <c r="FI104" s="144"/>
      <c r="FV104" s="105"/>
      <c r="FW104" s="105"/>
      <c r="FX104" s="105"/>
      <c r="FY104" s="105"/>
      <c r="FZ104" s="105"/>
      <c r="GA104" s="105"/>
      <c r="GB104" s="105"/>
      <c r="GC104" s="105"/>
      <c r="GD104" s="105"/>
      <c r="GE104" s="105"/>
      <c r="GF104" s="105"/>
      <c r="GG104" s="105"/>
      <c r="GH104" s="105"/>
      <c r="GI104" s="105"/>
    </row>
    <row r="105" spans="2:191" ht="12" customHeight="1" thickTop="1" x14ac:dyDescent="0.25">
      <c r="B105" s="632"/>
      <c r="C105" s="786"/>
      <c r="D105" s="786"/>
      <c r="E105" s="786"/>
      <c r="F105" s="786"/>
      <c r="G105" s="786"/>
      <c r="H105" s="786"/>
      <c r="I105" s="786"/>
      <c r="J105" s="786"/>
      <c r="K105" s="786"/>
      <c r="L105" s="786"/>
      <c r="M105" s="786"/>
      <c r="N105" s="786"/>
      <c r="O105" s="786"/>
      <c r="P105" s="786"/>
      <c r="Q105" s="786"/>
      <c r="R105" s="786"/>
      <c r="S105" s="786"/>
      <c r="T105" s="786"/>
      <c r="U105" s="786"/>
      <c r="V105" s="786"/>
      <c r="W105" s="786"/>
      <c r="X105" s="786"/>
      <c r="Y105" s="786"/>
      <c r="Z105" s="633"/>
      <c r="AB105" s="632"/>
      <c r="AC105" s="728"/>
      <c r="AD105" s="728"/>
      <c r="AE105" s="728"/>
      <c r="AF105" s="728"/>
      <c r="AG105" s="728"/>
      <c r="AH105" s="728"/>
      <c r="AI105" s="728"/>
      <c r="AJ105" s="335"/>
      <c r="AK105" s="335"/>
      <c r="AL105" s="335"/>
      <c r="AM105" s="335"/>
      <c r="AN105" s="335"/>
      <c r="AO105" s="335"/>
      <c r="AP105" s="335"/>
      <c r="AQ105" s="335"/>
      <c r="AR105" s="335"/>
      <c r="AS105" s="633"/>
      <c r="AU105" s="701"/>
      <c r="AV105" s="148"/>
      <c r="AW105" s="148"/>
      <c r="AX105" s="148"/>
      <c r="AY105" s="148"/>
      <c r="AZ105" s="148"/>
      <c r="BA105" s="148"/>
      <c r="BB105" s="148"/>
      <c r="BC105" s="148"/>
      <c r="BD105" s="148"/>
      <c r="BE105" s="148"/>
      <c r="BF105" s="148"/>
      <c r="BG105" s="148"/>
      <c r="BH105" s="149"/>
      <c r="BJ105" s="653"/>
      <c r="BK105" s="786"/>
      <c r="BL105" s="786"/>
      <c r="BM105" s="786"/>
      <c r="BN105" s="786"/>
      <c r="BO105" s="786"/>
      <c r="BP105" s="786"/>
      <c r="BQ105" s="786"/>
      <c r="BR105" s="786"/>
      <c r="BS105" s="786"/>
      <c r="BT105" s="786"/>
      <c r="BU105" s="786"/>
      <c r="BV105" s="786"/>
      <c r="BW105" s="786"/>
      <c r="BX105" s="786"/>
      <c r="BY105" s="786"/>
      <c r="BZ105" s="786"/>
      <c r="CA105" s="786"/>
      <c r="CB105" s="786"/>
      <c r="CC105" s="786"/>
      <c r="CD105" s="786"/>
      <c r="CE105" s="786"/>
      <c r="CF105" s="786"/>
      <c r="CG105" s="786"/>
      <c r="CH105" s="786"/>
      <c r="CI105" s="786"/>
      <c r="CJ105" s="786"/>
      <c r="CK105" s="786"/>
      <c r="CL105" s="786"/>
      <c r="CM105" s="786"/>
      <c r="CN105" s="786"/>
      <c r="CO105" s="786"/>
      <c r="CP105" s="786"/>
      <c r="CQ105" s="787"/>
      <c r="ER105" s="144"/>
      <c r="ES105" s="144"/>
      <c r="ET105" s="144"/>
      <c r="EU105" s="144"/>
      <c r="EV105" s="144"/>
      <c r="EW105" s="144"/>
      <c r="EX105" s="144"/>
      <c r="EY105" s="144"/>
      <c r="EZ105" s="144"/>
      <c r="FA105" s="144"/>
      <c r="FB105" s="144"/>
      <c r="FC105" s="144"/>
      <c r="FD105" s="144"/>
      <c r="FE105" s="144"/>
      <c r="FF105" s="144"/>
      <c r="FG105" s="144"/>
      <c r="FH105" s="144"/>
      <c r="FI105" s="144"/>
      <c r="FV105" s="105"/>
      <c r="FW105" s="105"/>
      <c r="FX105" s="105"/>
      <c r="FY105" s="105"/>
      <c r="FZ105" s="105"/>
      <c r="GA105" s="105"/>
      <c r="GB105" s="105"/>
      <c r="GC105" s="105"/>
      <c r="GD105" s="105"/>
      <c r="GE105" s="105"/>
      <c r="GF105" s="105"/>
      <c r="GG105" s="105"/>
      <c r="GH105" s="105"/>
      <c r="GI105" s="105"/>
    </row>
    <row r="106" spans="2:191" ht="12" customHeight="1" x14ac:dyDescent="0.25">
      <c r="B106" s="632"/>
      <c r="C106" s="786"/>
      <c r="D106" s="786"/>
      <c r="E106" s="786"/>
      <c r="F106" s="786"/>
      <c r="G106" s="786"/>
      <c r="H106" s="786"/>
      <c r="I106" s="786"/>
      <c r="J106" s="786"/>
      <c r="K106" s="786"/>
      <c r="L106" s="786"/>
      <c r="M106" s="786"/>
      <c r="N106" s="786"/>
      <c r="O106" s="786"/>
      <c r="P106" s="786"/>
      <c r="Q106" s="786"/>
      <c r="R106" s="786"/>
      <c r="S106" s="786"/>
      <c r="T106" s="786"/>
      <c r="U106" s="786"/>
      <c r="V106" s="786"/>
      <c r="W106" s="786"/>
      <c r="X106" s="786"/>
      <c r="Y106" s="786"/>
      <c r="Z106" s="633"/>
      <c r="AB106" s="632"/>
      <c r="AC106" s="728" t="s">
        <v>2974</v>
      </c>
      <c r="AD106" s="728"/>
      <c r="AE106" s="728"/>
      <c r="AF106" s="728"/>
      <c r="AG106" s="728"/>
      <c r="AH106" s="728"/>
      <c r="AI106" s="728"/>
      <c r="AJ106" s="335"/>
      <c r="AK106" s="335"/>
      <c r="AL106" s="335"/>
      <c r="AM106" s="335"/>
      <c r="AN106" s="335"/>
      <c r="AO106" s="335"/>
      <c r="AP106" s="335"/>
      <c r="AQ106" s="335"/>
      <c r="AR106" s="335"/>
      <c r="AS106" s="633"/>
      <c r="AU106" s="701"/>
      <c r="AV106" s="148"/>
      <c r="AW106" s="148"/>
      <c r="AX106" s="148"/>
      <c r="AY106" s="148"/>
      <c r="AZ106" s="148"/>
      <c r="BA106" s="148"/>
      <c r="BB106" s="148"/>
      <c r="BC106" s="148"/>
      <c r="BD106" s="148"/>
      <c r="BE106" s="148"/>
      <c r="BF106" s="148"/>
      <c r="BG106" s="148"/>
      <c r="BH106" s="149"/>
      <c r="BJ106" s="653"/>
      <c r="BK106" s="786"/>
      <c r="BL106" s="786"/>
      <c r="BM106" s="786"/>
      <c r="BN106" s="786"/>
      <c r="BO106" s="786"/>
      <c r="BP106" s="786"/>
      <c r="BQ106" s="786"/>
      <c r="BR106" s="786"/>
      <c r="BS106" s="786"/>
      <c r="BT106" s="786"/>
      <c r="BU106" s="786"/>
      <c r="BV106" s="786"/>
      <c r="BW106" s="786"/>
      <c r="BX106" s="786"/>
      <c r="BY106" s="786"/>
      <c r="BZ106" s="786"/>
      <c r="CA106" s="786"/>
      <c r="CB106" s="786"/>
      <c r="CC106" s="786"/>
      <c r="CD106" s="786"/>
      <c r="CE106" s="786"/>
      <c r="CF106" s="786"/>
      <c r="CG106" s="786"/>
      <c r="CH106" s="786"/>
      <c r="CI106" s="786"/>
      <c r="CJ106" s="786"/>
      <c r="CK106" s="786"/>
      <c r="CL106" s="786"/>
      <c r="CM106" s="786"/>
      <c r="CN106" s="786"/>
      <c r="CO106" s="786"/>
      <c r="CP106" s="786"/>
      <c r="CQ106" s="787"/>
      <c r="ER106" s="144"/>
      <c r="ES106" s="144"/>
      <c r="ET106" s="144"/>
      <c r="EU106" s="144"/>
      <c r="EV106" s="144"/>
      <c r="EW106" s="144"/>
      <c r="EX106" s="144"/>
      <c r="EY106" s="144"/>
      <c r="EZ106" s="144"/>
      <c r="FA106" s="144"/>
      <c r="FB106" s="144"/>
      <c r="FC106" s="144"/>
      <c r="FD106" s="144"/>
      <c r="FE106" s="144"/>
      <c r="FF106" s="144"/>
      <c r="FG106" s="144"/>
      <c r="FH106" s="144"/>
      <c r="FI106" s="144"/>
      <c r="FV106" s="105"/>
      <c r="FW106" s="105"/>
      <c r="FX106" s="105"/>
      <c r="FY106" s="105"/>
      <c r="FZ106" s="105"/>
      <c r="GA106" s="105"/>
      <c r="GB106" s="105"/>
      <c r="GC106" s="105"/>
      <c r="GD106" s="105"/>
      <c r="GE106" s="105"/>
      <c r="GF106" s="105"/>
      <c r="GG106" s="105"/>
      <c r="GH106" s="105"/>
      <c r="GI106" s="105"/>
    </row>
    <row r="107" spans="2:191" ht="12" customHeight="1" x14ac:dyDescent="0.25">
      <c r="B107" s="632"/>
      <c r="C107" s="786"/>
      <c r="D107" s="786"/>
      <c r="E107" s="786"/>
      <c r="F107" s="786"/>
      <c r="G107" s="786"/>
      <c r="H107" s="786"/>
      <c r="I107" s="786"/>
      <c r="J107" s="786"/>
      <c r="K107" s="786"/>
      <c r="L107" s="786"/>
      <c r="M107" s="786"/>
      <c r="N107" s="786"/>
      <c r="O107" s="786"/>
      <c r="P107" s="786"/>
      <c r="Q107" s="786"/>
      <c r="R107" s="786"/>
      <c r="S107" s="786"/>
      <c r="T107" s="786"/>
      <c r="U107" s="786"/>
      <c r="V107" s="786"/>
      <c r="W107" s="786"/>
      <c r="X107" s="786"/>
      <c r="Y107" s="786"/>
      <c r="Z107" s="633"/>
      <c r="AB107" s="632"/>
      <c r="AC107" s="775" t="str">
        <f ca="1">Tables!HZ4</f>
        <v>FEATURE 1</v>
      </c>
      <c r="AD107" s="775"/>
      <c r="AE107" s="775"/>
      <c r="AF107" s="775"/>
      <c r="AG107" s="775"/>
      <c r="AH107" s="775"/>
      <c r="AI107" s="775"/>
      <c r="AJ107" s="779" t="s">
        <v>171</v>
      </c>
      <c r="AK107" s="779"/>
      <c r="AL107" s="779"/>
      <c r="AM107" s="779"/>
      <c r="AN107" s="779"/>
      <c r="AO107" s="779"/>
      <c r="AP107" s="779"/>
      <c r="AQ107" s="779"/>
      <c r="AR107" s="779"/>
      <c r="AS107" s="633"/>
      <c r="AU107" s="701"/>
      <c r="AV107" s="148"/>
      <c r="AW107" s="148"/>
      <c r="AX107" s="148"/>
      <c r="AY107" s="148"/>
      <c r="AZ107" s="148"/>
      <c r="BA107" s="148"/>
      <c r="BB107" s="148"/>
      <c r="BC107" s="148"/>
      <c r="BD107" s="148"/>
      <c r="BE107" s="148"/>
      <c r="BF107" s="148"/>
      <c r="BG107" s="148"/>
      <c r="BH107" s="149"/>
      <c r="BJ107" s="653"/>
      <c r="BK107" s="786"/>
      <c r="BL107" s="786"/>
      <c r="BM107" s="786"/>
      <c r="BN107" s="786"/>
      <c r="BO107" s="786"/>
      <c r="BP107" s="786"/>
      <c r="BQ107" s="786"/>
      <c r="BR107" s="786"/>
      <c r="BS107" s="786"/>
      <c r="BT107" s="786"/>
      <c r="BU107" s="786"/>
      <c r="BV107" s="786"/>
      <c r="BW107" s="786"/>
      <c r="BX107" s="786"/>
      <c r="BY107" s="786"/>
      <c r="BZ107" s="786"/>
      <c r="CA107" s="786"/>
      <c r="CB107" s="786"/>
      <c r="CC107" s="786"/>
      <c r="CD107" s="786"/>
      <c r="CE107" s="786"/>
      <c r="CF107" s="786"/>
      <c r="CG107" s="786"/>
      <c r="CH107" s="786"/>
      <c r="CI107" s="786"/>
      <c r="CJ107" s="786"/>
      <c r="CK107" s="786"/>
      <c r="CL107" s="786"/>
      <c r="CM107" s="786"/>
      <c r="CN107" s="786"/>
      <c r="CO107" s="786"/>
      <c r="CP107" s="786"/>
      <c r="CQ107" s="787"/>
      <c r="ER107" s="144"/>
      <c r="ES107" s="144"/>
      <c r="ET107" s="144"/>
      <c r="EU107" s="144"/>
      <c r="EV107" s="144"/>
      <c r="EW107" s="144"/>
      <c r="EX107" s="144"/>
      <c r="EY107" s="144"/>
      <c r="EZ107" s="144"/>
      <c r="FA107" s="144"/>
      <c r="FB107" s="144"/>
      <c r="FC107" s="144"/>
      <c r="FD107" s="144"/>
      <c r="FE107" s="144"/>
      <c r="FF107" s="144"/>
      <c r="FG107" s="144"/>
      <c r="FH107" s="144"/>
      <c r="FI107" s="144"/>
      <c r="FV107" s="105"/>
      <c r="FW107" s="105"/>
      <c r="FX107" s="105"/>
      <c r="FY107" s="105"/>
      <c r="FZ107" s="105"/>
      <c r="GA107" s="105"/>
      <c r="GB107" s="105"/>
      <c r="GC107" s="105"/>
      <c r="GD107" s="105"/>
      <c r="GE107" s="105"/>
      <c r="GF107" s="105"/>
      <c r="GG107" s="105"/>
      <c r="GH107" s="105"/>
      <c r="GI107" s="105"/>
    </row>
    <row r="108" spans="2:191" ht="12" customHeight="1" x14ac:dyDescent="0.25">
      <c r="B108" s="632"/>
      <c r="C108" s="786"/>
      <c r="D108" s="786"/>
      <c r="E108" s="786"/>
      <c r="F108" s="786"/>
      <c r="G108" s="786"/>
      <c r="H108" s="786"/>
      <c r="I108" s="786"/>
      <c r="J108" s="786"/>
      <c r="K108" s="786"/>
      <c r="L108" s="786"/>
      <c r="M108" s="786"/>
      <c r="N108" s="786"/>
      <c r="O108" s="786"/>
      <c r="P108" s="786"/>
      <c r="Q108" s="786"/>
      <c r="R108" s="786"/>
      <c r="S108" s="786"/>
      <c r="T108" s="786"/>
      <c r="U108" s="786"/>
      <c r="V108" s="786"/>
      <c r="W108" s="786"/>
      <c r="X108" s="786"/>
      <c r="Y108" s="786"/>
      <c r="Z108" s="633"/>
      <c r="AB108" s="632"/>
      <c r="AC108" s="775" t="str">
        <f ca="1">Tables!HZ5</f>
        <v>FEATURE 2</v>
      </c>
      <c r="AD108" s="775"/>
      <c r="AE108" s="775"/>
      <c r="AF108" s="775"/>
      <c r="AG108" s="775"/>
      <c r="AH108" s="775"/>
      <c r="AI108" s="775"/>
      <c r="AJ108" s="779" t="s">
        <v>171</v>
      </c>
      <c r="AK108" s="779"/>
      <c r="AL108" s="779"/>
      <c r="AM108" s="779"/>
      <c r="AN108" s="779"/>
      <c r="AO108" s="779"/>
      <c r="AP108" s="779"/>
      <c r="AQ108" s="779"/>
      <c r="AR108" s="779"/>
      <c r="AS108" s="633"/>
      <c r="AU108" s="701"/>
      <c r="AV108" s="148"/>
      <c r="AW108" s="148"/>
      <c r="AX108" s="148"/>
      <c r="AY108" s="148"/>
      <c r="AZ108" s="148"/>
      <c r="BA108" s="148"/>
      <c r="BB108" s="148"/>
      <c r="BC108" s="148"/>
      <c r="BD108" s="148"/>
      <c r="BE108" s="148"/>
      <c r="BF108" s="148"/>
      <c r="BG108" s="148"/>
      <c r="BH108" s="149"/>
      <c r="BJ108" s="653"/>
      <c r="BK108" s="786"/>
      <c r="BL108" s="786"/>
      <c r="BM108" s="786"/>
      <c r="BN108" s="786"/>
      <c r="BO108" s="786"/>
      <c r="BP108" s="786"/>
      <c r="BQ108" s="786"/>
      <c r="BR108" s="786"/>
      <c r="BS108" s="786"/>
      <c r="BT108" s="786"/>
      <c r="BU108" s="786"/>
      <c r="BV108" s="786"/>
      <c r="BW108" s="786"/>
      <c r="BX108" s="786"/>
      <c r="BY108" s="786"/>
      <c r="BZ108" s="786"/>
      <c r="CA108" s="786"/>
      <c r="CB108" s="786"/>
      <c r="CC108" s="786"/>
      <c r="CD108" s="786"/>
      <c r="CE108" s="786"/>
      <c r="CF108" s="786"/>
      <c r="CG108" s="786"/>
      <c r="CH108" s="786"/>
      <c r="CI108" s="786"/>
      <c r="CJ108" s="786"/>
      <c r="CK108" s="786"/>
      <c r="CL108" s="786"/>
      <c r="CM108" s="786"/>
      <c r="CN108" s="786"/>
      <c r="CO108" s="786"/>
      <c r="CP108" s="786"/>
      <c r="CQ108" s="787"/>
      <c r="ER108" s="144"/>
      <c r="ES108" s="144"/>
      <c r="ET108" s="144"/>
      <c r="EU108" s="144"/>
      <c r="EV108" s="144"/>
      <c r="EW108" s="144"/>
      <c r="EX108" s="144"/>
      <c r="EY108" s="144"/>
      <c r="EZ108" s="144"/>
      <c r="FA108" s="144"/>
      <c r="FB108" s="144"/>
      <c r="FC108" s="144"/>
      <c r="FD108" s="144"/>
      <c r="FE108" s="144"/>
      <c r="FF108" s="144"/>
      <c r="FG108" s="144"/>
      <c r="FH108" s="144"/>
      <c r="FI108" s="144"/>
      <c r="FV108" s="105"/>
      <c r="FW108" s="105"/>
      <c r="FX108" s="105"/>
      <c r="FY108" s="105"/>
      <c r="FZ108" s="105"/>
      <c r="GA108" s="105"/>
      <c r="GB108" s="105"/>
      <c r="GC108" s="105"/>
      <c r="GD108" s="105"/>
      <c r="GE108" s="105"/>
      <c r="GF108" s="105"/>
      <c r="GG108" s="105"/>
      <c r="GH108" s="105"/>
      <c r="GI108" s="105"/>
    </row>
    <row r="109" spans="2:191" ht="12" customHeight="1" x14ac:dyDescent="0.25">
      <c r="B109" s="716"/>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717"/>
      <c r="AB109" s="632"/>
      <c r="AC109" s="775" t="str">
        <f ca="1">Tables!HZ6</f>
        <v>FEATURE 3</v>
      </c>
      <c r="AD109" s="775"/>
      <c r="AE109" s="775"/>
      <c r="AF109" s="775"/>
      <c r="AG109" s="775"/>
      <c r="AH109" s="775"/>
      <c r="AI109" s="775"/>
      <c r="AJ109" s="779" t="s">
        <v>171</v>
      </c>
      <c r="AK109" s="779"/>
      <c r="AL109" s="779"/>
      <c r="AM109" s="779"/>
      <c r="AN109" s="779"/>
      <c r="AO109" s="779"/>
      <c r="AP109" s="779"/>
      <c r="AQ109" s="779"/>
      <c r="AR109" s="779"/>
      <c r="AS109" s="633"/>
      <c r="AU109" s="701"/>
      <c r="AV109" s="148"/>
      <c r="AW109" s="148"/>
      <c r="AX109" s="148"/>
      <c r="AY109" s="148"/>
      <c r="AZ109" s="148"/>
      <c r="BA109" s="148"/>
      <c r="BB109" s="148"/>
      <c r="BC109" s="148"/>
      <c r="BD109" s="148"/>
      <c r="BE109" s="148"/>
      <c r="BF109" s="148"/>
      <c r="BG109" s="148"/>
      <c r="BH109" s="149"/>
      <c r="BJ109" s="701"/>
      <c r="BK109" s="786"/>
      <c r="BL109" s="786"/>
      <c r="BM109" s="786"/>
      <c r="BN109" s="786"/>
      <c r="BO109" s="786"/>
      <c r="BP109" s="786"/>
      <c r="BQ109" s="786"/>
      <c r="BR109" s="786"/>
      <c r="BS109" s="786"/>
      <c r="BT109" s="786"/>
      <c r="BU109" s="786"/>
      <c r="BV109" s="786"/>
      <c r="BW109" s="786"/>
      <c r="BX109" s="786"/>
      <c r="BY109" s="786"/>
      <c r="BZ109" s="786"/>
      <c r="CA109" s="786"/>
      <c r="CB109" s="786"/>
      <c r="CC109" s="786"/>
      <c r="CD109" s="786"/>
      <c r="CE109" s="786"/>
      <c r="CF109" s="786"/>
      <c r="CG109" s="786"/>
      <c r="CH109" s="786"/>
      <c r="CI109" s="786"/>
      <c r="CJ109" s="786"/>
      <c r="CK109" s="786"/>
      <c r="CL109" s="786"/>
      <c r="CM109" s="786"/>
      <c r="CN109" s="786"/>
      <c r="CO109" s="786"/>
      <c r="CP109" s="786"/>
      <c r="CQ109" s="787"/>
      <c r="ER109" s="144"/>
      <c r="ES109" s="144"/>
      <c r="ET109" s="144"/>
      <c r="EU109" s="144"/>
      <c r="EV109" s="144"/>
      <c r="EW109" s="144"/>
      <c r="EX109" s="144"/>
      <c r="EY109" s="144"/>
      <c r="EZ109" s="144"/>
      <c r="FA109" s="144"/>
      <c r="FB109" s="144"/>
      <c r="FC109" s="144"/>
      <c r="FD109" s="144"/>
      <c r="FE109" s="144"/>
      <c r="FF109" s="144"/>
      <c r="FG109" s="144"/>
      <c r="FH109" s="144"/>
      <c r="FI109" s="144"/>
      <c r="FV109" s="105"/>
      <c r="FW109" s="105"/>
      <c r="FX109" s="105"/>
      <c r="FY109" s="105"/>
      <c r="FZ109" s="105"/>
      <c r="GA109" s="105"/>
      <c r="GB109" s="105"/>
      <c r="GC109" s="105"/>
      <c r="GD109" s="105"/>
      <c r="GE109" s="105"/>
      <c r="GF109" s="105"/>
      <c r="GG109" s="105"/>
      <c r="GH109" s="105"/>
      <c r="GI109" s="105"/>
    </row>
    <row r="110" spans="2:191" ht="12" customHeight="1" x14ac:dyDescent="0.25">
      <c r="AB110" s="632"/>
      <c r="AC110" s="775" t="str">
        <f ca="1">Tables!HZ7</f>
        <v>FEATURE 4</v>
      </c>
      <c r="AD110" s="775"/>
      <c r="AE110" s="775"/>
      <c r="AF110" s="775"/>
      <c r="AG110" s="775"/>
      <c r="AH110" s="775"/>
      <c r="AI110" s="775"/>
      <c r="AJ110" s="779" t="s">
        <v>171</v>
      </c>
      <c r="AK110" s="779"/>
      <c r="AL110" s="779"/>
      <c r="AM110" s="779"/>
      <c r="AN110" s="779"/>
      <c r="AO110" s="779"/>
      <c r="AP110" s="779"/>
      <c r="AQ110" s="779"/>
      <c r="AR110" s="779"/>
      <c r="AS110" s="633"/>
      <c r="AU110" s="701"/>
      <c r="AV110" s="148"/>
      <c r="AW110" s="148"/>
      <c r="AX110" s="148"/>
      <c r="AY110" s="148"/>
      <c r="AZ110" s="148"/>
      <c r="BA110" s="148"/>
      <c r="BB110" s="148"/>
      <c r="BC110" s="148"/>
      <c r="BD110" s="148"/>
      <c r="BE110" s="148"/>
      <c r="BF110" s="148"/>
      <c r="BG110" s="148"/>
      <c r="BH110" s="149"/>
      <c r="BJ110" s="701"/>
      <c r="BK110" s="786"/>
      <c r="BL110" s="786"/>
      <c r="BM110" s="786"/>
      <c r="BN110" s="786"/>
      <c r="BO110" s="786"/>
      <c r="BP110" s="786"/>
      <c r="BQ110" s="786"/>
      <c r="BR110" s="786"/>
      <c r="BS110" s="786"/>
      <c r="BT110" s="786"/>
      <c r="BU110" s="786"/>
      <c r="BV110" s="786"/>
      <c r="BW110" s="786"/>
      <c r="BX110" s="786"/>
      <c r="BY110" s="786"/>
      <c r="BZ110" s="786"/>
      <c r="CA110" s="786"/>
      <c r="CB110" s="786"/>
      <c r="CC110" s="786"/>
      <c r="CD110" s="786"/>
      <c r="CE110" s="786"/>
      <c r="CF110" s="786"/>
      <c r="CG110" s="786"/>
      <c r="CH110" s="786"/>
      <c r="CI110" s="786"/>
      <c r="CJ110" s="786"/>
      <c r="CK110" s="786"/>
      <c r="CL110" s="786"/>
      <c r="CM110" s="786"/>
      <c r="CN110" s="786"/>
      <c r="CO110" s="786"/>
      <c r="CP110" s="786"/>
      <c r="CQ110" s="787"/>
    </row>
    <row r="111" spans="2:191" ht="12" customHeight="1" x14ac:dyDescent="0.25">
      <c r="B111" s="84" t="s">
        <v>3671</v>
      </c>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7"/>
      <c r="AB111" s="632"/>
      <c r="AC111" s="724"/>
      <c r="AD111" s="728"/>
      <c r="AE111" s="728"/>
      <c r="AF111" s="728"/>
      <c r="AG111" s="728"/>
      <c r="AH111" s="728"/>
      <c r="AI111" s="728"/>
      <c r="AJ111" s="335"/>
      <c r="AK111" s="335"/>
      <c r="AL111" s="335"/>
      <c r="AM111" s="335"/>
      <c r="AN111" s="335"/>
      <c r="AO111" s="335"/>
      <c r="AP111" s="335"/>
      <c r="AQ111" s="335"/>
      <c r="AR111" s="335"/>
      <c r="AS111" s="633"/>
      <c r="AU111" s="716"/>
      <c r="AV111" s="150"/>
      <c r="AW111" s="150"/>
      <c r="AX111" s="150"/>
      <c r="AY111" s="150"/>
      <c r="AZ111" s="150"/>
      <c r="BA111" s="150"/>
      <c r="BB111" s="150"/>
      <c r="BC111" s="150"/>
      <c r="BD111" s="150"/>
      <c r="BE111" s="150"/>
      <c r="BF111" s="150"/>
      <c r="BG111" s="150"/>
      <c r="BH111" s="717"/>
      <c r="BJ111" s="701"/>
      <c r="BK111" s="786"/>
      <c r="BL111" s="786"/>
      <c r="BM111" s="786"/>
      <c r="BN111" s="786"/>
      <c r="BO111" s="786"/>
      <c r="BP111" s="786"/>
      <c r="BQ111" s="786"/>
      <c r="BR111" s="786"/>
      <c r="BS111" s="786"/>
      <c r="BT111" s="786"/>
      <c r="BU111" s="786"/>
      <c r="BV111" s="786"/>
      <c r="BW111" s="786"/>
      <c r="BX111" s="786"/>
      <c r="BY111" s="786"/>
      <c r="BZ111" s="786"/>
      <c r="CA111" s="786"/>
      <c r="CB111" s="786"/>
      <c r="CC111" s="786"/>
      <c r="CD111" s="786"/>
      <c r="CE111" s="786"/>
      <c r="CF111" s="786"/>
      <c r="CG111" s="786"/>
      <c r="CH111" s="786"/>
      <c r="CI111" s="786"/>
      <c r="CJ111" s="786"/>
      <c r="CK111" s="786"/>
      <c r="CL111" s="786"/>
      <c r="CM111" s="786"/>
      <c r="CN111" s="786"/>
      <c r="CO111" s="786"/>
      <c r="CP111" s="786"/>
      <c r="CQ111" s="787"/>
    </row>
    <row r="112" spans="2:191" ht="12" customHeight="1" x14ac:dyDescent="0.25">
      <c r="B112" s="701"/>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9"/>
      <c r="AB112" s="632"/>
      <c r="AC112" s="335" t="s">
        <v>3288</v>
      </c>
      <c r="AD112" s="335"/>
      <c r="AE112" s="335"/>
      <c r="AF112" s="335"/>
      <c r="AG112" s="335"/>
      <c r="AH112" s="335"/>
      <c r="AI112" s="335"/>
      <c r="AJ112" s="335"/>
      <c r="AK112" s="335"/>
      <c r="AL112" s="335"/>
      <c r="AM112" s="335"/>
      <c r="AN112" s="335"/>
      <c r="AO112" s="335"/>
      <c r="AP112" s="335"/>
      <c r="AQ112" s="335"/>
      <c r="AR112" s="335"/>
      <c r="AS112" s="633"/>
      <c r="BJ112" s="701"/>
      <c r="BK112" s="786"/>
      <c r="BL112" s="786"/>
      <c r="BM112" s="786"/>
      <c r="BN112" s="786"/>
      <c r="BO112" s="786"/>
      <c r="BP112" s="786"/>
      <c r="BQ112" s="786"/>
      <c r="BR112" s="786"/>
      <c r="BS112" s="786"/>
      <c r="BT112" s="786"/>
      <c r="BU112" s="786"/>
      <c r="BV112" s="786"/>
      <c r="BW112" s="786"/>
      <c r="BX112" s="786"/>
      <c r="BY112" s="786"/>
      <c r="BZ112" s="786"/>
      <c r="CA112" s="786"/>
      <c r="CB112" s="786"/>
      <c r="CC112" s="786"/>
      <c r="CD112" s="786"/>
      <c r="CE112" s="786"/>
      <c r="CF112" s="786"/>
      <c r="CG112" s="786"/>
      <c r="CH112" s="786"/>
      <c r="CI112" s="786"/>
      <c r="CJ112" s="786"/>
      <c r="CK112" s="786"/>
      <c r="CL112" s="786"/>
      <c r="CM112" s="786"/>
      <c r="CN112" s="786"/>
      <c r="CO112" s="786"/>
      <c r="CP112" s="786"/>
      <c r="CQ112" s="787"/>
    </row>
    <row r="113" spans="2:191" ht="12" customHeight="1" x14ac:dyDescent="0.25">
      <c r="B113" s="607" t="b">
        <f t="shared" ref="B113:B120" ca="1" si="6">IF(LEFT(C113,4)="FEAT",FALSE,TRUE)</f>
        <v>0</v>
      </c>
      <c r="C113" s="776" t="str">
        <f ca="1">Tables!YG3</f>
        <v>FEAT 1</v>
      </c>
      <c r="D113" s="776"/>
      <c r="E113" s="776"/>
      <c r="F113" s="776"/>
      <c r="G113" s="776"/>
      <c r="I113" s="830" t="s">
        <v>171</v>
      </c>
      <c r="J113" s="830"/>
      <c r="K113" s="830"/>
      <c r="L113" s="830"/>
      <c r="M113" s="830"/>
      <c r="N113" s="830"/>
      <c r="O113" s="830"/>
      <c r="P113" s="148"/>
      <c r="Q113" s="148"/>
      <c r="R113" s="148"/>
      <c r="S113" s="148"/>
      <c r="T113" s="148"/>
      <c r="U113" s="148"/>
      <c r="V113" s="148"/>
      <c r="W113" s="148"/>
      <c r="X113" s="148"/>
      <c r="Y113" s="148"/>
      <c r="Z113" s="149"/>
      <c r="AB113" s="632"/>
      <c r="AC113" s="775" t="str">
        <f>Tables!IP4</f>
        <v>INVOCATION 1</v>
      </c>
      <c r="AD113" s="775"/>
      <c r="AE113" s="775"/>
      <c r="AF113" s="775"/>
      <c r="AG113" s="775"/>
      <c r="AH113" s="775"/>
      <c r="AI113" s="775"/>
      <c r="AJ113" s="779" t="s">
        <v>171</v>
      </c>
      <c r="AK113" s="779"/>
      <c r="AL113" s="779"/>
      <c r="AM113" s="779"/>
      <c r="AN113" s="779"/>
      <c r="AO113" s="779"/>
      <c r="AP113" s="779"/>
      <c r="AQ113" s="779"/>
      <c r="AR113" s="779"/>
      <c r="AS113" s="633"/>
      <c r="AU113" s="112" t="s">
        <v>253</v>
      </c>
      <c r="AV113" s="146"/>
      <c r="AW113" s="146"/>
      <c r="AX113" s="146"/>
      <c r="AY113" s="146"/>
      <c r="AZ113" s="146"/>
      <c r="BA113" s="146"/>
      <c r="BB113" s="146"/>
      <c r="BC113" s="146"/>
      <c r="BD113" s="146"/>
      <c r="BE113" s="146"/>
      <c r="BF113" s="146"/>
      <c r="BG113" s="146"/>
      <c r="BH113" s="147"/>
      <c r="BJ113" s="701"/>
      <c r="BK113" s="786"/>
      <c r="BL113" s="786"/>
      <c r="BM113" s="786"/>
      <c r="BN113" s="786"/>
      <c r="BO113" s="786"/>
      <c r="BP113" s="786"/>
      <c r="BQ113" s="786"/>
      <c r="BR113" s="786"/>
      <c r="BS113" s="786"/>
      <c r="BT113" s="786"/>
      <c r="BU113" s="786"/>
      <c r="BV113" s="786"/>
      <c r="BW113" s="786"/>
      <c r="BX113" s="786"/>
      <c r="BY113" s="786"/>
      <c r="BZ113" s="786"/>
      <c r="CA113" s="786"/>
      <c r="CB113" s="786"/>
      <c r="CC113" s="786"/>
      <c r="CD113" s="786"/>
      <c r="CE113" s="786"/>
      <c r="CF113" s="786"/>
      <c r="CG113" s="786"/>
      <c r="CH113" s="786"/>
      <c r="CI113" s="786"/>
      <c r="CJ113" s="786"/>
      <c r="CK113" s="786"/>
      <c r="CL113" s="786"/>
      <c r="CM113" s="786"/>
      <c r="CN113" s="786"/>
      <c r="CO113" s="786"/>
      <c r="CP113" s="786"/>
      <c r="CQ113" s="787"/>
    </row>
    <row r="114" spans="2:191" ht="12" customHeight="1" thickBot="1" x14ac:dyDescent="0.3">
      <c r="B114" s="607" t="b">
        <f t="shared" ca="1" si="6"/>
        <v>0</v>
      </c>
      <c r="C114" s="776" t="str">
        <f ca="1">Tables!YG4</f>
        <v>FEAT 2</v>
      </c>
      <c r="D114" s="776"/>
      <c r="E114" s="776"/>
      <c r="F114" s="776"/>
      <c r="G114" s="776"/>
      <c r="I114" s="830" t="s">
        <v>171</v>
      </c>
      <c r="J114" s="830"/>
      <c r="K114" s="830"/>
      <c r="L114" s="830"/>
      <c r="M114" s="830"/>
      <c r="N114" s="830"/>
      <c r="O114" s="830"/>
      <c r="P114" s="148"/>
      <c r="Q114" s="148"/>
      <c r="R114" s="148"/>
      <c r="S114" s="148"/>
      <c r="T114" s="148"/>
      <c r="U114" s="148"/>
      <c r="V114" s="148"/>
      <c r="W114" s="148"/>
      <c r="X114" s="148"/>
      <c r="Y114" s="148"/>
      <c r="Z114" s="149"/>
      <c r="AB114" s="632"/>
      <c r="AC114" s="775" t="str">
        <f>Tables!IP5</f>
        <v>INVOCATION 2</v>
      </c>
      <c r="AD114" s="775"/>
      <c r="AE114" s="775"/>
      <c r="AF114" s="775"/>
      <c r="AG114" s="775"/>
      <c r="AH114" s="775"/>
      <c r="AI114" s="775"/>
      <c r="AJ114" s="779" t="s">
        <v>171</v>
      </c>
      <c r="AK114" s="779"/>
      <c r="AL114" s="779"/>
      <c r="AM114" s="779"/>
      <c r="AN114" s="779"/>
      <c r="AO114" s="779"/>
      <c r="AP114" s="779"/>
      <c r="AQ114" s="779"/>
      <c r="AR114" s="779"/>
      <c r="AS114" s="633"/>
      <c r="AU114" s="632"/>
      <c r="AV114" s="335"/>
      <c r="AW114" s="335"/>
      <c r="AX114" s="335"/>
      <c r="AY114" s="335"/>
      <c r="AZ114" s="803" t="s">
        <v>2952</v>
      </c>
      <c r="BA114" s="803"/>
      <c r="BB114" s="803"/>
      <c r="BC114" s="803" t="s">
        <v>17</v>
      </c>
      <c r="BD114" s="803"/>
      <c r="BE114" s="803"/>
      <c r="BF114" s="808" t="s">
        <v>3344</v>
      </c>
      <c r="BG114" s="808"/>
      <c r="BH114" s="809"/>
      <c r="BJ114" s="701"/>
      <c r="BK114" s="786"/>
      <c r="BL114" s="786"/>
      <c r="BM114" s="786"/>
      <c r="BN114" s="786"/>
      <c r="BO114" s="786"/>
      <c r="BP114" s="786"/>
      <c r="BQ114" s="786"/>
      <c r="BR114" s="786"/>
      <c r="BS114" s="786"/>
      <c r="BT114" s="786"/>
      <c r="BU114" s="786"/>
      <c r="BV114" s="786"/>
      <c r="BW114" s="786"/>
      <c r="BX114" s="786"/>
      <c r="BY114" s="786"/>
      <c r="BZ114" s="786"/>
      <c r="CA114" s="786"/>
      <c r="CB114" s="786"/>
      <c r="CC114" s="786"/>
      <c r="CD114" s="786"/>
      <c r="CE114" s="786"/>
      <c r="CF114" s="786"/>
      <c r="CG114" s="786"/>
      <c r="CH114" s="786"/>
      <c r="CI114" s="786"/>
      <c r="CJ114" s="786"/>
      <c r="CK114" s="786"/>
      <c r="CL114" s="786"/>
      <c r="CM114" s="786"/>
      <c r="CN114" s="786"/>
      <c r="CO114" s="786"/>
      <c r="CP114" s="786"/>
      <c r="CQ114" s="787"/>
    </row>
    <row r="115" spans="2:191" ht="12" customHeight="1" thickTop="1" thickBot="1" x14ac:dyDescent="0.3">
      <c r="B115" s="607" t="b">
        <f t="shared" ca="1" si="6"/>
        <v>0</v>
      </c>
      <c r="C115" s="776" t="str">
        <f ca="1">Tables!YG5</f>
        <v>FEAT 3</v>
      </c>
      <c r="D115" s="776"/>
      <c r="E115" s="776"/>
      <c r="F115" s="776"/>
      <c r="G115" s="776"/>
      <c r="I115" s="830" t="s">
        <v>171</v>
      </c>
      <c r="J115" s="830"/>
      <c r="K115" s="830"/>
      <c r="L115" s="830"/>
      <c r="M115" s="830"/>
      <c r="N115" s="830"/>
      <c r="O115" s="830"/>
      <c r="P115" s="148"/>
      <c r="Q115" s="148"/>
      <c r="R115" s="148"/>
      <c r="S115" s="148"/>
      <c r="T115" s="148"/>
      <c r="U115" s="148"/>
      <c r="V115" s="148"/>
      <c r="W115" s="148"/>
      <c r="X115" s="148"/>
      <c r="Y115" s="148"/>
      <c r="Z115" s="149"/>
      <c r="AB115" s="632"/>
      <c r="AC115" s="775" t="str">
        <f>Tables!IP6</f>
        <v>INVOCATION 3</v>
      </c>
      <c r="AD115" s="775"/>
      <c r="AE115" s="775"/>
      <c r="AF115" s="775"/>
      <c r="AG115" s="775"/>
      <c r="AH115" s="775"/>
      <c r="AI115" s="775"/>
      <c r="AJ115" s="779" t="s">
        <v>171</v>
      </c>
      <c r="AK115" s="779"/>
      <c r="AL115" s="779"/>
      <c r="AM115" s="779"/>
      <c r="AN115" s="779"/>
      <c r="AO115" s="779"/>
      <c r="AP115" s="779"/>
      <c r="AQ115" s="779"/>
      <c r="AR115" s="779"/>
      <c r="AS115" s="633"/>
      <c r="AU115" s="632"/>
      <c r="AV115" s="592" t="s">
        <v>297</v>
      </c>
      <c r="AW115" s="335"/>
      <c r="AX115" s="335"/>
      <c r="AY115" s="335"/>
      <c r="AZ115" s="801">
        <v>0</v>
      </c>
      <c r="BA115" s="802"/>
      <c r="BB115" s="802"/>
      <c r="BC115" s="801">
        <v>923</v>
      </c>
      <c r="BD115" s="802"/>
      <c r="BE115" s="802"/>
      <c r="BF115" s="810" t="s">
        <v>3340</v>
      </c>
      <c r="BG115" s="810"/>
      <c r="BH115" s="811"/>
      <c r="BJ115" s="701"/>
      <c r="BK115" s="786"/>
      <c r="BL115" s="786"/>
      <c r="BM115" s="786"/>
      <c r="BN115" s="786"/>
      <c r="BO115" s="786"/>
      <c r="BP115" s="786"/>
      <c r="BQ115" s="786"/>
      <c r="BR115" s="786"/>
      <c r="BS115" s="786"/>
      <c r="BT115" s="786"/>
      <c r="BU115" s="786"/>
      <c r="BV115" s="786"/>
      <c r="BW115" s="786"/>
      <c r="BX115" s="786"/>
      <c r="BY115" s="786"/>
      <c r="BZ115" s="786"/>
      <c r="CA115" s="786"/>
      <c r="CB115" s="786"/>
      <c r="CC115" s="786"/>
      <c r="CD115" s="786"/>
      <c r="CE115" s="786"/>
      <c r="CF115" s="786"/>
      <c r="CG115" s="786"/>
      <c r="CH115" s="786"/>
      <c r="CI115" s="786"/>
      <c r="CJ115" s="786"/>
      <c r="CK115" s="786"/>
      <c r="CL115" s="786"/>
      <c r="CM115" s="786"/>
      <c r="CN115" s="786"/>
      <c r="CO115" s="786"/>
      <c r="CP115" s="786"/>
      <c r="CQ115" s="787"/>
    </row>
    <row r="116" spans="2:191" ht="12" customHeight="1" thickTop="1" thickBot="1" x14ac:dyDescent="0.3">
      <c r="B116" s="607" t="b">
        <f t="shared" ca="1" si="6"/>
        <v>0</v>
      </c>
      <c r="C116" s="776" t="str">
        <f ca="1">Tables!YG6</f>
        <v>FEAT 4</v>
      </c>
      <c r="D116" s="776"/>
      <c r="E116" s="776"/>
      <c r="F116" s="776"/>
      <c r="G116" s="776"/>
      <c r="I116" s="830" t="s">
        <v>171</v>
      </c>
      <c r="J116" s="830"/>
      <c r="K116" s="830"/>
      <c r="L116" s="830"/>
      <c r="M116" s="830"/>
      <c r="N116" s="830"/>
      <c r="O116" s="830"/>
      <c r="P116" s="148"/>
      <c r="Q116" s="148"/>
      <c r="R116" s="148"/>
      <c r="S116" s="148"/>
      <c r="T116" s="148"/>
      <c r="U116" s="148"/>
      <c r="V116" s="148"/>
      <c r="W116" s="148"/>
      <c r="X116" s="148"/>
      <c r="Y116" s="148"/>
      <c r="Z116" s="149"/>
      <c r="AB116" s="632"/>
      <c r="AC116" s="775" t="str">
        <f>Tables!IP7</f>
        <v>INVOCATION 4</v>
      </c>
      <c r="AD116" s="775"/>
      <c r="AE116" s="775"/>
      <c r="AF116" s="775"/>
      <c r="AG116" s="775"/>
      <c r="AH116" s="775"/>
      <c r="AI116" s="775"/>
      <c r="AJ116" s="779" t="s">
        <v>171</v>
      </c>
      <c r="AK116" s="779"/>
      <c r="AL116" s="779"/>
      <c r="AM116" s="779"/>
      <c r="AN116" s="779"/>
      <c r="AO116" s="779"/>
      <c r="AP116" s="779"/>
      <c r="AQ116" s="779"/>
      <c r="AR116" s="779"/>
      <c r="AS116" s="633"/>
      <c r="AU116" s="632"/>
      <c r="AV116" s="592" t="s">
        <v>298</v>
      </c>
      <c r="AW116" s="335"/>
      <c r="AX116" s="335"/>
      <c r="AY116" s="335"/>
      <c r="AZ116" s="801">
        <v>0</v>
      </c>
      <c r="BA116" s="802"/>
      <c r="BB116" s="802"/>
      <c r="BC116" s="801">
        <v>167</v>
      </c>
      <c r="BD116" s="802"/>
      <c r="BE116" s="802"/>
      <c r="BF116" s="810" t="s">
        <v>3341</v>
      </c>
      <c r="BG116" s="810"/>
      <c r="BH116" s="811"/>
      <c r="BJ116" s="701"/>
      <c r="BK116" s="786"/>
      <c r="BL116" s="786"/>
      <c r="BM116" s="786"/>
      <c r="BN116" s="786"/>
      <c r="BO116" s="786"/>
      <c r="BP116" s="786"/>
      <c r="BQ116" s="786"/>
      <c r="BR116" s="786"/>
      <c r="BS116" s="786"/>
      <c r="BT116" s="786"/>
      <c r="BU116" s="786"/>
      <c r="BV116" s="786"/>
      <c r="BW116" s="786"/>
      <c r="BX116" s="786"/>
      <c r="BY116" s="786"/>
      <c r="BZ116" s="786"/>
      <c r="CA116" s="786"/>
      <c r="CB116" s="786"/>
      <c r="CC116" s="786"/>
      <c r="CD116" s="786"/>
      <c r="CE116" s="786"/>
      <c r="CF116" s="786"/>
      <c r="CG116" s="786"/>
      <c r="CH116" s="786"/>
      <c r="CI116" s="786"/>
      <c r="CJ116" s="786"/>
      <c r="CK116" s="786"/>
      <c r="CL116" s="786"/>
      <c r="CM116" s="786"/>
      <c r="CN116" s="786"/>
      <c r="CO116" s="786"/>
      <c r="CP116" s="786"/>
      <c r="CQ116" s="787"/>
    </row>
    <row r="117" spans="2:191" ht="12" customHeight="1" thickTop="1" thickBot="1" x14ac:dyDescent="0.3">
      <c r="B117" s="607" t="b">
        <f t="shared" ca="1" si="6"/>
        <v>0</v>
      </c>
      <c r="C117" s="776" t="str">
        <f ca="1">Tables!YG7</f>
        <v>FEAT 5</v>
      </c>
      <c r="D117" s="776"/>
      <c r="E117" s="776"/>
      <c r="F117" s="776"/>
      <c r="G117" s="776"/>
      <c r="I117" s="830" t="s">
        <v>171</v>
      </c>
      <c r="J117" s="830"/>
      <c r="K117" s="830"/>
      <c r="L117" s="830"/>
      <c r="M117" s="830"/>
      <c r="N117" s="830"/>
      <c r="O117" s="830"/>
      <c r="P117" s="148"/>
      <c r="Q117" s="148"/>
      <c r="R117" s="148"/>
      <c r="S117" s="148"/>
      <c r="T117" s="148"/>
      <c r="U117" s="148"/>
      <c r="V117" s="148"/>
      <c r="W117" s="148"/>
      <c r="X117" s="148"/>
      <c r="Y117" s="148"/>
      <c r="Z117" s="149"/>
      <c r="AB117" s="632"/>
      <c r="AC117" s="775" t="str">
        <f>Tables!IP8</f>
        <v>INVOCATION 5</v>
      </c>
      <c r="AD117" s="775"/>
      <c r="AE117" s="775"/>
      <c r="AF117" s="775"/>
      <c r="AG117" s="775"/>
      <c r="AH117" s="775"/>
      <c r="AI117" s="775"/>
      <c r="AJ117" s="779" t="s">
        <v>171</v>
      </c>
      <c r="AK117" s="779"/>
      <c r="AL117" s="779"/>
      <c r="AM117" s="779"/>
      <c r="AN117" s="779"/>
      <c r="AO117" s="779"/>
      <c r="AP117" s="779"/>
      <c r="AQ117" s="779"/>
      <c r="AR117" s="779"/>
      <c r="AS117" s="633"/>
      <c r="AU117" s="632"/>
      <c r="AV117" s="592" t="s">
        <v>299</v>
      </c>
      <c r="AW117" s="335"/>
      <c r="AX117" s="335"/>
      <c r="AY117" s="335"/>
      <c r="AZ117" s="801">
        <v>0</v>
      </c>
      <c r="BA117" s="802"/>
      <c r="BB117" s="802"/>
      <c r="BC117" s="801">
        <v>34</v>
      </c>
      <c r="BD117" s="802"/>
      <c r="BE117" s="802"/>
      <c r="BF117" s="810" t="s">
        <v>3342</v>
      </c>
      <c r="BG117" s="810"/>
      <c r="BH117" s="811"/>
      <c r="BJ117" s="701"/>
      <c r="BK117" s="786"/>
      <c r="BL117" s="786"/>
      <c r="BM117" s="786"/>
      <c r="BN117" s="786"/>
      <c r="BO117" s="786"/>
      <c r="BP117" s="786"/>
      <c r="BQ117" s="786"/>
      <c r="BR117" s="786"/>
      <c r="BS117" s="786"/>
      <c r="BT117" s="786"/>
      <c r="BU117" s="786"/>
      <c r="BV117" s="786"/>
      <c r="BW117" s="786"/>
      <c r="BX117" s="786"/>
      <c r="BY117" s="786"/>
      <c r="BZ117" s="786"/>
      <c r="CA117" s="786"/>
      <c r="CB117" s="786"/>
      <c r="CC117" s="786"/>
      <c r="CD117" s="786"/>
      <c r="CE117" s="786"/>
      <c r="CF117" s="786"/>
      <c r="CG117" s="786"/>
      <c r="CH117" s="786"/>
      <c r="CI117" s="786"/>
      <c r="CJ117" s="786"/>
      <c r="CK117" s="786"/>
      <c r="CL117" s="786"/>
      <c r="CM117" s="786"/>
      <c r="CN117" s="786"/>
      <c r="CO117" s="786"/>
      <c r="CP117" s="786"/>
      <c r="CQ117" s="787"/>
    </row>
    <row r="118" spans="2:191" ht="12" customHeight="1" thickTop="1" thickBot="1" x14ac:dyDescent="0.3">
      <c r="B118" s="607" t="b">
        <f t="shared" ca="1" si="6"/>
        <v>0</v>
      </c>
      <c r="C118" s="776" t="str">
        <f ca="1">Tables!YG8</f>
        <v>FEAT 6</v>
      </c>
      <c r="D118" s="776"/>
      <c r="E118" s="776"/>
      <c r="F118" s="776"/>
      <c r="G118" s="776"/>
      <c r="I118" s="830" t="s">
        <v>171</v>
      </c>
      <c r="J118" s="830"/>
      <c r="K118" s="830"/>
      <c r="L118" s="830"/>
      <c r="M118" s="830"/>
      <c r="N118" s="830"/>
      <c r="O118" s="830"/>
      <c r="P118" s="148"/>
      <c r="Q118" s="148"/>
      <c r="R118" s="148"/>
      <c r="S118" s="148"/>
      <c r="T118" s="148"/>
      <c r="U118" s="148"/>
      <c r="V118" s="148"/>
      <c r="W118" s="148"/>
      <c r="X118" s="148"/>
      <c r="Y118" s="148"/>
      <c r="Z118" s="149"/>
      <c r="AB118" s="632"/>
      <c r="AC118" s="775" t="str">
        <f>Tables!IP9</f>
        <v>INVOCATION 6</v>
      </c>
      <c r="AD118" s="775"/>
      <c r="AE118" s="775"/>
      <c r="AF118" s="775"/>
      <c r="AG118" s="775"/>
      <c r="AH118" s="775"/>
      <c r="AI118" s="775"/>
      <c r="AJ118" s="779" t="s">
        <v>171</v>
      </c>
      <c r="AK118" s="779"/>
      <c r="AL118" s="779"/>
      <c r="AM118" s="779"/>
      <c r="AN118" s="779"/>
      <c r="AO118" s="779"/>
      <c r="AP118" s="779"/>
      <c r="AQ118" s="779"/>
      <c r="AR118" s="779"/>
      <c r="AS118" s="633"/>
      <c r="AU118" s="632"/>
      <c r="AV118" s="592" t="s">
        <v>300</v>
      </c>
      <c r="AW118" s="335"/>
      <c r="AX118" s="335"/>
      <c r="AY118" s="335"/>
      <c r="AZ118" s="801">
        <v>0</v>
      </c>
      <c r="BA118" s="802"/>
      <c r="BB118" s="802"/>
      <c r="BC118" s="801">
        <v>183</v>
      </c>
      <c r="BD118" s="802"/>
      <c r="BE118" s="802"/>
      <c r="BF118" s="810" t="s">
        <v>3343</v>
      </c>
      <c r="BG118" s="810"/>
      <c r="BH118" s="811"/>
      <c r="BJ118" s="701"/>
      <c r="BK118" s="786"/>
      <c r="BL118" s="786"/>
      <c r="BM118" s="786"/>
      <c r="BN118" s="786"/>
      <c r="BO118" s="786"/>
      <c r="BP118" s="786"/>
      <c r="BQ118" s="786"/>
      <c r="BR118" s="786"/>
      <c r="BS118" s="786"/>
      <c r="BT118" s="786"/>
      <c r="BU118" s="786"/>
      <c r="BV118" s="786"/>
      <c r="BW118" s="786"/>
      <c r="BX118" s="786"/>
      <c r="BY118" s="786"/>
      <c r="BZ118" s="786"/>
      <c r="CA118" s="786"/>
      <c r="CB118" s="786"/>
      <c r="CC118" s="786"/>
      <c r="CD118" s="786"/>
      <c r="CE118" s="786"/>
      <c r="CF118" s="786"/>
      <c r="CG118" s="786"/>
      <c r="CH118" s="786"/>
      <c r="CI118" s="786"/>
      <c r="CJ118" s="786"/>
      <c r="CK118" s="786"/>
      <c r="CL118" s="786"/>
      <c r="CM118" s="786"/>
      <c r="CN118" s="786"/>
      <c r="CO118" s="786"/>
      <c r="CP118" s="786"/>
      <c r="CQ118" s="787"/>
    </row>
    <row r="119" spans="2:191" ht="12" customHeight="1" thickTop="1" thickBot="1" x14ac:dyDescent="0.3">
      <c r="B119" s="607" t="b">
        <f t="shared" ca="1" si="6"/>
        <v>0</v>
      </c>
      <c r="C119" s="776" t="str">
        <f ca="1">Tables!YG9</f>
        <v>FEAT 7</v>
      </c>
      <c r="D119" s="776"/>
      <c r="E119" s="776"/>
      <c r="F119" s="776"/>
      <c r="G119" s="776"/>
      <c r="I119" s="830" t="s">
        <v>171</v>
      </c>
      <c r="J119" s="830"/>
      <c r="K119" s="830"/>
      <c r="L119" s="830"/>
      <c r="M119" s="830"/>
      <c r="N119" s="830"/>
      <c r="O119" s="830"/>
      <c r="P119" s="148"/>
      <c r="Q119" s="148"/>
      <c r="R119" s="148"/>
      <c r="S119" s="148"/>
      <c r="T119" s="148"/>
      <c r="U119" s="148"/>
      <c r="V119" s="148"/>
      <c r="W119" s="148"/>
      <c r="X119" s="148"/>
      <c r="Y119" s="148"/>
      <c r="Z119" s="149"/>
      <c r="AB119" s="632"/>
      <c r="AC119" s="775" t="str">
        <f>Tables!IP10</f>
        <v>INVOCATION 7</v>
      </c>
      <c r="AD119" s="775"/>
      <c r="AE119" s="775"/>
      <c r="AF119" s="775"/>
      <c r="AG119" s="775"/>
      <c r="AH119" s="775"/>
      <c r="AI119" s="775"/>
      <c r="AJ119" s="779" t="s">
        <v>171</v>
      </c>
      <c r="AK119" s="779"/>
      <c r="AL119" s="779"/>
      <c r="AM119" s="779"/>
      <c r="AN119" s="779"/>
      <c r="AO119" s="779"/>
      <c r="AP119" s="779"/>
      <c r="AQ119" s="779"/>
      <c r="AR119" s="779"/>
      <c r="AS119" s="633"/>
      <c r="AU119" s="632"/>
      <c r="AV119" s="592" t="s">
        <v>301</v>
      </c>
      <c r="AW119" s="335"/>
      <c r="AX119" s="335"/>
      <c r="AY119" s="335"/>
      <c r="AZ119" s="801">
        <v>0</v>
      </c>
      <c r="BA119" s="802"/>
      <c r="BB119" s="802"/>
      <c r="BC119" s="801">
        <v>145</v>
      </c>
      <c r="BD119" s="802"/>
      <c r="BE119" s="802"/>
      <c r="BG119" s="808"/>
      <c r="BH119" s="809"/>
      <c r="BJ119" s="701"/>
      <c r="BK119" s="786"/>
      <c r="BL119" s="786"/>
      <c r="BM119" s="786"/>
      <c r="BN119" s="786"/>
      <c r="BO119" s="786"/>
      <c r="BP119" s="786"/>
      <c r="BQ119" s="786"/>
      <c r="BR119" s="786"/>
      <c r="BS119" s="786"/>
      <c r="BT119" s="786"/>
      <c r="BU119" s="786"/>
      <c r="BV119" s="786"/>
      <c r="BW119" s="786"/>
      <c r="BX119" s="786"/>
      <c r="BY119" s="786"/>
      <c r="BZ119" s="786"/>
      <c r="CA119" s="786"/>
      <c r="CB119" s="786"/>
      <c r="CC119" s="786"/>
      <c r="CD119" s="786"/>
      <c r="CE119" s="786"/>
      <c r="CF119" s="786"/>
      <c r="CG119" s="786"/>
      <c r="CH119" s="786"/>
      <c r="CI119" s="786"/>
      <c r="CJ119" s="786"/>
      <c r="CK119" s="786"/>
      <c r="CL119" s="786"/>
      <c r="CM119" s="786"/>
      <c r="CN119" s="786"/>
      <c r="CO119" s="786"/>
      <c r="CP119" s="786"/>
      <c r="CQ119" s="787"/>
    </row>
    <row r="120" spans="2:191" ht="12" customHeight="1" thickTop="1" x14ac:dyDescent="0.25">
      <c r="B120" s="607" t="b">
        <f t="shared" ca="1" si="6"/>
        <v>0</v>
      </c>
      <c r="C120" s="776" t="str">
        <f ca="1">Tables!YG10</f>
        <v>FEAT 8</v>
      </c>
      <c r="D120" s="776"/>
      <c r="E120" s="776"/>
      <c r="F120" s="776"/>
      <c r="G120" s="776"/>
      <c r="I120" s="830" t="s">
        <v>171</v>
      </c>
      <c r="J120" s="830"/>
      <c r="K120" s="830"/>
      <c r="L120" s="830"/>
      <c r="M120" s="830"/>
      <c r="N120" s="830"/>
      <c r="O120" s="830"/>
      <c r="P120" s="148"/>
      <c r="Q120" s="148"/>
      <c r="R120" s="148"/>
      <c r="S120" s="148"/>
      <c r="T120" s="148"/>
      <c r="U120" s="148"/>
      <c r="V120" s="148"/>
      <c r="W120" s="148"/>
      <c r="X120" s="148"/>
      <c r="Y120" s="148"/>
      <c r="Z120" s="149"/>
      <c r="AB120" s="632"/>
      <c r="AC120" s="775" t="str">
        <f>Tables!IP11</f>
        <v>INVOCATION 8</v>
      </c>
      <c r="AD120" s="775"/>
      <c r="AE120" s="775"/>
      <c r="AF120" s="775"/>
      <c r="AG120" s="775"/>
      <c r="AH120" s="775"/>
      <c r="AI120" s="775"/>
      <c r="AJ120" s="779" t="s">
        <v>171</v>
      </c>
      <c r="AK120" s="779"/>
      <c r="AL120" s="779"/>
      <c r="AM120" s="779"/>
      <c r="AN120" s="779"/>
      <c r="AO120" s="779"/>
      <c r="AP120" s="779"/>
      <c r="AQ120" s="779"/>
      <c r="AR120" s="779"/>
      <c r="AS120" s="633"/>
      <c r="AU120" s="632"/>
      <c r="AV120" s="846" t="str">
        <f>IF(CharacterLevel="","","Carrying "&amp;SUM(AZ115:BB119)&amp;" coins ("&amp;ROUND(SUM(AZ115:BB119)/50,1)&amp;" lbs)")</f>
        <v>Carrying 0 coins (0 lbs)</v>
      </c>
      <c r="AW120" s="846"/>
      <c r="AX120" s="846"/>
      <c r="AY120" s="846"/>
      <c r="AZ120" s="846"/>
      <c r="BA120" s="846"/>
      <c r="BB120" s="846"/>
      <c r="BC120" s="846"/>
      <c r="BD120" s="846"/>
      <c r="BE120" s="846"/>
      <c r="BF120" s="660"/>
      <c r="BG120" s="479"/>
      <c r="BH120" s="277"/>
      <c r="BJ120" s="701"/>
      <c r="BK120" s="786"/>
      <c r="BL120" s="786"/>
      <c r="BM120" s="786"/>
      <c r="BN120" s="786"/>
      <c r="BO120" s="786"/>
      <c r="BP120" s="786"/>
      <c r="BQ120" s="786"/>
      <c r="BR120" s="786"/>
      <c r="BS120" s="786"/>
      <c r="BT120" s="786"/>
      <c r="BU120" s="786"/>
      <c r="BV120" s="786"/>
      <c r="BW120" s="786"/>
      <c r="BX120" s="786"/>
      <c r="BY120" s="786"/>
      <c r="BZ120" s="786"/>
      <c r="CA120" s="786"/>
      <c r="CB120" s="786"/>
      <c r="CC120" s="786"/>
      <c r="CD120" s="786"/>
      <c r="CE120" s="786"/>
      <c r="CF120" s="786"/>
      <c r="CG120" s="786"/>
      <c r="CH120" s="786"/>
      <c r="CI120" s="786"/>
      <c r="CJ120" s="786"/>
      <c r="CK120" s="786"/>
      <c r="CL120" s="786"/>
      <c r="CM120" s="786"/>
      <c r="CN120" s="786"/>
      <c r="CO120" s="786"/>
      <c r="CP120" s="786"/>
      <c r="CQ120" s="787"/>
    </row>
    <row r="121" spans="2:191" ht="12" customHeight="1" x14ac:dyDescent="0.25">
      <c r="B121" s="716"/>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717"/>
      <c r="AB121" s="716"/>
      <c r="AC121" s="150"/>
      <c r="AD121" s="150"/>
      <c r="AE121" s="150"/>
      <c r="AF121" s="150"/>
      <c r="AG121" s="150"/>
      <c r="AH121" s="150"/>
      <c r="AI121" s="150"/>
      <c r="AJ121" s="150"/>
      <c r="AK121" s="150"/>
      <c r="AL121" s="150"/>
      <c r="AM121" s="150"/>
      <c r="AN121" s="150"/>
      <c r="AO121" s="150"/>
      <c r="AP121" s="150"/>
      <c r="AQ121" s="150"/>
      <c r="AR121" s="150"/>
      <c r="AS121" s="717"/>
      <c r="AU121" s="639"/>
      <c r="AV121" s="847"/>
      <c r="AW121" s="847"/>
      <c r="AX121" s="847"/>
      <c r="AY121" s="847"/>
      <c r="AZ121" s="847"/>
      <c r="BA121" s="847"/>
      <c r="BB121" s="847"/>
      <c r="BC121" s="847"/>
      <c r="BD121" s="847"/>
      <c r="BE121" s="847"/>
      <c r="BF121" s="661"/>
      <c r="BG121" s="658"/>
      <c r="BH121" s="659"/>
      <c r="BJ121" s="701"/>
      <c r="BK121" s="786"/>
      <c r="BL121" s="786"/>
      <c r="BM121" s="786"/>
      <c r="BN121" s="786"/>
      <c r="BO121" s="786"/>
      <c r="BP121" s="786"/>
      <c r="BQ121" s="786"/>
      <c r="BR121" s="786"/>
      <c r="BS121" s="786"/>
      <c r="BT121" s="786"/>
      <c r="BU121" s="786"/>
      <c r="BV121" s="786"/>
      <c r="BW121" s="786"/>
      <c r="BX121" s="786"/>
      <c r="BY121" s="786"/>
      <c r="BZ121" s="786"/>
      <c r="CA121" s="786"/>
      <c r="CB121" s="786"/>
      <c r="CC121" s="786"/>
      <c r="CD121" s="786"/>
      <c r="CE121" s="786"/>
      <c r="CF121" s="786"/>
      <c r="CG121" s="786"/>
      <c r="CH121" s="786"/>
      <c r="CI121" s="786"/>
      <c r="CJ121" s="786"/>
      <c r="CK121" s="786"/>
      <c r="CL121" s="786"/>
      <c r="CM121" s="786"/>
      <c r="CN121" s="786"/>
      <c r="CO121" s="786"/>
      <c r="CP121" s="786"/>
      <c r="CQ121" s="787"/>
      <c r="FC121" s="144"/>
      <c r="FD121" s="144"/>
      <c r="FE121" s="144"/>
      <c r="FF121" s="144"/>
      <c r="FG121" s="144"/>
      <c r="FH121" s="144"/>
      <c r="FI121" s="144"/>
      <c r="FV121" s="105"/>
      <c r="FW121" s="105"/>
      <c r="FX121" s="105"/>
      <c r="FY121" s="105"/>
      <c r="FZ121" s="105"/>
      <c r="GA121" s="105"/>
      <c r="GB121" s="105"/>
      <c r="GC121" s="105"/>
      <c r="GD121" s="105"/>
      <c r="GE121" s="105"/>
      <c r="GF121" s="105"/>
      <c r="GG121" s="105"/>
      <c r="GH121" s="105"/>
      <c r="GI121" s="105"/>
    </row>
    <row r="122" spans="2:191" ht="12" customHeight="1" x14ac:dyDescent="0.2">
      <c r="BJ122" s="701"/>
      <c r="BK122" s="786"/>
      <c r="BL122" s="786"/>
      <c r="BM122" s="786"/>
      <c r="BN122" s="786"/>
      <c r="BO122" s="786"/>
      <c r="BP122" s="786"/>
      <c r="BQ122" s="786"/>
      <c r="BR122" s="786"/>
      <c r="BS122" s="786"/>
      <c r="BT122" s="786"/>
      <c r="BU122" s="786"/>
      <c r="BV122" s="786"/>
      <c r="BW122" s="786"/>
      <c r="BX122" s="786"/>
      <c r="BY122" s="786"/>
      <c r="BZ122" s="786"/>
      <c r="CA122" s="786"/>
      <c r="CB122" s="786"/>
      <c r="CC122" s="786"/>
      <c r="CD122" s="786"/>
      <c r="CE122" s="786"/>
      <c r="CF122" s="786"/>
      <c r="CG122" s="786"/>
      <c r="CH122" s="786"/>
      <c r="CI122" s="786"/>
      <c r="CJ122" s="786"/>
      <c r="CK122" s="786"/>
      <c r="CL122" s="786"/>
      <c r="CM122" s="786"/>
      <c r="CN122" s="786"/>
      <c r="CO122" s="786"/>
      <c r="CP122" s="786"/>
      <c r="CQ122" s="787"/>
      <c r="FD122" s="144"/>
      <c r="FE122" s="144"/>
      <c r="FF122" s="144"/>
      <c r="FG122" s="144"/>
      <c r="FH122" s="144"/>
      <c r="FI122" s="144"/>
      <c r="FV122" s="105"/>
      <c r="FW122" s="105"/>
      <c r="FX122" s="105"/>
      <c r="FY122" s="105"/>
      <c r="FZ122" s="105"/>
      <c r="GA122" s="105"/>
      <c r="GB122" s="105"/>
      <c r="GC122" s="105"/>
      <c r="GD122" s="105"/>
      <c r="GE122" s="105"/>
      <c r="GF122" s="105"/>
      <c r="GG122" s="105"/>
      <c r="GH122" s="105"/>
      <c r="GI122" s="105"/>
    </row>
    <row r="123" spans="2:191" ht="12" customHeight="1" x14ac:dyDescent="0.25">
      <c r="B123" s="84" t="s">
        <v>766</v>
      </c>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701"/>
      <c r="BJ123" s="701"/>
      <c r="BK123" s="786"/>
      <c r="BL123" s="786"/>
      <c r="BM123" s="786"/>
      <c r="BN123" s="786"/>
      <c r="BO123" s="786"/>
      <c r="BP123" s="786"/>
      <c r="BQ123" s="786"/>
      <c r="BR123" s="786"/>
      <c r="BS123" s="786"/>
      <c r="BT123" s="786"/>
      <c r="BU123" s="786"/>
      <c r="BV123" s="786"/>
      <c r="BW123" s="786"/>
      <c r="BX123" s="786"/>
      <c r="BY123" s="786"/>
      <c r="BZ123" s="786"/>
      <c r="CA123" s="786"/>
      <c r="CB123" s="786"/>
      <c r="CC123" s="786"/>
      <c r="CD123" s="786"/>
      <c r="CE123" s="786"/>
      <c r="CF123" s="786"/>
      <c r="CG123" s="786"/>
      <c r="CH123" s="786"/>
      <c r="CI123" s="786"/>
      <c r="CJ123" s="786"/>
      <c r="CK123" s="786"/>
      <c r="CL123" s="786"/>
      <c r="CM123" s="786"/>
      <c r="CN123" s="786"/>
      <c r="CO123" s="786"/>
      <c r="CP123" s="786"/>
      <c r="CQ123" s="787"/>
      <c r="CR123" s="473"/>
      <c r="CS123" s="473"/>
      <c r="CT123" s="473"/>
      <c r="CU123" s="473"/>
      <c r="CV123" s="473"/>
      <c r="CW123" s="473"/>
      <c r="CX123" s="473"/>
      <c r="CY123" s="473"/>
      <c r="CZ123" s="473"/>
      <c r="DA123" s="473"/>
      <c r="DB123" s="473"/>
      <c r="DC123" s="473"/>
      <c r="DD123" s="473"/>
      <c r="DE123" s="473"/>
      <c r="DF123" s="473"/>
      <c r="DG123" s="473"/>
      <c r="DH123" s="473"/>
      <c r="DI123" s="473"/>
      <c r="DJ123" s="473"/>
      <c r="DK123" s="473"/>
      <c r="DL123" s="473"/>
      <c r="DM123" s="634"/>
      <c r="DN123" s="634"/>
      <c r="DO123" s="634"/>
      <c r="DP123" s="634"/>
      <c r="DQ123" s="634"/>
      <c r="DR123" s="634"/>
      <c r="DS123" s="634"/>
      <c r="DT123" s="634"/>
      <c r="DU123" s="634"/>
      <c r="DV123" s="634"/>
      <c r="DW123" s="634"/>
      <c r="DX123" s="634"/>
      <c r="DY123" s="634"/>
      <c r="DZ123" s="634"/>
      <c r="EA123" s="634"/>
      <c r="EB123" s="634"/>
      <c r="EC123" s="634"/>
      <c r="ED123" s="634"/>
      <c r="EE123" s="634"/>
      <c r="EF123" s="473"/>
      <c r="EG123" s="473"/>
      <c r="EH123" s="473"/>
      <c r="EI123" s="473"/>
      <c r="EJ123" s="473"/>
      <c r="EK123" s="473"/>
      <c r="EL123" s="473"/>
      <c r="EM123" s="473"/>
      <c r="EN123" s="473"/>
      <c r="EO123" s="473"/>
      <c r="EP123" s="634"/>
      <c r="EQ123" s="634"/>
      <c r="ER123" s="634"/>
      <c r="ES123" s="634"/>
    </row>
    <row r="124" spans="2:191" ht="12" customHeight="1" x14ac:dyDescent="0.25">
      <c r="B124" s="682"/>
      <c r="C124" s="335"/>
      <c r="D124" s="335"/>
      <c r="E124" s="335"/>
      <c r="F124" s="335"/>
      <c r="G124" s="148"/>
      <c r="H124" s="148"/>
      <c r="I124" s="148"/>
      <c r="J124" s="148"/>
      <c r="K124" s="148"/>
      <c r="L124" s="148"/>
      <c r="M124" s="148"/>
      <c r="N124" s="148"/>
      <c r="O124" s="148"/>
      <c r="P124" s="148"/>
      <c r="Q124" s="148"/>
      <c r="R124" s="148"/>
      <c r="S124" s="148"/>
      <c r="T124" s="148"/>
      <c r="U124" s="148"/>
      <c r="V124" s="148"/>
      <c r="W124" s="148"/>
      <c r="X124" s="148"/>
      <c r="Y124" s="335"/>
      <c r="Z124" s="335"/>
      <c r="AA124" s="335"/>
      <c r="AB124" s="148"/>
      <c r="AC124" s="148"/>
      <c r="AD124" s="148"/>
      <c r="AE124" s="148"/>
      <c r="AF124" s="148"/>
      <c r="AG124" s="148"/>
      <c r="AH124" s="148"/>
      <c r="AI124" s="148"/>
      <c r="AJ124" s="148"/>
      <c r="AK124" s="148"/>
      <c r="AL124" s="148"/>
      <c r="AM124" s="148"/>
      <c r="AN124" s="148"/>
      <c r="AO124" s="148"/>
      <c r="AP124" s="148"/>
      <c r="AQ124" s="148"/>
      <c r="AR124" s="148"/>
      <c r="AS124" s="148"/>
      <c r="AT124" s="335"/>
      <c r="AU124" s="335"/>
      <c r="AV124" s="335"/>
      <c r="AW124" s="335"/>
      <c r="AX124" s="335"/>
      <c r="AY124" s="335"/>
      <c r="AZ124" s="335"/>
      <c r="BA124" s="335"/>
      <c r="BB124" s="335"/>
      <c r="BC124" s="335"/>
      <c r="BD124" s="335"/>
      <c r="BE124" s="335"/>
      <c r="BF124" s="335"/>
      <c r="BG124" s="335"/>
      <c r="BH124" s="335"/>
      <c r="BI124" s="632"/>
      <c r="BJ124" s="632"/>
      <c r="BK124" s="786"/>
      <c r="BL124" s="786"/>
      <c r="BM124" s="786"/>
      <c r="BN124" s="786"/>
      <c r="BO124" s="786"/>
      <c r="BP124" s="786"/>
      <c r="BQ124" s="786"/>
      <c r="BR124" s="786"/>
      <c r="BS124" s="786"/>
      <c r="BT124" s="786"/>
      <c r="BU124" s="786"/>
      <c r="BV124" s="786"/>
      <c r="BW124" s="786"/>
      <c r="BX124" s="786"/>
      <c r="BY124" s="786"/>
      <c r="BZ124" s="786"/>
      <c r="CA124" s="786"/>
      <c r="CB124" s="786"/>
      <c r="CC124" s="786"/>
      <c r="CD124" s="786"/>
      <c r="CE124" s="786"/>
      <c r="CF124" s="786"/>
      <c r="CG124" s="786"/>
      <c r="CH124" s="786"/>
      <c r="CI124" s="786"/>
      <c r="CJ124" s="786"/>
      <c r="CK124" s="786"/>
      <c r="CL124" s="786"/>
      <c r="CM124" s="786"/>
      <c r="CN124" s="786"/>
      <c r="CO124" s="786"/>
      <c r="CP124" s="786"/>
      <c r="CQ124" s="787"/>
      <c r="CR124" s="473"/>
      <c r="CS124" s="473"/>
      <c r="CT124" s="473"/>
      <c r="CU124" s="473"/>
      <c r="CV124" s="473"/>
      <c r="CW124" s="473"/>
      <c r="CX124" s="473"/>
      <c r="CY124" s="473"/>
      <c r="CZ124" s="473"/>
      <c r="DA124" s="473"/>
      <c r="DB124" s="473"/>
      <c r="DC124" s="473"/>
      <c r="DD124" s="473"/>
      <c r="DE124" s="473"/>
      <c r="DF124" s="473"/>
      <c r="DG124" s="473"/>
      <c r="DH124" s="473"/>
      <c r="DI124" s="473"/>
      <c r="DJ124" s="473"/>
      <c r="DK124" s="473"/>
      <c r="DL124" s="473"/>
      <c r="DM124" s="634"/>
      <c r="DN124" s="634"/>
      <c r="DO124" s="634"/>
      <c r="DP124" s="634"/>
      <c r="DQ124" s="634"/>
      <c r="DR124" s="634"/>
      <c r="DS124" s="634"/>
      <c r="DT124" s="634"/>
      <c r="DU124" s="634"/>
      <c r="DV124" s="634"/>
      <c r="DW124" s="634"/>
      <c r="DX124" s="634"/>
      <c r="DY124" s="634"/>
      <c r="DZ124" s="634"/>
      <c r="EA124" s="634"/>
      <c r="EB124" s="634"/>
      <c r="EC124" s="634"/>
      <c r="ED124" s="634"/>
      <c r="EE124" s="634"/>
      <c r="EF124" s="634"/>
      <c r="EG124" s="634"/>
      <c r="EH124" s="634"/>
      <c r="EI124" s="634"/>
      <c r="EJ124" s="634"/>
      <c r="EK124" s="634"/>
      <c r="EL124" s="634"/>
      <c r="EM124" s="634"/>
      <c r="EN124" s="634"/>
      <c r="EO124" s="634"/>
      <c r="EP124" s="634"/>
      <c r="EQ124" s="634"/>
      <c r="ER124" s="634"/>
      <c r="ES124" s="634"/>
    </row>
    <row r="125" spans="2:191" ht="12" customHeight="1" x14ac:dyDescent="0.25">
      <c r="B125" s="701"/>
      <c r="C125" s="765" t="s">
        <v>171</v>
      </c>
      <c r="D125" s="765"/>
      <c r="E125" s="765"/>
      <c r="F125" s="765"/>
      <c r="G125" s="765"/>
      <c r="H125" s="765"/>
      <c r="I125" s="765"/>
      <c r="J125" s="335"/>
      <c r="K125" s="819" t="s">
        <v>776</v>
      </c>
      <c r="L125" s="819"/>
      <c r="M125" s="819"/>
      <c r="N125" s="819"/>
      <c r="O125" s="819"/>
      <c r="P125" s="819"/>
      <c r="Q125" s="747" t="str">
        <f>IF(OR(C125="",C125=SelectText),"",VLOOKUP(C125,Tables!YG14:YJ78,2,FALSE))</f>
        <v/>
      </c>
      <c r="R125" s="148"/>
      <c r="S125" s="148"/>
      <c r="T125" s="148"/>
      <c r="U125" s="683"/>
      <c r="V125" s="335"/>
      <c r="W125" s="347"/>
      <c r="X125" s="347"/>
      <c r="Y125" s="347"/>
      <c r="Z125" s="347"/>
      <c r="AA125" s="347"/>
      <c r="AB125" s="347"/>
      <c r="AC125" s="347"/>
      <c r="AD125" s="347"/>
      <c r="AE125" s="347"/>
      <c r="AF125" s="347"/>
      <c r="AG125" s="347"/>
      <c r="AH125" s="347"/>
      <c r="AI125" s="347"/>
      <c r="AJ125" s="347"/>
      <c r="AK125" s="347"/>
      <c r="AL125" s="347"/>
      <c r="AM125" s="347"/>
      <c r="AN125" s="347"/>
      <c r="AO125" s="347"/>
      <c r="AP125" s="347"/>
      <c r="AQ125" s="347"/>
      <c r="AR125" s="347"/>
      <c r="AS125" s="148"/>
      <c r="AT125" s="148"/>
      <c r="AU125" s="148"/>
      <c r="AV125" s="148"/>
      <c r="AW125" s="148"/>
      <c r="AX125" s="148"/>
      <c r="AY125" s="148"/>
      <c r="AZ125" s="347"/>
      <c r="BA125" s="347"/>
      <c r="BB125" s="347"/>
      <c r="BC125" s="347"/>
      <c r="BD125" s="347"/>
      <c r="BE125" s="347"/>
      <c r="BF125" s="347"/>
      <c r="BG125" s="347"/>
      <c r="BH125" s="347"/>
      <c r="BI125" s="653"/>
      <c r="BJ125" s="653"/>
      <c r="BK125" s="786"/>
      <c r="BL125" s="786"/>
      <c r="BM125" s="786"/>
      <c r="BN125" s="786"/>
      <c r="BO125" s="786"/>
      <c r="BP125" s="786"/>
      <c r="BQ125" s="786"/>
      <c r="BR125" s="786"/>
      <c r="BS125" s="786"/>
      <c r="BT125" s="786"/>
      <c r="BU125" s="786"/>
      <c r="BV125" s="786"/>
      <c r="BW125" s="786"/>
      <c r="BX125" s="786"/>
      <c r="BY125" s="786"/>
      <c r="BZ125" s="786"/>
      <c r="CA125" s="786"/>
      <c r="CB125" s="786"/>
      <c r="CC125" s="786"/>
      <c r="CD125" s="786"/>
      <c r="CE125" s="786"/>
      <c r="CF125" s="786"/>
      <c r="CG125" s="786"/>
      <c r="CH125" s="786"/>
      <c r="CI125" s="786"/>
      <c r="CJ125" s="786"/>
      <c r="CK125" s="786"/>
      <c r="CL125" s="786"/>
      <c r="CM125" s="786"/>
      <c r="CN125" s="786"/>
      <c r="CO125" s="786"/>
      <c r="CP125" s="786"/>
      <c r="CQ125" s="787"/>
      <c r="CR125" s="473"/>
      <c r="CS125" s="473"/>
      <c r="CT125" s="473"/>
      <c r="CU125" s="473"/>
      <c r="CV125" s="473"/>
      <c r="CW125" s="473"/>
      <c r="CX125" s="473"/>
      <c r="CY125" s="473"/>
      <c r="CZ125" s="473"/>
      <c r="DA125" s="473"/>
      <c r="DB125" s="473"/>
      <c r="DC125" s="473"/>
      <c r="DD125" s="473"/>
      <c r="DE125" s="473"/>
      <c r="DF125" s="473"/>
      <c r="DG125" s="473"/>
      <c r="DH125" s="473"/>
      <c r="DI125" s="473"/>
      <c r="DJ125" s="473"/>
      <c r="DK125" s="473"/>
      <c r="DL125" s="473"/>
      <c r="DM125" s="634"/>
      <c r="DN125" s="634"/>
      <c r="DO125" s="634"/>
      <c r="DP125" s="634"/>
      <c r="DQ125" s="634"/>
      <c r="DR125" s="634"/>
      <c r="DS125" s="634"/>
      <c r="DT125" s="634"/>
      <c r="DU125" s="634"/>
      <c r="DV125" s="634"/>
      <c r="DW125" s="634"/>
      <c r="DX125" s="634"/>
      <c r="DY125" s="634"/>
      <c r="DZ125" s="634"/>
      <c r="EA125" s="634"/>
      <c r="EB125" s="634"/>
      <c r="EC125" s="634"/>
      <c r="ED125" s="634"/>
      <c r="EE125" s="634"/>
      <c r="EF125" s="634"/>
      <c r="EG125" s="634"/>
      <c r="EH125" s="634"/>
      <c r="EI125" s="634"/>
      <c r="EJ125" s="634"/>
      <c r="EK125" s="634"/>
      <c r="EL125" s="634"/>
      <c r="EM125" s="634"/>
      <c r="EN125" s="634"/>
      <c r="EO125" s="634"/>
      <c r="EP125" s="634"/>
      <c r="EQ125" s="634"/>
      <c r="ER125" s="634"/>
      <c r="ES125" s="634"/>
    </row>
    <row r="126" spans="2:191" ht="12" customHeight="1" x14ac:dyDescent="0.25">
      <c r="B126" s="701"/>
      <c r="C126" s="786" t="str">
        <f>IF($C$125="","",VLOOKUP($C$125,Tables!$YG$13:$YJ$70,3,FALSE))</f>
        <v/>
      </c>
      <c r="D126" s="786"/>
      <c r="E126" s="786"/>
      <c r="F126" s="786"/>
      <c r="G126" s="786"/>
      <c r="H126" s="786"/>
      <c r="I126" s="786"/>
      <c r="J126" s="786"/>
      <c r="K126" s="786"/>
      <c r="L126" s="786"/>
      <c r="M126" s="786"/>
      <c r="N126" s="786"/>
      <c r="O126" s="786"/>
      <c r="P126" s="786"/>
      <c r="Q126" s="786"/>
      <c r="R126" s="786"/>
      <c r="S126" s="786"/>
      <c r="T126" s="786"/>
      <c r="U126" s="786"/>
      <c r="V126" s="786"/>
      <c r="W126" s="786"/>
      <c r="X126" s="786"/>
      <c r="Y126" s="786"/>
      <c r="Z126" s="786"/>
      <c r="AA126" s="786"/>
      <c r="AB126" s="786"/>
      <c r="AC126" s="786"/>
      <c r="AD126" s="786"/>
      <c r="AE126" s="786"/>
      <c r="AF126" s="786"/>
      <c r="AG126" s="786"/>
      <c r="AH126" s="786"/>
      <c r="AI126" s="786"/>
      <c r="AJ126" s="786"/>
      <c r="AK126" s="786"/>
      <c r="AL126" s="786"/>
      <c r="AM126" s="786"/>
      <c r="AN126" s="786"/>
      <c r="AO126" s="786"/>
      <c r="AP126" s="786"/>
      <c r="AQ126" s="786"/>
      <c r="AR126" s="786"/>
      <c r="AS126" s="786"/>
      <c r="AT126" s="786"/>
      <c r="AU126" s="786"/>
      <c r="AV126" s="786"/>
      <c r="AW126" s="786"/>
      <c r="AX126" s="786"/>
      <c r="AY126" s="786"/>
      <c r="AZ126" s="786"/>
      <c r="BA126" s="786"/>
      <c r="BB126" s="786"/>
      <c r="BC126" s="786"/>
      <c r="BD126" s="786"/>
      <c r="BE126" s="786"/>
      <c r="BF126" s="786"/>
      <c r="BG126" s="786"/>
      <c r="BH126" s="786"/>
      <c r="BI126" s="653"/>
      <c r="BJ126" s="653"/>
      <c r="BK126" s="786"/>
      <c r="BL126" s="786"/>
      <c r="BM126" s="786"/>
      <c r="BN126" s="786"/>
      <c r="BO126" s="786"/>
      <c r="BP126" s="786"/>
      <c r="BQ126" s="786"/>
      <c r="BR126" s="786"/>
      <c r="BS126" s="786"/>
      <c r="BT126" s="786"/>
      <c r="BU126" s="786"/>
      <c r="BV126" s="786"/>
      <c r="BW126" s="786"/>
      <c r="BX126" s="786"/>
      <c r="BY126" s="786"/>
      <c r="BZ126" s="786"/>
      <c r="CA126" s="786"/>
      <c r="CB126" s="786"/>
      <c r="CC126" s="786"/>
      <c r="CD126" s="786"/>
      <c r="CE126" s="786"/>
      <c r="CF126" s="786"/>
      <c r="CG126" s="786"/>
      <c r="CH126" s="786"/>
      <c r="CI126" s="786"/>
      <c r="CJ126" s="786"/>
      <c r="CK126" s="786"/>
      <c r="CL126" s="786"/>
      <c r="CM126" s="786"/>
      <c r="CN126" s="786"/>
      <c r="CO126" s="786"/>
      <c r="CP126" s="786"/>
      <c r="CQ126" s="787"/>
      <c r="CR126" s="473"/>
      <c r="CS126" s="473"/>
      <c r="CT126" s="473"/>
      <c r="CU126" s="473"/>
      <c r="CV126" s="473"/>
      <c r="CW126" s="473"/>
      <c r="CX126" s="473"/>
      <c r="CY126" s="473"/>
      <c r="CZ126" s="473"/>
      <c r="DA126" s="473"/>
      <c r="DB126" s="473"/>
      <c r="DC126" s="473"/>
      <c r="DD126" s="473"/>
      <c r="DE126" s="473"/>
      <c r="DF126" s="473"/>
      <c r="DG126" s="473"/>
      <c r="DH126" s="473"/>
      <c r="DI126" s="473"/>
      <c r="DJ126" s="473"/>
      <c r="DK126" s="473"/>
      <c r="DL126" s="473"/>
      <c r="DM126" s="634"/>
      <c r="DN126" s="634"/>
      <c r="DO126" s="634"/>
      <c r="DP126" s="634"/>
      <c r="DQ126" s="634"/>
      <c r="DR126" s="634"/>
      <c r="DS126" s="634"/>
      <c r="DT126" s="634"/>
      <c r="DU126" s="634"/>
      <c r="DV126" s="634"/>
      <c r="DW126" s="634"/>
      <c r="DX126" s="634"/>
      <c r="DY126" s="634"/>
      <c r="DZ126" s="634"/>
      <c r="EA126" s="634"/>
      <c r="EB126" s="634"/>
      <c r="EC126" s="634"/>
      <c r="ED126" s="634"/>
      <c r="EE126" s="634"/>
      <c r="EF126" s="634"/>
      <c r="EG126" s="634"/>
      <c r="EH126" s="634"/>
      <c r="EI126" s="634"/>
      <c r="EJ126" s="634"/>
      <c r="EK126" s="634"/>
      <c r="EL126" s="634"/>
      <c r="EM126" s="634"/>
      <c r="EN126" s="634"/>
      <c r="EO126" s="634"/>
      <c r="EP126" s="634"/>
      <c r="EQ126" s="634"/>
      <c r="ER126" s="634"/>
      <c r="ES126" s="634"/>
    </row>
    <row r="127" spans="2:191" ht="12" customHeight="1" x14ac:dyDescent="0.25">
      <c r="B127" s="701"/>
      <c r="C127" s="786"/>
      <c r="D127" s="786"/>
      <c r="E127" s="786"/>
      <c r="F127" s="786"/>
      <c r="G127" s="786"/>
      <c r="H127" s="786"/>
      <c r="I127" s="786"/>
      <c r="J127" s="786"/>
      <c r="K127" s="786"/>
      <c r="L127" s="786"/>
      <c r="M127" s="786"/>
      <c r="N127" s="786"/>
      <c r="O127" s="786"/>
      <c r="P127" s="786"/>
      <c r="Q127" s="786"/>
      <c r="R127" s="786"/>
      <c r="S127" s="786"/>
      <c r="T127" s="786"/>
      <c r="U127" s="786"/>
      <c r="V127" s="786"/>
      <c r="W127" s="786"/>
      <c r="X127" s="786"/>
      <c r="Y127" s="786"/>
      <c r="Z127" s="786"/>
      <c r="AA127" s="786"/>
      <c r="AB127" s="786"/>
      <c r="AC127" s="786"/>
      <c r="AD127" s="786"/>
      <c r="AE127" s="786"/>
      <c r="AF127" s="786"/>
      <c r="AG127" s="786"/>
      <c r="AH127" s="786"/>
      <c r="AI127" s="786"/>
      <c r="AJ127" s="786"/>
      <c r="AK127" s="786"/>
      <c r="AL127" s="786"/>
      <c r="AM127" s="786"/>
      <c r="AN127" s="786"/>
      <c r="AO127" s="786"/>
      <c r="AP127" s="786"/>
      <c r="AQ127" s="786"/>
      <c r="AR127" s="786"/>
      <c r="AS127" s="786"/>
      <c r="AT127" s="786"/>
      <c r="AU127" s="786"/>
      <c r="AV127" s="786"/>
      <c r="AW127" s="786"/>
      <c r="AX127" s="786"/>
      <c r="AY127" s="786"/>
      <c r="AZ127" s="786"/>
      <c r="BA127" s="786"/>
      <c r="BB127" s="786"/>
      <c r="BC127" s="786"/>
      <c r="BD127" s="786"/>
      <c r="BE127" s="786"/>
      <c r="BF127" s="786"/>
      <c r="BG127" s="786"/>
      <c r="BH127" s="786"/>
      <c r="BI127" s="653"/>
      <c r="BJ127" s="653"/>
      <c r="BK127" s="786"/>
      <c r="BL127" s="786"/>
      <c r="BM127" s="786"/>
      <c r="BN127" s="786"/>
      <c r="BO127" s="786"/>
      <c r="BP127" s="786"/>
      <c r="BQ127" s="786"/>
      <c r="BR127" s="786"/>
      <c r="BS127" s="786"/>
      <c r="BT127" s="786"/>
      <c r="BU127" s="786"/>
      <c r="BV127" s="786"/>
      <c r="BW127" s="786"/>
      <c r="BX127" s="786"/>
      <c r="BY127" s="786"/>
      <c r="BZ127" s="786"/>
      <c r="CA127" s="786"/>
      <c r="CB127" s="786"/>
      <c r="CC127" s="786"/>
      <c r="CD127" s="786"/>
      <c r="CE127" s="786"/>
      <c r="CF127" s="786"/>
      <c r="CG127" s="786"/>
      <c r="CH127" s="786"/>
      <c r="CI127" s="786"/>
      <c r="CJ127" s="786"/>
      <c r="CK127" s="786"/>
      <c r="CL127" s="786"/>
      <c r="CM127" s="786"/>
      <c r="CN127" s="786"/>
      <c r="CO127" s="786"/>
      <c r="CP127" s="786"/>
      <c r="CQ127" s="787"/>
      <c r="CR127" s="473"/>
      <c r="CS127" s="473"/>
      <c r="CT127" s="473"/>
      <c r="CU127" s="473"/>
      <c r="CV127" s="473"/>
      <c r="CW127" s="473"/>
      <c r="CX127" s="473"/>
      <c r="CY127" s="473"/>
      <c r="CZ127" s="473"/>
      <c r="DA127" s="473"/>
      <c r="DB127" s="473"/>
      <c r="DC127" s="473"/>
      <c r="DD127" s="473"/>
      <c r="DE127" s="473"/>
      <c r="DF127" s="473"/>
      <c r="DG127" s="473"/>
      <c r="DH127" s="473"/>
      <c r="DI127" s="473"/>
      <c r="DJ127" s="473"/>
      <c r="DK127" s="473"/>
      <c r="DL127" s="473"/>
      <c r="DM127" s="634"/>
      <c r="DN127" s="634"/>
      <c r="DO127" s="634"/>
      <c r="DP127" s="634"/>
      <c r="DQ127" s="634"/>
      <c r="DR127" s="634"/>
      <c r="DS127" s="634"/>
      <c r="DT127" s="634"/>
      <c r="DU127" s="634"/>
      <c r="DV127" s="634"/>
      <c r="DW127" s="634"/>
      <c r="DX127" s="634"/>
      <c r="DY127" s="634"/>
      <c r="DZ127" s="634"/>
      <c r="EA127" s="634"/>
      <c r="EB127" s="634"/>
      <c r="EC127" s="634"/>
      <c r="ED127" s="634"/>
      <c r="EE127" s="634"/>
      <c r="EF127" s="634"/>
      <c r="EG127" s="634"/>
      <c r="EH127" s="634"/>
      <c r="EI127" s="634"/>
      <c r="EJ127" s="634"/>
      <c r="EK127" s="634"/>
      <c r="EL127" s="634"/>
      <c r="EM127" s="634"/>
      <c r="EN127" s="634"/>
      <c r="EO127" s="634"/>
      <c r="EP127" s="634"/>
      <c r="EQ127" s="634"/>
      <c r="ER127" s="634"/>
      <c r="ES127" s="634"/>
    </row>
    <row r="128" spans="2:191" ht="12" customHeight="1" x14ac:dyDescent="0.25">
      <c r="B128" s="701"/>
      <c r="C128" s="786"/>
      <c r="D128" s="786"/>
      <c r="E128" s="786"/>
      <c r="F128" s="786"/>
      <c r="G128" s="786"/>
      <c r="H128" s="786"/>
      <c r="I128" s="786"/>
      <c r="J128" s="786"/>
      <c r="K128" s="786"/>
      <c r="L128" s="786"/>
      <c r="M128" s="786"/>
      <c r="N128" s="786"/>
      <c r="O128" s="786"/>
      <c r="P128" s="786"/>
      <c r="Q128" s="786"/>
      <c r="R128" s="786"/>
      <c r="S128" s="786"/>
      <c r="T128" s="786"/>
      <c r="U128" s="786"/>
      <c r="V128" s="786"/>
      <c r="W128" s="786"/>
      <c r="X128" s="786"/>
      <c r="Y128" s="786"/>
      <c r="Z128" s="786"/>
      <c r="AA128" s="786"/>
      <c r="AB128" s="786"/>
      <c r="AC128" s="786"/>
      <c r="AD128" s="786"/>
      <c r="AE128" s="786"/>
      <c r="AF128" s="786"/>
      <c r="AG128" s="786"/>
      <c r="AH128" s="786"/>
      <c r="AI128" s="786"/>
      <c r="AJ128" s="786"/>
      <c r="AK128" s="786"/>
      <c r="AL128" s="786"/>
      <c r="AM128" s="786"/>
      <c r="AN128" s="786"/>
      <c r="AO128" s="786"/>
      <c r="AP128" s="786"/>
      <c r="AQ128" s="786"/>
      <c r="AR128" s="786"/>
      <c r="AS128" s="786"/>
      <c r="AT128" s="786"/>
      <c r="AU128" s="786"/>
      <c r="AV128" s="786"/>
      <c r="AW128" s="786"/>
      <c r="AX128" s="786"/>
      <c r="AY128" s="786"/>
      <c r="AZ128" s="786"/>
      <c r="BA128" s="786"/>
      <c r="BB128" s="786"/>
      <c r="BC128" s="786"/>
      <c r="BD128" s="786"/>
      <c r="BE128" s="786"/>
      <c r="BF128" s="786"/>
      <c r="BG128" s="786"/>
      <c r="BH128" s="786"/>
      <c r="BI128" s="653"/>
      <c r="BJ128" s="653"/>
      <c r="BK128" s="786"/>
      <c r="BL128" s="786"/>
      <c r="BM128" s="786"/>
      <c r="BN128" s="786"/>
      <c r="BO128" s="786"/>
      <c r="BP128" s="786"/>
      <c r="BQ128" s="786"/>
      <c r="BR128" s="786"/>
      <c r="BS128" s="786"/>
      <c r="BT128" s="786"/>
      <c r="BU128" s="786"/>
      <c r="BV128" s="786"/>
      <c r="BW128" s="786"/>
      <c r="BX128" s="786"/>
      <c r="BY128" s="786"/>
      <c r="BZ128" s="786"/>
      <c r="CA128" s="786"/>
      <c r="CB128" s="786"/>
      <c r="CC128" s="786"/>
      <c r="CD128" s="786"/>
      <c r="CE128" s="786"/>
      <c r="CF128" s="786"/>
      <c r="CG128" s="786"/>
      <c r="CH128" s="786"/>
      <c r="CI128" s="786"/>
      <c r="CJ128" s="786"/>
      <c r="CK128" s="786"/>
      <c r="CL128" s="786"/>
      <c r="CM128" s="786"/>
      <c r="CN128" s="786"/>
      <c r="CO128" s="786"/>
      <c r="CP128" s="786"/>
      <c r="CQ128" s="787"/>
      <c r="CR128" s="473"/>
      <c r="CS128" s="473"/>
      <c r="CT128" s="473"/>
      <c r="CU128" s="473"/>
      <c r="CV128" s="473"/>
      <c r="CW128" s="473"/>
      <c r="CX128" s="473"/>
      <c r="CY128" s="473"/>
      <c r="CZ128" s="473"/>
      <c r="DA128" s="473"/>
      <c r="DB128" s="473"/>
      <c r="DC128" s="473"/>
      <c r="DD128" s="473"/>
      <c r="DE128" s="473"/>
      <c r="DF128" s="473"/>
      <c r="DG128" s="473"/>
      <c r="DH128" s="473"/>
      <c r="DI128" s="473"/>
      <c r="DJ128" s="473"/>
      <c r="DK128" s="473"/>
      <c r="DL128" s="473"/>
      <c r="DM128" s="634"/>
      <c r="DN128" s="634"/>
      <c r="DO128" s="634"/>
      <c r="DP128" s="634"/>
      <c r="DQ128" s="634"/>
      <c r="DR128" s="634"/>
      <c r="DS128" s="634"/>
      <c r="DT128" s="634"/>
      <c r="DU128" s="634"/>
      <c r="DV128" s="634"/>
      <c r="DW128" s="634"/>
      <c r="DX128" s="634"/>
      <c r="DY128" s="634"/>
      <c r="DZ128" s="634"/>
      <c r="EA128" s="634"/>
      <c r="EB128" s="634"/>
      <c r="EC128" s="634"/>
      <c r="ED128" s="634"/>
      <c r="EE128" s="634"/>
      <c r="EF128" s="634"/>
      <c r="EG128" s="634"/>
      <c r="EH128" s="634"/>
      <c r="EI128" s="634"/>
      <c r="EJ128" s="634"/>
      <c r="EK128" s="634"/>
      <c r="EL128" s="634"/>
      <c r="EM128" s="634"/>
      <c r="EN128" s="634"/>
      <c r="EO128" s="634"/>
      <c r="EP128" s="634"/>
      <c r="EQ128" s="634"/>
      <c r="ER128" s="634"/>
      <c r="ES128" s="634"/>
    </row>
    <row r="129" spans="2:191" ht="12" customHeight="1" x14ac:dyDescent="0.25">
      <c r="B129" s="701"/>
      <c r="C129" s="786"/>
      <c r="D129" s="786"/>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6"/>
      <c r="AS129" s="786"/>
      <c r="AT129" s="786"/>
      <c r="AU129" s="786"/>
      <c r="AV129" s="786"/>
      <c r="AW129" s="786"/>
      <c r="AX129" s="786"/>
      <c r="AY129" s="786"/>
      <c r="AZ129" s="786"/>
      <c r="BA129" s="786"/>
      <c r="BB129" s="786"/>
      <c r="BC129" s="786"/>
      <c r="BD129" s="786"/>
      <c r="BE129" s="786"/>
      <c r="BF129" s="786"/>
      <c r="BG129" s="786"/>
      <c r="BH129" s="786"/>
      <c r="BI129" s="653"/>
      <c r="BJ129" s="653"/>
      <c r="BK129" s="786"/>
      <c r="BL129" s="786"/>
      <c r="BM129" s="786"/>
      <c r="BN129" s="786"/>
      <c r="BO129" s="786"/>
      <c r="BP129" s="786"/>
      <c r="BQ129" s="786"/>
      <c r="BR129" s="786"/>
      <c r="BS129" s="786"/>
      <c r="BT129" s="786"/>
      <c r="BU129" s="786"/>
      <c r="BV129" s="786"/>
      <c r="BW129" s="786"/>
      <c r="BX129" s="786"/>
      <c r="BY129" s="786"/>
      <c r="BZ129" s="786"/>
      <c r="CA129" s="786"/>
      <c r="CB129" s="786"/>
      <c r="CC129" s="786"/>
      <c r="CD129" s="786"/>
      <c r="CE129" s="786"/>
      <c r="CF129" s="786"/>
      <c r="CG129" s="786"/>
      <c r="CH129" s="786"/>
      <c r="CI129" s="786"/>
      <c r="CJ129" s="786"/>
      <c r="CK129" s="786"/>
      <c r="CL129" s="786"/>
      <c r="CM129" s="786"/>
      <c r="CN129" s="786"/>
      <c r="CO129" s="786"/>
      <c r="CP129" s="786"/>
      <c r="CQ129" s="787"/>
      <c r="CR129" s="473"/>
      <c r="CS129" s="473"/>
      <c r="CT129" s="473"/>
      <c r="CU129" s="473"/>
      <c r="CV129" s="473"/>
      <c r="CW129" s="473"/>
      <c r="CX129" s="473"/>
      <c r="CY129" s="473"/>
      <c r="CZ129" s="473"/>
      <c r="DA129" s="473"/>
      <c r="DB129" s="473"/>
      <c r="DC129" s="473"/>
      <c r="DD129" s="473"/>
      <c r="DE129" s="473"/>
      <c r="DF129" s="473"/>
      <c r="DG129" s="473"/>
      <c r="DH129" s="473"/>
      <c r="DI129" s="473"/>
      <c r="DJ129" s="473"/>
      <c r="DK129" s="473"/>
      <c r="DL129" s="473"/>
      <c r="DM129" s="634"/>
      <c r="DN129" s="634"/>
      <c r="DO129" s="634"/>
      <c r="DP129" s="634"/>
      <c r="DQ129" s="634"/>
      <c r="DR129" s="634"/>
      <c r="DS129" s="634"/>
      <c r="DT129" s="634"/>
      <c r="DU129" s="634"/>
      <c r="DV129" s="634"/>
      <c r="DW129" s="634"/>
      <c r="DX129" s="634"/>
      <c r="DY129" s="634"/>
      <c r="DZ129" s="634"/>
      <c r="EA129" s="634"/>
      <c r="EB129" s="634"/>
      <c r="EC129" s="634"/>
      <c r="ED129" s="634"/>
      <c r="EE129" s="634"/>
      <c r="EF129" s="634"/>
      <c r="EG129" s="634"/>
      <c r="EH129" s="634"/>
      <c r="EI129" s="634"/>
      <c r="EJ129" s="634"/>
      <c r="EK129" s="634"/>
      <c r="EL129" s="634"/>
      <c r="EM129" s="634"/>
      <c r="EN129" s="634"/>
      <c r="EO129" s="634"/>
      <c r="EP129" s="634"/>
      <c r="EQ129" s="634"/>
      <c r="ER129" s="634"/>
      <c r="ES129" s="634"/>
    </row>
    <row r="130" spans="2:191" ht="12" customHeight="1" x14ac:dyDescent="0.25">
      <c r="B130" s="701"/>
      <c r="C130" s="786"/>
      <c r="D130" s="786"/>
      <c r="E130" s="786"/>
      <c r="F130" s="786"/>
      <c r="G130" s="786"/>
      <c r="H130" s="786"/>
      <c r="I130" s="786"/>
      <c r="J130" s="786"/>
      <c r="K130" s="786"/>
      <c r="L130" s="786"/>
      <c r="M130" s="786"/>
      <c r="N130" s="786"/>
      <c r="O130" s="786"/>
      <c r="P130" s="786"/>
      <c r="Q130" s="786"/>
      <c r="R130" s="786"/>
      <c r="S130" s="786"/>
      <c r="T130" s="786"/>
      <c r="U130" s="786"/>
      <c r="V130" s="786"/>
      <c r="W130" s="786"/>
      <c r="X130" s="786"/>
      <c r="Y130" s="786"/>
      <c r="Z130" s="786"/>
      <c r="AA130" s="786"/>
      <c r="AB130" s="786"/>
      <c r="AC130" s="786"/>
      <c r="AD130" s="786"/>
      <c r="AE130" s="786"/>
      <c r="AF130" s="786"/>
      <c r="AG130" s="786"/>
      <c r="AH130" s="786"/>
      <c r="AI130" s="786"/>
      <c r="AJ130" s="786"/>
      <c r="AK130" s="786"/>
      <c r="AL130" s="786"/>
      <c r="AM130" s="786"/>
      <c r="AN130" s="786"/>
      <c r="AO130" s="786"/>
      <c r="AP130" s="786"/>
      <c r="AQ130" s="786"/>
      <c r="AR130" s="786"/>
      <c r="AS130" s="786"/>
      <c r="AT130" s="786"/>
      <c r="AU130" s="786"/>
      <c r="AV130" s="786"/>
      <c r="AW130" s="786"/>
      <c r="AX130" s="786"/>
      <c r="AY130" s="786"/>
      <c r="AZ130" s="786"/>
      <c r="BA130" s="786"/>
      <c r="BB130" s="786"/>
      <c r="BC130" s="786"/>
      <c r="BD130" s="786"/>
      <c r="BE130" s="786"/>
      <c r="BF130" s="786"/>
      <c r="BG130" s="786"/>
      <c r="BH130" s="786"/>
      <c r="BI130" s="653"/>
      <c r="BJ130" s="653"/>
      <c r="BK130" s="786"/>
      <c r="BL130" s="786"/>
      <c r="BM130" s="786"/>
      <c r="BN130" s="786"/>
      <c r="BO130" s="786"/>
      <c r="BP130" s="786"/>
      <c r="BQ130" s="786"/>
      <c r="BR130" s="786"/>
      <c r="BS130" s="786"/>
      <c r="BT130" s="786"/>
      <c r="BU130" s="786"/>
      <c r="BV130" s="786"/>
      <c r="BW130" s="786"/>
      <c r="BX130" s="786"/>
      <c r="BY130" s="786"/>
      <c r="BZ130" s="786"/>
      <c r="CA130" s="786"/>
      <c r="CB130" s="786"/>
      <c r="CC130" s="786"/>
      <c r="CD130" s="786"/>
      <c r="CE130" s="786"/>
      <c r="CF130" s="786"/>
      <c r="CG130" s="786"/>
      <c r="CH130" s="786"/>
      <c r="CI130" s="786"/>
      <c r="CJ130" s="786"/>
      <c r="CK130" s="786"/>
      <c r="CL130" s="786"/>
      <c r="CM130" s="786"/>
      <c r="CN130" s="786"/>
      <c r="CO130" s="786"/>
      <c r="CP130" s="786"/>
      <c r="CQ130" s="787"/>
      <c r="CR130" s="473"/>
      <c r="CS130" s="473"/>
      <c r="CT130" s="473"/>
      <c r="CU130" s="473"/>
      <c r="CV130" s="473"/>
      <c r="CW130" s="473"/>
      <c r="CX130" s="473"/>
      <c r="CY130" s="473"/>
      <c r="CZ130" s="473"/>
      <c r="DA130" s="473"/>
      <c r="DB130" s="473"/>
      <c r="DC130" s="473"/>
      <c r="DD130" s="473"/>
      <c r="DE130" s="473"/>
      <c r="DF130" s="473"/>
      <c r="DG130" s="473"/>
      <c r="DH130" s="473"/>
      <c r="DI130" s="473"/>
      <c r="DJ130" s="473"/>
      <c r="DK130" s="473"/>
      <c r="DL130" s="473"/>
      <c r="DM130" s="634"/>
      <c r="DN130" s="634"/>
      <c r="DO130" s="634"/>
      <c r="DP130" s="634"/>
      <c r="DQ130" s="634"/>
      <c r="DR130" s="634"/>
      <c r="DS130" s="634"/>
      <c r="DT130" s="634"/>
      <c r="DU130" s="634"/>
      <c r="DV130" s="634"/>
      <c r="DW130" s="634"/>
      <c r="DX130" s="634"/>
      <c r="DY130" s="634"/>
      <c r="DZ130" s="634"/>
      <c r="EA130" s="634"/>
      <c r="EB130" s="634"/>
      <c r="EC130" s="634"/>
      <c r="ED130" s="634"/>
      <c r="EE130" s="634"/>
      <c r="EF130" s="634"/>
      <c r="EG130" s="634"/>
      <c r="EH130" s="634"/>
      <c r="EI130" s="634"/>
      <c r="EJ130" s="634"/>
      <c r="EK130" s="634"/>
      <c r="EL130" s="634"/>
      <c r="EM130" s="634"/>
      <c r="EN130" s="634"/>
      <c r="EO130" s="634"/>
      <c r="EP130" s="634"/>
      <c r="EQ130" s="634"/>
      <c r="ER130" s="634"/>
      <c r="ES130" s="634"/>
    </row>
    <row r="131" spans="2:191" ht="12" customHeight="1" x14ac:dyDescent="0.25">
      <c r="B131" s="701"/>
      <c r="C131" s="786"/>
      <c r="D131" s="786"/>
      <c r="E131" s="786"/>
      <c r="F131" s="786"/>
      <c r="G131" s="786"/>
      <c r="H131" s="786"/>
      <c r="I131" s="786"/>
      <c r="J131" s="786"/>
      <c r="K131" s="786"/>
      <c r="L131" s="786"/>
      <c r="M131" s="786"/>
      <c r="N131" s="786"/>
      <c r="O131" s="786"/>
      <c r="P131" s="786"/>
      <c r="Q131" s="786"/>
      <c r="R131" s="786"/>
      <c r="S131" s="786"/>
      <c r="T131" s="786"/>
      <c r="U131" s="786"/>
      <c r="V131" s="786"/>
      <c r="W131" s="786"/>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786"/>
      <c r="AV131" s="786"/>
      <c r="AW131" s="786"/>
      <c r="AX131" s="786"/>
      <c r="AY131" s="786"/>
      <c r="AZ131" s="786"/>
      <c r="BA131" s="786"/>
      <c r="BB131" s="786"/>
      <c r="BC131" s="786"/>
      <c r="BD131" s="786"/>
      <c r="BE131" s="786"/>
      <c r="BF131" s="786"/>
      <c r="BG131" s="786"/>
      <c r="BH131" s="786"/>
      <c r="BI131" s="653"/>
      <c r="BJ131" s="653"/>
      <c r="BK131" s="786"/>
      <c r="BL131" s="786"/>
      <c r="BM131" s="786"/>
      <c r="BN131" s="786"/>
      <c r="BO131" s="786"/>
      <c r="BP131" s="786"/>
      <c r="BQ131" s="786"/>
      <c r="BR131" s="786"/>
      <c r="BS131" s="786"/>
      <c r="BT131" s="786"/>
      <c r="BU131" s="786"/>
      <c r="BV131" s="786"/>
      <c r="BW131" s="786"/>
      <c r="BX131" s="786"/>
      <c r="BY131" s="786"/>
      <c r="BZ131" s="786"/>
      <c r="CA131" s="786"/>
      <c r="CB131" s="786"/>
      <c r="CC131" s="786"/>
      <c r="CD131" s="786"/>
      <c r="CE131" s="786"/>
      <c r="CF131" s="786"/>
      <c r="CG131" s="786"/>
      <c r="CH131" s="786"/>
      <c r="CI131" s="786"/>
      <c r="CJ131" s="786"/>
      <c r="CK131" s="786"/>
      <c r="CL131" s="786"/>
      <c r="CM131" s="786"/>
      <c r="CN131" s="786"/>
      <c r="CO131" s="786"/>
      <c r="CP131" s="786"/>
      <c r="CQ131" s="787"/>
      <c r="CR131" s="473"/>
      <c r="CS131" s="473"/>
      <c r="CT131" s="473"/>
      <c r="CU131" s="473"/>
      <c r="CV131" s="473"/>
      <c r="CW131" s="473"/>
      <c r="CX131" s="473"/>
      <c r="CY131" s="473"/>
      <c r="CZ131" s="473"/>
      <c r="DA131" s="473"/>
      <c r="DB131" s="473"/>
      <c r="DC131" s="473"/>
      <c r="DD131" s="473"/>
      <c r="DE131" s="473"/>
      <c r="DF131" s="473"/>
      <c r="DG131" s="473"/>
      <c r="DH131" s="473"/>
      <c r="DI131" s="473"/>
      <c r="DJ131" s="473"/>
      <c r="DK131" s="473"/>
      <c r="DL131" s="473"/>
      <c r="DM131" s="634"/>
      <c r="DN131" s="634"/>
      <c r="DO131" s="634"/>
      <c r="DP131" s="634"/>
      <c r="DQ131" s="634"/>
      <c r="DR131" s="634"/>
      <c r="DS131" s="634"/>
      <c r="DT131" s="634"/>
      <c r="DU131" s="634"/>
      <c r="DV131" s="634"/>
      <c r="DW131" s="634"/>
      <c r="DX131" s="634"/>
      <c r="DY131" s="634"/>
      <c r="DZ131" s="634"/>
      <c r="EA131" s="634"/>
      <c r="EB131" s="634"/>
      <c r="EC131" s="634"/>
      <c r="ED131" s="634"/>
      <c r="EE131" s="634"/>
      <c r="EF131" s="634"/>
      <c r="EG131" s="634"/>
      <c r="EH131" s="634"/>
      <c r="EI131" s="634"/>
      <c r="EJ131" s="634"/>
      <c r="EK131" s="634"/>
      <c r="EL131" s="634"/>
      <c r="EM131" s="634"/>
      <c r="EN131" s="634"/>
      <c r="EO131" s="634"/>
      <c r="EP131" s="634"/>
      <c r="EQ131" s="634"/>
      <c r="ER131" s="634"/>
      <c r="ES131" s="634"/>
    </row>
    <row r="132" spans="2:191" ht="12" customHeight="1" x14ac:dyDescent="0.25">
      <c r="B132" s="701"/>
      <c r="C132" s="786"/>
      <c r="D132" s="786"/>
      <c r="E132" s="786"/>
      <c r="F132" s="786"/>
      <c r="G132" s="786"/>
      <c r="H132" s="786"/>
      <c r="I132" s="786"/>
      <c r="J132" s="786"/>
      <c r="K132" s="786"/>
      <c r="L132" s="786"/>
      <c r="M132" s="786"/>
      <c r="N132" s="786"/>
      <c r="O132" s="786"/>
      <c r="P132" s="786"/>
      <c r="Q132" s="786"/>
      <c r="R132" s="786"/>
      <c r="S132" s="786"/>
      <c r="T132" s="786"/>
      <c r="U132" s="786"/>
      <c r="V132" s="786"/>
      <c r="W132" s="786"/>
      <c r="X132" s="786"/>
      <c r="Y132" s="786"/>
      <c r="Z132" s="786"/>
      <c r="AA132" s="786"/>
      <c r="AB132" s="786"/>
      <c r="AC132" s="786"/>
      <c r="AD132" s="786"/>
      <c r="AE132" s="786"/>
      <c r="AF132" s="786"/>
      <c r="AG132" s="786"/>
      <c r="AH132" s="786"/>
      <c r="AI132" s="786"/>
      <c r="AJ132" s="786"/>
      <c r="AK132" s="786"/>
      <c r="AL132" s="786"/>
      <c r="AM132" s="786"/>
      <c r="AN132" s="786"/>
      <c r="AO132" s="786"/>
      <c r="AP132" s="786"/>
      <c r="AQ132" s="786"/>
      <c r="AR132" s="786"/>
      <c r="AS132" s="786"/>
      <c r="AT132" s="786"/>
      <c r="AU132" s="786"/>
      <c r="AV132" s="786"/>
      <c r="AW132" s="786"/>
      <c r="AX132" s="786"/>
      <c r="AY132" s="786"/>
      <c r="AZ132" s="786"/>
      <c r="BA132" s="786"/>
      <c r="BB132" s="786"/>
      <c r="BC132" s="786"/>
      <c r="BD132" s="786"/>
      <c r="BE132" s="786"/>
      <c r="BF132" s="786"/>
      <c r="BG132" s="786"/>
      <c r="BH132" s="786"/>
      <c r="BI132" s="653"/>
      <c r="BJ132" s="653"/>
      <c r="BK132" s="786"/>
      <c r="BL132" s="786"/>
      <c r="BM132" s="786"/>
      <c r="BN132" s="786"/>
      <c r="BO132" s="786"/>
      <c r="BP132" s="786"/>
      <c r="BQ132" s="786"/>
      <c r="BR132" s="786"/>
      <c r="BS132" s="786"/>
      <c r="BT132" s="786"/>
      <c r="BU132" s="786"/>
      <c r="BV132" s="786"/>
      <c r="BW132" s="786"/>
      <c r="BX132" s="786"/>
      <c r="BY132" s="786"/>
      <c r="BZ132" s="786"/>
      <c r="CA132" s="786"/>
      <c r="CB132" s="786"/>
      <c r="CC132" s="786"/>
      <c r="CD132" s="786"/>
      <c r="CE132" s="786"/>
      <c r="CF132" s="786"/>
      <c r="CG132" s="786"/>
      <c r="CH132" s="786"/>
      <c r="CI132" s="786"/>
      <c r="CJ132" s="786"/>
      <c r="CK132" s="786"/>
      <c r="CL132" s="786"/>
      <c r="CM132" s="786"/>
      <c r="CN132" s="786"/>
      <c r="CO132" s="786"/>
      <c r="CP132" s="786"/>
      <c r="CQ132" s="787"/>
      <c r="CR132" s="473"/>
      <c r="CS132" s="473"/>
      <c r="CT132" s="473"/>
      <c r="CU132" s="473"/>
      <c r="CV132" s="473"/>
      <c r="CW132" s="473"/>
      <c r="CX132" s="473"/>
      <c r="CY132" s="473"/>
      <c r="CZ132" s="473"/>
      <c r="DA132" s="473"/>
      <c r="DB132" s="473"/>
      <c r="DC132" s="473"/>
      <c r="DD132" s="473"/>
      <c r="DE132" s="473"/>
      <c r="DF132" s="473"/>
      <c r="DG132" s="473"/>
      <c r="DH132" s="473"/>
      <c r="DI132" s="473"/>
      <c r="DJ132" s="473"/>
      <c r="DK132" s="473"/>
      <c r="DL132" s="473"/>
      <c r="DM132" s="634"/>
      <c r="DN132" s="634"/>
      <c r="DO132" s="634"/>
      <c r="DP132" s="634"/>
      <c r="DQ132" s="634"/>
      <c r="DR132" s="634"/>
      <c r="DS132" s="634"/>
      <c r="DT132" s="634"/>
      <c r="DU132" s="634"/>
      <c r="DV132" s="634"/>
      <c r="DW132" s="634"/>
      <c r="DX132" s="634"/>
      <c r="DY132" s="634"/>
      <c r="DZ132" s="634"/>
      <c r="EA132" s="634"/>
      <c r="EB132" s="634"/>
      <c r="EC132" s="634"/>
      <c r="ED132" s="634"/>
      <c r="EE132" s="634"/>
      <c r="EF132" s="634"/>
      <c r="EG132" s="634"/>
      <c r="EH132" s="634"/>
      <c r="EI132" s="634"/>
      <c r="EJ132" s="634"/>
      <c r="EK132" s="634"/>
      <c r="EL132" s="634"/>
      <c r="EM132" s="634"/>
      <c r="EN132" s="634"/>
      <c r="EO132" s="634"/>
      <c r="EP132" s="634"/>
      <c r="EQ132" s="634"/>
      <c r="ER132" s="634"/>
      <c r="ES132" s="634"/>
    </row>
    <row r="133" spans="2:191" ht="12" customHeight="1" x14ac:dyDescent="0.25">
      <c r="B133" s="639"/>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640"/>
      <c r="AB133" s="640"/>
      <c r="AC133" s="640"/>
      <c r="AD133" s="640"/>
      <c r="AE133" s="640"/>
      <c r="AF133" s="640"/>
      <c r="AG133" s="640"/>
      <c r="AH133" s="640"/>
      <c r="AI133" s="640"/>
      <c r="AJ133" s="640"/>
      <c r="AK133" s="640"/>
      <c r="AL133" s="640"/>
      <c r="AM133" s="640"/>
      <c r="AN133" s="640"/>
      <c r="AO133" s="640"/>
      <c r="AP133" s="640"/>
      <c r="AQ133" s="640"/>
      <c r="AR133" s="640"/>
      <c r="AS133" s="640"/>
      <c r="AT133" s="640"/>
      <c r="AU133" s="640"/>
      <c r="AV133" s="640"/>
      <c r="AW133" s="640"/>
      <c r="AX133" s="640"/>
      <c r="AY133" s="640"/>
      <c r="AZ133" s="640"/>
      <c r="BA133" s="640"/>
      <c r="BB133" s="640"/>
      <c r="BC133" s="640"/>
      <c r="BD133" s="640"/>
      <c r="BE133" s="640"/>
      <c r="BF133" s="640"/>
      <c r="BG133" s="640"/>
      <c r="BH133" s="640"/>
      <c r="BI133" s="632"/>
      <c r="BJ133" s="639"/>
      <c r="BK133" s="865"/>
      <c r="BL133" s="865"/>
      <c r="BM133" s="865"/>
      <c r="BN133" s="865"/>
      <c r="BO133" s="865"/>
      <c r="BP133" s="865"/>
      <c r="BQ133" s="865"/>
      <c r="BR133" s="865"/>
      <c r="BS133" s="865"/>
      <c r="BT133" s="865"/>
      <c r="BU133" s="865"/>
      <c r="BV133" s="865"/>
      <c r="BW133" s="865"/>
      <c r="BX133" s="865"/>
      <c r="BY133" s="865"/>
      <c r="BZ133" s="865"/>
      <c r="CA133" s="865"/>
      <c r="CB133" s="865"/>
      <c r="CC133" s="865"/>
      <c r="CD133" s="865"/>
      <c r="CE133" s="865"/>
      <c r="CF133" s="865"/>
      <c r="CG133" s="865"/>
      <c r="CH133" s="865"/>
      <c r="CI133" s="865"/>
      <c r="CJ133" s="865"/>
      <c r="CK133" s="865"/>
      <c r="CL133" s="865"/>
      <c r="CM133" s="865"/>
      <c r="CN133" s="865"/>
      <c r="CO133" s="865"/>
      <c r="CP133" s="865"/>
      <c r="CQ133" s="866"/>
      <c r="CR133" s="473"/>
      <c r="CS133" s="473"/>
      <c r="CT133" s="473"/>
      <c r="CU133" s="473"/>
      <c r="CV133" s="473"/>
      <c r="CW133" s="473"/>
      <c r="CX133" s="473"/>
      <c r="CY133" s="473"/>
      <c r="CZ133" s="473"/>
      <c r="DA133" s="473"/>
      <c r="DB133" s="473"/>
      <c r="DC133" s="473"/>
      <c r="DD133" s="473"/>
      <c r="DE133" s="473"/>
      <c r="DF133" s="473"/>
      <c r="DG133" s="473"/>
      <c r="DH133" s="473"/>
      <c r="DI133" s="473"/>
      <c r="DJ133" s="473"/>
      <c r="DK133" s="473"/>
      <c r="DL133" s="473"/>
      <c r="DM133" s="634"/>
      <c r="DN133" s="634"/>
      <c r="DO133" s="634"/>
      <c r="DP133" s="634"/>
      <c r="DQ133" s="634"/>
      <c r="DR133" s="634"/>
      <c r="DS133" s="634"/>
      <c r="DT133" s="634"/>
      <c r="DU133" s="634"/>
      <c r="DV133" s="634"/>
      <c r="DW133" s="634"/>
      <c r="DX133" s="634"/>
      <c r="DY133" s="634"/>
      <c r="DZ133" s="634"/>
      <c r="EA133" s="634"/>
      <c r="EB133" s="634"/>
      <c r="EC133" s="634"/>
      <c r="ED133" s="634"/>
      <c r="EE133" s="634"/>
      <c r="EF133" s="634"/>
      <c r="EG133" s="634"/>
      <c r="EH133" s="634"/>
      <c r="EI133" s="634"/>
      <c r="EJ133" s="634"/>
      <c r="EK133" s="634"/>
      <c r="EL133" s="634"/>
      <c r="EM133" s="634"/>
      <c r="EN133" s="634"/>
      <c r="EO133" s="634"/>
      <c r="EP133" s="634"/>
      <c r="EQ133" s="634"/>
      <c r="ER133" s="634"/>
      <c r="ES133" s="634"/>
    </row>
    <row r="134" spans="2:191" ht="12" customHeight="1" x14ac:dyDescent="0.2">
      <c r="I134" s="245"/>
    </row>
    <row r="135" spans="2:191" ht="12" customHeight="1" x14ac:dyDescent="0.25">
      <c r="B135" s="84" t="s">
        <v>735</v>
      </c>
      <c r="C135" s="185"/>
      <c r="D135" s="146"/>
      <c r="E135" s="146"/>
      <c r="F135" s="146"/>
      <c r="G135" s="146"/>
      <c r="H135" s="146"/>
      <c r="I135" s="146"/>
      <c r="J135" s="146"/>
      <c r="K135" s="146"/>
      <c r="L135" s="146"/>
      <c r="M135" s="146"/>
      <c r="N135" s="146"/>
      <c r="O135" s="146"/>
      <c r="P135" s="147"/>
      <c r="Q135" s="148"/>
      <c r="R135" s="84" t="s">
        <v>3675</v>
      </c>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7"/>
      <c r="AP135" s="112" t="s">
        <v>248</v>
      </c>
      <c r="AQ135" s="146"/>
      <c r="AR135" s="113"/>
      <c r="AS135" s="113"/>
      <c r="AT135" s="113"/>
      <c r="AU135" s="113"/>
      <c r="AV135" s="113"/>
      <c r="AW135" s="113"/>
      <c r="AX135" s="113"/>
      <c r="AY135" s="113"/>
      <c r="AZ135" s="113"/>
      <c r="BA135" s="113"/>
      <c r="BB135" s="113"/>
      <c r="BC135" s="113"/>
      <c r="BD135" s="113"/>
      <c r="BE135" s="113"/>
      <c r="BF135" s="146"/>
      <c r="BG135" s="146"/>
      <c r="BH135" s="146"/>
      <c r="BI135" s="146"/>
      <c r="BJ135" s="146"/>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c r="CL135" s="146"/>
      <c r="CM135" s="146"/>
      <c r="CN135" s="146"/>
      <c r="CO135" s="146"/>
      <c r="CP135" s="146"/>
      <c r="CQ135" s="147"/>
      <c r="CR135" s="727"/>
      <c r="CS135" s="727"/>
      <c r="CT135" s="727"/>
      <c r="CU135" s="727"/>
      <c r="CV135" s="528"/>
      <c r="CW135" s="634"/>
      <c r="CX135" s="634"/>
      <c r="CY135" s="726"/>
      <c r="CZ135" s="634"/>
      <c r="DA135" s="634"/>
      <c r="DB135" s="528"/>
      <c r="DC135" s="528"/>
      <c r="DD135" s="528"/>
      <c r="DE135" s="528"/>
      <c r="DF135" s="634"/>
      <c r="DG135" s="634"/>
      <c r="DH135" s="634"/>
      <c r="DI135" s="634"/>
      <c r="DJ135" s="634"/>
      <c r="DK135" s="634"/>
      <c r="DL135" s="634"/>
      <c r="DM135" s="634"/>
      <c r="DN135" s="634"/>
      <c r="DO135" s="634"/>
      <c r="DP135" s="634"/>
      <c r="DQ135" s="634"/>
      <c r="DR135" s="634"/>
      <c r="DS135" s="634"/>
      <c r="DT135" s="634"/>
      <c r="DU135" s="634"/>
      <c r="DV135" s="634"/>
      <c r="DW135" s="634"/>
      <c r="DX135" s="634"/>
      <c r="DY135" s="634"/>
      <c r="DZ135" s="634"/>
      <c r="EA135" s="634"/>
      <c r="EB135" s="634"/>
      <c r="EC135" s="634"/>
      <c r="ED135" s="634"/>
      <c r="EE135" s="634"/>
      <c r="EF135" s="634"/>
      <c r="EG135" s="634"/>
      <c r="EH135" s="634"/>
      <c r="EI135" s="634"/>
      <c r="EJ135" s="634"/>
      <c r="EK135" s="634"/>
      <c r="EL135" s="634"/>
      <c r="EM135" s="634"/>
      <c r="EN135" s="634"/>
      <c r="EO135" s="729"/>
      <c r="EP135" s="634"/>
      <c r="EQ135" s="634"/>
      <c r="ER135" s="473"/>
      <c r="ES135" s="473"/>
      <c r="ET135" s="144"/>
      <c r="EU135" s="144"/>
      <c r="EV135" s="144"/>
      <c r="EW135" s="144"/>
      <c r="EX135" s="144"/>
      <c r="EY135" s="144"/>
      <c r="EZ135" s="144"/>
      <c r="FA135" s="144"/>
      <c r="FB135" s="144"/>
      <c r="FD135" s="144"/>
      <c r="FE135" s="144"/>
      <c r="FF135" s="144"/>
      <c r="FG135" s="144"/>
      <c r="FH135" s="144"/>
      <c r="FI135" s="144"/>
      <c r="FV135" s="105"/>
      <c r="FW135" s="105"/>
      <c r="FX135" s="105"/>
      <c r="FY135" s="105"/>
      <c r="FZ135" s="105"/>
      <c r="GA135" s="105"/>
      <c r="GB135" s="105"/>
      <c r="GC135" s="105"/>
      <c r="GD135" s="105"/>
      <c r="GE135" s="105"/>
      <c r="GF135" s="105"/>
      <c r="GG135" s="105"/>
      <c r="GH135" s="105"/>
      <c r="GI135" s="105"/>
    </row>
    <row r="136" spans="2:191" ht="12" customHeight="1" thickBot="1" x14ac:dyDescent="0.3">
      <c r="B136" s="143"/>
      <c r="C136" s="109"/>
      <c r="D136" s="148"/>
      <c r="E136" s="148"/>
      <c r="F136" s="148"/>
      <c r="G136" s="148"/>
      <c r="H136" s="148"/>
      <c r="I136" s="148"/>
      <c r="J136" s="148"/>
      <c r="K136" s="148"/>
      <c r="L136" s="148"/>
      <c r="M136" s="148"/>
      <c r="N136" s="148"/>
      <c r="O136" s="148"/>
      <c r="P136" s="149"/>
      <c r="Q136" s="148"/>
      <c r="R136" s="663"/>
      <c r="S136" s="713"/>
      <c r="T136" s="598"/>
      <c r="U136" s="598"/>
      <c r="V136" s="598"/>
      <c r="W136" s="598"/>
      <c r="X136" s="598"/>
      <c r="Y136" s="777" t="s">
        <v>78</v>
      </c>
      <c r="Z136" s="777"/>
      <c r="AA136" s="777"/>
      <c r="AB136" s="777"/>
      <c r="AC136" s="777"/>
      <c r="AD136" s="777"/>
      <c r="AE136" s="777"/>
      <c r="AF136" s="598"/>
      <c r="AG136" s="777" t="s">
        <v>246</v>
      </c>
      <c r="AH136" s="777"/>
      <c r="AI136" s="777"/>
      <c r="AJ136" s="777"/>
      <c r="AK136" s="777"/>
      <c r="AL136" s="777"/>
      <c r="AM136" s="777"/>
      <c r="AN136" s="599"/>
      <c r="AO136" s="473"/>
      <c r="AP136" s="600"/>
      <c r="AQ136" s="598"/>
      <c r="AR136" s="598"/>
      <c r="AS136" s="598"/>
      <c r="AT136" s="598"/>
      <c r="AU136" s="377"/>
      <c r="AV136" s="777" t="s">
        <v>81</v>
      </c>
      <c r="AW136" s="777"/>
      <c r="AX136" s="777"/>
      <c r="AY136" s="777"/>
      <c r="AZ136" s="777"/>
      <c r="BA136" s="777"/>
      <c r="BB136" s="777"/>
      <c r="BC136" s="598"/>
      <c r="BD136" s="777" t="s">
        <v>82</v>
      </c>
      <c r="BE136" s="777"/>
      <c r="BF136" s="777"/>
      <c r="BG136" s="777"/>
      <c r="BH136" s="777"/>
      <c r="BI136" s="777"/>
      <c r="BJ136" s="777"/>
      <c r="BK136" s="598"/>
      <c r="BL136" s="777" t="s">
        <v>83</v>
      </c>
      <c r="BM136" s="777"/>
      <c r="BN136" s="777"/>
      <c r="BO136" s="777"/>
      <c r="BP136" s="777"/>
      <c r="BQ136" s="777"/>
      <c r="BR136" s="777"/>
      <c r="BS136" s="598"/>
      <c r="BT136" s="777" t="s">
        <v>84</v>
      </c>
      <c r="BU136" s="777"/>
      <c r="BV136" s="777"/>
      <c r="BW136" s="777"/>
      <c r="BX136" s="777"/>
      <c r="BY136" s="777"/>
      <c r="BZ136" s="777"/>
      <c r="CA136" s="598"/>
      <c r="CB136" s="777" t="s">
        <v>85</v>
      </c>
      <c r="CC136" s="777"/>
      <c r="CD136" s="777"/>
      <c r="CE136" s="777"/>
      <c r="CF136" s="777"/>
      <c r="CG136" s="777"/>
      <c r="CH136" s="777"/>
      <c r="CI136" s="598"/>
      <c r="CJ136" s="777" t="s">
        <v>189</v>
      </c>
      <c r="CK136" s="777"/>
      <c r="CL136" s="777"/>
      <c r="CM136" s="777"/>
      <c r="CN136" s="777"/>
      <c r="CO136" s="777"/>
      <c r="CP136" s="777"/>
      <c r="CQ136" s="664"/>
      <c r="CS136" s="727"/>
      <c r="CT136" s="727"/>
      <c r="CU136" s="727"/>
      <c r="CV136" s="528"/>
      <c r="CW136" s="634"/>
      <c r="CX136" s="634"/>
      <c r="CY136" s="726"/>
      <c r="CZ136" s="634"/>
      <c r="DA136" s="634"/>
      <c r="DB136" s="528"/>
      <c r="DC136" s="528"/>
      <c r="DD136" s="528"/>
      <c r="DE136" s="528"/>
      <c r="DF136" s="634"/>
      <c r="DG136" s="634"/>
      <c r="DH136" s="634"/>
      <c r="DI136" s="634"/>
      <c r="DJ136" s="634"/>
      <c r="DK136" s="634"/>
      <c r="DL136" s="634"/>
      <c r="DM136" s="634"/>
      <c r="DN136" s="634"/>
      <c r="DO136" s="634"/>
      <c r="DP136" s="634"/>
      <c r="DQ136" s="634"/>
      <c r="DR136" s="634"/>
      <c r="DS136" s="634"/>
      <c r="DT136" s="634"/>
      <c r="DU136" s="634"/>
      <c r="DV136" s="634"/>
      <c r="DW136" s="634"/>
      <c r="DX136" s="634"/>
      <c r="DY136" s="634"/>
      <c r="DZ136" s="634"/>
      <c r="EA136" s="634"/>
      <c r="EB136" s="634"/>
      <c r="EC136" s="634"/>
      <c r="ED136" s="634"/>
      <c r="EE136" s="634"/>
      <c r="EF136" s="634"/>
      <c r="EG136" s="634"/>
      <c r="EH136" s="634"/>
      <c r="EI136" s="634"/>
      <c r="EJ136" s="634"/>
      <c r="EK136" s="634"/>
      <c r="EL136" s="634"/>
      <c r="EM136" s="634"/>
      <c r="EN136" s="634"/>
      <c r="EO136" s="729"/>
      <c r="EP136" s="634"/>
      <c r="EQ136" s="634"/>
      <c r="ER136" s="634"/>
      <c r="ES136" s="634"/>
      <c r="FD136" s="144"/>
      <c r="FE136" s="144"/>
      <c r="FF136" s="144"/>
      <c r="FG136" s="144"/>
      <c r="FH136" s="144"/>
      <c r="FI136" s="144"/>
      <c r="FV136" s="105"/>
      <c r="FW136" s="105"/>
      <c r="FX136" s="105"/>
      <c r="FY136" s="105"/>
      <c r="FZ136" s="105"/>
      <c r="GA136" s="105"/>
      <c r="GB136" s="105"/>
      <c r="GC136" s="105"/>
      <c r="GD136" s="105"/>
      <c r="GE136" s="105"/>
      <c r="GF136" s="105"/>
      <c r="GG136" s="105"/>
      <c r="GH136" s="105"/>
      <c r="GI136" s="105"/>
    </row>
    <row r="137" spans="2:191" ht="12" customHeight="1" thickTop="1" thickBot="1" x14ac:dyDescent="0.3">
      <c r="B137" s="622" t="s">
        <v>376</v>
      </c>
      <c r="C137" s="260"/>
      <c r="D137" s="598"/>
      <c r="E137" s="598"/>
      <c r="F137" s="598"/>
      <c r="G137" s="598"/>
      <c r="H137" s="598"/>
      <c r="I137" s="598"/>
      <c r="J137" s="598"/>
      <c r="K137" s="598"/>
      <c r="L137" s="598"/>
      <c r="M137" s="598"/>
      <c r="N137" s="598"/>
      <c r="O137" s="598"/>
      <c r="P137" s="599"/>
      <c r="Q137" s="148"/>
      <c r="R137" s="663"/>
      <c r="S137" s="643"/>
      <c r="T137" s="598"/>
      <c r="U137" s="598"/>
      <c r="V137" s="598"/>
      <c r="W137" s="598"/>
      <c r="X137" s="665"/>
      <c r="Y137" s="799" t="s">
        <v>171</v>
      </c>
      <c r="Z137" s="799"/>
      <c r="AA137" s="799"/>
      <c r="AB137" s="799"/>
      <c r="AC137" s="799"/>
      <c r="AD137" s="799"/>
      <c r="AE137" s="799"/>
      <c r="AF137" s="598"/>
      <c r="AG137" s="799" t="s">
        <v>171</v>
      </c>
      <c r="AH137" s="799"/>
      <c r="AI137" s="799"/>
      <c r="AJ137" s="799"/>
      <c r="AK137" s="799"/>
      <c r="AL137" s="799"/>
      <c r="AM137" s="799"/>
      <c r="AN137" s="599"/>
      <c r="AO137" s="473"/>
      <c r="AP137" s="600"/>
      <c r="AQ137" s="598"/>
      <c r="AR137" s="598"/>
      <c r="AS137" s="598"/>
      <c r="AT137" s="598"/>
      <c r="AU137" s="710" t="s">
        <v>46</v>
      </c>
      <c r="AV137" s="763" t="s">
        <v>171</v>
      </c>
      <c r="AW137" s="763"/>
      <c r="AX137" s="763"/>
      <c r="AY137" s="763"/>
      <c r="AZ137" s="763"/>
      <c r="BA137" s="763"/>
      <c r="BB137" s="763"/>
      <c r="BC137" s="598"/>
      <c r="BD137" s="763" t="s">
        <v>171</v>
      </c>
      <c r="BE137" s="763"/>
      <c r="BF137" s="763"/>
      <c r="BG137" s="763"/>
      <c r="BH137" s="763"/>
      <c r="BI137" s="763"/>
      <c r="BJ137" s="763"/>
      <c r="BK137" s="598"/>
      <c r="BL137" s="763" t="s">
        <v>171</v>
      </c>
      <c r="BM137" s="763"/>
      <c r="BN137" s="763"/>
      <c r="BO137" s="763"/>
      <c r="BP137" s="763"/>
      <c r="BQ137" s="763"/>
      <c r="BR137" s="763"/>
      <c r="BS137" s="598"/>
      <c r="BT137" s="763" t="s">
        <v>171</v>
      </c>
      <c r="BU137" s="763"/>
      <c r="BV137" s="763"/>
      <c r="BW137" s="763"/>
      <c r="BX137" s="763"/>
      <c r="BY137" s="763"/>
      <c r="BZ137" s="763"/>
      <c r="CA137" s="598"/>
      <c r="CB137" s="763" t="s">
        <v>171</v>
      </c>
      <c r="CC137" s="763"/>
      <c r="CD137" s="763"/>
      <c r="CE137" s="763"/>
      <c r="CF137" s="763"/>
      <c r="CG137" s="763"/>
      <c r="CH137" s="763"/>
      <c r="CI137" s="598"/>
      <c r="CJ137" s="763" t="s">
        <v>171</v>
      </c>
      <c r="CK137" s="763"/>
      <c r="CL137" s="763"/>
      <c r="CM137" s="763"/>
      <c r="CN137" s="763"/>
      <c r="CO137" s="763"/>
      <c r="CP137" s="763"/>
      <c r="CQ137" s="66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634"/>
      <c r="EQ137" s="634"/>
      <c r="ER137" s="634"/>
      <c r="ES137" s="634"/>
      <c r="FD137" s="144"/>
      <c r="FE137" s="144"/>
      <c r="FF137" s="144"/>
      <c r="FG137" s="144"/>
      <c r="FH137" s="144"/>
      <c r="FI137" s="144"/>
      <c r="FV137" s="105"/>
      <c r="FW137" s="105"/>
      <c r="FX137" s="105"/>
      <c r="FY137" s="105"/>
      <c r="FZ137" s="105"/>
      <c r="GA137" s="105"/>
      <c r="GB137" s="105"/>
      <c r="GC137" s="105"/>
      <c r="GD137" s="105"/>
      <c r="GE137" s="105"/>
      <c r="GF137" s="105"/>
      <c r="GG137" s="105"/>
      <c r="GH137" s="105"/>
      <c r="GI137" s="105"/>
    </row>
    <row r="138" spans="2:191" ht="12" customHeight="1" thickTop="1" thickBot="1" x14ac:dyDescent="0.3">
      <c r="B138" s="662" t="s">
        <v>377</v>
      </c>
      <c r="C138" s="260"/>
      <c r="D138" s="598"/>
      <c r="E138" s="598"/>
      <c r="F138" s="598"/>
      <c r="G138" s="598"/>
      <c r="H138" s="598"/>
      <c r="I138" s="598"/>
      <c r="J138" s="598"/>
      <c r="K138" s="598"/>
      <c r="L138" s="598"/>
      <c r="M138" s="598"/>
      <c r="N138" s="598"/>
      <c r="O138" s="598"/>
      <c r="P138" s="599"/>
      <c r="Q138" s="148"/>
      <c r="R138" s="663"/>
      <c r="S138" s="598"/>
      <c r="T138" s="598"/>
      <c r="U138" s="598"/>
      <c r="V138" s="598"/>
      <c r="W138" s="598"/>
      <c r="X138" s="710" t="s">
        <v>1879</v>
      </c>
      <c r="Y138" s="797"/>
      <c r="Z138" s="797"/>
      <c r="AA138" s="797"/>
      <c r="AB138" s="797"/>
      <c r="AC138" s="797"/>
      <c r="AD138" s="797"/>
      <c r="AE138" s="797"/>
      <c r="AF138" s="598"/>
      <c r="AG138" s="797"/>
      <c r="AH138" s="797"/>
      <c r="AI138" s="797"/>
      <c r="AJ138" s="797"/>
      <c r="AK138" s="797"/>
      <c r="AL138" s="797"/>
      <c r="AM138" s="797"/>
      <c r="AN138" s="599"/>
      <c r="AO138" s="473"/>
      <c r="AP138" s="600"/>
      <c r="AQ138" s="598"/>
      <c r="AR138" s="598"/>
      <c r="AS138" s="598"/>
      <c r="AT138" s="598"/>
      <c r="AU138" s="710" t="s">
        <v>1879</v>
      </c>
      <c r="AV138" s="797"/>
      <c r="AW138" s="797"/>
      <c r="AX138" s="797"/>
      <c r="AY138" s="797"/>
      <c r="AZ138" s="797"/>
      <c r="BA138" s="797"/>
      <c r="BB138" s="797"/>
      <c r="BC138" s="598"/>
      <c r="BD138" s="797"/>
      <c r="BE138" s="797"/>
      <c r="BF138" s="797"/>
      <c r="BG138" s="797"/>
      <c r="BH138" s="797"/>
      <c r="BI138" s="797"/>
      <c r="BJ138" s="797"/>
      <c r="BK138" s="598"/>
      <c r="BL138" s="797"/>
      <c r="BM138" s="797"/>
      <c r="BN138" s="797"/>
      <c r="BO138" s="797"/>
      <c r="BP138" s="797"/>
      <c r="BQ138" s="797"/>
      <c r="BR138" s="797"/>
      <c r="BS138" s="598"/>
      <c r="BT138" s="797"/>
      <c r="BU138" s="797"/>
      <c r="BV138" s="797"/>
      <c r="BW138" s="797"/>
      <c r="BX138" s="797"/>
      <c r="BY138" s="797"/>
      <c r="BZ138" s="797"/>
      <c r="CA138" s="598"/>
      <c r="CB138" s="797"/>
      <c r="CC138" s="797"/>
      <c r="CD138" s="797"/>
      <c r="CE138" s="797"/>
      <c r="CF138" s="797"/>
      <c r="CG138" s="797"/>
      <c r="CH138" s="797"/>
      <c r="CI138" s="598"/>
      <c r="CJ138" s="797"/>
      <c r="CK138" s="797"/>
      <c r="CL138" s="797"/>
      <c r="CM138" s="797"/>
      <c r="CN138" s="797"/>
      <c r="CO138" s="797"/>
      <c r="CP138" s="797"/>
      <c r="CQ138" s="66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634"/>
      <c r="EQ138" s="634"/>
      <c r="ER138" s="634"/>
      <c r="ES138" s="634"/>
      <c r="FD138" s="144"/>
      <c r="FE138" s="144"/>
      <c r="FF138" s="144"/>
      <c r="FG138" s="144"/>
      <c r="FH138" s="144"/>
      <c r="FI138" s="144"/>
      <c r="FV138" s="105"/>
      <c r="FW138" s="105"/>
      <c r="FX138" s="105"/>
      <c r="FY138" s="105"/>
      <c r="FZ138" s="105"/>
      <c r="GA138" s="105"/>
      <c r="GB138" s="105"/>
      <c r="GC138" s="105"/>
      <c r="GD138" s="105"/>
      <c r="GE138" s="105"/>
      <c r="GF138" s="105"/>
      <c r="GG138" s="105"/>
      <c r="GH138" s="105"/>
      <c r="GI138" s="105"/>
    </row>
    <row r="139" spans="2:191" ht="12" customHeight="1" thickTop="1" x14ac:dyDescent="0.25">
      <c r="B139" s="662"/>
      <c r="C139" s="765"/>
      <c r="D139" s="765"/>
      <c r="E139" s="765"/>
      <c r="F139" s="765"/>
      <c r="G139" s="765"/>
      <c r="H139" s="765"/>
      <c r="I139" s="765"/>
      <c r="J139" s="765"/>
      <c r="K139" s="765"/>
      <c r="L139" s="765"/>
      <c r="M139" s="765"/>
      <c r="N139" s="765"/>
      <c r="O139" s="765"/>
      <c r="P139" s="599"/>
      <c r="Q139" s="148"/>
      <c r="R139" s="663"/>
      <c r="S139" s="598"/>
      <c r="T139" s="598"/>
      <c r="U139" s="598"/>
      <c r="V139" s="598"/>
      <c r="W139" s="598"/>
      <c r="X139" s="710"/>
      <c r="Y139" s="712"/>
      <c r="Z139" s="598"/>
      <c r="AA139" s="598"/>
      <c r="AB139" s="598"/>
      <c r="AC139" s="598"/>
      <c r="AD139" s="598"/>
      <c r="AE139" s="598"/>
      <c r="AF139" s="598"/>
      <c r="AG139" s="712"/>
      <c r="AH139" s="598"/>
      <c r="AI139" s="598"/>
      <c r="AJ139" s="598"/>
      <c r="AK139" s="598"/>
      <c r="AL139" s="598"/>
      <c r="AM139" s="598"/>
      <c r="AN139" s="599"/>
      <c r="AO139" s="473"/>
      <c r="AP139" s="600"/>
      <c r="AQ139" s="598"/>
      <c r="AR139" s="598"/>
      <c r="AS139" s="598"/>
      <c r="AT139" s="598"/>
      <c r="AU139" s="710" t="s">
        <v>49</v>
      </c>
      <c r="AV139" s="794" t="str">
        <f>IF(AV140&gt;0,VLOOKUP(AV137,Tables!$PZ$3:$QR$500,19,FALSE)&amp;" +"&amp;AV140,VLOOKUP(AV137,Tables!$PZ$3:$QR$500,19,FALSE))</f>
        <v/>
      </c>
      <c r="AW139" s="794"/>
      <c r="AX139" s="794"/>
      <c r="AY139" s="794"/>
      <c r="AZ139" s="794"/>
      <c r="BA139" s="794"/>
      <c r="BB139" s="794"/>
      <c r="BC139" s="598"/>
      <c r="BD139" s="794" t="str">
        <f>IF(BD140&gt;0,VLOOKUP(BD137,Tables!$PZ$3:$QR$500,19,FALSE)&amp;" +"&amp;BD140,VLOOKUP(BD137,Tables!$PZ$3:$QR$500,19,FALSE))</f>
        <v/>
      </c>
      <c r="BE139" s="794"/>
      <c r="BF139" s="794"/>
      <c r="BG139" s="794"/>
      <c r="BH139" s="794"/>
      <c r="BI139" s="794"/>
      <c r="BJ139" s="794"/>
      <c r="BK139" s="598"/>
      <c r="BL139" s="794" t="str">
        <f>IF(BL140&gt;0,VLOOKUP(BL137,Tables!$PZ$3:$QR$500,19,FALSE)&amp;" +"&amp;BL140,VLOOKUP(BL137,Tables!$PZ$3:$QR$500,19,FALSE))</f>
        <v/>
      </c>
      <c r="BM139" s="794"/>
      <c r="BN139" s="794"/>
      <c r="BO139" s="794"/>
      <c r="BP139" s="794"/>
      <c r="BQ139" s="794"/>
      <c r="BR139" s="794"/>
      <c r="BS139" s="598"/>
      <c r="BT139" s="794" t="str">
        <f>IF(BT140&gt;0,VLOOKUP(BT137,Tables!$PZ$3:$QR$500,19,FALSE)&amp;" +"&amp;BT140,VLOOKUP(BT137,Tables!$PZ$3:$QR$500,19,FALSE))</f>
        <v/>
      </c>
      <c r="BU139" s="794"/>
      <c r="BV139" s="794"/>
      <c r="BW139" s="794"/>
      <c r="BX139" s="794"/>
      <c r="BY139" s="794"/>
      <c r="BZ139" s="794"/>
      <c r="CA139" s="598"/>
      <c r="CB139" s="794" t="str">
        <f>IF(CB140&gt;0,VLOOKUP(CB137,Tables!$PZ$3:$QR$500,19,FALSE)&amp;" +"&amp;CB140,VLOOKUP(CB137,Tables!$PZ$3:$QR$500,19,FALSE))</f>
        <v/>
      </c>
      <c r="CC139" s="794"/>
      <c r="CD139" s="794"/>
      <c r="CE139" s="794"/>
      <c r="CF139" s="794"/>
      <c r="CG139" s="794"/>
      <c r="CH139" s="794"/>
      <c r="CI139" s="598"/>
      <c r="CJ139" s="794" t="str">
        <f>IF(CJ140&gt;0,VLOOKUP(CJ137,Tables!$PZ$3:$QR$500,19,FALSE)&amp;" +"&amp;CJ140,VLOOKUP(CJ137,Tables!$PZ$3:$QR$500,19,FALSE))</f>
        <v/>
      </c>
      <c r="CK139" s="794"/>
      <c r="CL139" s="794"/>
      <c r="CM139" s="794"/>
      <c r="CN139" s="794"/>
      <c r="CO139" s="794"/>
      <c r="CP139" s="794"/>
      <c r="CQ139" s="664"/>
      <c r="DM139" s="144"/>
      <c r="DN139" s="144"/>
      <c r="DO139" s="144"/>
      <c r="DP139" s="144"/>
      <c r="DQ139" s="144"/>
      <c r="DR139" s="144"/>
      <c r="DS139" s="144"/>
      <c r="DT139" s="144"/>
      <c r="DU139" s="144"/>
      <c r="DV139" s="144"/>
      <c r="DW139" s="144"/>
      <c r="DX139" s="144"/>
      <c r="DY139" s="144"/>
      <c r="DZ139" s="144"/>
      <c r="EA139" s="144"/>
      <c r="EB139" s="144"/>
      <c r="EC139" s="144"/>
      <c r="ED139" s="144"/>
      <c r="EE139" s="144"/>
      <c r="EF139" s="144"/>
      <c r="EG139" s="144"/>
      <c r="EH139" s="144"/>
      <c r="EI139" s="144"/>
      <c r="EJ139" s="144"/>
      <c r="EK139" s="144"/>
      <c r="EL139" s="144"/>
      <c r="EM139" s="144"/>
      <c r="EN139" s="144"/>
      <c r="EO139" s="144"/>
      <c r="EP139" s="634"/>
      <c r="EQ139" s="634"/>
      <c r="ER139" s="634"/>
      <c r="ES139" s="634"/>
      <c r="FD139" s="144"/>
      <c r="FE139" s="144"/>
      <c r="FF139" s="144"/>
      <c r="FG139" s="144"/>
      <c r="FH139" s="144"/>
      <c r="FI139" s="144"/>
      <c r="FV139" s="105"/>
      <c r="FW139" s="105"/>
      <c r="FX139" s="105"/>
      <c r="FY139" s="105"/>
      <c r="FZ139" s="105"/>
      <c r="GA139" s="105"/>
      <c r="GB139" s="105"/>
      <c r="GC139" s="105"/>
      <c r="GD139" s="105"/>
      <c r="GE139" s="105"/>
      <c r="GF139" s="105"/>
      <c r="GG139" s="105"/>
      <c r="GH139" s="105"/>
      <c r="GI139" s="105"/>
    </row>
    <row r="140" spans="2:191" ht="12" customHeight="1" x14ac:dyDescent="0.25">
      <c r="B140" s="622" t="s">
        <v>13</v>
      </c>
      <c r="C140" s="261"/>
      <c r="D140" s="598"/>
      <c r="E140" s="598"/>
      <c r="F140" s="598"/>
      <c r="G140" s="598"/>
      <c r="H140" s="598"/>
      <c r="I140" s="598"/>
      <c r="J140" s="598"/>
      <c r="K140" s="598"/>
      <c r="L140" s="598"/>
      <c r="M140" s="598"/>
      <c r="N140" s="598"/>
      <c r="O140" s="598"/>
      <c r="P140" s="599"/>
      <c r="Q140" s="148"/>
      <c r="R140" s="663"/>
      <c r="S140" s="598"/>
      <c r="T140" s="666"/>
      <c r="U140" s="666"/>
      <c r="V140" s="666"/>
      <c r="W140" s="666"/>
      <c r="X140" s="667" t="s">
        <v>468</v>
      </c>
      <c r="Y140" s="788" t="str">
        <f>IF(Y$137=Tables!$SR$3,"",IF(Y154="",Y$137&amp;IF(Y138="",""," +"&amp;Y138),Y154))</f>
        <v/>
      </c>
      <c r="Z140" s="788"/>
      <c r="AA140" s="788"/>
      <c r="AB140" s="788"/>
      <c r="AC140" s="788"/>
      <c r="AD140" s="788"/>
      <c r="AE140" s="788"/>
      <c r="AF140" s="598"/>
      <c r="AG140" s="788" t="str">
        <f>IF(AG$137=Tables!$SR$3,"",IF(AG154="",AG$137&amp;IF(AG138="",""," +"&amp;AG138),AG154))</f>
        <v/>
      </c>
      <c r="AH140" s="788"/>
      <c r="AI140" s="788"/>
      <c r="AJ140" s="788"/>
      <c r="AK140" s="788"/>
      <c r="AL140" s="788"/>
      <c r="AM140" s="788"/>
      <c r="AN140" s="599"/>
      <c r="AO140" s="473"/>
      <c r="AP140" s="600"/>
      <c r="AQ140" s="598"/>
      <c r="AR140" s="598"/>
      <c r="AS140" s="598"/>
      <c r="AT140" s="598"/>
      <c r="AU140" s="710" t="s">
        <v>1879</v>
      </c>
      <c r="AV140" s="878"/>
      <c r="AW140" s="878"/>
      <c r="AX140" s="878"/>
      <c r="AY140" s="878"/>
      <c r="AZ140" s="878"/>
      <c r="BA140" s="878"/>
      <c r="BB140" s="878"/>
      <c r="BC140" s="598"/>
      <c r="BD140" s="878"/>
      <c r="BE140" s="878"/>
      <c r="BF140" s="878"/>
      <c r="BG140" s="878"/>
      <c r="BH140" s="878"/>
      <c r="BI140" s="878"/>
      <c r="BJ140" s="878"/>
      <c r="BK140" s="598"/>
      <c r="BL140" s="878"/>
      <c r="BM140" s="878"/>
      <c r="BN140" s="878"/>
      <c r="BO140" s="878"/>
      <c r="BP140" s="878"/>
      <c r="BQ140" s="878"/>
      <c r="BR140" s="878"/>
      <c r="BS140" s="598"/>
      <c r="BT140" s="878"/>
      <c r="BU140" s="878"/>
      <c r="BV140" s="878"/>
      <c r="BW140" s="878"/>
      <c r="BX140" s="878"/>
      <c r="BY140" s="878"/>
      <c r="BZ140" s="878"/>
      <c r="CA140" s="598"/>
      <c r="CB140" s="878"/>
      <c r="CC140" s="878"/>
      <c r="CD140" s="878"/>
      <c r="CE140" s="878"/>
      <c r="CF140" s="878"/>
      <c r="CG140" s="878"/>
      <c r="CH140" s="878"/>
      <c r="CI140" s="598"/>
      <c r="CJ140" s="878"/>
      <c r="CK140" s="878"/>
      <c r="CL140" s="878"/>
      <c r="CM140" s="878"/>
      <c r="CN140" s="878"/>
      <c r="CO140" s="878"/>
      <c r="CP140" s="878"/>
      <c r="CQ140" s="66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634"/>
      <c r="EQ140" s="634"/>
      <c r="ER140" s="634"/>
      <c r="ES140" s="634"/>
      <c r="FV140" s="105"/>
      <c r="FW140" s="105"/>
      <c r="FX140" s="105"/>
      <c r="FY140" s="105"/>
      <c r="FZ140" s="105"/>
      <c r="GA140" s="105"/>
      <c r="GB140" s="105"/>
      <c r="GC140" s="105"/>
      <c r="GD140" s="105"/>
      <c r="GE140" s="105"/>
      <c r="GF140" s="105"/>
      <c r="GG140" s="105"/>
      <c r="GH140" s="105"/>
      <c r="GI140" s="105"/>
    </row>
    <row r="141" spans="2:191" ht="12" customHeight="1" x14ac:dyDescent="0.25">
      <c r="B141" s="662" t="s">
        <v>379</v>
      </c>
      <c r="C141" s="261"/>
      <c r="D141" s="598"/>
      <c r="E141" s="598"/>
      <c r="F141" s="598"/>
      <c r="G141" s="598"/>
      <c r="H141" s="598"/>
      <c r="I141" s="598"/>
      <c r="J141" s="598"/>
      <c r="K141" s="598"/>
      <c r="L141" s="598"/>
      <c r="M141" s="598"/>
      <c r="N141" s="598"/>
      <c r="O141" s="598"/>
      <c r="P141" s="599"/>
      <c r="Q141" s="148"/>
      <c r="R141" s="663"/>
      <c r="S141" s="598"/>
      <c r="T141" s="666"/>
      <c r="U141" s="666"/>
      <c r="V141" s="666"/>
      <c r="W141" s="666"/>
      <c r="X141" s="667"/>
      <c r="Y141" s="788"/>
      <c r="Z141" s="788"/>
      <c r="AA141" s="788"/>
      <c r="AB141" s="788"/>
      <c r="AC141" s="788"/>
      <c r="AD141" s="788"/>
      <c r="AE141" s="788"/>
      <c r="AF141" s="598"/>
      <c r="AG141" s="788"/>
      <c r="AH141" s="788"/>
      <c r="AI141" s="788"/>
      <c r="AJ141" s="788"/>
      <c r="AK141" s="788"/>
      <c r="AL141" s="788"/>
      <c r="AM141" s="788"/>
      <c r="AN141" s="599"/>
      <c r="AO141" s="473"/>
      <c r="AP141" s="600"/>
      <c r="AQ141" s="598"/>
      <c r="AR141" s="598"/>
      <c r="AS141" s="598"/>
      <c r="AT141" s="598"/>
      <c r="AU141" s="377"/>
      <c r="AV141" s="706"/>
      <c r="AW141" s="598"/>
      <c r="AX141" s="598"/>
      <c r="AY141" s="598"/>
      <c r="AZ141" s="598"/>
      <c r="BA141" s="598"/>
      <c r="BB141" s="598"/>
      <c r="BC141" s="598"/>
      <c r="BD141" s="706"/>
      <c r="BE141" s="598"/>
      <c r="BF141" s="598"/>
      <c r="BG141" s="598"/>
      <c r="BH141" s="598"/>
      <c r="BI141" s="598"/>
      <c r="BJ141" s="598"/>
      <c r="BK141" s="598"/>
      <c r="BL141" s="706"/>
      <c r="BM141" s="598"/>
      <c r="BN141" s="598"/>
      <c r="BO141" s="598"/>
      <c r="BP141" s="598"/>
      <c r="BQ141" s="598"/>
      <c r="BR141" s="598"/>
      <c r="BS141" s="598"/>
      <c r="BT141" s="706"/>
      <c r="BU141" s="598"/>
      <c r="BV141" s="598"/>
      <c r="BW141" s="598"/>
      <c r="BX141" s="598"/>
      <c r="BY141" s="598"/>
      <c r="BZ141" s="598"/>
      <c r="CA141" s="598"/>
      <c r="CB141" s="706"/>
      <c r="CC141" s="598"/>
      <c r="CD141" s="598"/>
      <c r="CE141" s="598"/>
      <c r="CF141" s="598"/>
      <c r="CG141" s="598"/>
      <c r="CH141" s="598"/>
      <c r="CI141" s="598"/>
      <c r="CJ141" s="706"/>
      <c r="CK141" s="598"/>
      <c r="CL141" s="598"/>
      <c r="CM141" s="598"/>
      <c r="CN141" s="598"/>
      <c r="CO141" s="598"/>
      <c r="CP141" s="598"/>
      <c r="CQ141" s="66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634"/>
      <c r="EQ141" s="634"/>
      <c r="ER141" s="634"/>
      <c r="ES141" s="634"/>
      <c r="FV141" s="105"/>
      <c r="FW141" s="105"/>
      <c r="FX141" s="105"/>
      <c r="FY141" s="105"/>
      <c r="FZ141" s="105"/>
      <c r="GA141" s="105"/>
      <c r="GB141" s="105"/>
      <c r="GC141" s="105"/>
      <c r="GD141" s="105"/>
      <c r="GE141" s="105"/>
      <c r="GF141" s="105"/>
      <c r="GG141" s="105"/>
      <c r="GH141" s="105"/>
      <c r="GI141" s="105"/>
    </row>
    <row r="142" spans="2:191" ht="12" customHeight="1" x14ac:dyDescent="0.25">
      <c r="B142" s="662"/>
      <c r="C142" s="765"/>
      <c r="D142" s="765"/>
      <c r="E142" s="765"/>
      <c r="F142" s="765"/>
      <c r="G142" s="765"/>
      <c r="H142" s="765"/>
      <c r="I142" s="765"/>
      <c r="J142" s="765"/>
      <c r="K142" s="765"/>
      <c r="L142" s="765"/>
      <c r="M142" s="765"/>
      <c r="N142" s="765"/>
      <c r="O142" s="765"/>
      <c r="P142" s="599"/>
      <c r="Q142" s="188">
        <v>2</v>
      </c>
      <c r="R142" s="600"/>
      <c r="S142" s="598"/>
      <c r="T142" s="598"/>
      <c r="U142" s="598"/>
      <c r="V142" s="598"/>
      <c r="W142" s="598"/>
      <c r="X142" s="710" t="s">
        <v>1876</v>
      </c>
      <c r="Y142" s="794" t="str">
        <f>IF(Y$137=Tables!$SR$3,"",IF(Y156="",VLOOKUP(Y$137,Tables!$SR$2:$SZ$500,$Q142,FALSE),Y156))</f>
        <v/>
      </c>
      <c r="Z142" s="794"/>
      <c r="AA142" s="794"/>
      <c r="AB142" s="794"/>
      <c r="AC142" s="794"/>
      <c r="AD142" s="794"/>
      <c r="AE142" s="794"/>
      <c r="AF142" s="598"/>
      <c r="AG142" s="794" t="str">
        <f>IF(AG$137=Tables!$SR$3,"",IF(AG156="",VLOOKUP(AG$137,Tables!$TA$2:$TI$500,$Q142,FALSE),AG156))</f>
        <v/>
      </c>
      <c r="AH142" s="794"/>
      <c r="AI142" s="794"/>
      <c r="AJ142" s="794"/>
      <c r="AK142" s="794"/>
      <c r="AL142" s="794"/>
      <c r="AM142" s="794"/>
      <c r="AN142" s="599"/>
      <c r="AO142" s="473"/>
      <c r="AP142" s="668"/>
      <c r="AQ142" s="784" t="s">
        <v>468</v>
      </c>
      <c r="AR142" s="784"/>
      <c r="AS142" s="784"/>
      <c r="AT142" s="784"/>
      <c r="AU142" s="784"/>
      <c r="AV142" s="793" t="str">
        <f>IF(AV$137=Tables!$PZ$3,"",IF(AV157="",AV$137&amp;IF(AV138="",""," +"&amp;AV138),AV157))</f>
        <v/>
      </c>
      <c r="AW142" s="793"/>
      <c r="AX142" s="793"/>
      <c r="AY142" s="793"/>
      <c r="AZ142" s="793"/>
      <c r="BA142" s="793"/>
      <c r="BB142" s="793"/>
      <c r="BC142" s="669"/>
      <c r="BD142" s="793" t="str">
        <f>IF(BD$137=Tables!$PZ$3,"",IF(BD157="",BD$137&amp;IF(BD138="",""," +"&amp;BD138),BD157))</f>
        <v/>
      </c>
      <c r="BE142" s="793"/>
      <c r="BF142" s="793"/>
      <c r="BG142" s="793"/>
      <c r="BH142" s="793"/>
      <c r="BI142" s="793"/>
      <c r="BJ142" s="793"/>
      <c r="BK142" s="669"/>
      <c r="BL142" s="793" t="str">
        <f>IF(BL$137=Tables!$PZ$3,"",IF(BL157="",BL$137&amp;IF(BL138="",""," +"&amp;BL138),BL157))</f>
        <v/>
      </c>
      <c r="BM142" s="793"/>
      <c r="BN142" s="793"/>
      <c r="BO142" s="793"/>
      <c r="BP142" s="793"/>
      <c r="BQ142" s="793"/>
      <c r="BR142" s="793"/>
      <c r="BS142" s="669"/>
      <c r="BT142" s="793" t="str">
        <f>IF(BT$137=Tables!$PZ$3,"",IF(BT157="",BT$137&amp;IF(BT138="",""," +"&amp;BT138),BT157))</f>
        <v/>
      </c>
      <c r="BU142" s="793"/>
      <c r="BV142" s="793"/>
      <c r="BW142" s="793"/>
      <c r="BX142" s="793"/>
      <c r="BY142" s="793"/>
      <c r="BZ142" s="793"/>
      <c r="CA142" s="669"/>
      <c r="CB142" s="793" t="str">
        <f>IF(CB$137=Tables!$PZ$3,"",IF(CB157="",CB$137&amp;IF(CB138="",""," +"&amp;CB138),CB157))</f>
        <v/>
      </c>
      <c r="CC142" s="793"/>
      <c r="CD142" s="793"/>
      <c r="CE142" s="793"/>
      <c r="CF142" s="793"/>
      <c r="CG142" s="793"/>
      <c r="CH142" s="793"/>
      <c r="CI142" s="669"/>
      <c r="CJ142" s="793" t="str">
        <f>IF(CJ$137=Tables!$PZ$3,"",IF(CJ157="",CJ$137&amp;IF(CJ138="",""," +"&amp;CJ138),CJ157))</f>
        <v/>
      </c>
      <c r="CK142" s="793"/>
      <c r="CL142" s="793"/>
      <c r="CM142" s="793"/>
      <c r="CN142" s="793"/>
      <c r="CO142" s="793"/>
      <c r="CP142" s="793"/>
      <c r="CQ142" s="664"/>
      <c r="DM142" s="144"/>
      <c r="DN142" s="144"/>
      <c r="DO142" s="144"/>
      <c r="DP142" s="144"/>
      <c r="DQ142" s="144"/>
      <c r="DR142" s="144"/>
      <c r="DS142" s="144"/>
      <c r="DT142" s="144"/>
      <c r="DU142" s="144"/>
      <c r="DV142" s="144"/>
      <c r="DW142" s="144"/>
      <c r="DX142" s="144"/>
      <c r="DY142" s="144"/>
      <c r="DZ142" s="144"/>
      <c r="EA142" s="144"/>
      <c r="EB142" s="144"/>
      <c r="EC142" s="144"/>
      <c r="ED142" s="144"/>
      <c r="EE142" s="144"/>
      <c r="EF142" s="144"/>
      <c r="EG142" s="144"/>
      <c r="EH142" s="144"/>
      <c r="EI142" s="144"/>
      <c r="EJ142" s="144"/>
      <c r="EK142" s="144"/>
      <c r="EL142" s="144"/>
      <c r="EM142" s="144"/>
      <c r="EN142" s="144"/>
      <c r="EO142" s="144"/>
      <c r="EP142" s="634"/>
      <c r="EQ142" s="634"/>
      <c r="ER142" s="634"/>
      <c r="ES142" s="634"/>
      <c r="FV142" s="105"/>
      <c r="FW142" s="105"/>
      <c r="FX142" s="105"/>
      <c r="FY142" s="105"/>
      <c r="FZ142" s="105"/>
      <c r="GA142" s="105"/>
      <c r="GB142" s="105"/>
      <c r="GC142" s="105"/>
      <c r="GD142" s="105"/>
      <c r="GE142" s="105"/>
      <c r="GF142" s="105"/>
      <c r="GG142" s="105"/>
      <c r="GH142" s="105"/>
      <c r="GI142" s="105"/>
    </row>
    <row r="143" spans="2:191" ht="12" customHeight="1" x14ac:dyDescent="0.25">
      <c r="B143" s="622" t="s">
        <v>378</v>
      </c>
      <c r="C143" s="261"/>
      <c r="D143" s="598"/>
      <c r="E143" s="598"/>
      <c r="F143" s="598"/>
      <c r="G143" s="598"/>
      <c r="H143" s="598"/>
      <c r="I143" s="598"/>
      <c r="J143" s="598"/>
      <c r="K143" s="598"/>
      <c r="L143" s="598"/>
      <c r="M143" s="598"/>
      <c r="N143" s="598"/>
      <c r="O143" s="598"/>
      <c r="P143" s="599"/>
      <c r="Q143" s="188">
        <v>3</v>
      </c>
      <c r="R143" s="701"/>
      <c r="S143" s="148"/>
      <c r="T143" s="148"/>
      <c r="U143" s="148"/>
      <c r="V143" s="714"/>
      <c r="W143" s="714"/>
      <c r="X143" s="710" t="s">
        <v>3410</v>
      </c>
      <c r="Y143" s="793" t="str">
        <f>IF(Y$137=Tables!$PZ$3,"",IF(Y157="",VLOOKUP(Y$137,Tables!$SR$2:$SZ$100,$Q143,FALSE),Y157))</f>
        <v/>
      </c>
      <c r="Z143" s="793"/>
      <c r="AA143" s="793"/>
      <c r="AB143" s="793"/>
      <c r="AC143" s="793"/>
      <c r="AD143" s="793"/>
      <c r="AE143" s="793"/>
      <c r="AF143" s="598"/>
      <c r="AG143" s="793" t="str">
        <f>IF(AG$137=Tables!$PZ$3,"",IF(AG157="",VLOOKUP(AG$137,Tables!$TA$2:$TI$100,$Q143,FALSE),AG157))</f>
        <v/>
      </c>
      <c r="AH143" s="793"/>
      <c r="AI143" s="793"/>
      <c r="AJ143" s="793"/>
      <c r="AK143" s="793"/>
      <c r="AL143" s="793"/>
      <c r="AM143" s="793"/>
      <c r="AN143" s="149"/>
      <c r="AO143" s="473"/>
      <c r="AP143" s="668"/>
      <c r="AQ143" s="784"/>
      <c r="AR143" s="784"/>
      <c r="AS143" s="784"/>
      <c r="AT143" s="784"/>
      <c r="AU143" s="784"/>
      <c r="AV143" s="793"/>
      <c r="AW143" s="793"/>
      <c r="AX143" s="793"/>
      <c r="AY143" s="793"/>
      <c r="AZ143" s="793"/>
      <c r="BA143" s="793"/>
      <c r="BB143" s="793"/>
      <c r="BC143" s="669"/>
      <c r="BD143" s="793"/>
      <c r="BE143" s="793"/>
      <c r="BF143" s="793"/>
      <c r="BG143" s="793"/>
      <c r="BH143" s="793"/>
      <c r="BI143" s="793"/>
      <c r="BJ143" s="793"/>
      <c r="BK143" s="669"/>
      <c r="BL143" s="793"/>
      <c r="BM143" s="793"/>
      <c r="BN143" s="793"/>
      <c r="BO143" s="793"/>
      <c r="BP143" s="793"/>
      <c r="BQ143" s="793"/>
      <c r="BR143" s="793"/>
      <c r="BS143" s="669"/>
      <c r="BT143" s="793"/>
      <c r="BU143" s="793"/>
      <c r="BV143" s="793"/>
      <c r="BW143" s="793"/>
      <c r="BX143" s="793"/>
      <c r="BY143" s="793"/>
      <c r="BZ143" s="793"/>
      <c r="CA143" s="669"/>
      <c r="CB143" s="793"/>
      <c r="CC143" s="793"/>
      <c r="CD143" s="793"/>
      <c r="CE143" s="793"/>
      <c r="CF143" s="793"/>
      <c r="CG143" s="793"/>
      <c r="CH143" s="793"/>
      <c r="CI143" s="669"/>
      <c r="CJ143" s="793"/>
      <c r="CK143" s="793"/>
      <c r="CL143" s="793"/>
      <c r="CM143" s="793"/>
      <c r="CN143" s="793"/>
      <c r="CO143" s="793"/>
      <c r="CP143" s="793"/>
      <c r="CQ143" s="664"/>
      <c r="DM143" s="144"/>
      <c r="DN143" s="144"/>
      <c r="DO143" s="144"/>
      <c r="DP143" s="144"/>
      <c r="DQ143" s="144"/>
      <c r="DR143" s="144"/>
      <c r="DS143" s="144"/>
      <c r="DT143" s="144"/>
      <c r="DU143" s="144"/>
      <c r="DV143" s="144"/>
      <c r="DW143" s="144"/>
      <c r="DX143" s="144"/>
      <c r="DY143" s="144"/>
      <c r="DZ143" s="144"/>
      <c r="EA143" s="144"/>
      <c r="EB143" s="144"/>
      <c r="EC143" s="144"/>
      <c r="ED143" s="144"/>
      <c r="EE143" s="144"/>
      <c r="EF143" s="144"/>
      <c r="EG143" s="144"/>
      <c r="EH143" s="144"/>
      <c r="EI143" s="144"/>
      <c r="EJ143" s="144"/>
      <c r="EK143" s="144"/>
      <c r="EL143" s="144"/>
      <c r="EM143" s="144"/>
      <c r="EN143" s="144"/>
      <c r="EO143" s="144"/>
      <c r="EP143" s="634"/>
      <c r="EQ143" s="634"/>
      <c r="ER143" s="634"/>
      <c r="ES143" s="634"/>
      <c r="FV143" s="105"/>
      <c r="FW143" s="105"/>
      <c r="FX143" s="105"/>
      <c r="FY143" s="105"/>
      <c r="FZ143" s="105"/>
      <c r="GA143" s="105"/>
      <c r="GB143" s="105"/>
      <c r="GC143" s="105"/>
      <c r="GD143" s="105"/>
      <c r="GE143" s="105"/>
      <c r="GF143" s="105"/>
      <c r="GG143" s="105"/>
      <c r="GH143" s="105"/>
      <c r="GI143" s="105"/>
    </row>
    <row r="144" spans="2:191" ht="12" customHeight="1" x14ac:dyDescent="0.25">
      <c r="B144" s="662" t="s">
        <v>737</v>
      </c>
      <c r="C144" s="261"/>
      <c r="D144" s="598"/>
      <c r="E144" s="598"/>
      <c r="F144" s="598"/>
      <c r="G144" s="598"/>
      <c r="H144" s="598"/>
      <c r="I144" s="598"/>
      <c r="J144" s="598"/>
      <c r="K144" s="598"/>
      <c r="L144" s="598"/>
      <c r="M144" s="598"/>
      <c r="N144" s="598"/>
      <c r="O144" s="598"/>
      <c r="P144" s="599"/>
      <c r="Q144" s="188">
        <v>4</v>
      </c>
      <c r="R144" s="600"/>
      <c r="S144" s="598"/>
      <c r="T144" s="598"/>
      <c r="U144" s="598"/>
      <c r="V144" s="598"/>
      <c r="W144" s="598"/>
      <c r="X144" s="710" t="s">
        <v>28</v>
      </c>
      <c r="Y144" s="794" t="str">
        <f>IF(Y$137=Tables!$SR$3,"",IF(Y158="",IF(Y138="",0,Y138)+VLOOKUP(Y$137,Tables!$SR$2:$SZ$500,$Q144,FALSE),Y158))</f>
        <v/>
      </c>
      <c r="Z144" s="794"/>
      <c r="AA144" s="794"/>
      <c r="AB144" s="794"/>
      <c r="AC144" s="794"/>
      <c r="AD144" s="794"/>
      <c r="AE144" s="794"/>
      <c r="AF144" s="598"/>
      <c r="AG144" s="800" t="str">
        <f>IF(AG$137=Tables!$SR$3,"",IF(AG158="",IF(AG138="",0,AG138)+VLOOKUP(AG$137,Tables!$TA$2:$TI$500,$Q144,FALSE),AG158))</f>
        <v/>
      </c>
      <c r="AH144" s="800"/>
      <c r="AI144" s="800"/>
      <c r="AJ144" s="800"/>
      <c r="AK144" s="800"/>
      <c r="AL144" s="800"/>
      <c r="AM144" s="800"/>
      <c r="AN144" s="599"/>
      <c r="AO144" s="473"/>
      <c r="AP144" s="600"/>
      <c r="AQ144" s="598"/>
      <c r="AR144" s="598"/>
      <c r="AS144" s="598"/>
      <c r="AT144" s="598"/>
      <c r="AU144" s="710" t="s">
        <v>1876</v>
      </c>
      <c r="AV144" s="794" t="str">
        <f>IF(AV$137=Tables!$PZ$3,"",IF(AV159="",VLOOKUP(AV$137,Tables!$PZ$2:$QQ$500,Tables!$QT2,FALSE),AV159))</f>
        <v/>
      </c>
      <c r="AW144" s="794"/>
      <c r="AX144" s="794"/>
      <c r="AY144" s="794"/>
      <c r="AZ144" s="794"/>
      <c r="BA144" s="794"/>
      <c r="BB144" s="794"/>
      <c r="BC144" s="598"/>
      <c r="BD144" s="794" t="str">
        <f>IF(BD$137=Tables!$PZ$3,"",IF(BD159="",VLOOKUP(BD$137,Tables!$PZ$2:$QQ$500,Tables!$QT2,FALSE),BD159))</f>
        <v/>
      </c>
      <c r="BE144" s="794"/>
      <c r="BF144" s="794"/>
      <c r="BG144" s="794"/>
      <c r="BH144" s="794"/>
      <c r="BI144" s="794"/>
      <c r="BJ144" s="794"/>
      <c r="BK144" s="598"/>
      <c r="BL144" s="794" t="str">
        <f>IF(BL$137=Tables!$PZ$3,"",IF(BL159="",VLOOKUP(BL$137,Tables!$PZ$2:$QQ$500,Tables!$QT2,FALSE),BL159))</f>
        <v/>
      </c>
      <c r="BM144" s="794"/>
      <c r="BN144" s="794"/>
      <c r="BO144" s="794"/>
      <c r="BP144" s="794"/>
      <c r="BQ144" s="794"/>
      <c r="BR144" s="794"/>
      <c r="BS144" s="598"/>
      <c r="BT144" s="794" t="str">
        <f>IF(BT$137=Tables!$PZ$3,"",IF(BT159="",VLOOKUP(BT$137,Tables!$PZ$2:$QQ$500,Tables!$QT2,FALSE),BT159))</f>
        <v/>
      </c>
      <c r="BU144" s="794"/>
      <c r="BV144" s="794"/>
      <c r="BW144" s="794"/>
      <c r="BX144" s="794"/>
      <c r="BY144" s="794"/>
      <c r="BZ144" s="794"/>
      <c r="CA144" s="598"/>
      <c r="CB144" s="794" t="str">
        <f>IF(CB$137=Tables!$PZ$3,"",IF(CB159="",VLOOKUP(CB$137,Tables!$PZ$2:$QQ$500,Tables!$QT2,FALSE),CB159))</f>
        <v/>
      </c>
      <c r="CC144" s="794"/>
      <c r="CD144" s="794"/>
      <c r="CE144" s="794"/>
      <c r="CF144" s="794"/>
      <c r="CG144" s="794"/>
      <c r="CH144" s="794"/>
      <c r="CI144" s="598"/>
      <c r="CJ144" s="794" t="str">
        <f>IF(CJ$137=Tables!$PZ$3,"",IF(CJ159="",VLOOKUP(CJ$137,Tables!$PZ$2:$QQ$500,Tables!$QT2,FALSE),CJ159))</f>
        <v/>
      </c>
      <c r="CK144" s="794"/>
      <c r="CL144" s="794"/>
      <c r="CM144" s="794"/>
      <c r="CN144" s="794"/>
      <c r="CO144" s="794"/>
      <c r="CP144" s="794"/>
      <c r="CQ144" s="664"/>
      <c r="DM144" s="144"/>
      <c r="DN144" s="144"/>
      <c r="DO144" s="144"/>
      <c r="DP144" s="144"/>
      <c r="DQ144" s="144"/>
      <c r="DR144" s="144"/>
      <c r="DS144" s="144"/>
      <c r="DT144" s="144"/>
      <c r="DU144" s="144"/>
      <c r="DV144" s="144"/>
      <c r="DW144" s="144"/>
      <c r="DX144" s="144"/>
      <c r="DY144" s="144"/>
      <c r="DZ144" s="144"/>
      <c r="EA144" s="144"/>
      <c r="EB144" s="144"/>
      <c r="EC144" s="144"/>
      <c r="ED144" s="144"/>
      <c r="EE144" s="144"/>
      <c r="EF144" s="144"/>
      <c r="EG144" s="144"/>
      <c r="EH144" s="144"/>
      <c r="EI144" s="144"/>
      <c r="EJ144" s="144"/>
      <c r="EK144" s="144"/>
      <c r="EL144" s="144"/>
      <c r="EM144" s="144"/>
      <c r="EN144" s="144"/>
      <c r="EO144" s="144"/>
      <c r="EP144" s="634"/>
      <c r="EQ144" s="634"/>
      <c r="ER144" s="634"/>
      <c r="ES144" s="634"/>
      <c r="FV144" s="105"/>
      <c r="FW144" s="105"/>
      <c r="FX144" s="105"/>
      <c r="FY144" s="105"/>
      <c r="FZ144" s="105"/>
      <c r="GA144" s="105"/>
      <c r="GB144" s="105"/>
      <c r="GC144" s="105"/>
      <c r="GD144" s="105"/>
      <c r="GE144" s="105"/>
      <c r="GF144" s="105"/>
      <c r="GG144" s="105"/>
      <c r="GH144" s="105"/>
      <c r="GI144" s="105"/>
    </row>
    <row r="145" spans="2:195" ht="12" customHeight="1" x14ac:dyDescent="0.25">
      <c r="B145" s="662"/>
      <c r="C145" s="765"/>
      <c r="D145" s="765"/>
      <c r="E145" s="765"/>
      <c r="F145" s="765"/>
      <c r="G145" s="765"/>
      <c r="H145" s="765"/>
      <c r="I145" s="765"/>
      <c r="J145" s="765"/>
      <c r="K145" s="765"/>
      <c r="L145" s="765"/>
      <c r="M145" s="765"/>
      <c r="N145" s="765"/>
      <c r="O145" s="765"/>
      <c r="P145" s="599"/>
      <c r="Q145" s="188">
        <v>5</v>
      </c>
      <c r="R145" s="600"/>
      <c r="S145" s="598"/>
      <c r="T145" s="598"/>
      <c r="U145" s="598"/>
      <c r="V145" s="598"/>
      <c r="W145" s="598"/>
      <c r="X145" s="710" t="s">
        <v>29</v>
      </c>
      <c r="Y145" s="800" t="str">
        <f>IF(Y$137=Tables!$SR$3,"",IF(Y159="",VLOOKUP(Y$137,Tables!$SR$2:$SZ$500,$Q145,FALSE),Y159))</f>
        <v/>
      </c>
      <c r="Z145" s="800"/>
      <c r="AA145" s="800"/>
      <c r="AB145" s="800"/>
      <c r="AC145" s="800"/>
      <c r="AD145" s="800"/>
      <c r="AE145" s="800"/>
      <c r="AF145" s="598"/>
      <c r="AG145" s="800" t="str">
        <f>IF(AG$137=Tables!$SR$3,"",IF(AG159="",VLOOKUP(AG$137,Tables!$TA$2:$TI$500,$Q145,FALSE),AG159))</f>
        <v/>
      </c>
      <c r="AH145" s="800"/>
      <c r="AI145" s="800"/>
      <c r="AJ145" s="800"/>
      <c r="AK145" s="800"/>
      <c r="AL145" s="800"/>
      <c r="AM145" s="800"/>
      <c r="AN145" s="599"/>
      <c r="AO145" s="473"/>
      <c r="AP145" s="622"/>
      <c r="AQ145" s="260"/>
      <c r="AR145" s="148"/>
      <c r="AS145" s="260"/>
      <c r="AT145" s="260"/>
      <c r="AU145" s="711" t="s">
        <v>73</v>
      </c>
      <c r="AV145" s="879" t="str">
        <f>IF(AV$137=Tables!$PZ$3,"",IF(AV160="",VLOOKUP(AV$137,Tables!$PZ$2:$QQ$500,Tables!$QT3,FALSE),AV160))</f>
        <v/>
      </c>
      <c r="AW145" s="879"/>
      <c r="AX145" s="879"/>
      <c r="AY145" s="879"/>
      <c r="AZ145" s="879"/>
      <c r="BA145" s="879"/>
      <c r="BB145" s="879"/>
      <c r="BC145" s="598"/>
      <c r="BD145" s="793" t="str">
        <f>IF(BD$137=Tables!$PZ$3,"",IF(BD160="",VLOOKUP(BD$137,Tables!$PZ$2:$QQ$500,Tables!$QT3,FALSE),BD160))</f>
        <v/>
      </c>
      <c r="BE145" s="793"/>
      <c r="BF145" s="793"/>
      <c r="BG145" s="793"/>
      <c r="BH145" s="793"/>
      <c r="BI145" s="793"/>
      <c r="BJ145" s="793"/>
      <c r="BK145" s="598"/>
      <c r="BL145" s="793" t="str">
        <f>IF(BL$137=Tables!$PZ$3,"",IF(BL160="",VLOOKUP(BL$137,Tables!$PZ$2:$QQ$500,Tables!$QT3,FALSE),BL160))</f>
        <v/>
      </c>
      <c r="BM145" s="793"/>
      <c r="BN145" s="793"/>
      <c r="BO145" s="793"/>
      <c r="BP145" s="793"/>
      <c r="BQ145" s="793"/>
      <c r="BR145" s="793"/>
      <c r="BS145" s="598"/>
      <c r="BT145" s="793" t="str">
        <f>IF(BT$137=Tables!$PZ$3,"",IF(BT160="",VLOOKUP(BT$137,Tables!$PZ$2:$QQ$500,Tables!$QT3,FALSE),BT160))</f>
        <v/>
      </c>
      <c r="BU145" s="793"/>
      <c r="BV145" s="793"/>
      <c r="BW145" s="793"/>
      <c r="BX145" s="793"/>
      <c r="BY145" s="793"/>
      <c r="BZ145" s="793"/>
      <c r="CA145" s="598"/>
      <c r="CB145" s="793" t="str">
        <f>IF(CB$137=Tables!$PZ$3,"",IF(CB160="",VLOOKUP(CB$137,Tables!$PZ$2:$QQ$500,Tables!$QT3,FALSE),CB160))</f>
        <v/>
      </c>
      <c r="CC145" s="793"/>
      <c r="CD145" s="793"/>
      <c r="CE145" s="793"/>
      <c r="CF145" s="793"/>
      <c r="CG145" s="793"/>
      <c r="CH145" s="793"/>
      <c r="CI145" s="598"/>
      <c r="CJ145" s="793" t="str">
        <f>IF(CJ$137=Tables!$PZ$3,"",IF(CJ160="",VLOOKUP(CJ$137,Tables!$PZ$2:$QQ$500,Tables!$QT3,FALSE),CJ160))</f>
        <v/>
      </c>
      <c r="CK145" s="793"/>
      <c r="CL145" s="793"/>
      <c r="CM145" s="793"/>
      <c r="CN145" s="793"/>
      <c r="CO145" s="793"/>
      <c r="CP145" s="793"/>
      <c r="CQ145" s="66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634"/>
      <c r="EQ145" s="634"/>
      <c r="ER145" s="634"/>
      <c r="ES145" s="634"/>
      <c r="FV145" s="105"/>
      <c r="FW145" s="105"/>
      <c r="FX145" s="105"/>
      <c r="FY145" s="105"/>
      <c r="FZ145" s="105"/>
      <c r="GA145" s="105"/>
      <c r="GB145" s="105"/>
      <c r="GC145" s="105"/>
      <c r="GD145" s="105"/>
      <c r="GE145" s="105"/>
      <c r="GF145" s="105"/>
      <c r="GG145" s="105"/>
      <c r="GH145" s="105"/>
      <c r="GI145" s="105"/>
    </row>
    <row r="146" spans="2:195" ht="12" customHeight="1" x14ac:dyDescent="0.25">
      <c r="B146" s="622" t="s">
        <v>736</v>
      </c>
      <c r="C146" s="261"/>
      <c r="D146" s="598"/>
      <c r="E146" s="598"/>
      <c r="F146" s="598"/>
      <c r="G146" s="598"/>
      <c r="H146" s="598"/>
      <c r="I146" s="598"/>
      <c r="J146" s="598"/>
      <c r="K146" s="598"/>
      <c r="L146" s="598"/>
      <c r="M146" s="598"/>
      <c r="N146" s="598"/>
      <c r="O146" s="598"/>
      <c r="P146" s="599"/>
      <c r="Q146" s="188">
        <v>6</v>
      </c>
      <c r="R146" s="600"/>
      <c r="S146" s="598"/>
      <c r="T146" s="598"/>
      <c r="U146" s="598"/>
      <c r="V146" s="598"/>
      <c r="W146" s="598"/>
      <c r="X146" s="710" t="s">
        <v>21</v>
      </c>
      <c r="Y146" s="789" t="str">
        <f>IF(Y$137=Tables!$SR$3,"",IF(Y160="",VLOOKUP(Y$137,Tables!$SR$2:$SZ$500,$Q146,FALSE),Y160))</f>
        <v/>
      </c>
      <c r="Z146" s="789"/>
      <c r="AA146" s="789"/>
      <c r="AB146" s="789"/>
      <c r="AC146" s="789"/>
      <c r="AD146" s="789"/>
      <c r="AE146" s="789"/>
      <c r="AF146" s="598"/>
      <c r="AG146" s="789" t="str">
        <f>IF(AG$137=Tables!$SR$3,"",IF(AG160="",VLOOKUP(AG$137,Tables!$TA$2:$TI$500,$Q146,FALSE),AG160))</f>
        <v/>
      </c>
      <c r="AH146" s="789"/>
      <c r="AI146" s="789"/>
      <c r="AJ146" s="789"/>
      <c r="AK146" s="789"/>
      <c r="AL146" s="789"/>
      <c r="AM146" s="789"/>
      <c r="AN146" s="599"/>
      <c r="AO146" s="473"/>
      <c r="AP146" s="600"/>
      <c r="AQ146" s="598"/>
      <c r="AR146" s="598"/>
      <c r="AS146" s="598"/>
      <c r="AT146" s="598"/>
      <c r="AU146" s="710" t="s">
        <v>180</v>
      </c>
      <c r="AV146" s="800" t="str">
        <f ca="1">IF(OR(CharacterLevel="",AV$137=SelectText),"",IF(AV161="",IF(AV145="proficient",ProfBonus,0)+IF(AND(COUNTIF($AJ$57:$AR$60,"Archery")&gt;0,OR(AV144="Simple Ranged",AV144="Martial Ranged")),2,0)+IF(AV144="Spell",INDIRECT(TEXT(MID(AV137,15,3)&amp;"Mod",0)),IF(AV138="",0,AV138)+IF(Tables!QZ9=Tables!$QH$2,MAX(DEXMod,STRMod),IF(Tables!QZ8=Tables!$QG$2,DEXMod+AV140,STRMod))),AV161))</f>
        <v/>
      </c>
      <c r="AW146" s="800"/>
      <c r="AX146" s="800"/>
      <c r="AY146" s="800"/>
      <c r="AZ146" s="800"/>
      <c r="BA146" s="800"/>
      <c r="BB146" s="800"/>
      <c r="BC146" s="598"/>
      <c r="BD146" s="800" t="str">
        <f ca="1">IF(OR(CharacterLevel="",BD$137=SelectText),"",IF(BD161="",IF(BD145="proficient",ProfBonus,0)+IF(AND(COUNTIF($AJ$57:$AR$60,"Archery")&gt;0,OR(BD144="Simple Ranged",BD144="Martial Ranged")),2,0)+IF(BD144="Spell",INDIRECT(TEXT(MID(BD137,15,3)&amp;"Mod",0)),IF(BD138="",0,BD138)+IF(Tables!RH9=Tables!$QH$2,MAX(DEXMod,STRMod),IF(Tables!RH8=Tables!$QG$2,DEXMod+BD140,STRMod))),BD161))</f>
        <v/>
      </c>
      <c r="BE146" s="800"/>
      <c r="BF146" s="800"/>
      <c r="BG146" s="800"/>
      <c r="BH146" s="800"/>
      <c r="BI146" s="800"/>
      <c r="BJ146" s="800"/>
      <c r="BK146" s="598"/>
      <c r="BL146" s="800" t="str">
        <f ca="1">IF(OR(CharacterLevel="",BL$137=SelectText),"",IF(BL161="",IF(BL145="proficient",ProfBonus,0)+IF(AND(COUNTIF($AJ$57:$AR$60,"Archery")&gt;0,OR(BL144="Simple Ranged",BL144="Martial Ranged")),2,0)+IF(BL144="Spell",INDIRECT(TEXT(MID(BL137,15,3)&amp;"Mod",0)),IF(BL138="",0,BL138)+IF(Tables!RP9=Tables!$QH$2,MAX(DEXMod,STRMod),IF(Tables!RP8=Tables!$QG$2,DEXMod+BL140,STRMod))),BL161))</f>
        <v/>
      </c>
      <c r="BM146" s="800"/>
      <c r="BN146" s="800"/>
      <c r="BO146" s="800"/>
      <c r="BP146" s="800"/>
      <c r="BQ146" s="800"/>
      <c r="BR146" s="800"/>
      <c r="BS146" s="598"/>
      <c r="BT146" s="800" t="str">
        <f ca="1">IF(OR(CharacterLevel="",BT$137=SelectText),"",IF(BT161="",IF(BT145="proficient",ProfBonus,0)+IF(AND(COUNTIF($AJ$57:$AR$60,"Archery")&gt;0,OR(BT144="Simple Ranged",BT144="Martial Ranged")),2,0)+IF(BT144="Spell",INDIRECT(TEXT(MID(BT137,15,3)&amp;"Mod",0)),IF(BT138="",0,BT138)+IF(Tables!RX9=Tables!$QH$2,MAX(DEXMod,STRMod),IF(Tables!RX8=Tables!$QG$2,DEXMod+BT140,STRMod))),BT161))</f>
        <v/>
      </c>
      <c r="BU146" s="800"/>
      <c r="BV146" s="800"/>
      <c r="BW146" s="800"/>
      <c r="BX146" s="800"/>
      <c r="BY146" s="800"/>
      <c r="BZ146" s="800"/>
      <c r="CA146" s="598"/>
      <c r="CB146" s="800" t="str">
        <f ca="1">IF(OR(CharacterLevel="",CB$137=SelectText),"",IF(CB161="",IF(CB145="proficient",ProfBonus,0)+IF(AND(COUNTIF($AJ$57:$AR$60,"Archery")&gt;0,OR(CB144="Simple Ranged",CB144="Martial Ranged")),2,0)+IF(CB144="Spell",INDIRECT(TEXT(MID(CB137,15,3)&amp;"Mod",0)),IF(CB138="",0,CB138)+IF(Tables!SF9=Tables!$QH$2,MAX(DEXMod,STRMod),IF(Tables!SF8=Tables!$QG$2,DEXMod+CB140,STRMod))),CB161))</f>
        <v/>
      </c>
      <c r="CC146" s="800"/>
      <c r="CD146" s="800"/>
      <c r="CE146" s="800"/>
      <c r="CF146" s="800"/>
      <c r="CG146" s="800"/>
      <c r="CH146" s="800"/>
      <c r="CI146" s="598"/>
      <c r="CJ146" s="800" t="str">
        <f ca="1">IF(OR(CharacterLevel="",CJ$137=SelectText),"",IF(CJ161="",IF(CJ145="proficient",ProfBonus,0)+IF(AND(COUNTIF($AJ$57:$AR$60,"Archery")&gt;0,OR(CJ144="Simple Ranged",CJ144="Martial Ranged")),2,0)+IF(CJ144="Spell",INDIRECT(TEXT(MID(CJ137,15,3)&amp;"Mod",0)),IF(CJ138="",0,CJ138)+IF(Tables!SN9=Tables!$QH$2,MAX(DEXMod,STRMod),IF(Tables!SN8=Tables!$QG$2,DEXMod+CJ140,STRMod))),CJ161))</f>
        <v/>
      </c>
      <c r="CK146" s="800"/>
      <c r="CL146" s="800"/>
      <c r="CM146" s="800"/>
      <c r="CN146" s="800"/>
      <c r="CO146" s="800"/>
      <c r="CP146" s="800"/>
      <c r="CQ146" s="664"/>
      <c r="DM146" s="144"/>
      <c r="DN146" s="144"/>
      <c r="DO146" s="144"/>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634"/>
      <c r="EQ146" s="634"/>
      <c r="ER146" s="634"/>
      <c r="ES146" s="634"/>
      <c r="FV146" s="105"/>
      <c r="FW146" s="105"/>
      <c r="FX146" s="105"/>
      <c r="FY146" s="105"/>
      <c r="FZ146" s="105"/>
      <c r="GA146" s="105"/>
      <c r="GB146" s="105"/>
      <c r="GC146" s="105"/>
      <c r="GD146" s="105"/>
      <c r="GE146" s="105"/>
      <c r="GF146" s="105"/>
      <c r="GG146" s="105"/>
      <c r="GH146" s="105"/>
      <c r="GI146" s="105"/>
    </row>
    <row r="147" spans="2:195" ht="12" customHeight="1" x14ac:dyDescent="0.25">
      <c r="B147" s="662" t="s">
        <v>382</v>
      </c>
      <c r="C147" s="261"/>
      <c r="D147" s="598"/>
      <c r="E147" s="598"/>
      <c r="F147" s="598"/>
      <c r="G147" s="598"/>
      <c r="H147" s="598"/>
      <c r="I147" s="598"/>
      <c r="J147" s="598"/>
      <c r="K147" s="598"/>
      <c r="L147" s="598"/>
      <c r="M147" s="598"/>
      <c r="N147" s="598"/>
      <c r="O147" s="598"/>
      <c r="P147" s="599"/>
      <c r="Q147" s="188">
        <v>7</v>
      </c>
      <c r="R147" s="600"/>
      <c r="S147" s="598"/>
      <c r="T147" s="598"/>
      <c r="U147" s="598"/>
      <c r="V147" s="598"/>
      <c r="W147" s="598"/>
      <c r="X147" s="710" t="s">
        <v>181</v>
      </c>
      <c r="Y147" s="794" t="str">
        <f>IF(Y$137=Tables!$SR$3,"",IF(Y161="",VLOOKUP(Y$137,Tables!$SR$2:$SZ$500,$Q147,FALSE),Y161))</f>
        <v/>
      </c>
      <c r="Z147" s="794"/>
      <c r="AA147" s="794"/>
      <c r="AB147" s="794"/>
      <c r="AC147" s="794"/>
      <c r="AD147" s="794"/>
      <c r="AE147" s="794"/>
      <c r="AF147" s="598"/>
      <c r="AG147" s="794" t="str">
        <f>IF(AG$137=Tables!$SR$3,"",IF(AG161="",VLOOKUP(AG$137,Tables!$TA$2:$TI$500,$Q147,FALSE),AG161))</f>
        <v/>
      </c>
      <c r="AH147" s="794"/>
      <c r="AI147" s="794"/>
      <c r="AJ147" s="794"/>
      <c r="AK147" s="794"/>
      <c r="AL147" s="794"/>
      <c r="AM147" s="794"/>
      <c r="AN147" s="599"/>
      <c r="AO147" s="473"/>
      <c r="AP147" s="600"/>
      <c r="AQ147" s="598"/>
      <c r="AR147" s="598"/>
      <c r="AS147" s="598"/>
      <c r="AT147" s="598"/>
      <c r="AU147" s="710" t="s">
        <v>47</v>
      </c>
      <c r="AV147" s="794" t="str">
        <f>IF(OR(CharacterLevel="",AV$137=Tables!$PZ$3),"",IF(AV162="",IF(AV137=Tables!$PZ$3,"",VLOOKUP(AV$137,Tables!$PZ$2:$QQ$500,Tables!$QT4,FALSE)&amp;IF(AV145="proficient",TEXT(AV146-ProfBonus,"+0;-0"),TEXT(AV146,"+0;-0"))),AV162))</f>
        <v/>
      </c>
      <c r="AW147" s="794"/>
      <c r="AX147" s="794"/>
      <c r="AY147" s="794"/>
      <c r="AZ147" s="794"/>
      <c r="BA147" s="794"/>
      <c r="BB147" s="794"/>
      <c r="BC147" s="598"/>
      <c r="BD147" s="794" t="str">
        <f>IF(OR(CharacterLevel="",BD$137=Tables!$PZ$3),"",IF(BD162="",IF(BD137=Tables!$PZ$3,"",VLOOKUP(BD$137,Tables!$PZ$2:$QQ$500,Tables!$QT4,FALSE)&amp;IF(BD145="proficient",TEXT(BD146-ProfBonus,"+0;-0"),TEXT(BD146,"+0;-0"))),BD162))</f>
        <v/>
      </c>
      <c r="BE147" s="794"/>
      <c r="BF147" s="794"/>
      <c r="BG147" s="794"/>
      <c r="BH147" s="794"/>
      <c r="BI147" s="794"/>
      <c r="BJ147" s="794"/>
      <c r="BK147" s="598"/>
      <c r="BL147" s="794" t="str">
        <f>IF(OR(CharacterLevel="",BL$137=Tables!$PZ$3),"",IF(BL162="",IF(BL137=Tables!$PZ$3,"",VLOOKUP(BL$137,Tables!$PZ$2:$QQ$500,Tables!$QT4,FALSE)&amp;IF(BL145="proficient",TEXT(BL146-ProfBonus,"+0;-0"),TEXT(BL146,"+0;-0"))),BL162))</f>
        <v/>
      </c>
      <c r="BM147" s="794"/>
      <c r="BN147" s="794"/>
      <c r="BO147" s="794"/>
      <c r="BP147" s="794"/>
      <c r="BQ147" s="794"/>
      <c r="BR147" s="794"/>
      <c r="BS147" s="598"/>
      <c r="BT147" s="794" t="str">
        <f>IF(OR(CharacterLevel="",BT$137=Tables!$PZ$3),"",IF(BT162="",IF(BT137=Tables!$PZ$3,"",VLOOKUP(BT$137,Tables!$PZ$2:$QQ$500,Tables!$QT4,FALSE)&amp;IF(BT145="proficient",TEXT(BT146-ProfBonus,"+0;-0"),TEXT(BT146,"+0;-0"))),BT162))</f>
        <v/>
      </c>
      <c r="BU147" s="794"/>
      <c r="BV147" s="794"/>
      <c r="BW147" s="794"/>
      <c r="BX147" s="794"/>
      <c r="BY147" s="794"/>
      <c r="BZ147" s="794"/>
      <c r="CA147" s="598"/>
      <c r="CB147" s="794" t="str">
        <f>IF(OR(CharacterLevel="",CB$137=Tables!$PZ$3),"",IF(CB162="",IF(CB137=Tables!$PZ$3,"",VLOOKUP(CB$137,Tables!$PZ$2:$QQ$500,Tables!$QT4,FALSE)&amp;IF(CB145="proficient",TEXT(CB146-ProfBonus,"+0;-0"),TEXT(CB146,"+0;-0"))),CB162))</f>
        <v/>
      </c>
      <c r="CC147" s="794"/>
      <c r="CD147" s="794"/>
      <c r="CE147" s="794"/>
      <c r="CF147" s="794"/>
      <c r="CG147" s="794"/>
      <c r="CH147" s="794"/>
      <c r="CI147" s="598"/>
      <c r="CJ147" s="794" t="str">
        <f>IF(OR(CharacterLevel="",CJ$137=Tables!$PZ$3),"",IF(CJ162="",IF(CJ137=Tables!$PZ$3,"",VLOOKUP(CJ$137,Tables!$PZ$2:$QQ$500,Tables!$QT4,FALSE)&amp;IF(CJ145="proficient",TEXT(CJ146-ProfBonus,"+0;-0"),TEXT(CJ146,"+0;-0"))),CJ162))</f>
        <v/>
      </c>
      <c r="CK147" s="794"/>
      <c r="CL147" s="794"/>
      <c r="CM147" s="794"/>
      <c r="CN147" s="794"/>
      <c r="CO147" s="794"/>
      <c r="CP147" s="794"/>
      <c r="CQ147" s="664"/>
      <c r="DM147" s="144"/>
      <c r="DN147" s="144"/>
      <c r="DO147" s="144"/>
      <c r="DP147" s="144"/>
      <c r="DQ147" s="144"/>
      <c r="DR147" s="144"/>
      <c r="DS147" s="144"/>
      <c r="DT147" s="144"/>
      <c r="DU147" s="144"/>
      <c r="DV147" s="144"/>
      <c r="DW147" s="144"/>
      <c r="DX147" s="144"/>
      <c r="DY147" s="144"/>
      <c r="DZ147" s="144"/>
      <c r="EA147" s="144"/>
      <c r="EB147" s="144"/>
      <c r="EC147" s="144"/>
      <c r="ED147" s="144"/>
      <c r="EE147" s="144"/>
      <c r="EF147" s="144"/>
      <c r="EG147" s="144"/>
      <c r="EH147" s="144"/>
      <c r="EI147" s="144"/>
      <c r="EJ147" s="144"/>
      <c r="EK147" s="144"/>
      <c r="EL147" s="144"/>
      <c r="EM147" s="144"/>
      <c r="EN147" s="144"/>
      <c r="EO147" s="144"/>
      <c r="EP147" s="634"/>
      <c r="EQ147" s="634"/>
      <c r="ER147" s="634"/>
      <c r="ES147" s="634"/>
      <c r="FV147" s="105"/>
      <c r="FW147" s="105"/>
      <c r="FX147" s="105"/>
      <c r="FY147" s="105"/>
      <c r="FZ147" s="105"/>
      <c r="GA147" s="105"/>
      <c r="GB147" s="105"/>
      <c r="GC147" s="105"/>
      <c r="GD147" s="105"/>
      <c r="GE147" s="105"/>
      <c r="GF147" s="105"/>
      <c r="GG147" s="105"/>
      <c r="GH147" s="105"/>
      <c r="GI147" s="105"/>
      <c r="GJ147" s="105"/>
      <c r="GK147" s="105"/>
      <c r="GL147" s="105"/>
      <c r="GM147" s="105"/>
    </row>
    <row r="148" spans="2:195" ht="12" customHeight="1" x14ac:dyDescent="0.25">
      <c r="B148" s="662"/>
      <c r="C148" s="765"/>
      <c r="D148" s="765"/>
      <c r="E148" s="765"/>
      <c r="F148" s="765"/>
      <c r="G148" s="765"/>
      <c r="H148" s="765"/>
      <c r="I148" s="765"/>
      <c r="J148" s="765"/>
      <c r="K148" s="765"/>
      <c r="L148" s="765"/>
      <c r="M148" s="765"/>
      <c r="N148" s="765"/>
      <c r="O148" s="765"/>
      <c r="P148" s="599"/>
      <c r="Q148" s="188">
        <v>8</v>
      </c>
      <c r="R148" s="600"/>
      <c r="S148" s="598"/>
      <c r="T148" s="598"/>
      <c r="U148" s="598"/>
      <c r="V148" s="598"/>
      <c r="W148" s="598"/>
      <c r="X148" s="710" t="s">
        <v>12</v>
      </c>
      <c r="Y148" s="782" t="str">
        <f>IF(Y$137=Tables!$SR$3,"",IF(Y162="",VLOOKUP(Y$137,Tables!$SR$2:$SZ$500,$Q148,FALSE),Y162))</f>
        <v/>
      </c>
      <c r="Z148" s="782"/>
      <c r="AA148" s="782"/>
      <c r="AB148" s="782"/>
      <c r="AC148" s="782"/>
      <c r="AD148" s="782"/>
      <c r="AE148" s="782"/>
      <c r="AF148" s="598"/>
      <c r="AG148" s="782" t="str">
        <f>IF(AG$137=Tables!$SR$3,"",IF(AG162="",VLOOKUP(AG$137,Tables!$TA$2:$TI$500,$Q148,FALSE),AG162))</f>
        <v/>
      </c>
      <c r="AH148" s="782"/>
      <c r="AI148" s="782"/>
      <c r="AJ148" s="782"/>
      <c r="AK148" s="782"/>
      <c r="AL148" s="782"/>
      <c r="AM148" s="782"/>
      <c r="AN148" s="599"/>
      <c r="AO148" s="473"/>
      <c r="AP148" s="600"/>
      <c r="AQ148" s="598"/>
      <c r="AR148" s="598"/>
      <c r="AS148" s="598"/>
      <c r="AT148" s="598"/>
      <c r="AU148" s="710" t="s">
        <v>9</v>
      </c>
      <c r="AV148" s="794" t="str">
        <f>IF(AV$137=Tables!$PZ$3,"",IF(AV163="",VLOOKUP(AV$137,Tables!$PZ$2:$QQ$500,Tables!$QT5,FALSE),AV163))</f>
        <v/>
      </c>
      <c r="AW148" s="794"/>
      <c r="AX148" s="794"/>
      <c r="AY148" s="794"/>
      <c r="AZ148" s="794"/>
      <c r="BA148" s="794"/>
      <c r="BB148" s="794"/>
      <c r="BC148" s="598"/>
      <c r="BD148" s="794" t="str">
        <f>IF(BD$137=Tables!$PZ$3,"",IF(BD163="",VLOOKUP(BD$137,Tables!$PZ$2:$QQ$500,Tables!$QT5,FALSE),BD163))</f>
        <v/>
      </c>
      <c r="BE148" s="794"/>
      <c r="BF148" s="794"/>
      <c r="BG148" s="794"/>
      <c r="BH148" s="794"/>
      <c r="BI148" s="794"/>
      <c r="BJ148" s="794"/>
      <c r="BK148" s="598"/>
      <c r="BL148" s="794" t="str">
        <f>IF(BL$137=Tables!$PZ$3,"",IF(BL163="",VLOOKUP(BL$137,Tables!$PZ$2:$QQ$500,Tables!$QT5,FALSE),BL163))</f>
        <v/>
      </c>
      <c r="BM148" s="794"/>
      <c r="BN148" s="794"/>
      <c r="BO148" s="794"/>
      <c r="BP148" s="794"/>
      <c r="BQ148" s="794"/>
      <c r="BR148" s="794"/>
      <c r="BS148" s="598"/>
      <c r="BT148" s="794" t="str">
        <f>IF(BT$137=Tables!$PZ$3,"",IF(BT163="",VLOOKUP(BT$137,Tables!$PZ$2:$QQ$500,Tables!$QT5,FALSE),BT163))</f>
        <v/>
      </c>
      <c r="BU148" s="794"/>
      <c r="BV148" s="794"/>
      <c r="BW148" s="794"/>
      <c r="BX148" s="794"/>
      <c r="BY148" s="794"/>
      <c r="BZ148" s="794"/>
      <c r="CA148" s="598"/>
      <c r="CB148" s="794" t="str">
        <f>IF(CB$137=Tables!$PZ$3,"",IF(CB163="",VLOOKUP(CB$137,Tables!$PZ$2:$QQ$500,Tables!$QT5,FALSE),CB163))</f>
        <v/>
      </c>
      <c r="CC148" s="794"/>
      <c r="CD148" s="794"/>
      <c r="CE148" s="794"/>
      <c r="CF148" s="794"/>
      <c r="CG148" s="794"/>
      <c r="CH148" s="794"/>
      <c r="CI148" s="598"/>
      <c r="CJ148" s="794" t="str">
        <f>IF(CJ$137=Tables!$PZ$3,"",IF(CJ163="",VLOOKUP(CJ$137,Tables!$PZ$2:$QQ$500,Tables!$QT5,FALSE),CJ163))</f>
        <v/>
      </c>
      <c r="CK148" s="794"/>
      <c r="CL148" s="794"/>
      <c r="CM148" s="794"/>
      <c r="CN148" s="794"/>
      <c r="CO148" s="794"/>
      <c r="CP148" s="794"/>
      <c r="CQ148" s="664"/>
      <c r="DM148" s="144"/>
      <c r="DN148" s="144"/>
      <c r="DO148" s="144"/>
      <c r="DP148" s="144"/>
      <c r="DQ148" s="144"/>
      <c r="DR148" s="144"/>
      <c r="DS148" s="144"/>
      <c r="DT148" s="144"/>
      <c r="DU148" s="144"/>
      <c r="DV148" s="144"/>
      <c r="DW148" s="144"/>
      <c r="DX148" s="144"/>
      <c r="DY148" s="144"/>
      <c r="DZ148" s="144"/>
      <c r="EA148" s="144"/>
      <c r="EB148" s="144"/>
      <c r="EC148" s="144"/>
      <c r="ED148" s="144"/>
      <c r="EE148" s="144"/>
      <c r="EF148" s="144"/>
      <c r="EG148" s="144"/>
      <c r="EH148" s="144"/>
      <c r="EI148" s="144"/>
      <c r="EJ148" s="144"/>
      <c r="EK148" s="144"/>
      <c r="EL148" s="144"/>
      <c r="EM148" s="144"/>
      <c r="EN148" s="144"/>
      <c r="EO148" s="144"/>
      <c r="EP148" s="634"/>
      <c r="EQ148" s="634"/>
      <c r="ER148" s="634"/>
      <c r="ES148" s="634"/>
      <c r="FV148" s="105"/>
      <c r="FW148" s="105"/>
      <c r="FX148" s="105"/>
      <c r="FY148" s="105"/>
      <c r="FZ148" s="105"/>
      <c r="GA148" s="105"/>
      <c r="GB148" s="105"/>
      <c r="GC148" s="105"/>
      <c r="GD148" s="105"/>
      <c r="GE148" s="105"/>
      <c r="GF148" s="105"/>
      <c r="GG148" s="105"/>
      <c r="GH148" s="105"/>
      <c r="GI148" s="105"/>
      <c r="GJ148" s="105"/>
      <c r="GK148" s="105"/>
      <c r="GL148" s="105"/>
      <c r="GM148" s="105"/>
    </row>
    <row r="149" spans="2:195" ht="12" customHeight="1" x14ac:dyDescent="0.25">
      <c r="B149" s="622" t="s">
        <v>807</v>
      </c>
      <c r="C149" s="261"/>
      <c r="D149" s="598"/>
      <c r="E149" s="598"/>
      <c r="F149" s="598"/>
      <c r="G149" s="598"/>
      <c r="H149" s="598"/>
      <c r="I149" s="598"/>
      <c r="J149" s="598"/>
      <c r="K149" s="598"/>
      <c r="L149" s="598"/>
      <c r="M149" s="598"/>
      <c r="N149" s="598"/>
      <c r="O149" s="598"/>
      <c r="P149" s="599"/>
      <c r="Q149" s="188">
        <v>9</v>
      </c>
      <c r="R149" s="600"/>
      <c r="S149" s="598"/>
      <c r="T149" s="598"/>
      <c r="U149" s="598"/>
      <c r="V149" s="598"/>
      <c r="W149" s="598"/>
      <c r="X149" s="710" t="s">
        <v>111</v>
      </c>
      <c r="Y149" s="822" t="str">
        <f>IF(Y$137=Tables!$SR$3,"",IF(Y163="",VLOOKUP(Y$137,Tables!$SR$2:$SZ$500,$Q149,FALSE),Y163))</f>
        <v/>
      </c>
      <c r="Z149" s="822"/>
      <c r="AA149" s="822"/>
      <c r="AB149" s="822"/>
      <c r="AC149" s="822"/>
      <c r="AD149" s="822"/>
      <c r="AE149" s="822"/>
      <c r="AF149" s="670"/>
      <c r="AG149" s="822" t="str">
        <f>IF(AG$137=Tables!$SR$3,"",IF(AG163="",VLOOKUP(AG$137,Tables!$TA$2:$TI$500,$Q149,FALSE),AG163))</f>
        <v/>
      </c>
      <c r="AH149" s="822"/>
      <c r="AI149" s="822"/>
      <c r="AJ149" s="822"/>
      <c r="AK149" s="822"/>
      <c r="AL149" s="822"/>
      <c r="AM149" s="822"/>
      <c r="AN149" s="599"/>
      <c r="AO149" s="473"/>
      <c r="AP149" s="600"/>
      <c r="AQ149" s="598"/>
      <c r="AR149" s="598"/>
      <c r="AS149" s="598"/>
      <c r="AT149" s="598"/>
      <c r="AU149" s="710" t="s">
        <v>48</v>
      </c>
      <c r="AV149" s="794" t="str">
        <f>IF(AV$137=Tables!$PZ$3,"",IF(AV164="",VLOOKUP(AV$137,Tables!$PZ$2:$QQ$500,Tables!$QT6,FALSE),""))</f>
        <v/>
      </c>
      <c r="AW149" s="794"/>
      <c r="AX149" s="794"/>
      <c r="AY149" s="794"/>
      <c r="AZ149" s="794"/>
      <c r="BA149" s="794"/>
      <c r="BB149" s="794"/>
      <c r="BC149" s="598"/>
      <c r="BD149" s="794" t="str">
        <f>IF(BD$137=Tables!$PZ$3,"",IF(BD164="",VLOOKUP(BD$137,Tables!$PZ$2:$QQ$500,Tables!$QT6,FALSE),""))</f>
        <v/>
      </c>
      <c r="BE149" s="794"/>
      <c r="BF149" s="794"/>
      <c r="BG149" s="794"/>
      <c r="BH149" s="794"/>
      <c r="BI149" s="794"/>
      <c r="BJ149" s="794"/>
      <c r="BK149" s="598"/>
      <c r="BL149" s="794" t="str">
        <f>IF(BL$137=Tables!$PZ$3,"",IF(BL164="",VLOOKUP(BL$137,Tables!$PZ$2:$QQ$500,Tables!$QT6,FALSE),""))</f>
        <v/>
      </c>
      <c r="BM149" s="794"/>
      <c r="BN149" s="794"/>
      <c r="BO149" s="794"/>
      <c r="BP149" s="794"/>
      <c r="BQ149" s="794"/>
      <c r="BR149" s="794"/>
      <c r="BS149" s="598"/>
      <c r="BT149" s="794" t="str">
        <f>IF(BT$137=Tables!$PZ$3,"",IF(BT164="",VLOOKUP(BT$137,Tables!$PZ$2:$QQ$500,Tables!$QT6,FALSE),""))</f>
        <v/>
      </c>
      <c r="BU149" s="794"/>
      <c r="BV149" s="794"/>
      <c r="BW149" s="794"/>
      <c r="BX149" s="794"/>
      <c r="BY149" s="794"/>
      <c r="BZ149" s="794"/>
      <c r="CA149" s="598"/>
      <c r="CB149" s="794" t="str">
        <f>IF(CB$137=Tables!$PZ$3,"",IF(CB164="",VLOOKUP(CB$137,Tables!$PZ$2:$QQ$500,Tables!$QT6,FALSE),""))</f>
        <v/>
      </c>
      <c r="CC149" s="794"/>
      <c r="CD149" s="794"/>
      <c r="CE149" s="794"/>
      <c r="CF149" s="794"/>
      <c r="CG149" s="794"/>
      <c r="CH149" s="794"/>
      <c r="CI149" s="598"/>
      <c r="CJ149" s="794" t="str">
        <f>IF(CJ$137=Tables!$PZ$3,"",IF(CJ164="",VLOOKUP(CJ$137,Tables!$PZ$2:$QQ$500,Tables!$QT6,FALSE),""))</f>
        <v/>
      </c>
      <c r="CK149" s="794"/>
      <c r="CL149" s="794"/>
      <c r="CM149" s="794"/>
      <c r="CN149" s="794"/>
      <c r="CO149" s="794"/>
      <c r="CP149" s="794"/>
      <c r="CQ149" s="664"/>
      <c r="DM149" s="144"/>
      <c r="DN149" s="144"/>
      <c r="DO149" s="144"/>
      <c r="DP149" s="144"/>
      <c r="DQ149" s="144"/>
      <c r="DR149" s="144"/>
      <c r="DS149" s="144"/>
      <c r="DT149" s="144"/>
      <c r="DU149" s="144"/>
      <c r="DV149" s="144"/>
      <c r="DW149" s="144"/>
      <c r="DX149" s="144"/>
      <c r="DY149" s="144"/>
      <c r="DZ149" s="144"/>
      <c r="EA149" s="144"/>
      <c r="EB149" s="144"/>
      <c r="EC149" s="144"/>
      <c r="ED149" s="144"/>
      <c r="EE149" s="144"/>
      <c r="EF149" s="144"/>
      <c r="EG149" s="144"/>
      <c r="EH149" s="144"/>
      <c r="EI149" s="144"/>
      <c r="EJ149" s="144"/>
      <c r="EK149" s="144"/>
      <c r="EL149" s="144"/>
      <c r="EM149" s="144"/>
      <c r="EN149" s="144"/>
      <c r="EO149" s="144"/>
      <c r="EP149" s="634"/>
      <c r="EQ149" s="634"/>
      <c r="ER149" s="634"/>
      <c r="ES149" s="634"/>
      <c r="FV149" s="105"/>
      <c r="FW149" s="105"/>
      <c r="FX149" s="105"/>
      <c r="FY149" s="105"/>
      <c r="FZ149" s="105"/>
      <c r="GA149" s="105"/>
      <c r="GB149" s="105"/>
      <c r="GC149" s="105"/>
      <c r="GD149" s="105"/>
      <c r="GE149" s="105"/>
      <c r="GF149" s="105"/>
      <c r="GG149" s="105"/>
      <c r="GH149" s="105"/>
      <c r="GI149" s="105"/>
      <c r="GJ149" s="105"/>
      <c r="GK149" s="105"/>
      <c r="GL149" s="105"/>
      <c r="GM149" s="105"/>
    </row>
    <row r="150" spans="2:195" ht="12" customHeight="1" x14ac:dyDescent="0.25">
      <c r="B150" s="662" t="s">
        <v>384</v>
      </c>
      <c r="C150" s="261"/>
      <c r="D150" s="598"/>
      <c r="E150" s="598"/>
      <c r="F150" s="598"/>
      <c r="G150" s="598"/>
      <c r="H150" s="598"/>
      <c r="I150" s="598"/>
      <c r="J150" s="598"/>
      <c r="K150" s="598"/>
      <c r="L150" s="598"/>
      <c r="M150" s="598"/>
      <c r="N150" s="598"/>
      <c r="O150" s="598"/>
      <c r="P150" s="599"/>
      <c r="Q150" s="187"/>
      <c r="R150" s="600"/>
      <c r="S150" s="598"/>
      <c r="T150" s="598"/>
      <c r="U150" s="598"/>
      <c r="V150" s="598"/>
      <c r="W150" s="598"/>
      <c r="X150" s="665"/>
      <c r="Y150" s="822"/>
      <c r="Z150" s="822"/>
      <c r="AA150" s="822"/>
      <c r="AB150" s="822"/>
      <c r="AC150" s="822"/>
      <c r="AD150" s="822"/>
      <c r="AE150" s="822"/>
      <c r="AF150" s="670"/>
      <c r="AG150" s="822"/>
      <c r="AH150" s="822"/>
      <c r="AI150" s="822"/>
      <c r="AJ150" s="822"/>
      <c r="AK150" s="822"/>
      <c r="AL150" s="822"/>
      <c r="AM150" s="822"/>
      <c r="AN150" s="599"/>
      <c r="AO150" s="473"/>
      <c r="AP150" s="600"/>
      <c r="AQ150" s="598"/>
      <c r="AR150" s="598"/>
      <c r="AS150" s="598"/>
      <c r="AT150" s="598"/>
      <c r="AU150" s="710" t="s">
        <v>12</v>
      </c>
      <c r="AV150" s="782" t="str">
        <f>IF(AV$137=Tables!$PZ$3,"",IF(AV165="",VLOOKUP(AV$137,Tables!$PZ$2:$QQ$500,Tables!$QT7,FALSE),AV165))</f>
        <v/>
      </c>
      <c r="AW150" s="782"/>
      <c r="AX150" s="782"/>
      <c r="AY150" s="782"/>
      <c r="AZ150" s="782"/>
      <c r="BA150" s="782"/>
      <c r="BB150" s="782"/>
      <c r="BC150" s="598"/>
      <c r="BD150" s="782" t="str">
        <f>IF(BD$137=Tables!$PZ$3,"",IF(BD165="",VLOOKUP(BD$137,Tables!$PZ$2:$QQ$500,Tables!$QT7,FALSE),BD165))</f>
        <v/>
      </c>
      <c r="BE150" s="782"/>
      <c r="BF150" s="782"/>
      <c r="BG150" s="782"/>
      <c r="BH150" s="782"/>
      <c r="BI150" s="782"/>
      <c r="BJ150" s="782"/>
      <c r="BK150" s="598"/>
      <c r="BL150" s="782" t="str">
        <f>IF(BL$137=Tables!$PZ$3,"",IF(BL165="",VLOOKUP(BL$137,Tables!$PZ$2:$QQ$500,Tables!$QT7,FALSE),BL165))</f>
        <v/>
      </c>
      <c r="BM150" s="782"/>
      <c r="BN150" s="782"/>
      <c r="BO150" s="782"/>
      <c r="BP150" s="782"/>
      <c r="BQ150" s="782"/>
      <c r="BR150" s="782"/>
      <c r="BS150" s="598"/>
      <c r="BT150" s="782" t="str">
        <f>IF(BT$137=Tables!$PZ$3,"",IF(BT165="",VLOOKUP(BT$137,Tables!$PZ$2:$QQ$500,Tables!$QT7,FALSE),BT165))</f>
        <v/>
      </c>
      <c r="BU150" s="782"/>
      <c r="BV150" s="782"/>
      <c r="BW150" s="782"/>
      <c r="BX150" s="782"/>
      <c r="BY150" s="782"/>
      <c r="BZ150" s="782"/>
      <c r="CA150" s="598"/>
      <c r="CB150" s="782" t="str">
        <f>IF(CB$137=Tables!$PZ$3,"",IF(CB165="",VLOOKUP(CB$137,Tables!$PZ$2:$QQ$500,Tables!$QT7,FALSE),CB165))</f>
        <v/>
      </c>
      <c r="CC150" s="782"/>
      <c r="CD150" s="782"/>
      <c r="CE150" s="782"/>
      <c r="CF150" s="782"/>
      <c r="CG150" s="782"/>
      <c r="CH150" s="782"/>
      <c r="CI150" s="598"/>
      <c r="CJ150" s="782" t="str">
        <f>IF(CJ$137=Tables!$PZ$3,"",IF(CJ165="",VLOOKUP(CJ$137,Tables!$PZ$2:$QQ$500,Tables!$QT7,FALSE),CJ165))</f>
        <v/>
      </c>
      <c r="CK150" s="782"/>
      <c r="CL150" s="782"/>
      <c r="CM150" s="782"/>
      <c r="CN150" s="782"/>
      <c r="CO150" s="782"/>
      <c r="CP150" s="782"/>
      <c r="CQ150" s="664"/>
      <c r="DM150" s="144"/>
      <c r="DN150" s="144"/>
      <c r="DO150" s="144"/>
      <c r="DP150" s="144"/>
      <c r="DQ150" s="144"/>
      <c r="DR150" s="144"/>
      <c r="DS150" s="144"/>
      <c r="DT150" s="144"/>
      <c r="DU150" s="144"/>
      <c r="DV150" s="144"/>
      <c r="DW150" s="144"/>
      <c r="DX150" s="144"/>
      <c r="DY150" s="144"/>
      <c r="DZ150" s="144"/>
      <c r="EA150" s="144"/>
      <c r="EB150" s="144"/>
      <c r="EC150" s="144"/>
      <c r="ED150" s="144"/>
      <c r="EE150" s="144"/>
      <c r="EF150" s="144"/>
      <c r="EG150" s="144"/>
      <c r="EH150" s="144"/>
      <c r="EI150" s="144"/>
      <c r="EJ150" s="144"/>
      <c r="EK150" s="144"/>
      <c r="EL150" s="144"/>
      <c r="EM150" s="144"/>
      <c r="EN150" s="144"/>
      <c r="EO150" s="144"/>
      <c r="EP150" s="634"/>
      <c r="EQ150" s="634"/>
      <c r="ER150" s="634"/>
      <c r="ES150" s="634"/>
      <c r="FV150" s="105"/>
      <c r="FW150" s="105"/>
      <c r="FX150" s="105"/>
      <c r="FY150" s="105"/>
      <c r="FZ150" s="105"/>
      <c r="GA150" s="105"/>
      <c r="GB150" s="105"/>
      <c r="GC150" s="105"/>
      <c r="GD150" s="105"/>
      <c r="GE150" s="105"/>
      <c r="GF150" s="105"/>
      <c r="GG150" s="105"/>
      <c r="GH150" s="105"/>
      <c r="GI150" s="105"/>
      <c r="GJ150" s="105"/>
      <c r="GK150" s="105"/>
      <c r="GL150" s="105"/>
      <c r="GM150" s="105"/>
    </row>
    <row r="151" spans="2:195" ht="12" customHeight="1" x14ac:dyDescent="0.25">
      <c r="B151" s="662"/>
      <c r="C151" s="765"/>
      <c r="D151" s="765"/>
      <c r="E151" s="765"/>
      <c r="F151" s="765"/>
      <c r="G151" s="765"/>
      <c r="H151" s="765"/>
      <c r="I151" s="765"/>
      <c r="J151" s="765"/>
      <c r="K151" s="765"/>
      <c r="L151" s="765"/>
      <c r="M151" s="765"/>
      <c r="N151" s="765"/>
      <c r="O151" s="765"/>
      <c r="P151" s="599"/>
      <c r="Q151" s="148"/>
      <c r="R151" s="663"/>
      <c r="S151" s="598"/>
      <c r="T151" s="598"/>
      <c r="U151" s="598"/>
      <c r="V151" s="598"/>
      <c r="W151" s="598"/>
      <c r="X151" s="332"/>
      <c r="Y151" s="822"/>
      <c r="Z151" s="822"/>
      <c r="AA151" s="822"/>
      <c r="AB151" s="822"/>
      <c r="AC151" s="822"/>
      <c r="AD151" s="822"/>
      <c r="AE151" s="822"/>
      <c r="AF151" s="598"/>
      <c r="AG151" s="822"/>
      <c r="AH151" s="822"/>
      <c r="AI151" s="822"/>
      <c r="AJ151" s="822"/>
      <c r="AK151" s="822"/>
      <c r="AL151" s="822"/>
      <c r="AM151" s="822"/>
      <c r="AN151" s="599"/>
      <c r="AO151" s="473"/>
      <c r="AP151" s="600"/>
      <c r="AQ151" s="598"/>
      <c r="AR151" s="598"/>
      <c r="AS151" s="598"/>
      <c r="AT151" s="598"/>
      <c r="AU151" s="710" t="s">
        <v>111</v>
      </c>
      <c r="AV151" s="783" t="str">
        <f>IF(AV$137=Tables!$PZ$3,"",IF(AV166="",Tables!QZ20&amp;Tables!QZ21&amp;Tables!QZ22&amp;Tables!QZ23&amp;Tables!QZ24&amp;Tables!QZ25&amp;Tables!QZ26&amp;Tables!QZ27&amp;Tables!QZ28&amp;Tables!QZ29&amp;Tables!QZ30&amp;Tables!QZ31,AV166))</f>
        <v/>
      </c>
      <c r="AW151" s="783"/>
      <c r="AX151" s="783"/>
      <c r="AY151" s="783"/>
      <c r="AZ151" s="783"/>
      <c r="BA151" s="783"/>
      <c r="BB151" s="783"/>
      <c r="BC151" s="598"/>
      <c r="BD151" s="783" t="str">
        <f>IF(BD$137=Tables!$PZ$3,"",IF(BD166="",Tables!RH20&amp;Tables!RH21&amp;Tables!RH22&amp;Tables!RH23&amp;Tables!RH24&amp;Tables!RH25&amp;Tables!RH26&amp;Tables!RH27&amp;Tables!RH28&amp;Tables!RH29&amp;Tables!RH30&amp;Tables!RH31,BD166))</f>
        <v/>
      </c>
      <c r="BE151" s="783"/>
      <c r="BF151" s="783"/>
      <c r="BG151" s="783"/>
      <c r="BH151" s="783"/>
      <c r="BI151" s="783"/>
      <c r="BJ151" s="783"/>
      <c r="BK151" s="598"/>
      <c r="BL151" s="783" t="str">
        <f>IF(BL$137=Tables!$PZ$3,"",IF(BL166="",Tables!RP20&amp;Tables!RP21&amp;Tables!RP22&amp;Tables!RP23&amp;Tables!RP24&amp;Tables!RP25&amp;Tables!RP26&amp;Tables!RP27&amp;Tables!RP28&amp;Tables!RP29&amp;Tables!RP30&amp;Tables!RP31,BL166))</f>
        <v/>
      </c>
      <c r="BM151" s="783"/>
      <c r="BN151" s="783"/>
      <c r="BO151" s="783"/>
      <c r="BP151" s="783"/>
      <c r="BQ151" s="783"/>
      <c r="BR151" s="783"/>
      <c r="BS151" s="598"/>
      <c r="BT151" s="783" t="str">
        <f>IF(BT$137=Tables!$PZ$3,"",IF(BT166="",Tables!RX20&amp;Tables!RX21&amp;Tables!RX22&amp;Tables!RX23&amp;Tables!RX24&amp;Tables!RX25&amp;Tables!RX26&amp;Tables!RX27&amp;Tables!RX28&amp;Tables!RX29&amp;Tables!RX30&amp;Tables!RX31,BT166))</f>
        <v/>
      </c>
      <c r="BU151" s="783"/>
      <c r="BV151" s="783"/>
      <c r="BW151" s="783"/>
      <c r="BX151" s="783"/>
      <c r="BY151" s="783"/>
      <c r="BZ151" s="783"/>
      <c r="CA151" s="598"/>
      <c r="CB151" s="783" t="str">
        <f>IF(CB$137=Tables!$PZ$3,"",IF(CB166="",Tables!SF20&amp;Tables!SF21&amp;Tables!SF22&amp;Tables!SF23&amp;Tables!SF24&amp;Tables!SF25&amp;Tables!SF26&amp;Tables!SF27&amp;Tables!SF28&amp;Tables!SF29&amp;Tables!SF30&amp;Tables!SF31,CB166))</f>
        <v/>
      </c>
      <c r="CC151" s="783"/>
      <c r="CD151" s="783"/>
      <c r="CE151" s="783"/>
      <c r="CF151" s="783"/>
      <c r="CG151" s="783"/>
      <c r="CH151" s="783"/>
      <c r="CI151" s="598"/>
      <c r="CJ151" s="783" t="str">
        <f>IF(CJ$137=Tables!$PZ$3,"",IF(CJ166="",Tables!SN20&amp;Tables!SN21&amp;Tables!SN22&amp;Tables!SN23&amp;Tables!SN24&amp;Tables!SN25&amp;Tables!SN26&amp;Tables!SN27&amp;Tables!SN28&amp;Tables!SN29&amp;Tables!SN30&amp;Tables!SN31,CJ166))</f>
        <v/>
      </c>
      <c r="CK151" s="783"/>
      <c r="CL151" s="783"/>
      <c r="CM151" s="783"/>
      <c r="CN151" s="783"/>
      <c r="CO151" s="783"/>
      <c r="CP151" s="783"/>
      <c r="CQ151" s="664"/>
      <c r="DM151" s="144"/>
      <c r="DN151" s="144"/>
      <c r="DO151" s="144"/>
      <c r="DP151" s="144"/>
      <c r="DQ151" s="144"/>
      <c r="DR151" s="144"/>
      <c r="DS151" s="144"/>
      <c r="DT151" s="144"/>
      <c r="DU151" s="144"/>
      <c r="DV151" s="144"/>
      <c r="DW151" s="144"/>
      <c r="DX151" s="144"/>
      <c r="DY151" s="144"/>
      <c r="DZ151" s="144"/>
      <c r="EA151" s="144"/>
      <c r="EB151" s="144"/>
      <c r="EC151" s="144"/>
      <c r="ED151" s="144"/>
      <c r="EE151" s="144"/>
      <c r="EF151" s="144"/>
      <c r="EG151" s="144"/>
      <c r="EH151" s="144"/>
      <c r="EI151" s="144"/>
      <c r="EJ151" s="144"/>
      <c r="EK151" s="144"/>
      <c r="EL151" s="144"/>
      <c r="EM151" s="144"/>
      <c r="EN151" s="144"/>
      <c r="EO151" s="144"/>
      <c r="EP151" s="634"/>
      <c r="EQ151" s="634"/>
      <c r="ER151" s="634"/>
      <c r="ES151" s="634"/>
      <c r="FV151" s="105"/>
      <c r="FW151" s="105"/>
      <c r="FX151" s="105"/>
      <c r="FY151" s="105"/>
      <c r="FZ151" s="105"/>
      <c r="GA151" s="105"/>
      <c r="GB151" s="105"/>
      <c r="GC151" s="105"/>
    </row>
    <row r="152" spans="2:195" ht="12" customHeight="1" x14ac:dyDescent="0.25">
      <c r="B152" s="622" t="s">
        <v>807</v>
      </c>
      <c r="C152" s="261"/>
      <c r="D152" s="598"/>
      <c r="E152" s="598"/>
      <c r="F152" s="598"/>
      <c r="G152" s="598"/>
      <c r="H152" s="598"/>
      <c r="I152" s="598"/>
      <c r="J152" s="598"/>
      <c r="K152" s="598"/>
      <c r="L152" s="598"/>
      <c r="M152" s="598"/>
      <c r="N152" s="598"/>
      <c r="O152" s="598"/>
      <c r="P152" s="599"/>
      <c r="Q152" s="148"/>
      <c r="R152" s="600"/>
      <c r="S152" s="598"/>
      <c r="T152" s="598"/>
      <c r="U152" s="598"/>
      <c r="V152" s="598"/>
      <c r="W152" s="598"/>
      <c r="X152" s="598"/>
      <c r="Y152" s="822"/>
      <c r="Z152" s="822"/>
      <c r="AA152" s="822"/>
      <c r="AB152" s="822"/>
      <c r="AC152" s="822"/>
      <c r="AD152" s="822"/>
      <c r="AE152" s="822"/>
      <c r="AF152" s="598"/>
      <c r="AG152" s="822"/>
      <c r="AH152" s="822"/>
      <c r="AI152" s="822"/>
      <c r="AJ152" s="822"/>
      <c r="AK152" s="822"/>
      <c r="AL152" s="822"/>
      <c r="AM152" s="822"/>
      <c r="AN152" s="599"/>
      <c r="AO152" s="473"/>
      <c r="AP152" s="600"/>
      <c r="AQ152" s="598"/>
      <c r="AR152" s="598"/>
      <c r="AS152" s="598"/>
      <c r="AT152" s="598"/>
      <c r="AU152" s="671"/>
      <c r="AV152" s="783"/>
      <c r="AW152" s="783"/>
      <c r="AX152" s="783"/>
      <c r="AY152" s="783"/>
      <c r="AZ152" s="783"/>
      <c r="BA152" s="783"/>
      <c r="BB152" s="783"/>
      <c r="BC152" s="598"/>
      <c r="BD152" s="783"/>
      <c r="BE152" s="783"/>
      <c r="BF152" s="783"/>
      <c r="BG152" s="783"/>
      <c r="BH152" s="783"/>
      <c r="BI152" s="783"/>
      <c r="BJ152" s="783"/>
      <c r="BK152" s="598"/>
      <c r="BL152" s="783"/>
      <c r="BM152" s="783"/>
      <c r="BN152" s="783"/>
      <c r="BO152" s="783"/>
      <c r="BP152" s="783"/>
      <c r="BQ152" s="783"/>
      <c r="BR152" s="783"/>
      <c r="BS152" s="598"/>
      <c r="BT152" s="783"/>
      <c r="BU152" s="783"/>
      <c r="BV152" s="783"/>
      <c r="BW152" s="783"/>
      <c r="BX152" s="783"/>
      <c r="BY152" s="783"/>
      <c r="BZ152" s="783"/>
      <c r="CA152" s="598"/>
      <c r="CB152" s="783"/>
      <c r="CC152" s="783"/>
      <c r="CD152" s="783"/>
      <c r="CE152" s="783"/>
      <c r="CF152" s="783"/>
      <c r="CG152" s="783"/>
      <c r="CH152" s="783"/>
      <c r="CI152" s="598"/>
      <c r="CJ152" s="783"/>
      <c r="CK152" s="783"/>
      <c r="CL152" s="783"/>
      <c r="CM152" s="783"/>
      <c r="CN152" s="783"/>
      <c r="CO152" s="783"/>
      <c r="CP152" s="783"/>
      <c r="CQ152" s="664"/>
      <c r="DM152" s="144"/>
      <c r="DN152" s="144"/>
      <c r="DO152" s="144"/>
      <c r="DP152" s="144"/>
      <c r="DQ152" s="144"/>
      <c r="DR152" s="144"/>
      <c r="DS152" s="144"/>
      <c r="DT152" s="144"/>
      <c r="DU152" s="144"/>
      <c r="DV152" s="144"/>
      <c r="DW152" s="144"/>
      <c r="DX152" s="144"/>
      <c r="DY152" s="144"/>
      <c r="DZ152" s="144"/>
      <c r="EA152" s="144"/>
      <c r="EB152" s="144"/>
      <c r="EC152" s="144"/>
      <c r="ED152" s="144"/>
      <c r="EE152" s="144"/>
      <c r="EF152" s="144"/>
      <c r="EG152" s="144"/>
      <c r="EH152" s="144"/>
      <c r="EI152" s="144"/>
      <c r="EJ152" s="144"/>
      <c r="EK152" s="144"/>
      <c r="EL152" s="144"/>
      <c r="EM152" s="144"/>
      <c r="EN152" s="144"/>
      <c r="EO152" s="144"/>
      <c r="EP152" s="634"/>
      <c r="EQ152" s="634"/>
      <c r="ER152" s="634"/>
      <c r="ES152" s="634"/>
      <c r="FV152" s="105"/>
      <c r="FW152" s="105"/>
      <c r="FX152" s="105"/>
      <c r="FY152" s="105"/>
      <c r="FZ152" s="105"/>
      <c r="GA152" s="105"/>
      <c r="GB152" s="105"/>
      <c r="GC152" s="105"/>
    </row>
    <row r="153" spans="2:195" ht="12" customHeight="1" thickBot="1" x14ac:dyDescent="0.3">
      <c r="B153" s="662" t="s">
        <v>383</v>
      </c>
      <c r="C153" s="261"/>
      <c r="D153" s="598"/>
      <c r="E153" s="598"/>
      <c r="F153" s="598"/>
      <c r="G153" s="598"/>
      <c r="H153" s="598"/>
      <c r="I153" s="598"/>
      <c r="J153" s="598"/>
      <c r="K153" s="598"/>
      <c r="L153" s="598"/>
      <c r="M153" s="598"/>
      <c r="N153" s="598"/>
      <c r="O153" s="598"/>
      <c r="P153" s="599"/>
      <c r="Q153" s="148"/>
      <c r="R153" s="663"/>
      <c r="S153" s="598"/>
      <c r="T153" s="598"/>
      <c r="U153" s="598"/>
      <c r="V153" s="598"/>
      <c r="W153" s="598"/>
      <c r="X153" s="710" t="s">
        <v>190</v>
      </c>
      <c r="Y153" s="713"/>
      <c r="Z153" s="598"/>
      <c r="AA153" s="598"/>
      <c r="AB153" s="598"/>
      <c r="AC153" s="598"/>
      <c r="AD153" s="598"/>
      <c r="AE153" s="598"/>
      <c r="AF153" s="148"/>
      <c r="AG153" s="713"/>
      <c r="AH153" s="598"/>
      <c r="AI153" s="598"/>
      <c r="AJ153" s="598"/>
      <c r="AK153" s="598"/>
      <c r="AL153" s="598"/>
      <c r="AM153" s="598"/>
      <c r="AN153" s="599"/>
      <c r="AO153" s="473"/>
      <c r="AP153" s="600"/>
      <c r="AQ153" s="598"/>
      <c r="AR153" s="598"/>
      <c r="AS153" s="598"/>
      <c r="AT153" s="598"/>
      <c r="AU153" s="671"/>
      <c r="AV153" s="783"/>
      <c r="AW153" s="783"/>
      <c r="AX153" s="783"/>
      <c r="AY153" s="783"/>
      <c r="AZ153" s="783"/>
      <c r="BA153" s="783"/>
      <c r="BB153" s="783"/>
      <c r="BC153" s="598"/>
      <c r="BD153" s="783"/>
      <c r="BE153" s="783"/>
      <c r="BF153" s="783"/>
      <c r="BG153" s="783"/>
      <c r="BH153" s="783"/>
      <c r="BI153" s="783"/>
      <c r="BJ153" s="783"/>
      <c r="BK153" s="598"/>
      <c r="BL153" s="783"/>
      <c r="BM153" s="783"/>
      <c r="BN153" s="783"/>
      <c r="BO153" s="783"/>
      <c r="BP153" s="783"/>
      <c r="BQ153" s="783"/>
      <c r="BR153" s="783"/>
      <c r="BS153" s="598"/>
      <c r="BT153" s="783"/>
      <c r="BU153" s="783"/>
      <c r="BV153" s="783"/>
      <c r="BW153" s="783"/>
      <c r="BX153" s="783"/>
      <c r="BY153" s="783"/>
      <c r="BZ153" s="783"/>
      <c r="CA153" s="598"/>
      <c r="CB153" s="783"/>
      <c r="CC153" s="783"/>
      <c r="CD153" s="783"/>
      <c r="CE153" s="783"/>
      <c r="CF153" s="783"/>
      <c r="CG153" s="783"/>
      <c r="CH153" s="783"/>
      <c r="CI153" s="598"/>
      <c r="CJ153" s="783"/>
      <c r="CK153" s="783"/>
      <c r="CL153" s="783"/>
      <c r="CM153" s="783"/>
      <c r="CN153" s="783"/>
      <c r="CO153" s="783"/>
      <c r="CP153" s="783"/>
      <c r="CQ153" s="664"/>
      <c r="DM153" s="144"/>
      <c r="DN153" s="144"/>
      <c r="DO153" s="144"/>
      <c r="DP153" s="144"/>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634"/>
      <c r="EQ153" s="634"/>
      <c r="ER153" s="634"/>
      <c r="ES153" s="634"/>
    </row>
    <row r="154" spans="2:195" ht="12" customHeight="1" thickTop="1" thickBot="1" x14ac:dyDescent="0.3">
      <c r="B154" s="662"/>
      <c r="C154" s="765"/>
      <c r="D154" s="765"/>
      <c r="E154" s="765"/>
      <c r="F154" s="765"/>
      <c r="G154" s="765"/>
      <c r="H154" s="765"/>
      <c r="I154" s="765"/>
      <c r="J154" s="765"/>
      <c r="K154" s="765"/>
      <c r="L154" s="765"/>
      <c r="M154" s="765"/>
      <c r="N154" s="765"/>
      <c r="O154" s="765"/>
      <c r="P154" s="599"/>
      <c r="Q154" s="148"/>
      <c r="R154" s="663"/>
      <c r="S154" s="598"/>
      <c r="T154" s="598"/>
      <c r="U154" s="598"/>
      <c r="V154" s="598"/>
      <c r="W154" s="598"/>
      <c r="X154" s="667" t="s">
        <v>468</v>
      </c>
      <c r="Y154" s="781"/>
      <c r="Z154" s="781"/>
      <c r="AA154" s="781"/>
      <c r="AB154" s="781"/>
      <c r="AC154" s="781"/>
      <c r="AD154" s="781"/>
      <c r="AE154" s="781"/>
      <c r="AF154" s="148"/>
      <c r="AG154" s="781"/>
      <c r="AH154" s="781"/>
      <c r="AI154" s="781"/>
      <c r="AJ154" s="781"/>
      <c r="AK154" s="781"/>
      <c r="AL154" s="781"/>
      <c r="AM154" s="781"/>
      <c r="AN154" s="599"/>
      <c r="AO154" s="473"/>
      <c r="AP154" s="600"/>
      <c r="AQ154" s="598"/>
      <c r="AR154" s="598"/>
      <c r="AS154" s="598"/>
      <c r="AT154" s="598"/>
      <c r="AU154" s="671"/>
      <c r="AV154" s="783"/>
      <c r="AW154" s="783"/>
      <c r="AX154" s="783"/>
      <c r="AY154" s="783"/>
      <c r="AZ154" s="783"/>
      <c r="BA154" s="783"/>
      <c r="BB154" s="783"/>
      <c r="BC154" s="598"/>
      <c r="BD154" s="783"/>
      <c r="BE154" s="783"/>
      <c r="BF154" s="783"/>
      <c r="BG154" s="783"/>
      <c r="BH154" s="783"/>
      <c r="BI154" s="783"/>
      <c r="BJ154" s="783"/>
      <c r="BK154" s="598"/>
      <c r="BL154" s="783"/>
      <c r="BM154" s="783"/>
      <c r="BN154" s="783"/>
      <c r="BO154" s="783"/>
      <c r="BP154" s="783"/>
      <c r="BQ154" s="783"/>
      <c r="BR154" s="783"/>
      <c r="BS154" s="598"/>
      <c r="BT154" s="783"/>
      <c r="BU154" s="783"/>
      <c r="BV154" s="783"/>
      <c r="BW154" s="783"/>
      <c r="BX154" s="783"/>
      <c r="BY154" s="783"/>
      <c r="BZ154" s="783"/>
      <c r="CA154" s="598"/>
      <c r="CB154" s="783"/>
      <c r="CC154" s="783"/>
      <c r="CD154" s="783"/>
      <c r="CE154" s="783"/>
      <c r="CF154" s="783"/>
      <c r="CG154" s="783"/>
      <c r="CH154" s="783"/>
      <c r="CI154" s="598"/>
      <c r="CJ154" s="783"/>
      <c r="CK154" s="783"/>
      <c r="CL154" s="783"/>
      <c r="CM154" s="783"/>
      <c r="CN154" s="783"/>
      <c r="CO154" s="783"/>
      <c r="CP154" s="783"/>
      <c r="CQ154" s="664"/>
      <c r="DM154" s="144"/>
      <c r="DN154" s="144"/>
      <c r="DO154" s="144"/>
      <c r="DP154" s="144"/>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634"/>
      <c r="EQ154" s="634"/>
      <c r="ER154" s="634"/>
      <c r="ES154" s="634"/>
    </row>
    <row r="155" spans="2:195" ht="12" customHeight="1" thickTop="1" thickBot="1" x14ac:dyDescent="0.3">
      <c r="B155" s="622" t="s">
        <v>385</v>
      </c>
      <c r="C155" s="261"/>
      <c r="D155" s="598"/>
      <c r="E155" s="598"/>
      <c r="F155" s="598"/>
      <c r="G155" s="598"/>
      <c r="H155" s="598"/>
      <c r="I155" s="598"/>
      <c r="J155" s="598"/>
      <c r="K155" s="598"/>
      <c r="L155" s="598"/>
      <c r="M155" s="598"/>
      <c r="N155" s="598"/>
      <c r="O155" s="598"/>
      <c r="P155" s="599"/>
      <c r="Q155" s="148"/>
      <c r="R155" s="663"/>
      <c r="S155" s="598"/>
      <c r="T155" s="598"/>
      <c r="U155" s="598"/>
      <c r="V155" s="598"/>
      <c r="W155" s="598"/>
      <c r="X155" s="667"/>
      <c r="Y155" s="781"/>
      <c r="Z155" s="781"/>
      <c r="AA155" s="781"/>
      <c r="AB155" s="781"/>
      <c r="AC155" s="781"/>
      <c r="AD155" s="781"/>
      <c r="AE155" s="781"/>
      <c r="AF155" s="148"/>
      <c r="AG155" s="781"/>
      <c r="AH155" s="781"/>
      <c r="AI155" s="781"/>
      <c r="AJ155" s="781"/>
      <c r="AK155" s="781"/>
      <c r="AL155" s="781"/>
      <c r="AM155" s="781"/>
      <c r="AN155" s="599"/>
      <c r="AO155" s="473"/>
      <c r="AP155" s="600"/>
      <c r="AQ155" s="598"/>
      <c r="AR155" s="598"/>
      <c r="AS155" s="598"/>
      <c r="AT155" s="598"/>
      <c r="AU155" s="671"/>
      <c r="AV155" s="783"/>
      <c r="AW155" s="783"/>
      <c r="AX155" s="783"/>
      <c r="AY155" s="783"/>
      <c r="AZ155" s="783"/>
      <c r="BA155" s="783"/>
      <c r="BB155" s="783"/>
      <c r="BC155" s="598"/>
      <c r="BD155" s="783"/>
      <c r="BE155" s="783"/>
      <c r="BF155" s="783"/>
      <c r="BG155" s="783"/>
      <c r="BH155" s="783"/>
      <c r="BI155" s="783"/>
      <c r="BJ155" s="783"/>
      <c r="BK155" s="598"/>
      <c r="BL155" s="783"/>
      <c r="BM155" s="783"/>
      <c r="BN155" s="783"/>
      <c r="BO155" s="783"/>
      <c r="BP155" s="783"/>
      <c r="BQ155" s="783"/>
      <c r="BR155" s="783"/>
      <c r="BS155" s="598"/>
      <c r="BT155" s="783"/>
      <c r="BU155" s="783"/>
      <c r="BV155" s="783"/>
      <c r="BW155" s="783"/>
      <c r="BX155" s="783"/>
      <c r="BY155" s="783"/>
      <c r="BZ155" s="783"/>
      <c r="CA155" s="598"/>
      <c r="CB155" s="783"/>
      <c r="CC155" s="783"/>
      <c r="CD155" s="783"/>
      <c r="CE155" s="783"/>
      <c r="CF155" s="783"/>
      <c r="CG155" s="783"/>
      <c r="CH155" s="783"/>
      <c r="CI155" s="598"/>
      <c r="CJ155" s="783"/>
      <c r="CK155" s="783"/>
      <c r="CL155" s="783"/>
      <c r="CM155" s="783"/>
      <c r="CN155" s="783"/>
      <c r="CO155" s="783"/>
      <c r="CP155" s="783"/>
      <c r="CQ155" s="66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634"/>
      <c r="EQ155" s="634"/>
      <c r="ER155" s="634"/>
      <c r="ES155" s="634"/>
    </row>
    <row r="156" spans="2:195" ht="12" customHeight="1" thickTop="1" thickBot="1" x14ac:dyDescent="0.3">
      <c r="B156" s="662" t="s">
        <v>386</v>
      </c>
      <c r="C156" s="261"/>
      <c r="D156" s="598"/>
      <c r="E156" s="598"/>
      <c r="F156" s="598"/>
      <c r="G156" s="598"/>
      <c r="H156" s="598"/>
      <c r="I156" s="598"/>
      <c r="J156" s="598"/>
      <c r="K156" s="598"/>
      <c r="L156" s="598"/>
      <c r="M156" s="598"/>
      <c r="N156" s="598"/>
      <c r="O156" s="598"/>
      <c r="P156" s="599"/>
      <c r="Q156" s="148"/>
      <c r="R156" s="663"/>
      <c r="S156" s="598"/>
      <c r="T156" s="598"/>
      <c r="U156" s="598"/>
      <c r="V156" s="598"/>
      <c r="W156" s="598"/>
      <c r="X156" s="710" t="s">
        <v>1876</v>
      </c>
      <c r="Y156" s="763"/>
      <c r="Z156" s="763"/>
      <c r="AA156" s="763"/>
      <c r="AB156" s="763"/>
      <c r="AC156" s="763"/>
      <c r="AD156" s="763"/>
      <c r="AE156" s="763"/>
      <c r="AF156" s="148"/>
      <c r="AG156" s="763"/>
      <c r="AH156" s="763"/>
      <c r="AI156" s="763"/>
      <c r="AJ156" s="763"/>
      <c r="AK156" s="763"/>
      <c r="AL156" s="763"/>
      <c r="AM156" s="763"/>
      <c r="AN156" s="599"/>
      <c r="AO156" s="473"/>
      <c r="AP156" s="600"/>
      <c r="AQ156" s="598"/>
      <c r="AR156" s="598"/>
      <c r="AS156" s="598"/>
      <c r="AT156" s="598"/>
      <c r="AU156" s="710" t="s">
        <v>190</v>
      </c>
      <c r="AV156" s="709"/>
      <c r="AW156" s="598"/>
      <c r="AX156" s="598"/>
      <c r="AY156" s="598"/>
      <c r="AZ156" s="598"/>
      <c r="BA156" s="598"/>
      <c r="BB156" s="598"/>
      <c r="BC156" s="598"/>
      <c r="BD156" s="709"/>
      <c r="BE156" s="598"/>
      <c r="BF156" s="598"/>
      <c r="BG156" s="598"/>
      <c r="BH156" s="598"/>
      <c r="BI156" s="598"/>
      <c r="BJ156" s="598"/>
      <c r="BK156" s="598"/>
      <c r="BL156" s="709"/>
      <c r="BM156" s="598"/>
      <c r="BN156" s="598"/>
      <c r="BO156" s="598"/>
      <c r="BP156" s="598"/>
      <c r="BQ156" s="598"/>
      <c r="BR156" s="598"/>
      <c r="BS156" s="598"/>
      <c r="BT156" s="709"/>
      <c r="BU156" s="598"/>
      <c r="BV156" s="598"/>
      <c r="BW156" s="598"/>
      <c r="BX156" s="598"/>
      <c r="BY156" s="598"/>
      <c r="BZ156" s="598"/>
      <c r="CA156" s="598"/>
      <c r="CB156" s="709"/>
      <c r="CC156" s="598"/>
      <c r="CD156" s="598"/>
      <c r="CE156" s="598"/>
      <c r="CF156" s="598"/>
      <c r="CG156" s="598"/>
      <c r="CH156" s="598"/>
      <c r="CI156" s="598"/>
      <c r="CJ156" s="709"/>
      <c r="CK156" s="598"/>
      <c r="CL156" s="598"/>
      <c r="CM156" s="598"/>
      <c r="CN156" s="598"/>
      <c r="CO156" s="598"/>
      <c r="CP156" s="598"/>
      <c r="CQ156" s="664"/>
      <c r="DM156" s="144"/>
      <c r="DN156" s="144"/>
      <c r="DO156" s="144"/>
      <c r="DP156" s="144"/>
      <c r="DQ156" s="144"/>
      <c r="DR156" s="144"/>
      <c r="DS156" s="144"/>
      <c r="DT156" s="144"/>
      <c r="DU156" s="144"/>
      <c r="DV156" s="144"/>
      <c r="DW156" s="144"/>
      <c r="DX156" s="144"/>
      <c r="DY156" s="144"/>
      <c r="DZ156" s="144"/>
      <c r="EA156" s="144"/>
      <c r="EB156" s="144"/>
      <c r="EC156" s="144"/>
      <c r="ED156" s="144"/>
      <c r="EE156" s="144"/>
      <c r="EF156" s="144"/>
      <c r="EG156" s="144"/>
      <c r="EH156" s="144"/>
      <c r="EI156" s="144"/>
      <c r="EJ156" s="144"/>
      <c r="EK156" s="144"/>
      <c r="EL156" s="144"/>
      <c r="EM156" s="144"/>
      <c r="EN156" s="144"/>
      <c r="EO156" s="144"/>
      <c r="EP156" s="634"/>
      <c r="EQ156" s="634"/>
      <c r="ER156" s="634"/>
      <c r="ES156" s="634"/>
    </row>
    <row r="157" spans="2:195" ht="12" customHeight="1" thickTop="1" thickBot="1" x14ac:dyDescent="0.3">
      <c r="B157" s="662"/>
      <c r="C157" s="765"/>
      <c r="D157" s="765"/>
      <c r="E157" s="765"/>
      <c r="F157" s="765"/>
      <c r="G157" s="765"/>
      <c r="H157" s="765"/>
      <c r="I157" s="765"/>
      <c r="J157" s="765"/>
      <c r="K157" s="765"/>
      <c r="L157" s="765"/>
      <c r="M157" s="765"/>
      <c r="N157" s="765"/>
      <c r="O157" s="765"/>
      <c r="P157" s="599"/>
      <c r="Q157" s="148"/>
      <c r="R157" s="701"/>
      <c r="S157" s="148"/>
      <c r="T157" s="148"/>
      <c r="U157" s="148"/>
      <c r="V157" s="148"/>
      <c r="W157" s="148"/>
      <c r="X157" s="708" t="s">
        <v>73</v>
      </c>
      <c r="Y157" s="768"/>
      <c r="Z157" s="768"/>
      <c r="AA157" s="768"/>
      <c r="AB157" s="768"/>
      <c r="AC157" s="768"/>
      <c r="AD157" s="768"/>
      <c r="AE157" s="768"/>
      <c r="AF157" s="148"/>
      <c r="AG157" s="768"/>
      <c r="AH157" s="768"/>
      <c r="AI157" s="768"/>
      <c r="AJ157" s="768"/>
      <c r="AK157" s="768"/>
      <c r="AL157" s="768"/>
      <c r="AM157" s="768"/>
      <c r="AN157" s="149"/>
      <c r="AO157" s="473"/>
      <c r="AP157" s="718"/>
      <c r="AQ157" s="784" t="s">
        <v>468</v>
      </c>
      <c r="AR157" s="784"/>
      <c r="AS157" s="784"/>
      <c r="AT157" s="784"/>
      <c r="AU157" s="784"/>
      <c r="AV157" s="781"/>
      <c r="AW157" s="781"/>
      <c r="AX157" s="781"/>
      <c r="AY157" s="781"/>
      <c r="AZ157" s="781"/>
      <c r="BA157" s="781"/>
      <c r="BB157" s="781"/>
      <c r="BC157" s="598"/>
      <c r="BD157" s="781"/>
      <c r="BE157" s="781"/>
      <c r="BF157" s="781"/>
      <c r="BG157" s="781"/>
      <c r="BH157" s="781"/>
      <c r="BI157" s="781"/>
      <c r="BJ157" s="781"/>
      <c r="BK157" s="598"/>
      <c r="BL157" s="781"/>
      <c r="BM157" s="781"/>
      <c r="BN157" s="781"/>
      <c r="BO157" s="781"/>
      <c r="BP157" s="781"/>
      <c r="BQ157" s="781"/>
      <c r="BR157" s="781"/>
      <c r="BS157" s="598"/>
      <c r="BT157" s="781"/>
      <c r="BU157" s="781"/>
      <c r="BV157" s="781"/>
      <c r="BW157" s="781"/>
      <c r="BX157" s="781"/>
      <c r="BY157" s="781"/>
      <c r="BZ157" s="781"/>
      <c r="CA157" s="598"/>
      <c r="CB157" s="781"/>
      <c r="CC157" s="781"/>
      <c r="CD157" s="781"/>
      <c r="CE157" s="781"/>
      <c r="CF157" s="781"/>
      <c r="CG157" s="781"/>
      <c r="CH157" s="781"/>
      <c r="CI157" s="598"/>
      <c r="CJ157" s="781"/>
      <c r="CK157" s="781"/>
      <c r="CL157" s="781"/>
      <c r="CM157" s="781"/>
      <c r="CN157" s="781"/>
      <c r="CO157" s="781"/>
      <c r="CP157" s="781"/>
      <c r="CQ157" s="664"/>
      <c r="DM157" s="144"/>
      <c r="DN157" s="144"/>
      <c r="DO157" s="144"/>
      <c r="DP157" s="144"/>
      <c r="DQ157" s="144"/>
      <c r="DR157" s="144"/>
      <c r="DS157" s="144"/>
      <c r="DT157" s="144"/>
      <c r="DU157" s="144"/>
      <c r="DV157" s="144"/>
      <c r="DW157" s="144"/>
      <c r="DX157" s="144"/>
      <c r="DY157" s="144"/>
      <c r="DZ157" s="144"/>
      <c r="EA157" s="144"/>
      <c r="EB157" s="144"/>
      <c r="EC157" s="144"/>
      <c r="ED157" s="144"/>
      <c r="EE157" s="144"/>
      <c r="EF157" s="144"/>
      <c r="EG157" s="144"/>
      <c r="EH157" s="144"/>
      <c r="EI157" s="144"/>
      <c r="EJ157" s="144"/>
      <c r="EK157" s="144"/>
      <c r="EL157" s="144"/>
      <c r="EM157" s="144"/>
      <c r="EN157" s="144"/>
      <c r="EO157" s="144"/>
      <c r="EP157" s="634"/>
      <c r="EQ157" s="634"/>
      <c r="ER157" s="634"/>
      <c r="ES157" s="634"/>
      <c r="FT157" s="144"/>
      <c r="FU157" s="144"/>
    </row>
    <row r="158" spans="2:195" ht="12" customHeight="1" thickTop="1" thickBot="1" x14ac:dyDescent="0.3">
      <c r="B158" s="622" t="s">
        <v>387</v>
      </c>
      <c r="C158" s="261"/>
      <c r="D158" s="598"/>
      <c r="E158" s="598"/>
      <c r="F158" s="598"/>
      <c r="G158" s="598"/>
      <c r="H158" s="598"/>
      <c r="I158" s="598"/>
      <c r="J158" s="598"/>
      <c r="K158" s="598"/>
      <c r="L158" s="598"/>
      <c r="M158" s="598"/>
      <c r="N158" s="598"/>
      <c r="O158" s="598"/>
      <c r="P158" s="599"/>
      <c r="Q158" s="148"/>
      <c r="R158" s="663"/>
      <c r="S158" s="598"/>
      <c r="T158" s="598"/>
      <c r="U158" s="598"/>
      <c r="V158" s="598"/>
      <c r="W158" s="598"/>
      <c r="X158" s="710" t="s">
        <v>28</v>
      </c>
      <c r="Y158" s="762"/>
      <c r="Z158" s="762"/>
      <c r="AA158" s="762"/>
      <c r="AB158" s="762"/>
      <c r="AC158" s="762"/>
      <c r="AD158" s="762"/>
      <c r="AE158" s="762"/>
      <c r="AF158" s="148"/>
      <c r="AG158" s="762"/>
      <c r="AH158" s="762"/>
      <c r="AI158" s="762"/>
      <c r="AJ158" s="762"/>
      <c r="AK158" s="762"/>
      <c r="AL158" s="762"/>
      <c r="AM158" s="762"/>
      <c r="AN158" s="599"/>
      <c r="AO158" s="473"/>
      <c r="AP158" s="718"/>
      <c r="AQ158" s="784"/>
      <c r="AR158" s="784"/>
      <c r="AS158" s="784"/>
      <c r="AT158" s="784"/>
      <c r="AU158" s="784"/>
      <c r="AV158" s="781"/>
      <c r="AW158" s="781"/>
      <c r="AX158" s="781"/>
      <c r="AY158" s="781"/>
      <c r="AZ158" s="781"/>
      <c r="BA158" s="781"/>
      <c r="BB158" s="781"/>
      <c r="BC158" s="598"/>
      <c r="BD158" s="781"/>
      <c r="BE158" s="781"/>
      <c r="BF158" s="781"/>
      <c r="BG158" s="781"/>
      <c r="BH158" s="781"/>
      <c r="BI158" s="781"/>
      <c r="BJ158" s="781"/>
      <c r="BK158" s="598"/>
      <c r="BL158" s="781"/>
      <c r="BM158" s="781"/>
      <c r="BN158" s="781"/>
      <c r="BO158" s="781"/>
      <c r="BP158" s="781"/>
      <c r="BQ158" s="781"/>
      <c r="BR158" s="781"/>
      <c r="BS158" s="598"/>
      <c r="BT158" s="781"/>
      <c r="BU158" s="781"/>
      <c r="BV158" s="781"/>
      <c r="BW158" s="781"/>
      <c r="BX158" s="781"/>
      <c r="BY158" s="781"/>
      <c r="BZ158" s="781"/>
      <c r="CA158" s="598"/>
      <c r="CB158" s="781"/>
      <c r="CC158" s="781"/>
      <c r="CD158" s="781"/>
      <c r="CE158" s="781"/>
      <c r="CF158" s="781"/>
      <c r="CG158" s="781"/>
      <c r="CH158" s="781"/>
      <c r="CI158" s="598"/>
      <c r="CJ158" s="781"/>
      <c r="CK158" s="781"/>
      <c r="CL158" s="781"/>
      <c r="CM158" s="781"/>
      <c r="CN158" s="781"/>
      <c r="CO158" s="781"/>
      <c r="CP158" s="781"/>
      <c r="CQ158" s="664"/>
      <c r="DM158" s="144"/>
      <c r="DN158" s="144"/>
      <c r="DO158" s="144"/>
      <c r="DP158" s="144"/>
      <c r="DQ158" s="144"/>
      <c r="DR158" s="144"/>
      <c r="DS158" s="144"/>
      <c r="DT158" s="144"/>
      <c r="DU158" s="144"/>
      <c r="DV158" s="144"/>
      <c r="DW158" s="144"/>
      <c r="DX158" s="144"/>
      <c r="DY158" s="144"/>
      <c r="DZ158" s="144"/>
      <c r="EA158" s="144"/>
      <c r="EB158" s="144"/>
      <c r="EC158" s="144"/>
      <c r="ED158" s="144"/>
      <c r="EE158" s="144"/>
      <c r="EF158" s="144"/>
      <c r="EG158" s="144"/>
      <c r="EH158" s="144"/>
      <c r="EI158" s="144"/>
      <c r="EJ158" s="144"/>
      <c r="EK158" s="144"/>
      <c r="EL158" s="144"/>
      <c r="EM158" s="144"/>
      <c r="EN158" s="144"/>
      <c r="EO158" s="144"/>
      <c r="EP158" s="634"/>
      <c r="EQ158" s="634"/>
      <c r="ER158" s="634"/>
      <c r="ES158" s="634"/>
    </row>
    <row r="159" spans="2:195" ht="12" customHeight="1" thickTop="1" thickBot="1" x14ac:dyDescent="0.35">
      <c r="B159" s="662" t="s">
        <v>388</v>
      </c>
      <c r="C159" s="261"/>
      <c r="D159" s="598"/>
      <c r="E159" s="598"/>
      <c r="F159" s="598"/>
      <c r="G159" s="598"/>
      <c r="H159" s="598"/>
      <c r="I159" s="598"/>
      <c r="J159" s="598"/>
      <c r="K159" s="598"/>
      <c r="L159" s="598"/>
      <c r="M159" s="598"/>
      <c r="N159" s="598"/>
      <c r="O159" s="598"/>
      <c r="P159" s="599"/>
      <c r="Q159" s="148"/>
      <c r="R159" s="663"/>
      <c r="S159" s="598"/>
      <c r="T159" s="598"/>
      <c r="U159" s="598"/>
      <c r="V159" s="598"/>
      <c r="W159" s="598"/>
      <c r="X159" s="710" t="s">
        <v>29</v>
      </c>
      <c r="Y159" s="769"/>
      <c r="Z159" s="769"/>
      <c r="AA159" s="769"/>
      <c r="AB159" s="769"/>
      <c r="AC159" s="769"/>
      <c r="AD159" s="769"/>
      <c r="AE159" s="769"/>
      <c r="AF159" s="148"/>
      <c r="AG159" s="769"/>
      <c r="AH159" s="769"/>
      <c r="AI159" s="769"/>
      <c r="AJ159" s="769"/>
      <c r="AK159" s="769"/>
      <c r="AL159" s="769"/>
      <c r="AM159" s="769"/>
      <c r="AN159" s="599"/>
      <c r="AO159" s="473"/>
      <c r="AP159" s="673"/>
      <c r="AQ159" s="674"/>
      <c r="AR159" s="674"/>
      <c r="AS159" s="674"/>
      <c r="AT159" s="674"/>
      <c r="AU159" s="708" t="s">
        <v>1876</v>
      </c>
      <c r="AV159" s="763"/>
      <c r="AW159" s="763"/>
      <c r="AX159" s="763"/>
      <c r="AY159" s="763"/>
      <c r="AZ159" s="763"/>
      <c r="BA159" s="763"/>
      <c r="BB159" s="763"/>
      <c r="BC159" s="598"/>
      <c r="BD159" s="763"/>
      <c r="BE159" s="763"/>
      <c r="BF159" s="763"/>
      <c r="BG159" s="763"/>
      <c r="BH159" s="763"/>
      <c r="BI159" s="763"/>
      <c r="BJ159" s="763"/>
      <c r="BK159" s="598"/>
      <c r="BL159" s="763"/>
      <c r="BM159" s="763"/>
      <c r="BN159" s="763"/>
      <c r="BO159" s="763"/>
      <c r="BP159" s="763"/>
      <c r="BQ159" s="763"/>
      <c r="BR159" s="763"/>
      <c r="BS159" s="598"/>
      <c r="BT159" s="763"/>
      <c r="BU159" s="763"/>
      <c r="BV159" s="763"/>
      <c r="BW159" s="763"/>
      <c r="BX159" s="763"/>
      <c r="BY159" s="763"/>
      <c r="BZ159" s="763"/>
      <c r="CA159" s="598"/>
      <c r="CB159" s="763"/>
      <c r="CC159" s="763"/>
      <c r="CD159" s="763"/>
      <c r="CE159" s="763"/>
      <c r="CF159" s="763"/>
      <c r="CG159" s="763"/>
      <c r="CH159" s="763"/>
      <c r="CI159" s="598"/>
      <c r="CJ159" s="763"/>
      <c r="CK159" s="763"/>
      <c r="CL159" s="763"/>
      <c r="CM159" s="763"/>
      <c r="CN159" s="763"/>
      <c r="CO159" s="763"/>
      <c r="CP159" s="763"/>
      <c r="CQ159" s="664"/>
      <c r="DM159" s="144"/>
      <c r="DN159" s="144"/>
      <c r="DO159" s="144"/>
      <c r="DP159" s="144"/>
      <c r="DQ159" s="144"/>
      <c r="DR159" s="144"/>
      <c r="DS159" s="144"/>
      <c r="DT159" s="144"/>
      <c r="DU159" s="144"/>
      <c r="DV159" s="144"/>
      <c r="DW159" s="144"/>
      <c r="DX159" s="144"/>
      <c r="DY159" s="144"/>
      <c r="DZ159" s="144"/>
      <c r="EA159" s="144"/>
      <c r="EB159" s="144"/>
      <c r="EC159" s="144"/>
      <c r="ED159" s="144"/>
      <c r="EE159" s="144"/>
      <c r="EF159" s="144"/>
      <c r="EG159" s="144"/>
      <c r="EH159" s="144"/>
      <c r="EI159" s="144"/>
      <c r="EJ159" s="144"/>
      <c r="EK159" s="144"/>
      <c r="EL159" s="144"/>
      <c r="EM159" s="144"/>
      <c r="EN159" s="144"/>
      <c r="EO159" s="144"/>
      <c r="EP159" s="634"/>
      <c r="EQ159" s="634"/>
      <c r="ER159" s="634"/>
      <c r="ES159" s="634"/>
    </row>
    <row r="160" spans="2:195" ht="12" customHeight="1" thickTop="1" thickBot="1" x14ac:dyDescent="0.3">
      <c r="B160" s="662"/>
      <c r="C160" s="765"/>
      <c r="D160" s="765"/>
      <c r="E160" s="765"/>
      <c r="F160" s="765"/>
      <c r="G160" s="765"/>
      <c r="H160" s="765"/>
      <c r="I160" s="765"/>
      <c r="J160" s="765"/>
      <c r="K160" s="765"/>
      <c r="L160" s="765"/>
      <c r="M160" s="765"/>
      <c r="N160" s="765"/>
      <c r="O160" s="765"/>
      <c r="P160" s="599"/>
      <c r="Q160" s="148"/>
      <c r="R160" s="663"/>
      <c r="S160" s="598"/>
      <c r="T160" s="598"/>
      <c r="U160" s="598"/>
      <c r="V160" s="598"/>
      <c r="W160" s="598"/>
      <c r="X160" s="710" t="s">
        <v>21</v>
      </c>
      <c r="Y160" s="762"/>
      <c r="Z160" s="762"/>
      <c r="AA160" s="762"/>
      <c r="AB160" s="762"/>
      <c r="AC160" s="762"/>
      <c r="AD160" s="762"/>
      <c r="AE160" s="762"/>
      <c r="AF160" s="148"/>
      <c r="AG160" s="762"/>
      <c r="AH160" s="762"/>
      <c r="AI160" s="762"/>
      <c r="AJ160" s="762"/>
      <c r="AK160" s="762"/>
      <c r="AL160" s="762"/>
      <c r="AM160" s="762"/>
      <c r="AN160" s="599"/>
      <c r="AO160" s="473"/>
      <c r="AP160" s="707"/>
      <c r="AQ160" s="675"/>
      <c r="AR160" s="675"/>
      <c r="AS160" s="675"/>
      <c r="AT160" s="675"/>
      <c r="AU160" s="708" t="s">
        <v>73</v>
      </c>
      <c r="AV160" s="768"/>
      <c r="AW160" s="768"/>
      <c r="AX160" s="768"/>
      <c r="AY160" s="768"/>
      <c r="AZ160" s="768"/>
      <c r="BA160" s="768"/>
      <c r="BB160" s="768"/>
      <c r="BC160" s="598"/>
      <c r="BD160" s="768"/>
      <c r="BE160" s="768"/>
      <c r="BF160" s="768"/>
      <c r="BG160" s="768"/>
      <c r="BH160" s="768"/>
      <c r="BI160" s="768"/>
      <c r="BJ160" s="768"/>
      <c r="BK160" s="598"/>
      <c r="BL160" s="768"/>
      <c r="BM160" s="768"/>
      <c r="BN160" s="768"/>
      <c r="BO160" s="768"/>
      <c r="BP160" s="768"/>
      <c r="BQ160" s="768"/>
      <c r="BR160" s="768"/>
      <c r="BS160" s="598"/>
      <c r="BT160" s="768"/>
      <c r="BU160" s="768"/>
      <c r="BV160" s="768"/>
      <c r="BW160" s="768"/>
      <c r="BX160" s="768"/>
      <c r="BY160" s="768"/>
      <c r="BZ160" s="768"/>
      <c r="CA160" s="598"/>
      <c r="CB160" s="768"/>
      <c r="CC160" s="768"/>
      <c r="CD160" s="768"/>
      <c r="CE160" s="768"/>
      <c r="CF160" s="768"/>
      <c r="CG160" s="768"/>
      <c r="CH160" s="768"/>
      <c r="CI160" s="598"/>
      <c r="CJ160" s="768"/>
      <c r="CK160" s="768"/>
      <c r="CL160" s="768"/>
      <c r="CM160" s="768"/>
      <c r="CN160" s="768"/>
      <c r="CO160" s="768"/>
      <c r="CP160" s="768"/>
      <c r="CQ160" s="664"/>
      <c r="DM160" s="144"/>
      <c r="DN160" s="144"/>
      <c r="DO160" s="144"/>
      <c r="DP160" s="144"/>
      <c r="DQ160" s="144"/>
      <c r="DR160" s="144"/>
      <c r="DS160" s="144"/>
      <c r="DT160" s="144"/>
      <c r="DU160" s="144"/>
      <c r="DV160" s="144"/>
      <c r="DW160" s="144"/>
      <c r="DX160" s="144"/>
      <c r="DY160" s="144"/>
      <c r="DZ160" s="144"/>
      <c r="EA160" s="144"/>
      <c r="EB160" s="144"/>
      <c r="EC160" s="144"/>
      <c r="ED160" s="144"/>
      <c r="EE160" s="144"/>
      <c r="EF160" s="144"/>
      <c r="EG160" s="144"/>
      <c r="EH160" s="144"/>
      <c r="EI160" s="144"/>
      <c r="EJ160" s="144"/>
      <c r="EK160" s="144"/>
      <c r="EL160" s="144"/>
      <c r="EM160" s="144"/>
      <c r="EN160" s="144"/>
      <c r="EO160" s="144"/>
      <c r="EP160" s="634"/>
      <c r="EQ160" s="634"/>
      <c r="ER160" s="634"/>
      <c r="ES160" s="634"/>
    </row>
    <row r="161" spans="2:153" ht="12" customHeight="1" thickTop="1" thickBot="1" x14ac:dyDescent="0.35">
      <c r="B161" s="622" t="s">
        <v>389</v>
      </c>
      <c r="C161" s="261"/>
      <c r="D161" s="598"/>
      <c r="E161" s="598"/>
      <c r="F161" s="598"/>
      <c r="G161" s="598"/>
      <c r="H161" s="598"/>
      <c r="I161" s="598"/>
      <c r="J161" s="598"/>
      <c r="K161" s="598"/>
      <c r="L161" s="598"/>
      <c r="M161" s="598"/>
      <c r="N161" s="598"/>
      <c r="O161" s="598"/>
      <c r="P161" s="599"/>
      <c r="Q161" s="148"/>
      <c r="R161" s="663"/>
      <c r="S161" s="598"/>
      <c r="T161" s="598"/>
      <c r="U161" s="598"/>
      <c r="V161" s="598"/>
      <c r="W161" s="598"/>
      <c r="X161" s="710" t="s">
        <v>181</v>
      </c>
      <c r="Y161" s="763"/>
      <c r="Z161" s="763"/>
      <c r="AA161" s="763"/>
      <c r="AB161" s="763"/>
      <c r="AC161" s="763"/>
      <c r="AD161" s="763"/>
      <c r="AE161" s="763"/>
      <c r="AF161" s="148"/>
      <c r="AG161" s="763"/>
      <c r="AH161" s="763"/>
      <c r="AI161" s="763"/>
      <c r="AJ161" s="763"/>
      <c r="AK161" s="763"/>
      <c r="AL161" s="763"/>
      <c r="AM161" s="763"/>
      <c r="AN161" s="599"/>
      <c r="AO161" s="473"/>
      <c r="AP161" s="673"/>
      <c r="AQ161" s="674"/>
      <c r="AR161" s="674"/>
      <c r="AS161" s="674"/>
      <c r="AT161" s="674"/>
      <c r="AU161" s="708" t="s">
        <v>180</v>
      </c>
      <c r="AV161" s="797"/>
      <c r="AW161" s="797"/>
      <c r="AX161" s="797"/>
      <c r="AY161" s="797"/>
      <c r="AZ161" s="797"/>
      <c r="BA161" s="797"/>
      <c r="BB161" s="797"/>
      <c r="BC161" s="598"/>
      <c r="BD161" s="797"/>
      <c r="BE161" s="797"/>
      <c r="BF161" s="797"/>
      <c r="BG161" s="797"/>
      <c r="BH161" s="797"/>
      <c r="BI161" s="797"/>
      <c r="BJ161" s="797"/>
      <c r="BK161" s="598"/>
      <c r="BL161" s="797"/>
      <c r="BM161" s="797"/>
      <c r="BN161" s="797"/>
      <c r="BO161" s="797"/>
      <c r="BP161" s="797"/>
      <c r="BQ161" s="797"/>
      <c r="BR161" s="797"/>
      <c r="BS161" s="598"/>
      <c r="BT161" s="797"/>
      <c r="BU161" s="797"/>
      <c r="BV161" s="797"/>
      <c r="BW161" s="797"/>
      <c r="BX161" s="797"/>
      <c r="BY161" s="797"/>
      <c r="BZ161" s="797"/>
      <c r="CA161" s="598"/>
      <c r="CB161" s="797"/>
      <c r="CC161" s="797"/>
      <c r="CD161" s="797"/>
      <c r="CE161" s="797"/>
      <c r="CF161" s="797"/>
      <c r="CG161" s="797"/>
      <c r="CH161" s="797"/>
      <c r="CI161" s="598"/>
      <c r="CJ161" s="797"/>
      <c r="CK161" s="797"/>
      <c r="CL161" s="797"/>
      <c r="CM161" s="797"/>
      <c r="CN161" s="797"/>
      <c r="CO161" s="797"/>
      <c r="CP161" s="797"/>
      <c r="CQ161" s="664"/>
      <c r="DM161" s="144"/>
      <c r="DN161" s="144"/>
      <c r="DO161" s="144"/>
      <c r="DP161" s="144"/>
      <c r="DQ161" s="144"/>
      <c r="DR161" s="144"/>
      <c r="DS161" s="144"/>
      <c r="DT161" s="144"/>
      <c r="DU161" s="144"/>
      <c r="DV161" s="144"/>
      <c r="DW161" s="144"/>
      <c r="DX161" s="144"/>
      <c r="DY161" s="144"/>
      <c r="DZ161" s="144"/>
      <c r="EA161" s="144"/>
      <c r="EB161" s="144"/>
      <c r="EC161" s="144"/>
      <c r="ED161" s="144"/>
      <c r="EE161" s="144"/>
      <c r="EF161" s="144"/>
      <c r="EG161" s="144"/>
      <c r="EH161" s="144"/>
      <c r="EI161" s="144"/>
      <c r="EJ161" s="144"/>
      <c r="EK161" s="144"/>
      <c r="EL161" s="144"/>
      <c r="EM161" s="144"/>
      <c r="EN161" s="144"/>
      <c r="EO161" s="144"/>
      <c r="EP161" s="634"/>
      <c r="EQ161" s="634"/>
      <c r="ER161" s="634"/>
      <c r="ES161" s="634"/>
    </row>
    <row r="162" spans="2:153" ht="12" customHeight="1" thickTop="1" thickBot="1" x14ac:dyDescent="0.35">
      <c r="B162" s="662" t="s">
        <v>390</v>
      </c>
      <c r="C162" s="261"/>
      <c r="D162" s="598"/>
      <c r="E162" s="598"/>
      <c r="F162" s="598"/>
      <c r="G162" s="598"/>
      <c r="H162" s="598"/>
      <c r="I162" s="598"/>
      <c r="J162" s="598"/>
      <c r="K162" s="598"/>
      <c r="L162" s="598"/>
      <c r="M162" s="598"/>
      <c r="N162" s="598"/>
      <c r="O162" s="598"/>
      <c r="P162" s="599"/>
      <c r="Q162" s="148"/>
      <c r="R162" s="672"/>
      <c r="S162" s="598"/>
      <c r="T162" s="598"/>
      <c r="U162" s="598"/>
      <c r="V162" s="598"/>
      <c r="W162" s="598"/>
      <c r="X162" s="710" t="s">
        <v>12</v>
      </c>
      <c r="Y162" s="764"/>
      <c r="Z162" s="764"/>
      <c r="AA162" s="764"/>
      <c r="AB162" s="764"/>
      <c r="AC162" s="764"/>
      <c r="AD162" s="764"/>
      <c r="AE162" s="764"/>
      <c r="AF162" s="148"/>
      <c r="AG162" s="764"/>
      <c r="AH162" s="764"/>
      <c r="AI162" s="764"/>
      <c r="AJ162" s="764"/>
      <c r="AK162" s="764"/>
      <c r="AL162" s="764"/>
      <c r="AM162" s="764"/>
      <c r="AN162" s="599"/>
      <c r="AO162" s="473"/>
      <c r="AP162" s="673"/>
      <c r="AQ162" s="674"/>
      <c r="AR162" s="674"/>
      <c r="AS162" s="674"/>
      <c r="AT162" s="674"/>
      <c r="AU162" s="708" t="s">
        <v>47</v>
      </c>
      <c r="AV162" s="763"/>
      <c r="AW162" s="763"/>
      <c r="AX162" s="763"/>
      <c r="AY162" s="763"/>
      <c r="AZ162" s="763"/>
      <c r="BA162" s="763"/>
      <c r="BB162" s="763"/>
      <c r="BC162" s="598"/>
      <c r="BD162" s="763"/>
      <c r="BE162" s="763"/>
      <c r="BF162" s="763"/>
      <c r="BG162" s="763"/>
      <c r="BH162" s="763"/>
      <c r="BI162" s="763"/>
      <c r="BJ162" s="763"/>
      <c r="BK162" s="598"/>
      <c r="BL162" s="763"/>
      <c r="BM162" s="763"/>
      <c r="BN162" s="763"/>
      <c r="BO162" s="763"/>
      <c r="BP162" s="763"/>
      <c r="BQ162" s="763"/>
      <c r="BR162" s="763"/>
      <c r="BS162" s="598"/>
      <c r="BT162" s="763"/>
      <c r="BU162" s="763"/>
      <c r="BV162" s="763"/>
      <c r="BW162" s="763"/>
      <c r="BX162" s="763"/>
      <c r="BY162" s="763"/>
      <c r="BZ162" s="763"/>
      <c r="CA162" s="598"/>
      <c r="CB162" s="763"/>
      <c r="CC162" s="763"/>
      <c r="CD162" s="763"/>
      <c r="CE162" s="763"/>
      <c r="CF162" s="763"/>
      <c r="CG162" s="763"/>
      <c r="CH162" s="763"/>
      <c r="CI162" s="598"/>
      <c r="CJ162" s="763"/>
      <c r="CK162" s="763"/>
      <c r="CL162" s="763"/>
      <c r="CM162" s="763"/>
      <c r="CN162" s="763"/>
      <c r="CO162" s="763"/>
      <c r="CP162" s="763"/>
      <c r="CQ162" s="599"/>
      <c r="DM162" s="144"/>
      <c r="DN162" s="144"/>
      <c r="DO162" s="144"/>
      <c r="DP162" s="144"/>
      <c r="DQ162" s="144"/>
      <c r="DR162" s="144"/>
      <c r="DS162" s="144"/>
      <c r="DT162" s="144"/>
      <c r="DU162" s="144"/>
      <c r="DV162" s="144"/>
      <c r="DW162" s="144"/>
      <c r="DX162" s="144"/>
      <c r="DY162" s="144"/>
      <c r="DZ162" s="144"/>
      <c r="EA162" s="144"/>
      <c r="EB162" s="144"/>
      <c r="EC162" s="144"/>
      <c r="ED162" s="144"/>
      <c r="EE162" s="144"/>
      <c r="EF162" s="144"/>
      <c r="EG162" s="144"/>
      <c r="EH162" s="144"/>
      <c r="EI162" s="144"/>
      <c r="EJ162" s="144"/>
      <c r="EK162" s="144"/>
      <c r="EL162" s="144"/>
      <c r="EM162" s="144"/>
      <c r="EN162" s="144"/>
      <c r="EO162" s="144"/>
      <c r="EP162" s="634"/>
      <c r="EQ162" s="634"/>
      <c r="ER162" s="634"/>
      <c r="ES162" s="634"/>
    </row>
    <row r="163" spans="2:153" ht="12" customHeight="1" thickTop="1" thickBot="1" x14ac:dyDescent="0.35">
      <c r="B163" s="662"/>
      <c r="C163" s="765"/>
      <c r="D163" s="765"/>
      <c r="E163" s="765"/>
      <c r="F163" s="765"/>
      <c r="G163" s="765"/>
      <c r="H163" s="765"/>
      <c r="I163" s="765"/>
      <c r="J163" s="765"/>
      <c r="K163" s="765"/>
      <c r="L163" s="765"/>
      <c r="M163" s="765"/>
      <c r="N163" s="765"/>
      <c r="O163" s="765"/>
      <c r="P163" s="599"/>
      <c r="Q163" s="148"/>
      <c r="R163" s="672"/>
      <c r="S163" s="598"/>
      <c r="T163" s="598"/>
      <c r="U163" s="598"/>
      <c r="V163" s="598"/>
      <c r="W163" s="598"/>
      <c r="X163" s="710" t="s">
        <v>111</v>
      </c>
      <c r="Y163" s="766"/>
      <c r="Z163" s="766"/>
      <c r="AA163" s="766"/>
      <c r="AB163" s="766"/>
      <c r="AC163" s="766"/>
      <c r="AD163" s="766"/>
      <c r="AE163" s="766"/>
      <c r="AF163" s="148"/>
      <c r="AG163" s="760"/>
      <c r="AH163" s="760"/>
      <c r="AI163" s="760"/>
      <c r="AJ163" s="760"/>
      <c r="AK163" s="760"/>
      <c r="AL163" s="760"/>
      <c r="AM163" s="760"/>
      <c r="AN163" s="599"/>
      <c r="AO163" s="473"/>
      <c r="AP163" s="673"/>
      <c r="AQ163" s="674"/>
      <c r="AR163" s="674"/>
      <c r="AS163" s="674"/>
      <c r="AT163" s="674"/>
      <c r="AU163" s="708" t="s">
        <v>9</v>
      </c>
      <c r="AV163" s="763"/>
      <c r="AW163" s="763"/>
      <c r="AX163" s="763"/>
      <c r="AY163" s="763"/>
      <c r="AZ163" s="763"/>
      <c r="BA163" s="763"/>
      <c r="BB163" s="763"/>
      <c r="BC163" s="598"/>
      <c r="BD163" s="763"/>
      <c r="BE163" s="763"/>
      <c r="BF163" s="763"/>
      <c r="BG163" s="763"/>
      <c r="BH163" s="763"/>
      <c r="BI163" s="763"/>
      <c r="BJ163" s="763"/>
      <c r="BK163" s="598"/>
      <c r="BL163" s="763"/>
      <c r="BM163" s="763"/>
      <c r="BN163" s="763"/>
      <c r="BO163" s="763"/>
      <c r="BP163" s="763"/>
      <c r="BQ163" s="763"/>
      <c r="BR163" s="763"/>
      <c r="BS163" s="598"/>
      <c r="BT163" s="763"/>
      <c r="BU163" s="763"/>
      <c r="BV163" s="763"/>
      <c r="BW163" s="763"/>
      <c r="BX163" s="763"/>
      <c r="BY163" s="763"/>
      <c r="BZ163" s="763"/>
      <c r="CA163" s="598"/>
      <c r="CB163" s="763"/>
      <c r="CC163" s="763"/>
      <c r="CD163" s="763"/>
      <c r="CE163" s="763"/>
      <c r="CF163" s="763"/>
      <c r="CG163" s="763"/>
      <c r="CH163" s="763"/>
      <c r="CI163" s="598"/>
      <c r="CJ163" s="763"/>
      <c r="CK163" s="763"/>
      <c r="CL163" s="763"/>
      <c r="CM163" s="763"/>
      <c r="CN163" s="763"/>
      <c r="CO163" s="763"/>
      <c r="CP163" s="763"/>
      <c r="CQ163" s="599"/>
      <c r="DM163" s="144"/>
      <c r="DN163" s="144"/>
      <c r="DO163" s="144"/>
      <c r="DP163" s="144"/>
      <c r="DQ163" s="144"/>
      <c r="DR163" s="144"/>
      <c r="DS163" s="144"/>
      <c r="DT163" s="144"/>
      <c r="DU163" s="144"/>
      <c r="DV163" s="144"/>
      <c r="DW163" s="144"/>
      <c r="DX163" s="144"/>
      <c r="DY163" s="144"/>
      <c r="DZ163" s="144"/>
      <c r="EA163" s="144"/>
      <c r="EB163" s="144"/>
      <c r="EC163" s="144"/>
      <c r="ED163" s="144"/>
      <c r="EE163" s="144"/>
      <c r="EF163" s="144"/>
      <c r="EG163" s="144"/>
      <c r="EH163" s="144"/>
      <c r="EI163" s="144"/>
      <c r="EJ163" s="144"/>
      <c r="EK163" s="144"/>
      <c r="EL163" s="144"/>
      <c r="EM163" s="144"/>
      <c r="EN163" s="144"/>
      <c r="EO163" s="144"/>
      <c r="EP163" s="634"/>
      <c r="EQ163" s="634"/>
      <c r="ER163" s="634"/>
      <c r="ES163" s="634"/>
    </row>
    <row r="164" spans="2:153" ht="12" customHeight="1" thickTop="1" thickBot="1" x14ac:dyDescent="0.35">
      <c r="B164" s="622" t="s">
        <v>391</v>
      </c>
      <c r="C164" s="261"/>
      <c r="D164" s="598"/>
      <c r="E164" s="598"/>
      <c r="F164" s="598"/>
      <c r="G164" s="598"/>
      <c r="H164" s="598"/>
      <c r="I164" s="598"/>
      <c r="J164" s="598"/>
      <c r="K164" s="598"/>
      <c r="L164" s="598"/>
      <c r="M164" s="598"/>
      <c r="N164" s="598"/>
      <c r="O164" s="598"/>
      <c r="P164" s="599"/>
      <c r="Q164" s="148"/>
      <c r="R164" s="672"/>
      <c r="S164" s="643"/>
      <c r="T164" s="598"/>
      <c r="U164" s="598"/>
      <c r="V164" s="598"/>
      <c r="W164" s="598"/>
      <c r="X164" s="598"/>
      <c r="Y164" s="767"/>
      <c r="Z164" s="767"/>
      <c r="AA164" s="767"/>
      <c r="AB164" s="767"/>
      <c r="AC164" s="767"/>
      <c r="AD164" s="767"/>
      <c r="AE164" s="767"/>
      <c r="AF164" s="148"/>
      <c r="AG164" s="761"/>
      <c r="AH164" s="761"/>
      <c r="AI164" s="761"/>
      <c r="AJ164" s="761"/>
      <c r="AK164" s="761"/>
      <c r="AL164" s="761"/>
      <c r="AM164" s="761"/>
      <c r="AN164" s="599"/>
      <c r="AO164" s="473"/>
      <c r="AP164" s="673"/>
      <c r="AQ164" s="674"/>
      <c r="AR164" s="674"/>
      <c r="AS164" s="674"/>
      <c r="AT164" s="674"/>
      <c r="AU164" s="708" t="s">
        <v>48</v>
      </c>
      <c r="AV164" s="870"/>
      <c r="AW164" s="870"/>
      <c r="AX164" s="870"/>
      <c r="AY164" s="870"/>
      <c r="AZ164" s="870"/>
      <c r="BA164" s="870"/>
      <c r="BB164" s="870"/>
      <c r="BC164" s="598"/>
      <c r="BD164" s="870"/>
      <c r="BE164" s="870"/>
      <c r="BF164" s="870"/>
      <c r="BG164" s="870"/>
      <c r="BH164" s="870"/>
      <c r="BI164" s="870"/>
      <c r="BJ164" s="870"/>
      <c r="BK164" s="598"/>
      <c r="BL164" s="870"/>
      <c r="BM164" s="870"/>
      <c r="BN164" s="870"/>
      <c r="BO164" s="870"/>
      <c r="BP164" s="870"/>
      <c r="BQ164" s="870"/>
      <c r="BR164" s="870"/>
      <c r="BS164" s="598"/>
      <c r="BT164" s="870"/>
      <c r="BU164" s="870"/>
      <c r="BV164" s="870"/>
      <c r="BW164" s="870"/>
      <c r="BX164" s="870"/>
      <c r="BY164" s="870"/>
      <c r="BZ164" s="870"/>
      <c r="CA164" s="598"/>
      <c r="CB164" s="870"/>
      <c r="CC164" s="870"/>
      <c r="CD164" s="870"/>
      <c r="CE164" s="870"/>
      <c r="CF164" s="870"/>
      <c r="CG164" s="870"/>
      <c r="CH164" s="870"/>
      <c r="CI164" s="598"/>
      <c r="CJ164" s="870"/>
      <c r="CK164" s="870"/>
      <c r="CL164" s="870"/>
      <c r="CM164" s="870"/>
      <c r="CN164" s="870"/>
      <c r="CO164" s="870"/>
      <c r="CP164" s="870"/>
      <c r="CQ164" s="599"/>
      <c r="DM164" s="144"/>
      <c r="DN164" s="144"/>
      <c r="DO164" s="144"/>
      <c r="DP164" s="144"/>
      <c r="DQ164" s="144"/>
      <c r="DR164" s="144"/>
      <c r="DS164" s="144"/>
      <c r="DT164" s="144"/>
      <c r="DU164" s="144"/>
      <c r="DV164" s="144"/>
      <c r="DW164" s="144"/>
      <c r="DX164" s="144"/>
      <c r="DY164" s="144"/>
      <c r="DZ164" s="144"/>
      <c r="EA164" s="144"/>
      <c r="EB164" s="144"/>
      <c r="EC164" s="144"/>
      <c r="ED164" s="144"/>
      <c r="EE164" s="144"/>
      <c r="EF164" s="144"/>
      <c r="EG164" s="144"/>
      <c r="EH164" s="144"/>
      <c r="EI164" s="144"/>
      <c r="EJ164" s="144"/>
      <c r="EK164" s="144"/>
      <c r="EL164" s="144"/>
      <c r="EM164" s="144"/>
      <c r="EN164" s="144"/>
      <c r="EO164" s="144"/>
      <c r="EP164" s="634"/>
      <c r="EQ164" s="634"/>
      <c r="ER164" s="634"/>
      <c r="ES164" s="634"/>
    </row>
    <row r="165" spans="2:153" ht="12" customHeight="1" thickTop="1" thickBot="1" x14ac:dyDescent="0.35">
      <c r="B165" s="662" t="s">
        <v>392</v>
      </c>
      <c r="C165" s="261"/>
      <c r="D165" s="598"/>
      <c r="E165" s="598"/>
      <c r="F165" s="598"/>
      <c r="G165" s="598"/>
      <c r="H165" s="598"/>
      <c r="I165" s="598"/>
      <c r="J165" s="598"/>
      <c r="K165" s="598"/>
      <c r="L165" s="598"/>
      <c r="M165" s="598"/>
      <c r="N165" s="598"/>
      <c r="O165" s="598"/>
      <c r="P165" s="599"/>
      <c r="Q165" s="148"/>
      <c r="R165" s="600"/>
      <c r="S165" s="598"/>
      <c r="T165" s="598"/>
      <c r="U165" s="598"/>
      <c r="V165" s="598"/>
      <c r="W165" s="598"/>
      <c r="X165" s="598"/>
      <c r="Y165" s="767"/>
      <c r="Z165" s="767"/>
      <c r="AA165" s="767"/>
      <c r="AB165" s="767"/>
      <c r="AC165" s="767"/>
      <c r="AD165" s="767"/>
      <c r="AE165" s="767"/>
      <c r="AF165" s="148"/>
      <c r="AG165" s="761"/>
      <c r="AH165" s="761"/>
      <c r="AI165" s="761"/>
      <c r="AJ165" s="761"/>
      <c r="AK165" s="761"/>
      <c r="AL165" s="761"/>
      <c r="AM165" s="761"/>
      <c r="AN165" s="599"/>
      <c r="AO165" s="473"/>
      <c r="AP165" s="673"/>
      <c r="AQ165" s="674"/>
      <c r="AR165" s="674"/>
      <c r="AS165" s="674"/>
      <c r="AT165" s="674"/>
      <c r="AU165" s="708" t="s">
        <v>12</v>
      </c>
      <c r="AV165" s="764"/>
      <c r="AW165" s="764"/>
      <c r="AX165" s="764"/>
      <c r="AY165" s="764"/>
      <c r="AZ165" s="764"/>
      <c r="BA165" s="764"/>
      <c r="BB165" s="764"/>
      <c r="BC165" s="598"/>
      <c r="BD165" s="764"/>
      <c r="BE165" s="764"/>
      <c r="BF165" s="764"/>
      <c r="BG165" s="764"/>
      <c r="BH165" s="764"/>
      <c r="BI165" s="764"/>
      <c r="BJ165" s="764"/>
      <c r="BK165" s="598"/>
      <c r="BL165" s="764"/>
      <c r="BM165" s="764"/>
      <c r="BN165" s="764"/>
      <c r="BO165" s="764"/>
      <c r="BP165" s="764"/>
      <c r="BQ165" s="764"/>
      <c r="BR165" s="764"/>
      <c r="BS165" s="598"/>
      <c r="BT165" s="764"/>
      <c r="BU165" s="764"/>
      <c r="BV165" s="764"/>
      <c r="BW165" s="764"/>
      <c r="BX165" s="764"/>
      <c r="BY165" s="764"/>
      <c r="BZ165" s="764"/>
      <c r="CA165" s="598"/>
      <c r="CB165" s="764"/>
      <c r="CC165" s="764"/>
      <c r="CD165" s="764"/>
      <c r="CE165" s="764"/>
      <c r="CF165" s="764"/>
      <c r="CG165" s="764"/>
      <c r="CH165" s="764"/>
      <c r="CI165" s="598"/>
      <c r="CJ165" s="764"/>
      <c r="CK165" s="764"/>
      <c r="CL165" s="764"/>
      <c r="CM165" s="764"/>
      <c r="CN165" s="764"/>
      <c r="CO165" s="764"/>
      <c r="CP165" s="764"/>
      <c r="CQ165" s="599"/>
      <c r="DM165" s="144"/>
      <c r="DN165" s="144"/>
      <c r="DO165" s="144"/>
      <c r="DP165" s="144"/>
      <c r="DQ165" s="144"/>
      <c r="DR165" s="144"/>
      <c r="DS165" s="144"/>
      <c r="DT165" s="144"/>
      <c r="DU165" s="144"/>
      <c r="DV165" s="144"/>
      <c r="DW165" s="144"/>
      <c r="DX165" s="144"/>
      <c r="DY165" s="144"/>
      <c r="DZ165" s="144"/>
      <c r="EA165" s="144"/>
      <c r="EB165" s="144"/>
      <c r="EC165" s="144"/>
      <c r="ED165" s="144"/>
      <c r="EE165" s="144"/>
      <c r="EF165" s="144"/>
      <c r="EG165" s="144"/>
      <c r="EH165" s="144"/>
      <c r="EI165" s="144"/>
      <c r="EJ165" s="144"/>
      <c r="EK165" s="144"/>
      <c r="EL165" s="144"/>
      <c r="EM165" s="144"/>
      <c r="EN165" s="144"/>
      <c r="EO165" s="144"/>
      <c r="EP165" s="634"/>
      <c r="EQ165" s="634"/>
      <c r="ER165" s="634"/>
      <c r="ES165" s="634"/>
    </row>
    <row r="166" spans="2:153" ht="12" customHeight="1" thickTop="1" thickBot="1" x14ac:dyDescent="0.35">
      <c r="B166" s="662"/>
      <c r="C166" s="765"/>
      <c r="D166" s="765"/>
      <c r="E166" s="765"/>
      <c r="F166" s="765"/>
      <c r="G166" s="765"/>
      <c r="H166" s="765"/>
      <c r="I166" s="765"/>
      <c r="J166" s="765"/>
      <c r="K166" s="765"/>
      <c r="L166" s="765"/>
      <c r="M166" s="765"/>
      <c r="N166" s="765"/>
      <c r="O166" s="765"/>
      <c r="P166" s="599"/>
      <c r="Q166" s="148"/>
      <c r="R166" s="600"/>
      <c r="S166" s="598"/>
      <c r="T166" s="598"/>
      <c r="U166" s="598"/>
      <c r="V166" s="598"/>
      <c r="W166" s="598"/>
      <c r="X166" s="598"/>
      <c r="Y166" s="767"/>
      <c r="Z166" s="767"/>
      <c r="AA166" s="767"/>
      <c r="AB166" s="767"/>
      <c r="AC166" s="767"/>
      <c r="AD166" s="767"/>
      <c r="AE166" s="767"/>
      <c r="AF166" s="148"/>
      <c r="AG166" s="761"/>
      <c r="AH166" s="761"/>
      <c r="AI166" s="761"/>
      <c r="AJ166" s="761"/>
      <c r="AK166" s="761"/>
      <c r="AL166" s="761"/>
      <c r="AM166" s="761"/>
      <c r="AN166" s="599"/>
      <c r="AO166" s="473"/>
      <c r="AP166" s="673"/>
      <c r="AQ166" s="674"/>
      <c r="AR166" s="674"/>
      <c r="AS166" s="674"/>
      <c r="AT166" s="674"/>
      <c r="AU166" s="708" t="s">
        <v>111</v>
      </c>
      <c r="AV166" s="781"/>
      <c r="AW166" s="781"/>
      <c r="AX166" s="781"/>
      <c r="AY166" s="781"/>
      <c r="AZ166" s="781"/>
      <c r="BA166" s="781"/>
      <c r="BB166" s="781"/>
      <c r="BC166" s="598"/>
      <c r="BD166" s="871"/>
      <c r="BE166" s="781"/>
      <c r="BF166" s="781"/>
      <c r="BG166" s="781"/>
      <c r="BH166" s="781"/>
      <c r="BI166" s="781"/>
      <c r="BJ166" s="781"/>
      <c r="BK166" s="598"/>
      <c r="BL166" s="781"/>
      <c r="BM166" s="781"/>
      <c r="BN166" s="781"/>
      <c r="BO166" s="781"/>
      <c r="BP166" s="781"/>
      <c r="BQ166" s="781"/>
      <c r="BR166" s="781"/>
      <c r="BS166" s="598"/>
      <c r="BT166" s="781"/>
      <c r="BU166" s="781"/>
      <c r="BV166" s="781"/>
      <c r="BW166" s="781"/>
      <c r="BX166" s="781"/>
      <c r="BY166" s="781"/>
      <c r="BZ166" s="781"/>
      <c r="CA166" s="598"/>
      <c r="CB166" s="781"/>
      <c r="CC166" s="781"/>
      <c r="CD166" s="781"/>
      <c r="CE166" s="781"/>
      <c r="CF166" s="781"/>
      <c r="CG166" s="781"/>
      <c r="CH166" s="781"/>
      <c r="CI166" s="598"/>
      <c r="CJ166" s="781"/>
      <c r="CK166" s="781"/>
      <c r="CL166" s="781"/>
      <c r="CM166" s="781"/>
      <c r="CN166" s="781"/>
      <c r="CO166" s="781"/>
      <c r="CP166" s="781"/>
      <c r="CQ166" s="599"/>
      <c r="DM166" s="144"/>
      <c r="DN166" s="144"/>
      <c r="DO166" s="144"/>
      <c r="DP166" s="144"/>
      <c r="DQ166" s="144"/>
      <c r="DR166" s="144"/>
      <c r="DS166" s="144"/>
      <c r="DT166" s="144"/>
      <c r="DU166" s="144"/>
      <c r="DV166" s="144"/>
      <c r="DW166" s="144"/>
      <c r="DX166" s="144"/>
      <c r="DY166" s="144"/>
      <c r="DZ166" s="144"/>
      <c r="EA166" s="144"/>
      <c r="EB166" s="144"/>
      <c r="EC166" s="144"/>
      <c r="ED166" s="144"/>
      <c r="EE166" s="144"/>
      <c r="EF166" s="144"/>
      <c r="EG166" s="144"/>
      <c r="EH166" s="144"/>
      <c r="EI166" s="144"/>
      <c r="EJ166" s="144"/>
      <c r="EK166" s="144"/>
      <c r="EL166" s="144"/>
      <c r="EM166" s="144"/>
      <c r="EN166" s="144"/>
      <c r="EO166" s="144"/>
      <c r="EP166" s="634"/>
      <c r="EQ166" s="634"/>
      <c r="ER166" s="634"/>
      <c r="ES166" s="634"/>
    </row>
    <row r="167" spans="2:153" ht="12" customHeight="1" thickTop="1" thickBot="1" x14ac:dyDescent="0.3">
      <c r="B167" s="622" t="s">
        <v>393</v>
      </c>
      <c r="C167" s="261"/>
      <c r="D167" s="598"/>
      <c r="E167" s="598"/>
      <c r="F167" s="598"/>
      <c r="G167" s="598"/>
      <c r="H167" s="598"/>
      <c r="I167" s="598"/>
      <c r="J167" s="598"/>
      <c r="K167" s="598"/>
      <c r="L167" s="598"/>
      <c r="M167" s="598"/>
      <c r="N167" s="598"/>
      <c r="O167" s="598"/>
      <c r="P167" s="599"/>
      <c r="Q167" s="148"/>
      <c r="R167" s="701"/>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9"/>
      <c r="AO167" s="473"/>
      <c r="AP167" s="600"/>
      <c r="AQ167" s="598"/>
      <c r="AR167" s="598"/>
      <c r="AS167" s="598"/>
      <c r="AT167" s="598"/>
      <c r="AU167" s="678"/>
      <c r="AV167" s="781"/>
      <c r="AW167" s="781"/>
      <c r="AX167" s="781"/>
      <c r="AY167" s="781"/>
      <c r="AZ167" s="781"/>
      <c r="BA167" s="781"/>
      <c r="BB167" s="781"/>
      <c r="BC167" s="598"/>
      <c r="BD167" s="781"/>
      <c r="BE167" s="781"/>
      <c r="BF167" s="781"/>
      <c r="BG167" s="781"/>
      <c r="BH167" s="781"/>
      <c r="BI167" s="781"/>
      <c r="BJ167" s="781"/>
      <c r="BK167" s="598"/>
      <c r="BL167" s="781"/>
      <c r="BM167" s="781"/>
      <c r="BN167" s="781"/>
      <c r="BO167" s="781"/>
      <c r="BP167" s="781"/>
      <c r="BQ167" s="781"/>
      <c r="BR167" s="781"/>
      <c r="BS167" s="598"/>
      <c r="BT167" s="781"/>
      <c r="BU167" s="781"/>
      <c r="BV167" s="781"/>
      <c r="BW167" s="781"/>
      <c r="BX167" s="781"/>
      <c r="BY167" s="781"/>
      <c r="BZ167" s="781"/>
      <c r="CA167" s="598"/>
      <c r="CB167" s="781"/>
      <c r="CC167" s="781"/>
      <c r="CD167" s="781"/>
      <c r="CE167" s="781"/>
      <c r="CF167" s="781"/>
      <c r="CG167" s="781"/>
      <c r="CH167" s="781"/>
      <c r="CI167" s="598"/>
      <c r="CJ167" s="781"/>
      <c r="CK167" s="781"/>
      <c r="CL167" s="781"/>
      <c r="CM167" s="781"/>
      <c r="CN167" s="781"/>
      <c r="CO167" s="781"/>
      <c r="CP167" s="781"/>
      <c r="CQ167" s="599"/>
      <c r="DM167" s="144"/>
      <c r="DN167" s="144"/>
      <c r="DO167" s="144"/>
      <c r="DP167" s="144"/>
      <c r="DQ167" s="144"/>
      <c r="DR167" s="144"/>
      <c r="DS167" s="144"/>
      <c r="DT167" s="144"/>
      <c r="DU167" s="144"/>
      <c r="DV167" s="144"/>
      <c r="DW167" s="144"/>
      <c r="DX167" s="144"/>
      <c r="DY167" s="144"/>
      <c r="DZ167" s="144"/>
      <c r="EA167" s="144"/>
      <c r="EB167" s="144"/>
      <c r="EC167" s="144"/>
      <c r="ED167" s="144"/>
      <c r="EE167" s="144"/>
      <c r="EF167" s="144"/>
      <c r="EG167" s="144"/>
      <c r="EH167" s="144"/>
      <c r="EI167" s="144"/>
      <c r="EJ167" s="144"/>
      <c r="EK167" s="144"/>
      <c r="EL167" s="144"/>
      <c r="EM167" s="144"/>
      <c r="EN167" s="144"/>
      <c r="EO167" s="144"/>
      <c r="EP167" s="634"/>
      <c r="EQ167" s="634"/>
      <c r="ER167" s="634"/>
      <c r="ES167" s="634"/>
    </row>
    <row r="168" spans="2:153" ht="12" customHeight="1" thickTop="1" thickBot="1" x14ac:dyDescent="0.3">
      <c r="B168" s="662" t="s">
        <v>394</v>
      </c>
      <c r="C168" s="261"/>
      <c r="D168" s="598"/>
      <c r="E168" s="598"/>
      <c r="F168" s="598"/>
      <c r="G168" s="598"/>
      <c r="H168" s="598"/>
      <c r="I168" s="598"/>
      <c r="J168" s="598"/>
      <c r="K168" s="598"/>
      <c r="L168" s="598"/>
      <c r="M168" s="598"/>
      <c r="N168" s="598"/>
      <c r="O168" s="598"/>
      <c r="P168" s="599"/>
      <c r="Q168" s="148"/>
      <c r="R168" s="672"/>
      <c r="S168" s="676"/>
      <c r="T168" s="676"/>
      <c r="U168" s="676"/>
      <c r="V168" s="676"/>
      <c r="W168" s="676"/>
      <c r="X168" s="332" t="s">
        <v>1877</v>
      </c>
      <c r="Y168" s="872"/>
      <c r="Z168" s="873"/>
      <c r="AA168" s="873"/>
      <c r="AB168" s="873"/>
      <c r="AC168" s="873"/>
      <c r="AD168" s="873"/>
      <c r="AE168" s="874"/>
      <c r="AF168" s="598"/>
      <c r="AG168" s="677"/>
      <c r="AH168" s="677"/>
      <c r="AI168" s="677"/>
      <c r="AJ168" s="598"/>
      <c r="AK168" s="598"/>
      <c r="AL168" s="598"/>
      <c r="AM168" s="598"/>
      <c r="AN168" s="599"/>
      <c r="AO168" s="473"/>
      <c r="AP168" s="600"/>
      <c r="AQ168" s="598"/>
      <c r="AR168" s="598"/>
      <c r="AS168" s="598"/>
      <c r="AT168" s="598"/>
      <c r="AU168" s="377"/>
      <c r="AV168" s="781"/>
      <c r="AW168" s="781"/>
      <c r="AX168" s="781"/>
      <c r="AY168" s="781"/>
      <c r="AZ168" s="781"/>
      <c r="BA168" s="781"/>
      <c r="BB168" s="781"/>
      <c r="BC168" s="598"/>
      <c r="BD168" s="781"/>
      <c r="BE168" s="781"/>
      <c r="BF168" s="781"/>
      <c r="BG168" s="781"/>
      <c r="BH168" s="781"/>
      <c r="BI168" s="781"/>
      <c r="BJ168" s="781"/>
      <c r="BK168" s="598"/>
      <c r="BL168" s="781"/>
      <c r="BM168" s="781"/>
      <c r="BN168" s="781"/>
      <c r="BO168" s="781"/>
      <c r="BP168" s="781"/>
      <c r="BQ168" s="781"/>
      <c r="BR168" s="781"/>
      <c r="BS168" s="598"/>
      <c r="BT168" s="781"/>
      <c r="BU168" s="781"/>
      <c r="BV168" s="781"/>
      <c r="BW168" s="781"/>
      <c r="BX168" s="781"/>
      <c r="BY168" s="781"/>
      <c r="BZ168" s="781"/>
      <c r="CA168" s="598"/>
      <c r="CB168" s="781"/>
      <c r="CC168" s="781"/>
      <c r="CD168" s="781"/>
      <c r="CE168" s="781"/>
      <c r="CF168" s="781"/>
      <c r="CG168" s="781"/>
      <c r="CH168" s="781"/>
      <c r="CI168" s="598"/>
      <c r="CJ168" s="781"/>
      <c r="CK168" s="781"/>
      <c r="CL168" s="781"/>
      <c r="CM168" s="781"/>
      <c r="CN168" s="781"/>
      <c r="CO168" s="781"/>
      <c r="CP168" s="781"/>
      <c r="CQ168" s="599"/>
      <c r="CR168" s="473"/>
      <c r="CS168" s="473"/>
      <c r="CT168" s="473"/>
      <c r="CU168" s="473"/>
      <c r="CV168" s="473"/>
      <c r="CW168" s="473"/>
      <c r="CX168" s="473"/>
      <c r="CY168" s="473"/>
      <c r="CZ168" s="473"/>
      <c r="DA168" s="473"/>
      <c r="DB168" s="473"/>
      <c r="DC168" s="473"/>
      <c r="DD168" s="473"/>
      <c r="DE168" s="473"/>
      <c r="DF168" s="473"/>
      <c r="DG168" s="473"/>
      <c r="DH168" s="473"/>
      <c r="DI168" s="473"/>
      <c r="DJ168" s="473"/>
      <c r="DK168" s="473"/>
      <c r="DL168" s="473"/>
      <c r="DM168" s="634"/>
      <c r="DN168" s="634"/>
      <c r="DO168" s="634"/>
      <c r="DP168" s="634"/>
      <c r="DQ168" s="634"/>
      <c r="DR168" s="634"/>
      <c r="DS168" s="634"/>
      <c r="DT168" s="634"/>
      <c r="DU168" s="634"/>
      <c r="DV168" s="634"/>
      <c r="DW168" s="634"/>
      <c r="DX168" s="634"/>
      <c r="DY168" s="634"/>
      <c r="DZ168" s="634"/>
      <c r="EA168" s="634"/>
      <c r="EB168" s="634"/>
      <c r="EC168" s="634"/>
      <c r="ED168" s="634"/>
      <c r="EE168" s="634"/>
      <c r="EF168" s="634"/>
      <c r="EG168" s="634"/>
      <c r="EH168" s="634"/>
      <c r="EI168" s="634"/>
      <c r="EJ168" s="634"/>
      <c r="EK168" s="634"/>
      <c r="EL168" s="634"/>
      <c r="EM168" s="634"/>
      <c r="EN168" s="634"/>
      <c r="EO168" s="634"/>
      <c r="EP168" s="634"/>
      <c r="EQ168" s="634"/>
      <c r="ER168" s="634"/>
      <c r="ES168" s="634"/>
    </row>
    <row r="169" spans="2:153" ht="12" customHeight="1" thickTop="1" thickBot="1" x14ac:dyDescent="0.3">
      <c r="B169" s="662"/>
      <c r="C169" s="765"/>
      <c r="D169" s="765"/>
      <c r="E169" s="765"/>
      <c r="F169" s="765"/>
      <c r="G169" s="765"/>
      <c r="H169" s="765"/>
      <c r="I169" s="765"/>
      <c r="J169" s="765"/>
      <c r="K169" s="765"/>
      <c r="L169" s="765"/>
      <c r="M169" s="765"/>
      <c r="N169" s="765"/>
      <c r="O169" s="765"/>
      <c r="P169" s="599"/>
      <c r="Q169" s="148"/>
      <c r="R169" s="672"/>
      <c r="S169" s="676"/>
      <c r="T169" s="676"/>
      <c r="U169" s="676"/>
      <c r="V169" s="676"/>
      <c r="W169" s="676"/>
      <c r="X169" s="332" t="s">
        <v>30</v>
      </c>
      <c r="Y169" s="875"/>
      <c r="Z169" s="876"/>
      <c r="AA169" s="876"/>
      <c r="AB169" s="876"/>
      <c r="AC169" s="876"/>
      <c r="AD169" s="876"/>
      <c r="AE169" s="877"/>
      <c r="AF169" s="598"/>
      <c r="AG169" s="598"/>
      <c r="AH169" s="598"/>
      <c r="AI169" s="598"/>
      <c r="AJ169" s="598"/>
      <c r="AK169" s="598"/>
      <c r="AL169" s="598"/>
      <c r="AM169" s="598"/>
      <c r="AN169" s="599"/>
      <c r="AO169" s="473"/>
      <c r="AP169" s="600"/>
      <c r="AQ169" s="598"/>
      <c r="AR169" s="598"/>
      <c r="AS169" s="598"/>
      <c r="AT169" s="598"/>
      <c r="AU169" s="377"/>
      <c r="AV169" s="781"/>
      <c r="AW169" s="781"/>
      <c r="AX169" s="781"/>
      <c r="AY169" s="781"/>
      <c r="AZ169" s="781"/>
      <c r="BA169" s="781"/>
      <c r="BB169" s="781"/>
      <c r="BC169" s="598"/>
      <c r="BD169" s="781"/>
      <c r="BE169" s="781"/>
      <c r="BF169" s="781"/>
      <c r="BG169" s="781"/>
      <c r="BH169" s="781"/>
      <c r="BI169" s="781"/>
      <c r="BJ169" s="781"/>
      <c r="BK169" s="598"/>
      <c r="BL169" s="781"/>
      <c r="BM169" s="781"/>
      <c r="BN169" s="781"/>
      <c r="BO169" s="781"/>
      <c r="BP169" s="781"/>
      <c r="BQ169" s="781"/>
      <c r="BR169" s="781"/>
      <c r="BS169" s="598"/>
      <c r="BT169" s="781"/>
      <c r="BU169" s="781"/>
      <c r="BV169" s="781"/>
      <c r="BW169" s="781"/>
      <c r="BX169" s="781"/>
      <c r="BY169" s="781"/>
      <c r="BZ169" s="781"/>
      <c r="CA169" s="598"/>
      <c r="CB169" s="781"/>
      <c r="CC169" s="781"/>
      <c r="CD169" s="781"/>
      <c r="CE169" s="781"/>
      <c r="CF169" s="781"/>
      <c r="CG169" s="781"/>
      <c r="CH169" s="781"/>
      <c r="CI169" s="598"/>
      <c r="CJ169" s="781"/>
      <c r="CK169" s="781"/>
      <c r="CL169" s="781"/>
      <c r="CM169" s="781"/>
      <c r="CN169" s="781"/>
      <c r="CO169" s="781"/>
      <c r="CP169" s="781"/>
      <c r="CQ169" s="599"/>
      <c r="CR169" s="473"/>
      <c r="CS169" s="473"/>
      <c r="CT169" s="473"/>
      <c r="CU169" s="473"/>
      <c r="CV169" s="473"/>
      <c r="CW169" s="473"/>
      <c r="CX169" s="473"/>
      <c r="CY169" s="473"/>
      <c r="CZ169" s="473"/>
      <c r="DA169" s="473"/>
      <c r="DB169" s="473"/>
      <c r="DC169" s="473"/>
      <c r="DD169" s="473"/>
      <c r="DE169" s="473"/>
      <c r="DF169" s="473"/>
      <c r="DG169" s="473"/>
      <c r="DH169" s="473"/>
      <c r="DI169" s="473"/>
      <c r="DJ169" s="473"/>
      <c r="DK169" s="473"/>
      <c r="DL169" s="473"/>
      <c r="DM169" s="634"/>
      <c r="DN169" s="634"/>
      <c r="DO169" s="634"/>
      <c r="DP169" s="634"/>
      <c r="DQ169" s="634"/>
      <c r="DR169" s="634"/>
      <c r="DS169" s="634"/>
      <c r="DT169" s="634"/>
      <c r="DU169" s="634"/>
      <c r="DV169" s="634"/>
      <c r="DW169" s="634"/>
      <c r="DX169" s="634"/>
      <c r="DY169" s="634"/>
      <c r="DZ169" s="634"/>
      <c r="EA169" s="634"/>
      <c r="EB169" s="634"/>
      <c r="EC169" s="634"/>
      <c r="ED169" s="634"/>
      <c r="EE169" s="634"/>
      <c r="EF169" s="634"/>
      <c r="EG169" s="634"/>
      <c r="EH169" s="634"/>
      <c r="EI169" s="634"/>
      <c r="EJ169" s="634"/>
      <c r="EK169" s="634"/>
      <c r="EL169" s="634"/>
      <c r="EM169" s="634"/>
      <c r="EN169" s="634"/>
      <c r="EO169" s="634"/>
      <c r="EP169" s="634"/>
      <c r="EQ169" s="634"/>
      <c r="ER169" s="634"/>
      <c r="ES169" s="634"/>
    </row>
    <row r="170" spans="2:153" ht="12" customHeight="1" thickTop="1" thickBot="1" x14ac:dyDescent="0.3">
      <c r="B170" s="622" t="s">
        <v>395</v>
      </c>
      <c r="C170" s="261"/>
      <c r="D170" s="598"/>
      <c r="E170" s="598"/>
      <c r="F170" s="598"/>
      <c r="G170" s="598"/>
      <c r="H170" s="598"/>
      <c r="I170" s="598"/>
      <c r="J170" s="598"/>
      <c r="K170" s="598"/>
      <c r="L170" s="598"/>
      <c r="M170" s="598"/>
      <c r="N170" s="598"/>
      <c r="O170" s="598"/>
      <c r="P170" s="599"/>
      <c r="R170" s="672"/>
      <c r="S170" s="676"/>
      <c r="T170" s="676"/>
      <c r="U170" s="676"/>
      <c r="V170" s="676"/>
      <c r="W170" s="676"/>
      <c r="X170" s="332" t="s">
        <v>1878</v>
      </c>
      <c r="Y170" s="875"/>
      <c r="Z170" s="876"/>
      <c r="AA170" s="876"/>
      <c r="AB170" s="876"/>
      <c r="AC170" s="876"/>
      <c r="AD170" s="876"/>
      <c r="AE170" s="877"/>
      <c r="AF170" s="598"/>
      <c r="AG170" s="598"/>
      <c r="AH170" s="598"/>
      <c r="AI170" s="598"/>
      <c r="AJ170" s="598"/>
      <c r="AK170" s="598"/>
      <c r="AL170" s="598"/>
      <c r="AM170" s="598"/>
      <c r="AN170" s="599"/>
      <c r="AO170" s="473"/>
      <c r="AP170" s="600"/>
      <c r="AQ170" s="598"/>
      <c r="AR170" s="598"/>
      <c r="AS170" s="598"/>
      <c r="AT170" s="598"/>
      <c r="AU170" s="714"/>
      <c r="AV170" s="781"/>
      <c r="AW170" s="781"/>
      <c r="AX170" s="781"/>
      <c r="AY170" s="781"/>
      <c r="AZ170" s="781"/>
      <c r="BA170" s="781"/>
      <c r="BB170" s="781"/>
      <c r="BC170" s="598"/>
      <c r="BD170" s="781"/>
      <c r="BE170" s="781"/>
      <c r="BF170" s="781"/>
      <c r="BG170" s="781"/>
      <c r="BH170" s="781"/>
      <c r="BI170" s="781"/>
      <c r="BJ170" s="781"/>
      <c r="BK170" s="598"/>
      <c r="BL170" s="781"/>
      <c r="BM170" s="781"/>
      <c r="BN170" s="781"/>
      <c r="BO170" s="781"/>
      <c r="BP170" s="781"/>
      <c r="BQ170" s="781"/>
      <c r="BR170" s="781"/>
      <c r="BS170" s="598"/>
      <c r="BT170" s="781"/>
      <c r="BU170" s="781"/>
      <c r="BV170" s="781"/>
      <c r="BW170" s="781"/>
      <c r="BX170" s="781"/>
      <c r="BY170" s="781"/>
      <c r="BZ170" s="781"/>
      <c r="CA170" s="598"/>
      <c r="CB170" s="781"/>
      <c r="CC170" s="781"/>
      <c r="CD170" s="781"/>
      <c r="CE170" s="781"/>
      <c r="CF170" s="781"/>
      <c r="CG170" s="781"/>
      <c r="CH170" s="781"/>
      <c r="CI170" s="598"/>
      <c r="CJ170" s="781"/>
      <c r="CK170" s="781"/>
      <c r="CL170" s="781"/>
      <c r="CM170" s="781"/>
      <c r="CN170" s="781"/>
      <c r="CO170" s="781"/>
      <c r="CP170" s="781"/>
      <c r="CQ170" s="599"/>
      <c r="CR170" s="473"/>
      <c r="CS170" s="473"/>
      <c r="CT170" s="473"/>
      <c r="CU170" s="473"/>
      <c r="CV170" s="473"/>
      <c r="CW170" s="473"/>
      <c r="CX170" s="473"/>
      <c r="CY170" s="473"/>
      <c r="CZ170" s="473"/>
      <c r="DA170" s="473"/>
      <c r="DB170" s="473"/>
      <c r="DC170" s="473"/>
      <c r="DD170" s="473"/>
      <c r="DE170" s="473"/>
      <c r="DF170" s="473"/>
      <c r="DG170" s="473"/>
      <c r="DH170" s="473"/>
      <c r="DI170" s="473"/>
      <c r="DJ170" s="473"/>
      <c r="DK170" s="473"/>
      <c r="DL170" s="473"/>
      <c r="DM170" s="634"/>
      <c r="DN170" s="634"/>
      <c r="DO170" s="634"/>
      <c r="DP170" s="634"/>
      <c r="DQ170" s="634"/>
      <c r="DR170" s="634"/>
      <c r="DS170" s="634"/>
      <c r="DT170" s="634"/>
      <c r="DU170" s="634"/>
      <c r="DV170" s="634"/>
      <c r="DW170" s="634"/>
      <c r="DX170" s="634"/>
      <c r="DY170" s="634"/>
      <c r="DZ170" s="634"/>
      <c r="EA170" s="634"/>
      <c r="EB170" s="634"/>
      <c r="EC170" s="634"/>
      <c r="ED170" s="634"/>
      <c r="EE170" s="634"/>
      <c r="EF170" s="634"/>
      <c r="EG170" s="634"/>
      <c r="EH170" s="634"/>
      <c r="EI170" s="634"/>
      <c r="EJ170" s="634"/>
      <c r="EK170" s="634"/>
      <c r="EL170" s="634"/>
      <c r="EM170" s="634"/>
      <c r="EN170" s="634"/>
      <c r="EO170" s="634"/>
      <c r="EP170" s="634"/>
      <c r="EQ170" s="473"/>
      <c r="ER170" s="473"/>
      <c r="ES170" s="473"/>
    </row>
    <row r="171" spans="2:153" ht="12" customHeight="1" thickTop="1" x14ac:dyDescent="0.25">
      <c r="B171" s="662" t="s">
        <v>396</v>
      </c>
      <c r="C171" s="261"/>
      <c r="D171" s="598"/>
      <c r="E171" s="598"/>
      <c r="F171" s="598"/>
      <c r="G171" s="598"/>
      <c r="H171" s="598"/>
      <c r="I171" s="598"/>
      <c r="J171" s="598"/>
      <c r="K171" s="598"/>
      <c r="L171" s="598"/>
      <c r="M171" s="598"/>
      <c r="N171" s="598"/>
      <c r="O171" s="598"/>
      <c r="P171" s="599"/>
      <c r="R171" s="672"/>
      <c r="S171" s="676"/>
      <c r="T171" s="676"/>
      <c r="U171" s="676"/>
      <c r="V171" s="676"/>
      <c r="W171" s="676"/>
      <c r="X171" s="676"/>
      <c r="Y171" s="818" t="str">
        <f>IF(COUNTIF(Tables!GA2:GA5,Tables!FX26)&gt;0,"FIGHTING STYLE: DEFENSE
+1 AC WEARING ARMOR","")</f>
        <v/>
      </c>
      <c r="Z171" s="818"/>
      <c r="AA171" s="818"/>
      <c r="AB171" s="818"/>
      <c r="AC171" s="818"/>
      <c r="AD171" s="818"/>
      <c r="AE171" s="818"/>
      <c r="AF171" s="679"/>
      <c r="AG171" s="679"/>
      <c r="AH171" s="679"/>
      <c r="AI171" s="679"/>
      <c r="AJ171" s="679"/>
      <c r="AK171" s="679"/>
      <c r="AL171" s="679"/>
      <c r="AM171" s="679"/>
      <c r="AN171" s="599"/>
      <c r="AO171" s="473"/>
      <c r="AP171" s="701"/>
      <c r="AQ171" s="148"/>
      <c r="AR171" s="148"/>
      <c r="AS171" s="148"/>
      <c r="AT171" s="148"/>
      <c r="AU171" s="148"/>
      <c r="AV171" s="148"/>
      <c r="AW171" s="148"/>
      <c r="AX171" s="148"/>
      <c r="AY171" s="148"/>
      <c r="AZ171" s="148"/>
      <c r="BA171" s="148"/>
      <c r="BB171" s="148"/>
      <c r="BC171" s="598"/>
      <c r="BD171" s="148"/>
      <c r="BE171" s="148"/>
      <c r="BF171" s="148"/>
      <c r="BG171" s="148"/>
      <c r="BH171" s="148"/>
      <c r="BI171" s="148"/>
      <c r="BJ171" s="148"/>
      <c r="BK171" s="598"/>
      <c r="BL171" s="148"/>
      <c r="BM171" s="148"/>
      <c r="BN171" s="148"/>
      <c r="BO171" s="148"/>
      <c r="BP171" s="148"/>
      <c r="BQ171" s="148"/>
      <c r="BR171" s="148"/>
      <c r="BS171" s="598"/>
      <c r="BT171" s="148"/>
      <c r="BU171" s="148"/>
      <c r="BV171" s="148"/>
      <c r="BW171" s="148"/>
      <c r="BX171" s="148"/>
      <c r="BY171" s="148"/>
      <c r="BZ171" s="148"/>
      <c r="CA171" s="598"/>
      <c r="CB171" s="148"/>
      <c r="CC171" s="148"/>
      <c r="CD171" s="148"/>
      <c r="CE171" s="148"/>
      <c r="CF171" s="148"/>
      <c r="CG171" s="148"/>
      <c r="CH171" s="148"/>
      <c r="CI171" s="598"/>
      <c r="CJ171" s="148"/>
      <c r="CK171" s="148"/>
      <c r="CL171" s="148"/>
      <c r="CM171" s="148"/>
      <c r="CN171" s="148"/>
      <c r="CO171" s="148"/>
      <c r="CP171" s="719"/>
      <c r="CQ171" s="720"/>
      <c r="CR171" s="473"/>
      <c r="CS171" s="473"/>
      <c r="CT171" s="473"/>
      <c r="CU171" s="473"/>
      <c r="CV171" s="473"/>
      <c r="CW171" s="473"/>
      <c r="CX171" s="473"/>
      <c r="CY171" s="473"/>
      <c r="CZ171" s="473"/>
      <c r="DA171" s="473"/>
      <c r="DB171" s="473"/>
      <c r="DC171" s="473"/>
      <c r="DD171" s="473"/>
      <c r="DE171" s="473"/>
      <c r="DF171" s="473"/>
      <c r="DG171" s="473"/>
      <c r="DH171" s="473"/>
      <c r="DI171" s="473"/>
      <c r="DJ171" s="473"/>
      <c r="DK171" s="473"/>
      <c r="DL171" s="473"/>
      <c r="DM171" s="634"/>
      <c r="DN171" s="634"/>
      <c r="DO171" s="634"/>
      <c r="DP171" s="634"/>
      <c r="DQ171" s="634"/>
      <c r="DR171" s="634"/>
      <c r="DS171" s="634"/>
      <c r="DT171" s="634"/>
      <c r="DU171" s="634"/>
      <c r="DV171" s="634"/>
      <c r="DW171" s="634"/>
      <c r="DX171" s="634"/>
      <c r="DY171" s="634"/>
      <c r="DZ171" s="634"/>
      <c r="EA171" s="634"/>
      <c r="EB171" s="634"/>
      <c r="EC171" s="634"/>
      <c r="ED171" s="634"/>
      <c r="EE171" s="634"/>
      <c r="EF171" s="634"/>
      <c r="EG171" s="634"/>
      <c r="EH171" s="634"/>
      <c r="EI171" s="634"/>
      <c r="EJ171" s="634"/>
      <c r="EK171" s="634"/>
      <c r="EL171" s="634"/>
      <c r="EM171" s="634"/>
      <c r="EN171" s="634"/>
      <c r="EO171" s="634"/>
      <c r="EP171" s="473"/>
      <c r="EQ171" s="473"/>
      <c r="ER171" s="473"/>
      <c r="ES171" s="473"/>
      <c r="ET171" s="144"/>
      <c r="EU171" s="144"/>
      <c r="EV171" s="144"/>
      <c r="EW171" s="144"/>
    </row>
    <row r="172" spans="2:153" ht="12" customHeight="1" x14ac:dyDescent="0.25">
      <c r="B172" s="662"/>
      <c r="C172" s="765"/>
      <c r="D172" s="765"/>
      <c r="E172" s="765"/>
      <c r="F172" s="765"/>
      <c r="G172" s="765"/>
      <c r="H172" s="765"/>
      <c r="I172" s="765"/>
      <c r="J172" s="765"/>
      <c r="K172" s="765"/>
      <c r="L172" s="765"/>
      <c r="M172" s="765"/>
      <c r="N172" s="765"/>
      <c r="O172" s="765"/>
      <c r="P172" s="599"/>
      <c r="R172" s="672"/>
      <c r="S172" s="598"/>
      <c r="T172" s="598"/>
      <c r="U172" s="598"/>
      <c r="V172" s="598"/>
      <c r="W172" s="598"/>
      <c r="X172" s="598"/>
      <c r="Y172" s="818"/>
      <c r="Z172" s="818"/>
      <c r="AA172" s="818"/>
      <c r="AB172" s="818"/>
      <c r="AC172" s="818"/>
      <c r="AD172" s="818"/>
      <c r="AE172" s="818"/>
      <c r="AF172" s="679"/>
      <c r="AG172" s="679"/>
      <c r="AH172" s="679"/>
      <c r="AI172" s="679"/>
      <c r="AJ172" s="679"/>
      <c r="AK172" s="679"/>
      <c r="AL172" s="679"/>
      <c r="AM172" s="679"/>
      <c r="AN172" s="599"/>
      <c r="AO172" s="473"/>
      <c r="AP172" s="701"/>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719"/>
      <c r="CQ172" s="720"/>
      <c r="CR172" s="473"/>
      <c r="CS172" s="473"/>
      <c r="CT172" s="473"/>
      <c r="CU172" s="473"/>
      <c r="CV172" s="473"/>
      <c r="CW172" s="473"/>
      <c r="CX172" s="473"/>
      <c r="CY172" s="473"/>
      <c r="CZ172" s="473"/>
      <c r="DA172" s="473"/>
      <c r="DB172" s="473"/>
      <c r="DC172" s="473"/>
      <c r="DD172" s="473"/>
      <c r="DE172" s="473"/>
      <c r="DF172" s="473"/>
      <c r="DG172" s="473"/>
      <c r="DH172" s="473"/>
      <c r="DI172" s="473"/>
      <c r="DJ172" s="473"/>
      <c r="DK172" s="473"/>
      <c r="DL172" s="473"/>
      <c r="DM172" s="634"/>
      <c r="DN172" s="634"/>
      <c r="DO172" s="634"/>
      <c r="DP172" s="634"/>
      <c r="DQ172" s="634"/>
      <c r="DR172" s="634"/>
      <c r="DS172" s="634"/>
      <c r="DT172" s="634"/>
      <c r="DU172" s="634"/>
      <c r="DV172" s="634"/>
      <c r="DW172" s="634"/>
      <c r="DX172" s="634"/>
      <c r="DY172" s="634"/>
      <c r="DZ172" s="634"/>
      <c r="EA172" s="634"/>
      <c r="EB172" s="634"/>
      <c r="EC172" s="634"/>
      <c r="ED172" s="634"/>
      <c r="EE172" s="634"/>
      <c r="EF172" s="634"/>
      <c r="EG172" s="634"/>
      <c r="EH172" s="634"/>
      <c r="EI172" s="634"/>
      <c r="EJ172" s="634"/>
      <c r="EK172" s="634"/>
      <c r="EL172" s="634"/>
      <c r="EM172" s="634"/>
      <c r="EN172" s="634"/>
      <c r="EO172" s="634"/>
      <c r="EP172" s="473"/>
      <c r="EQ172" s="473"/>
      <c r="ER172" s="473"/>
      <c r="ES172" s="473"/>
      <c r="ET172" s="144"/>
      <c r="EU172" s="144"/>
      <c r="EV172" s="144"/>
      <c r="EW172" s="144"/>
    </row>
    <row r="173" spans="2:153" ht="12" customHeight="1" x14ac:dyDescent="0.25">
      <c r="B173" s="613"/>
      <c r="C173" s="614"/>
      <c r="D173" s="614"/>
      <c r="E173" s="614"/>
      <c r="F173" s="614"/>
      <c r="G173" s="614"/>
      <c r="H173" s="614"/>
      <c r="I173" s="614"/>
      <c r="J173" s="614"/>
      <c r="K173" s="614"/>
      <c r="L173" s="614"/>
      <c r="M173" s="614"/>
      <c r="N173" s="614"/>
      <c r="O173" s="614"/>
      <c r="P173" s="615"/>
      <c r="R173" s="716"/>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150"/>
      <c r="AN173" s="717"/>
      <c r="AO173" s="473"/>
      <c r="AP173" s="680"/>
      <c r="AQ173" s="524"/>
      <c r="AR173" s="524"/>
      <c r="AS173" s="524"/>
      <c r="AT173" s="524"/>
      <c r="AU173" s="524"/>
      <c r="AV173" s="524"/>
      <c r="AW173" s="524"/>
      <c r="AX173" s="524"/>
      <c r="AY173" s="524"/>
      <c r="AZ173" s="524"/>
      <c r="BA173" s="524"/>
      <c r="BB173" s="524"/>
      <c r="BC173" s="681"/>
      <c r="BD173" s="681"/>
      <c r="BE173" s="681"/>
      <c r="BF173" s="614"/>
      <c r="BG173" s="614"/>
      <c r="BH173" s="614"/>
      <c r="BI173" s="614"/>
      <c r="BJ173" s="614"/>
      <c r="BK173" s="614"/>
      <c r="BL173" s="614"/>
      <c r="BM173" s="614"/>
      <c r="BN173" s="614"/>
      <c r="BO173" s="614"/>
      <c r="BP173" s="614"/>
      <c r="BQ173" s="614"/>
      <c r="BR173" s="614"/>
      <c r="BS173" s="614"/>
      <c r="BT173" s="614"/>
      <c r="BU173" s="614"/>
      <c r="BV173" s="614"/>
      <c r="BW173" s="614"/>
      <c r="BX173" s="614"/>
      <c r="BY173" s="614"/>
      <c r="BZ173" s="614"/>
      <c r="CA173" s="614"/>
      <c r="CB173" s="614"/>
      <c r="CC173" s="614"/>
      <c r="CD173" s="614"/>
      <c r="CE173" s="614"/>
      <c r="CF173" s="614"/>
      <c r="CG173" s="614"/>
      <c r="CH173" s="614"/>
      <c r="CI173" s="614"/>
      <c r="CJ173" s="614"/>
      <c r="CK173" s="614"/>
      <c r="CL173" s="614"/>
      <c r="CM173" s="614"/>
      <c r="CN173" s="614"/>
      <c r="CO173" s="614"/>
      <c r="CP173" s="614"/>
      <c r="CQ173" s="615"/>
      <c r="CR173" s="473"/>
      <c r="CS173" s="473"/>
      <c r="CT173" s="473"/>
      <c r="CU173" s="473"/>
      <c r="CV173" s="473"/>
      <c r="CW173" s="473"/>
      <c r="CX173" s="473"/>
      <c r="CY173" s="473"/>
      <c r="CZ173" s="473"/>
      <c r="DA173" s="473"/>
      <c r="DB173" s="473"/>
      <c r="DC173" s="473"/>
      <c r="DD173" s="473"/>
      <c r="DE173" s="473"/>
      <c r="DF173" s="473"/>
      <c r="DG173" s="473"/>
      <c r="DH173" s="473"/>
      <c r="DI173" s="473"/>
      <c r="DJ173" s="473"/>
      <c r="DK173" s="473"/>
      <c r="DL173" s="473"/>
      <c r="DM173" s="634"/>
      <c r="DN173" s="634"/>
      <c r="DO173" s="634"/>
      <c r="DP173" s="634"/>
      <c r="DQ173" s="634"/>
      <c r="DR173" s="634"/>
      <c r="DS173" s="634"/>
      <c r="DT173" s="634"/>
      <c r="DU173" s="634"/>
      <c r="DV173" s="634"/>
      <c r="DW173" s="634"/>
      <c r="DX173" s="634"/>
      <c r="DY173" s="634"/>
      <c r="DZ173" s="634"/>
      <c r="EA173" s="634"/>
      <c r="EB173" s="634"/>
      <c r="EC173" s="634"/>
      <c r="ED173" s="634"/>
      <c r="EE173" s="634"/>
      <c r="EF173" s="634"/>
      <c r="EG173" s="634"/>
      <c r="EH173" s="634"/>
      <c r="EI173" s="634"/>
      <c r="EJ173" s="634"/>
      <c r="EK173" s="634"/>
      <c r="EL173" s="634"/>
      <c r="EM173" s="634"/>
      <c r="EN173" s="634"/>
      <c r="EO173" s="634"/>
      <c r="EP173" s="473"/>
      <c r="EQ173" s="473"/>
      <c r="ER173" s="473"/>
      <c r="ES173" s="473"/>
      <c r="ET173" s="144"/>
      <c r="EU173" s="144"/>
      <c r="EV173" s="144"/>
      <c r="EW173" s="144"/>
    </row>
    <row r="174" spans="2:153" ht="12" customHeight="1" x14ac:dyDescent="0.25">
      <c r="CR174" s="473"/>
      <c r="CS174" s="473"/>
      <c r="CT174" s="473"/>
      <c r="CU174" s="473"/>
      <c r="CV174" s="473"/>
      <c r="CW174" s="473"/>
      <c r="CX174" s="473"/>
      <c r="CY174" s="473"/>
      <c r="CZ174" s="473"/>
      <c r="DA174" s="473"/>
      <c r="DB174" s="473"/>
      <c r="DC174" s="473"/>
      <c r="DD174" s="473"/>
      <c r="DE174" s="473"/>
      <c r="DF174" s="473"/>
      <c r="DG174" s="473"/>
      <c r="DH174" s="473"/>
      <c r="DI174" s="473"/>
      <c r="DJ174" s="473"/>
      <c r="DK174" s="473"/>
      <c r="DL174" s="473"/>
      <c r="DM174" s="634"/>
      <c r="DN174" s="634"/>
      <c r="DO174" s="634"/>
      <c r="DP174" s="634"/>
      <c r="DQ174" s="634"/>
      <c r="DR174" s="634"/>
      <c r="DS174" s="634"/>
      <c r="DT174" s="634"/>
      <c r="DU174" s="634"/>
      <c r="DV174" s="634"/>
      <c r="DW174" s="634"/>
      <c r="DX174" s="634"/>
      <c r="DY174" s="634"/>
      <c r="DZ174" s="634"/>
      <c r="EA174" s="634"/>
      <c r="EB174" s="634"/>
      <c r="EC174" s="634"/>
      <c r="ED174" s="634"/>
      <c r="EE174" s="634"/>
      <c r="EF174" s="473"/>
      <c r="EG174" s="473"/>
      <c r="EH174" s="473"/>
      <c r="EI174" s="473"/>
      <c r="EJ174" s="473"/>
      <c r="EK174" s="473"/>
      <c r="EL174" s="473"/>
      <c r="EM174" s="473"/>
      <c r="EN174" s="473"/>
      <c r="EO174" s="473"/>
      <c r="EP174" s="473"/>
      <c r="EQ174" s="634"/>
      <c r="ER174" s="634"/>
      <c r="ES174" s="634"/>
      <c r="ET174" s="144"/>
      <c r="EU174" s="144"/>
      <c r="EV174" s="144"/>
      <c r="EW174" s="144"/>
    </row>
    <row r="187" spans="94:177" ht="12" customHeight="1" x14ac:dyDescent="0.2">
      <c r="CP187" s="144"/>
      <c r="CQ187" s="144"/>
      <c r="FC187" s="144"/>
      <c r="FD187" s="144"/>
      <c r="FE187" s="144"/>
      <c r="FF187" s="144"/>
      <c r="FG187" s="144"/>
      <c r="FH187" s="144"/>
      <c r="FI187" s="144"/>
      <c r="FJ187" s="144"/>
      <c r="FK187" s="144"/>
      <c r="FL187" s="144"/>
      <c r="FM187" s="144"/>
      <c r="FN187" s="144"/>
      <c r="FO187" s="144"/>
      <c r="FP187" s="144"/>
      <c r="FQ187" s="144"/>
      <c r="FR187" s="144"/>
      <c r="FS187" s="144"/>
      <c r="FT187" s="144"/>
      <c r="FU187" s="144"/>
    </row>
    <row r="188" spans="94:177" ht="12" customHeight="1" x14ac:dyDescent="0.2">
      <c r="CP188" s="144"/>
      <c r="CQ188" s="144"/>
      <c r="FC188" s="144"/>
      <c r="FD188" s="144"/>
      <c r="FE188" s="144"/>
      <c r="FF188" s="144"/>
      <c r="FG188" s="144"/>
      <c r="FH188" s="144"/>
      <c r="FI188" s="144"/>
      <c r="FJ188" s="144"/>
      <c r="FK188" s="144"/>
      <c r="FL188" s="144"/>
      <c r="FM188" s="144"/>
      <c r="FN188" s="144"/>
      <c r="FO188" s="144"/>
      <c r="FP188" s="144"/>
      <c r="FQ188" s="144"/>
      <c r="FR188" s="144"/>
      <c r="FS188" s="144"/>
      <c r="FT188" s="144"/>
      <c r="FU188" s="144"/>
    </row>
    <row r="189" spans="94:177" ht="12" customHeight="1" x14ac:dyDescent="0.2">
      <c r="CP189" s="144"/>
      <c r="CQ189" s="144"/>
      <c r="DM189" s="144"/>
      <c r="DN189" s="144"/>
      <c r="DO189" s="144"/>
      <c r="DP189" s="144"/>
      <c r="DQ189" s="144"/>
      <c r="DR189" s="144"/>
      <c r="DS189" s="144"/>
      <c r="DT189" s="144"/>
      <c r="DU189" s="144"/>
      <c r="DV189" s="144"/>
      <c r="DW189" s="144"/>
      <c r="DX189" s="144"/>
      <c r="DY189" s="144"/>
      <c r="DZ189" s="144"/>
      <c r="EA189" s="144"/>
      <c r="EB189" s="144"/>
      <c r="EC189" s="144"/>
      <c r="ED189" s="144"/>
      <c r="EE189" s="144"/>
      <c r="EF189" s="144"/>
      <c r="EG189" s="144"/>
      <c r="EH189" s="144"/>
      <c r="EI189" s="144"/>
      <c r="EJ189" s="144"/>
      <c r="EK189" s="144"/>
      <c r="EL189" s="144"/>
      <c r="EM189" s="144"/>
      <c r="EN189" s="144"/>
      <c r="EO189" s="144"/>
      <c r="EP189" s="144"/>
      <c r="EQ189" s="144"/>
      <c r="ER189" s="144"/>
      <c r="ES189" s="144"/>
      <c r="ET189" s="144"/>
      <c r="EU189" s="144"/>
      <c r="EV189" s="144"/>
      <c r="EW189" s="144"/>
      <c r="EX189" s="144"/>
      <c r="EY189" s="144"/>
      <c r="EZ189" s="144"/>
      <c r="FA189" s="144"/>
      <c r="FB189" s="144"/>
      <c r="FC189" s="144"/>
      <c r="FD189" s="144"/>
      <c r="FE189" s="144"/>
      <c r="FF189" s="144"/>
      <c r="FG189" s="144"/>
      <c r="FH189" s="144"/>
      <c r="FI189" s="144"/>
      <c r="FJ189" s="144"/>
      <c r="FK189" s="144"/>
      <c r="FL189" s="144"/>
      <c r="FM189" s="144"/>
      <c r="FN189" s="144"/>
      <c r="FO189" s="144"/>
      <c r="FP189" s="144"/>
      <c r="FQ189" s="144"/>
      <c r="FR189" s="144"/>
      <c r="FS189" s="144"/>
      <c r="FT189" s="144"/>
      <c r="FU189" s="144"/>
    </row>
    <row r="190" spans="94:177" ht="12" customHeight="1" x14ac:dyDescent="0.2">
      <c r="CP190" s="144"/>
      <c r="CQ190" s="144"/>
      <c r="DM190" s="144"/>
      <c r="DN190" s="144"/>
      <c r="DO190" s="144"/>
      <c r="DP190" s="144"/>
      <c r="DQ190" s="144"/>
      <c r="DR190" s="144"/>
      <c r="DS190" s="144"/>
      <c r="DT190" s="144"/>
      <c r="DU190" s="144"/>
      <c r="DV190" s="144"/>
      <c r="DW190" s="144"/>
      <c r="DX190" s="144"/>
      <c r="DY190" s="144"/>
      <c r="DZ190" s="144"/>
      <c r="EA190" s="144"/>
      <c r="EB190" s="144"/>
      <c r="EC190" s="144"/>
      <c r="ED190" s="144"/>
      <c r="EE190" s="144"/>
      <c r="EF190" s="144"/>
      <c r="EG190" s="144"/>
      <c r="EH190" s="144"/>
      <c r="EI190" s="144"/>
      <c r="EJ190" s="144"/>
      <c r="EK190" s="144"/>
      <c r="EL190" s="144"/>
      <c r="EM190" s="144"/>
      <c r="EN190" s="144"/>
      <c r="EO190" s="144"/>
      <c r="EP190" s="144"/>
      <c r="EQ190" s="144"/>
      <c r="ER190" s="144"/>
      <c r="ES190" s="144"/>
      <c r="ET190" s="144"/>
      <c r="EU190" s="144"/>
      <c r="EV190" s="144"/>
      <c r="EW190" s="144"/>
      <c r="EX190" s="144"/>
      <c r="EY190" s="144"/>
      <c r="EZ190" s="144"/>
      <c r="FA190" s="144"/>
      <c r="FB190" s="144"/>
      <c r="FC190" s="144"/>
      <c r="FD190" s="144"/>
      <c r="FE190" s="144"/>
      <c r="FF190" s="144"/>
      <c r="FG190" s="144"/>
      <c r="FH190" s="144"/>
      <c r="FI190" s="144"/>
      <c r="FJ190" s="144"/>
      <c r="FK190" s="144"/>
      <c r="FL190" s="144"/>
      <c r="FM190" s="144"/>
      <c r="FN190" s="144"/>
      <c r="FO190" s="144"/>
      <c r="FP190" s="144"/>
      <c r="FQ190" s="144"/>
      <c r="FR190" s="144"/>
      <c r="FS190" s="144"/>
      <c r="FT190" s="144"/>
      <c r="FU190" s="144"/>
    </row>
    <row r="191" spans="94:177" ht="12" customHeight="1" x14ac:dyDescent="0.2">
      <c r="CP191" s="144"/>
      <c r="CQ191" s="144"/>
      <c r="DM191" s="144"/>
      <c r="DN191" s="144"/>
      <c r="DO191" s="144"/>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4"/>
      <c r="ER191" s="144"/>
      <c r="ES191" s="144"/>
      <c r="ET191" s="144"/>
      <c r="EU191" s="144"/>
      <c r="EV191" s="144"/>
      <c r="EW191" s="144"/>
      <c r="EX191" s="144"/>
      <c r="EY191" s="144"/>
      <c r="EZ191" s="144"/>
      <c r="FA191" s="144"/>
      <c r="FB191" s="144"/>
      <c r="FC191" s="144"/>
      <c r="FD191" s="144"/>
      <c r="FE191" s="144"/>
      <c r="FF191" s="144"/>
      <c r="FG191" s="144"/>
      <c r="FH191" s="144"/>
      <c r="FI191" s="144"/>
      <c r="FJ191" s="144"/>
      <c r="FK191" s="144"/>
      <c r="FL191" s="144"/>
      <c r="FM191" s="144"/>
      <c r="FN191" s="144"/>
      <c r="FO191" s="144"/>
      <c r="FP191" s="144"/>
      <c r="FQ191" s="144"/>
      <c r="FR191" s="144"/>
      <c r="FS191" s="144"/>
      <c r="FT191" s="144"/>
      <c r="FU191" s="144"/>
    </row>
    <row r="192" spans="94:177" ht="12" customHeight="1" x14ac:dyDescent="0.2">
      <c r="CP192" s="144"/>
      <c r="CQ192" s="144"/>
      <c r="DM192" s="144"/>
      <c r="DN192" s="144"/>
      <c r="DO192" s="144"/>
      <c r="DP192" s="144"/>
      <c r="DQ192" s="144"/>
      <c r="DR192" s="144"/>
      <c r="DS192" s="144"/>
      <c r="DT192" s="144"/>
      <c r="DU192" s="144"/>
      <c r="DV192" s="144"/>
      <c r="DW192" s="144"/>
      <c r="DX192" s="144"/>
      <c r="DY192" s="144"/>
      <c r="DZ192" s="144"/>
      <c r="EA192" s="144"/>
      <c r="EB192" s="144"/>
      <c r="EC192" s="144"/>
      <c r="ED192" s="144"/>
      <c r="EE192" s="144"/>
      <c r="EF192" s="144"/>
      <c r="EG192" s="144"/>
      <c r="EH192" s="144"/>
      <c r="EI192" s="144"/>
      <c r="EJ192" s="144"/>
      <c r="EK192" s="144"/>
      <c r="EL192" s="144"/>
      <c r="EM192" s="144"/>
      <c r="EN192" s="144"/>
      <c r="EO192" s="144"/>
      <c r="EP192" s="144"/>
      <c r="EQ192" s="144"/>
      <c r="ER192" s="144"/>
      <c r="ES192" s="144"/>
      <c r="ET192" s="144"/>
      <c r="EU192" s="144"/>
      <c r="EV192" s="144"/>
      <c r="EW192" s="144"/>
      <c r="EX192" s="144"/>
      <c r="EY192" s="144"/>
      <c r="EZ192" s="144"/>
      <c r="FA192" s="144"/>
      <c r="FB192" s="144"/>
      <c r="FC192" s="144"/>
      <c r="FD192" s="144"/>
      <c r="FE192" s="144"/>
      <c r="FF192" s="144"/>
      <c r="FG192" s="144"/>
      <c r="FH192" s="144"/>
      <c r="FI192" s="144"/>
      <c r="FJ192" s="144"/>
      <c r="FK192" s="144"/>
      <c r="FL192" s="144"/>
      <c r="FM192" s="144"/>
      <c r="FN192" s="144"/>
      <c r="FO192" s="144"/>
      <c r="FP192" s="144"/>
      <c r="FQ192" s="144"/>
      <c r="FR192" s="144"/>
      <c r="FS192" s="144"/>
      <c r="FT192" s="144"/>
      <c r="FU192" s="144"/>
    </row>
    <row r="193" spans="94:177" ht="12" customHeight="1" x14ac:dyDescent="0.2">
      <c r="CP193" s="144"/>
      <c r="CQ193" s="144"/>
      <c r="DM193" s="144"/>
      <c r="DN193" s="144"/>
      <c r="DO193" s="144"/>
      <c r="DP193" s="144"/>
      <c r="DQ193" s="144"/>
      <c r="DR193" s="144"/>
      <c r="DS193" s="144"/>
      <c r="DT193" s="144"/>
      <c r="DU193" s="144"/>
      <c r="DV193" s="144"/>
      <c r="DW193" s="144"/>
      <c r="DX193" s="144"/>
      <c r="DY193" s="144"/>
      <c r="DZ193" s="144"/>
      <c r="EA193" s="144"/>
      <c r="EB193" s="144"/>
      <c r="EC193" s="144"/>
      <c r="ED193" s="144"/>
      <c r="EE193" s="144"/>
      <c r="EF193" s="144"/>
      <c r="EG193" s="144"/>
      <c r="EH193" s="144"/>
      <c r="EI193" s="144"/>
      <c r="EJ193" s="144"/>
      <c r="EK193" s="144"/>
      <c r="EL193" s="144"/>
      <c r="EM193" s="144"/>
      <c r="EN193" s="144"/>
      <c r="EO193" s="144"/>
      <c r="EP193" s="144"/>
      <c r="EQ193" s="144"/>
      <c r="ER193" s="144"/>
      <c r="ES193" s="144"/>
      <c r="ET193" s="144"/>
      <c r="EU193" s="144"/>
      <c r="EV193" s="144"/>
      <c r="EW193" s="144"/>
      <c r="EX193" s="144"/>
      <c r="EY193" s="144"/>
      <c r="EZ193" s="144"/>
      <c r="FA193" s="144"/>
      <c r="FB193" s="144"/>
      <c r="FC193" s="144"/>
      <c r="FD193" s="144"/>
      <c r="FE193" s="144"/>
      <c r="FF193" s="144"/>
      <c r="FG193" s="144"/>
      <c r="FH193" s="144"/>
      <c r="FI193" s="144"/>
      <c r="FJ193" s="144"/>
      <c r="FK193" s="144"/>
      <c r="FL193" s="144"/>
      <c r="FM193" s="144"/>
      <c r="FN193" s="144"/>
      <c r="FO193" s="144"/>
      <c r="FP193" s="144"/>
      <c r="FQ193" s="144"/>
      <c r="FR193" s="144"/>
      <c r="FS193" s="144"/>
      <c r="FT193" s="144"/>
      <c r="FU193" s="144"/>
    </row>
    <row r="194" spans="94:177" ht="12" customHeight="1" x14ac:dyDescent="0.2">
      <c r="CP194" s="144"/>
      <c r="CQ194" s="144"/>
      <c r="DM194" s="144"/>
      <c r="DN194" s="144"/>
      <c r="DO194" s="144"/>
      <c r="DP194" s="144"/>
      <c r="DQ194" s="144"/>
      <c r="DR194" s="144"/>
      <c r="DS194" s="144"/>
      <c r="DT194" s="144"/>
      <c r="DU194" s="144"/>
      <c r="DV194" s="144"/>
      <c r="DW194" s="144"/>
      <c r="DX194" s="144"/>
      <c r="DY194" s="144"/>
      <c r="DZ194" s="144"/>
      <c r="EA194" s="144"/>
      <c r="EB194" s="144"/>
      <c r="EC194" s="144"/>
      <c r="ED194" s="144"/>
      <c r="EE194" s="144"/>
      <c r="EF194" s="144"/>
      <c r="EG194" s="144"/>
      <c r="EH194" s="144"/>
      <c r="EI194" s="144"/>
      <c r="EJ194" s="144"/>
      <c r="EK194" s="144"/>
      <c r="EL194" s="144"/>
      <c r="EM194" s="144"/>
      <c r="EN194" s="144"/>
      <c r="EO194" s="144"/>
      <c r="EP194" s="144"/>
      <c r="EQ194" s="144"/>
      <c r="ER194" s="144"/>
      <c r="ES194" s="144"/>
      <c r="ET194" s="144"/>
      <c r="EU194" s="144"/>
      <c r="EV194" s="144"/>
      <c r="EW194" s="144"/>
      <c r="EX194" s="144"/>
      <c r="EY194" s="144"/>
      <c r="EZ194" s="144"/>
      <c r="FA194" s="144"/>
      <c r="FB194" s="144"/>
      <c r="FC194" s="144"/>
      <c r="FD194" s="144"/>
      <c r="FE194" s="144"/>
      <c r="FF194" s="144"/>
      <c r="FG194" s="144"/>
      <c r="FH194" s="144"/>
      <c r="FI194" s="144"/>
      <c r="FJ194" s="144"/>
      <c r="FK194" s="144"/>
      <c r="FL194" s="144"/>
      <c r="FM194" s="144"/>
      <c r="FN194" s="144"/>
      <c r="FO194" s="144"/>
      <c r="FP194" s="144"/>
      <c r="FQ194" s="144"/>
      <c r="FR194" s="144"/>
      <c r="FS194" s="144"/>
      <c r="FT194" s="144"/>
      <c r="FU194" s="144"/>
    </row>
    <row r="195" spans="94:177" ht="12" customHeight="1" x14ac:dyDescent="0.2">
      <c r="CP195" s="144"/>
      <c r="CQ195" s="144"/>
      <c r="DM195" s="144"/>
      <c r="DN195" s="144"/>
      <c r="DO195" s="144"/>
      <c r="DP195" s="144"/>
      <c r="DQ195" s="144"/>
      <c r="DR195" s="144"/>
      <c r="DS195" s="144"/>
      <c r="DT195" s="144"/>
      <c r="DU195" s="144"/>
      <c r="DV195" s="144"/>
      <c r="DW195" s="144"/>
      <c r="DX195" s="144"/>
      <c r="DY195" s="144"/>
      <c r="DZ195" s="144"/>
      <c r="EA195" s="144"/>
      <c r="EB195" s="144"/>
      <c r="EC195" s="144"/>
      <c r="ED195" s="144"/>
      <c r="EE195" s="144"/>
      <c r="EF195" s="144"/>
      <c r="EG195" s="144"/>
      <c r="EH195" s="144"/>
      <c r="EI195" s="144"/>
      <c r="EJ195" s="144"/>
      <c r="EK195" s="144"/>
      <c r="EL195" s="144"/>
      <c r="EM195" s="144"/>
      <c r="EN195" s="144"/>
      <c r="EO195" s="144"/>
      <c r="EP195" s="144"/>
      <c r="EQ195" s="144"/>
      <c r="ER195" s="144"/>
      <c r="ES195" s="144"/>
      <c r="ET195" s="144"/>
      <c r="EU195" s="144"/>
      <c r="EV195" s="144"/>
      <c r="EW195" s="144"/>
      <c r="EX195" s="144"/>
      <c r="EY195" s="144"/>
      <c r="EZ195" s="144"/>
      <c r="FA195" s="144"/>
      <c r="FB195" s="144"/>
      <c r="FC195" s="144"/>
      <c r="FD195" s="144"/>
      <c r="FE195" s="144"/>
      <c r="FF195" s="144"/>
      <c r="FG195" s="144"/>
      <c r="FH195" s="144"/>
      <c r="FI195" s="144"/>
      <c r="FJ195" s="144"/>
      <c r="FK195" s="144"/>
      <c r="FL195" s="144"/>
      <c r="FM195" s="144"/>
      <c r="FN195" s="144"/>
      <c r="FO195" s="144"/>
      <c r="FP195" s="144"/>
      <c r="FQ195" s="144"/>
      <c r="FR195" s="144"/>
      <c r="FS195" s="144"/>
      <c r="FT195" s="144"/>
      <c r="FU195" s="144"/>
    </row>
    <row r="196" spans="94:177" ht="12" customHeight="1" x14ac:dyDescent="0.2">
      <c r="CP196" s="144"/>
      <c r="CQ196" s="144"/>
      <c r="DM196" s="144"/>
      <c r="DN196" s="144"/>
      <c r="DO196" s="144"/>
      <c r="DP196" s="144"/>
      <c r="DQ196" s="144"/>
      <c r="DR196" s="144"/>
      <c r="DS196" s="144"/>
      <c r="DT196" s="144"/>
      <c r="DU196" s="144"/>
      <c r="DV196" s="144"/>
      <c r="DW196" s="144"/>
      <c r="DX196" s="144"/>
      <c r="DY196" s="144"/>
      <c r="DZ196" s="144"/>
      <c r="EA196" s="144"/>
      <c r="EB196" s="144"/>
      <c r="EC196" s="144"/>
      <c r="ED196" s="144"/>
      <c r="EE196" s="144"/>
      <c r="EF196" s="144"/>
      <c r="EG196" s="144"/>
      <c r="EH196" s="144"/>
      <c r="EI196" s="144"/>
      <c r="EJ196" s="144"/>
      <c r="EK196" s="144"/>
      <c r="EL196" s="144"/>
      <c r="EM196" s="144"/>
      <c r="EN196" s="144"/>
      <c r="EO196" s="144"/>
      <c r="EP196" s="144"/>
      <c r="EQ196" s="144"/>
      <c r="ER196" s="144"/>
      <c r="ES196" s="144"/>
      <c r="ET196" s="144"/>
      <c r="EU196" s="144"/>
      <c r="EV196" s="144"/>
      <c r="EW196" s="144"/>
      <c r="EX196" s="144"/>
      <c r="EY196" s="144"/>
      <c r="EZ196" s="144"/>
      <c r="FA196" s="144"/>
      <c r="FB196" s="144"/>
      <c r="FC196" s="144"/>
      <c r="FD196" s="144"/>
      <c r="FE196" s="144"/>
      <c r="FF196" s="144"/>
      <c r="FG196" s="144"/>
      <c r="FH196" s="144"/>
      <c r="FI196" s="144"/>
      <c r="FJ196" s="144"/>
      <c r="FK196" s="144"/>
      <c r="FL196" s="144"/>
      <c r="FM196" s="144"/>
      <c r="FN196" s="144"/>
      <c r="FO196" s="144"/>
      <c r="FP196" s="144"/>
      <c r="FQ196" s="144"/>
      <c r="FR196" s="144"/>
      <c r="FS196" s="144"/>
      <c r="FT196" s="144"/>
      <c r="FU196" s="144"/>
    </row>
    <row r="197" spans="94:177" ht="12" customHeight="1" x14ac:dyDescent="0.2">
      <c r="CP197" s="144"/>
      <c r="CQ197" s="144"/>
      <c r="DM197" s="144"/>
      <c r="DN197" s="144"/>
      <c r="DO197" s="144"/>
      <c r="DP197" s="144"/>
      <c r="DQ197" s="144"/>
      <c r="DR197" s="144"/>
      <c r="DS197" s="144"/>
      <c r="DT197" s="144"/>
      <c r="DU197" s="144"/>
      <c r="DV197" s="144"/>
      <c r="DW197" s="144"/>
      <c r="DX197" s="144"/>
      <c r="DY197" s="144"/>
      <c r="DZ197" s="144"/>
      <c r="EA197" s="144"/>
      <c r="EB197" s="144"/>
      <c r="EC197" s="144"/>
      <c r="ED197" s="144"/>
      <c r="EE197" s="144"/>
      <c r="EF197" s="144"/>
      <c r="EG197" s="144"/>
      <c r="EH197" s="144"/>
      <c r="EI197" s="144"/>
      <c r="EJ197" s="144"/>
      <c r="EK197" s="144"/>
      <c r="EL197" s="144"/>
      <c r="EM197" s="144"/>
      <c r="EN197" s="144"/>
      <c r="EO197" s="144"/>
      <c r="EP197" s="144"/>
      <c r="EQ197" s="144"/>
      <c r="ER197" s="144"/>
      <c r="ES197" s="144"/>
      <c r="ET197" s="144"/>
      <c r="EU197" s="144"/>
      <c r="EV197" s="144"/>
      <c r="EW197" s="144"/>
      <c r="EX197" s="144"/>
      <c r="EY197" s="144"/>
      <c r="EZ197" s="144"/>
      <c r="FA197" s="144"/>
      <c r="FB197" s="144"/>
      <c r="FC197" s="144"/>
      <c r="FD197" s="144"/>
      <c r="FE197" s="144"/>
      <c r="FF197" s="144"/>
      <c r="FG197" s="144"/>
      <c r="FH197" s="144"/>
      <c r="FI197" s="144"/>
      <c r="FJ197" s="144"/>
      <c r="FK197" s="144"/>
      <c r="FL197" s="144"/>
      <c r="FM197" s="144"/>
      <c r="FN197" s="144"/>
      <c r="FO197" s="144"/>
      <c r="FP197" s="144"/>
      <c r="FQ197" s="144"/>
      <c r="FR197" s="144"/>
      <c r="FS197" s="144"/>
      <c r="FT197" s="144"/>
      <c r="FU197" s="144"/>
    </row>
    <row r="198" spans="94:177" ht="12" customHeight="1" x14ac:dyDescent="0.2">
      <c r="CP198" s="144"/>
      <c r="CQ198" s="144"/>
      <c r="DM198" s="144"/>
      <c r="DN198" s="144"/>
      <c r="DO198" s="144"/>
      <c r="DP198" s="144"/>
      <c r="DQ198" s="144"/>
      <c r="DR198" s="144"/>
      <c r="DS198" s="144"/>
      <c r="DT198" s="144"/>
      <c r="DU198" s="144"/>
      <c r="DV198" s="144"/>
      <c r="DW198" s="144"/>
      <c r="DX198" s="144"/>
      <c r="DY198" s="144"/>
      <c r="DZ198" s="144"/>
      <c r="EA198" s="144"/>
      <c r="EB198" s="144"/>
      <c r="EC198" s="144"/>
      <c r="ED198" s="144"/>
      <c r="EE198" s="144"/>
      <c r="EF198" s="144"/>
      <c r="EG198" s="144"/>
      <c r="EH198" s="144"/>
      <c r="EI198" s="144"/>
      <c r="EJ198" s="144"/>
      <c r="EK198" s="144"/>
      <c r="EL198" s="144"/>
      <c r="EM198" s="144"/>
      <c r="EN198" s="144"/>
      <c r="EO198" s="144"/>
      <c r="EP198" s="144"/>
      <c r="EQ198" s="144"/>
      <c r="ER198" s="144"/>
      <c r="ES198" s="144"/>
      <c r="ET198" s="144"/>
      <c r="EU198" s="144"/>
      <c r="EV198" s="144"/>
      <c r="EW198" s="144"/>
      <c r="EX198" s="144"/>
      <c r="EY198" s="144"/>
      <c r="EZ198" s="144"/>
      <c r="FA198" s="144"/>
      <c r="FB198" s="144"/>
      <c r="FC198" s="144"/>
      <c r="FD198" s="144"/>
      <c r="FE198" s="144"/>
      <c r="FF198" s="144"/>
      <c r="FG198" s="144"/>
      <c r="FH198" s="144"/>
      <c r="FI198" s="144"/>
      <c r="FJ198" s="144"/>
      <c r="FK198" s="144"/>
      <c r="FL198" s="144"/>
      <c r="FM198" s="144"/>
      <c r="FN198" s="144"/>
      <c r="FO198" s="144"/>
      <c r="FP198" s="144"/>
      <c r="FQ198" s="144"/>
      <c r="FR198" s="144"/>
      <c r="FS198" s="144"/>
      <c r="FT198" s="144"/>
      <c r="FU198" s="144"/>
    </row>
    <row r="199" spans="94:177" ht="12" customHeight="1" x14ac:dyDescent="0.2">
      <c r="CP199" s="144"/>
      <c r="CQ199" s="144"/>
      <c r="DM199" s="144"/>
      <c r="DN199" s="144"/>
      <c r="DO199" s="144"/>
      <c r="DP199" s="144"/>
      <c r="DQ199" s="144"/>
      <c r="DR199" s="144"/>
      <c r="DS199" s="144"/>
      <c r="DT199" s="144"/>
      <c r="DU199" s="144"/>
      <c r="DV199" s="144"/>
      <c r="DW199" s="144"/>
      <c r="DX199" s="144"/>
      <c r="DY199" s="144"/>
      <c r="DZ199" s="144"/>
      <c r="EA199" s="144"/>
      <c r="EB199" s="144"/>
      <c r="EC199" s="144"/>
      <c r="ED199" s="144"/>
      <c r="EE199" s="144"/>
      <c r="EF199" s="144"/>
      <c r="EG199" s="144"/>
      <c r="EH199" s="144"/>
      <c r="EI199" s="144"/>
      <c r="EJ199" s="144"/>
      <c r="EK199" s="144"/>
      <c r="EL199" s="144"/>
      <c r="EM199" s="144"/>
      <c r="EN199" s="144"/>
      <c r="EO199" s="144"/>
      <c r="EP199" s="144"/>
      <c r="EQ199" s="144"/>
      <c r="ER199" s="144"/>
      <c r="ES199" s="144"/>
      <c r="ET199" s="144"/>
      <c r="EU199" s="144"/>
      <c r="EV199" s="144"/>
      <c r="EW199" s="144"/>
      <c r="EX199" s="144"/>
      <c r="EY199" s="144"/>
      <c r="EZ199" s="144"/>
      <c r="FA199" s="144"/>
      <c r="FB199" s="144"/>
      <c r="FC199" s="144"/>
      <c r="FD199" s="144"/>
      <c r="FE199" s="144"/>
      <c r="FF199" s="144"/>
      <c r="FG199" s="144"/>
      <c r="FH199" s="144"/>
      <c r="FI199" s="144"/>
      <c r="FJ199" s="144"/>
      <c r="FK199" s="144"/>
      <c r="FL199" s="144"/>
      <c r="FM199" s="144"/>
      <c r="FN199" s="144"/>
      <c r="FO199" s="144"/>
      <c r="FP199" s="144"/>
      <c r="FQ199" s="144"/>
      <c r="FR199" s="144"/>
      <c r="FS199" s="144"/>
      <c r="FT199" s="144"/>
      <c r="FU199" s="144"/>
    </row>
    <row r="200" spans="94:177" ht="12" customHeight="1" x14ac:dyDescent="0.2">
      <c r="CP200" s="144"/>
      <c r="CQ200" s="144"/>
      <c r="DM200" s="144"/>
      <c r="DN200" s="144"/>
      <c r="DO200" s="144"/>
      <c r="DP200" s="144"/>
      <c r="DQ200" s="144"/>
      <c r="DR200" s="144"/>
      <c r="DS200" s="144"/>
      <c r="DT200" s="144"/>
      <c r="DU200" s="144"/>
      <c r="DV200" s="144"/>
      <c r="DW200" s="144"/>
      <c r="DX200" s="144"/>
      <c r="DY200" s="144"/>
      <c r="DZ200" s="144"/>
      <c r="EA200" s="144"/>
      <c r="EB200" s="144"/>
      <c r="EC200" s="144"/>
      <c r="ED200" s="144"/>
      <c r="EE200" s="144"/>
      <c r="EF200" s="144"/>
      <c r="EG200" s="144"/>
      <c r="EH200" s="144"/>
      <c r="EI200" s="144"/>
      <c r="EJ200" s="144"/>
      <c r="EK200" s="144"/>
      <c r="EL200" s="144"/>
      <c r="EM200" s="144"/>
      <c r="EN200" s="144"/>
      <c r="EO200" s="144"/>
      <c r="EP200" s="144"/>
      <c r="EQ200" s="144"/>
      <c r="ER200" s="144"/>
      <c r="ES200" s="144"/>
      <c r="ET200" s="144"/>
      <c r="EU200" s="144"/>
      <c r="EV200" s="144"/>
      <c r="EW200" s="144"/>
      <c r="EX200" s="144"/>
      <c r="EY200" s="144"/>
      <c r="EZ200" s="144"/>
      <c r="FA200" s="144"/>
      <c r="FB200" s="144"/>
      <c r="FC200" s="144"/>
      <c r="FD200" s="144"/>
      <c r="FE200" s="144"/>
      <c r="FF200" s="144"/>
      <c r="FG200" s="144"/>
      <c r="FH200" s="144"/>
      <c r="FI200" s="144"/>
      <c r="FJ200" s="144"/>
      <c r="FK200" s="144"/>
      <c r="FL200" s="144"/>
      <c r="FM200" s="144"/>
      <c r="FN200" s="144"/>
      <c r="FO200" s="144"/>
      <c r="FP200" s="144"/>
      <c r="FQ200" s="144"/>
      <c r="FR200" s="144"/>
      <c r="FS200" s="144"/>
      <c r="FT200" s="144"/>
      <c r="FU200" s="144"/>
    </row>
    <row r="201" spans="94:177" ht="12" customHeight="1" x14ac:dyDescent="0.2">
      <c r="CP201" s="144"/>
      <c r="CQ201" s="144"/>
      <c r="DM201" s="144"/>
      <c r="DN201" s="144"/>
      <c r="DO201" s="144"/>
      <c r="DP201" s="144"/>
      <c r="DQ201" s="144"/>
      <c r="DR201" s="144"/>
      <c r="DS201" s="144"/>
      <c r="DT201" s="144"/>
      <c r="DU201" s="144"/>
      <c r="DV201" s="144"/>
      <c r="DW201" s="144"/>
      <c r="DX201" s="144"/>
      <c r="DY201" s="144"/>
      <c r="DZ201" s="144"/>
      <c r="EA201" s="144"/>
      <c r="EB201" s="144"/>
      <c r="EC201" s="144"/>
      <c r="ED201" s="144"/>
      <c r="EE201" s="144"/>
      <c r="EF201" s="144"/>
      <c r="EG201" s="144"/>
      <c r="EH201" s="144"/>
      <c r="EI201" s="144"/>
      <c r="EJ201" s="144"/>
      <c r="EK201" s="144"/>
      <c r="EL201" s="144"/>
      <c r="EM201" s="144"/>
      <c r="EN201" s="144"/>
      <c r="EO201" s="144"/>
      <c r="EP201" s="144"/>
      <c r="EQ201" s="144"/>
      <c r="ER201" s="144"/>
      <c r="ES201" s="144"/>
      <c r="ET201" s="144"/>
      <c r="EU201" s="144"/>
      <c r="EV201" s="144"/>
      <c r="EW201" s="144"/>
      <c r="EX201" s="144"/>
      <c r="EY201" s="144"/>
      <c r="EZ201" s="144"/>
      <c r="FA201" s="144"/>
      <c r="FB201" s="144"/>
      <c r="FC201" s="144"/>
      <c r="FD201" s="144"/>
      <c r="FE201" s="144"/>
      <c r="FF201" s="144"/>
      <c r="FG201" s="144"/>
      <c r="FH201" s="144"/>
      <c r="FI201" s="144"/>
      <c r="FJ201" s="144"/>
      <c r="FK201" s="144"/>
      <c r="FL201" s="144"/>
      <c r="FM201" s="144"/>
      <c r="FN201" s="144"/>
      <c r="FO201" s="144"/>
      <c r="FP201" s="144"/>
      <c r="FQ201" s="144"/>
      <c r="FR201" s="144"/>
      <c r="FS201" s="144"/>
      <c r="FT201" s="144"/>
      <c r="FU201" s="144"/>
    </row>
    <row r="202" spans="94:177" ht="12" customHeight="1" x14ac:dyDescent="0.2">
      <c r="CP202" s="144"/>
      <c r="CQ202" s="144"/>
      <c r="DM202" s="144"/>
      <c r="DN202" s="144"/>
      <c r="DO202" s="144"/>
      <c r="DP202" s="144"/>
      <c r="DQ202" s="144"/>
      <c r="DR202" s="144"/>
      <c r="DS202" s="144"/>
      <c r="DT202" s="144"/>
      <c r="DU202" s="144"/>
      <c r="DV202" s="144"/>
      <c r="DW202" s="144"/>
      <c r="DX202" s="144"/>
      <c r="DY202" s="144"/>
      <c r="DZ202" s="144"/>
      <c r="EA202" s="144"/>
      <c r="EB202" s="144"/>
      <c r="EC202" s="144"/>
      <c r="ED202" s="144"/>
      <c r="EE202" s="144"/>
      <c r="EF202" s="144"/>
      <c r="EG202" s="144"/>
      <c r="EH202" s="144"/>
      <c r="EI202" s="144"/>
      <c r="EJ202" s="144"/>
      <c r="EK202" s="144"/>
      <c r="EL202" s="144"/>
      <c r="EM202" s="144"/>
      <c r="EN202" s="144"/>
      <c r="EO202" s="144"/>
      <c r="EP202" s="144"/>
      <c r="EQ202" s="144"/>
      <c r="ER202" s="144"/>
      <c r="ES202" s="144"/>
      <c r="ET202" s="144"/>
      <c r="EU202" s="144"/>
      <c r="EV202" s="144"/>
      <c r="EW202" s="144"/>
      <c r="EX202" s="144"/>
      <c r="EY202" s="144"/>
      <c r="EZ202" s="144"/>
      <c r="FA202" s="144"/>
      <c r="FB202" s="144"/>
      <c r="FC202" s="144"/>
      <c r="FD202" s="144"/>
      <c r="FE202" s="144"/>
      <c r="FF202" s="144"/>
      <c r="FG202" s="144"/>
      <c r="FH202" s="144"/>
      <c r="FI202" s="144"/>
      <c r="FJ202" s="144"/>
      <c r="FK202" s="144"/>
      <c r="FL202" s="144"/>
      <c r="FM202" s="144"/>
      <c r="FN202" s="144"/>
      <c r="FO202" s="144"/>
      <c r="FP202" s="144"/>
      <c r="FQ202" s="144"/>
      <c r="FR202" s="144"/>
      <c r="FS202" s="144"/>
      <c r="FT202" s="144"/>
      <c r="FU202" s="144"/>
    </row>
    <row r="203" spans="94:177" ht="12" customHeight="1" x14ac:dyDescent="0.2">
      <c r="CP203" s="144"/>
      <c r="CQ203" s="144"/>
      <c r="DM203" s="144"/>
      <c r="DN203" s="144"/>
      <c r="DO203" s="144"/>
      <c r="DP203" s="144"/>
      <c r="DQ203" s="144"/>
      <c r="DR203" s="144"/>
      <c r="DS203" s="144"/>
      <c r="DT203" s="144"/>
      <c r="DU203" s="144"/>
      <c r="DV203" s="144"/>
      <c r="DW203" s="144"/>
      <c r="DX203" s="144"/>
      <c r="DY203" s="144"/>
      <c r="DZ203" s="144"/>
      <c r="EA203" s="144"/>
      <c r="EB203" s="144"/>
      <c r="EC203" s="144"/>
      <c r="ED203" s="144"/>
      <c r="EE203" s="144"/>
      <c r="EF203" s="144"/>
      <c r="EG203" s="144"/>
      <c r="EH203" s="144"/>
      <c r="EI203" s="144"/>
      <c r="EJ203" s="144"/>
      <c r="EK203" s="144"/>
      <c r="EL203" s="144"/>
      <c r="EM203" s="144"/>
      <c r="EN203" s="144"/>
      <c r="EO203" s="144"/>
      <c r="EP203" s="144"/>
      <c r="EQ203" s="144"/>
      <c r="ER203" s="144"/>
      <c r="ES203" s="144"/>
      <c r="ET203" s="144"/>
      <c r="EU203" s="144"/>
      <c r="EV203" s="144"/>
      <c r="EW203" s="144"/>
      <c r="EX203" s="144"/>
      <c r="EY203" s="144"/>
      <c r="EZ203" s="144"/>
      <c r="FA203" s="144"/>
      <c r="FB203" s="144"/>
      <c r="FC203" s="144"/>
      <c r="FD203" s="144"/>
      <c r="FE203" s="144"/>
      <c r="FF203" s="144"/>
      <c r="FG203" s="144"/>
      <c r="FH203" s="144"/>
      <c r="FI203" s="144"/>
      <c r="FJ203" s="144"/>
      <c r="FK203" s="144"/>
      <c r="FL203" s="144"/>
      <c r="FM203" s="144"/>
      <c r="FN203" s="144"/>
      <c r="FO203" s="144"/>
      <c r="FP203" s="144"/>
      <c r="FQ203" s="144"/>
      <c r="FR203" s="144"/>
      <c r="FS203" s="144"/>
      <c r="FT203" s="144"/>
      <c r="FU203" s="144"/>
    </row>
    <row r="204" spans="94:177" ht="12" customHeight="1" x14ac:dyDescent="0.2">
      <c r="CP204" s="144"/>
      <c r="CQ204" s="144"/>
      <c r="DM204" s="144"/>
      <c r="DN204" s="144"/>
      <c r="DO204" s="144"/>
      <c r="DP204" s="144"/>
      <c r="DQ204" s="144"/>
      <c r="DR204" s="144"/>
      <c r="DS204" s="144"/>
      <c r="DT204" s="144"/>
      <c r="DU204" s="144"/>
      <c r="DV204" s="144"/>
      <c r="DW204" s="144"/>
      <c r="DX204" s="144"/>
      <c r="DY204" s="144"/>
      <c r="DZ204" s="144"/>
      <c r="EA204" s="144"/>
      <c r="EB204" s="144"/>
      <c r="EC204" s="144"/>
      <c r="ED204" s="144"/>
      <c r="EE204" s="144"/>
      <c r="EF204" s="144"/>
      <c r="EG204" s="144"/>
      <c r="EH204" s="144"/>
      <c r="EI204" s="144"/>
      <c r="EJ204" s="144"/>
      <c r="EK204" s="144"/>
      <c r="EL204" s="144"/>
      <c r="EM204" s="144"/>
      <c r="EN204" s="144"/>
      <c r="EO204" s="144"/>
      <c r="EP204" s="144"/>
      <c r="EQ204" s="144"/>
      <c r="ER204" s="144"/>
      <c r="ES204" s="144"/>
      <c r="ET204" s="144"/>
      <c r="EU204" s="144"/>
      <c r="EV204" s="144"/>
      <c r="EW204" s="144"/>
      <c r="EX204" s="144"/>
      <c r="EY204" s="144"/>
      <c r="EZ204" s="144"/>
      <c r="FA204" s="144"/>
      <c r="FB204" s="144"/>
      <c r="FC204" s="144"/>
      <c r="FD204" s="144"/>
      <c r="FE204" s="144"/>
      <c r="FF204" s="144"/>
      <c r="FG204" s="144"/>
      <c r="FH204" s="144"/>
      <c r="FI204" s="144"/>
      <c r="FJ204" s="144"/>
      <c r="FK204" s="144"/>
      <c r="FL204" s="144"/>
      <c r="FM204" s="144"/>
      <c r="FN204" s="144"/>
      <c r="FO204" s="144"/>
      <c r="FP204" s="144"/>
      <c r="FQ204" s="144"/>
      <c r="FR204" s="144"/>
      <c r="FS204" s="144"/>
      <c r="FT204" s="144"/>
      <c r="FU204" s="144"/>
    </row>
    <row r="205" spans="94:177" ht="12" customHeight="1" x14ac:dyDescent="0.2">
      <c r="CP205" s="144"/>
      <c r="CQ205" s="144"/>
      <c r="DM205" s="144"/>
      <c r="DN205" s="144"/>
      <c r="DO205" s="144"/>
      <c r="DP205" s="144"/>
      <c r="DQ205" s="144"/>
      <c r="DR205" s="144"/>
      <c r="DS205" s="144"/>
      <c r="DT205" s="144"/>
      <c r="DU205" s="144"/>
      <c r="DV205" s="144"/>
      <c r="DW205" s="144"/>
      <c r="DX205" s="144"/>
      <c r="DY205" s="144"/>
      <c r="DZ205" s="144"/>
      <c r="EA205" s="144"/>
      <c r="EB205" s="144"/>
      <c r="EC205" s="144"/>
      <c r="ED205" s="144"/>
      <c r="EE205" s="144"/>
      <c r="EF205" s="144"/>
      <c r="EG205" s="144"/>
      <c r="EH205" s="144"/>
      <c r="EI205" s="144"/>
      <c r="EJ205" s="144"/>
      <c r="EK205" s="144"/>
      <c r="EL205" s="144"/>
      <c r="EM205" s="144"/>
      <c r="EN205" s="144"/>
      <c r="EO205" s="144"/>
      <c r="EP205" s="144"/>
      <c r="EQ205" s="144"/>
      <c r="ER205" s="144"/>
      <c r="ES205" s="144"/>
      <c r="ET205" s="144"/>
      <c r="EU205" s="144"/>
      <c r="EV205" s="144"/>
      <c r="EW205" s="144"/>
      <c r="EX205" s="144"/>
      <c r="EY205" s="144"/>
      <c r="EZ205" s="144"/>
      <c r="FA205" s="144"/>
      <c r="FB205" s="144"/>
      <c r="FC205" s="144"/>
      <c r="FD205" s="144"/>
      <c r="FE205" s="144"/>
      <c r="FF205" s="144"/>
      <c r="FG205" s="144"/>
      <c r="FH205" s="144"/>
      <c r="FI205" s="144"/>
      <c r="FJ205" s="144"/>
      <c r="FK205" s="144"/>
      <c r="FL205" s="144"/>
      <c r="FM205" s="144"/>
      <c r="FN205" s="144"/>
      <c r="FO205" s="144"/>
      <c r="FP205" s="144"/>
      <c r="FQ205" s="144"/>
      <c r="FR205" s="144"/>
      <c r="FS205" s="144"/>
      <c r="FT205" s="144"/>
      <c r="FU205" s="144"/>
    </row>
    <row r="206" spans="94:177" ht="12" customHeight="1" x14ac:dyDescent="0.2">
      <c r="CP206" s="144"/>
      <c r="CQ206" s="144"/>
      <c r="DM206" s="144"/>
      <c r="DN206" s="144"/>
      <c r="DO206" s="144"/>
      <c r="DP206" s="144"/>
      <c r="DQ206" s="144"/>
      <c r="DR206" s="144"/>
      <c r="DS206" s="144"/>
      <c r="DT206" s="144"/>
      <c r="DU206" s="144"/>
      <c r="DV206" s="144"/>
      <c r="DW206" s="144"/>
      <c r="DX206" s="144"/>
      <c r="DY206" s="144"/>
      <c r="DZ206" s="144"/>
      <c r="EA206" s="144"/>
      <c r="EB206" s="144"/>
      <c r="EC206" s="144"/>
      <c r="ED206" s="144"/>
      <c r="EE206" s="144"/>
      <c r="EF206" s="144"/>
      <c r="EG206" s="144"/>
      <c r="EH206" s="144"/>
      <c r="EI206" s="144"/>
      <c r="EJ206" s="144"/>
      <c r="EK206" s="144"/>
      <c r="EL206" s="144"/>
      <c r="EM206" s="144"/>
      <c r="EN206" s="144"/>
      <c r="EO206" s="144"/>
      <c r="EP206" s="144"/>
      <c r="EQ206" s="144"/>
      <c r="ER206" s="144"/>
      <c r="ES206" s="144"/>
      <c r="ET206" s="144"/>
      <c r="EU206" s="144"/>
      <c r="EV206" s="144"/>
      <c r="EW206" s="144"/>
      <c r="EX206" s="144"/>
      <c r="EY206" s="144"/>
      <c r="EZ206" s="144"/>
      <c r="FA206" s="144"/>
      <c r="FB206" s="144"/>
      <c r="FC206" s="144"/>
      <c r="FD206" s="144"/>
      <c r="FE206" s="144"/>
      <c r="FF206" s="144"/>
      <c r="FG206" s="144"/>
      <c r="FH206" s="144"/>
      <c r="FI206" s="144"/>
      <c r="FJ206" s="144"/>
      <c r="FK206" s="144"/>
      <c r="FL206" s="144"/>
      <c r="FM206" s="144"/>
      <c r="FN206" s="144"/>
      <c r="FO206" s="144"/>
      <c r="FP206" s="144"/>
      <c r="FQ206" s="144"/>
      <c r="FR206" s="144"/>
      <c r="FS206" s="144"/>
      <c r="FT206" s="144"/>
      <c r="FU206" s="144"/>
    </row>
    <row r="207" spans="94:177" ht="12" customHeight="1" x14ac:dyDescent="0.2">
      <c r="CP207" s="144"/>
      <c r="CQ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144"/>
      <c r="EM207" s="144"/>
      <c r="EN207" s="144"/>
      <c r="EO207" s="144"/>
      <c r="EP207" s="144"/>
      <c r="EQ207" s="144"/>
      <c r="ER207" s="144"/>
      <c r="ES207" s="144"/>
      <c r="ET207" s="144"/>
      <c r="EU207" s="144"/>
      <c r="EV207" s="144"/>
      <c r="EW207" s="144"/>
      <c r="EX207" s="144"/>
      <c r="EY207" s="144"/>
      <c r="EZ207" s="144"/>
      <c r="FA207" s="144"/>
      <c r="FB207" s="144"/>
      <c r="FC207" s="144"/>
      <c r="FD207" s="144"/>
      <c r="FE207" s="144"/>
      <c r="FF207" s="144"/>
      <c r="FG207" s="144"/>
      <c r="FH207" s="144"/>
      <c r="FI207" s="144"/>
      <c r="FJ207" s="144"/>
      <c r="FK207" s="144"/>
      <c r="FL207" s="144"/>
      <c r="FM207" s="144"/>
      <c r="FN207" s="144"/>
      <c r="FO207" s="144"/>
      <c r="FP207" s="144"/>
      <c r="FQ207" s="144"/>
      <c r="FR207" s="144"/>
      <c r="FS207" s="144"/>
      <c r="FT207" s="144"/>
      <c r="FU207" s="144"/>
    </row>
    <row r="208" spans="94:177" ht="12" customHeight="1" x14ac:dyDescent="0.2">
      <c r="CP208" s="144"/>
      <c r="CQ208" s="144"/>
      <c r="DM208" s="144"/>
      <c r="DN208" s="144"/>
      <c r="DO208" s="144"/>
      <c r="DP208" s="144"/>
      <c r="DQ208" s="144"/>
      <c r="DR208" s="144"/>
      <c r="DS208" s="144"/>
      <c r="DT208" s="144"/>
      <c r="DU208" s="144"/>
      <c r="DV208" s="144"/>
      <c r="DW208" s="144"/>
      <c r="DX208" s="144"/>
      <c r="DY208" s="144"/>
      <c r="DZ208" s="144"/>
      <c r="EA208" s="144"/>
      <c r="EB208" s="144"/>
      <c r="EC208" s="144"/>
      <c r="ED208" s="144"/>
      <c r="EE208" s="144"/>
      <c r="EF208" s="144"/>
      <c r="EG208" s="144"/>
      <c r="EH208" s="144"/>
      <c r="EI208" s="144"/>
      <c r="EJ208" s="144"/>
      <c r="EK208" s="144"/>
      <c r="EL208" s="144"/>
      <c r="EM208" s="144"/>
      <c r="EN208" s="144"/>
      <c r="EO208" s="144"/>
      <c r="EP208" s="144"/>
      <c r="EQ208" s="144"/>
      <c r="ER208" s="144"/>
      <c r="ES208" s="144"/>
      <c r="ET208" s="144"/>
      <c r="EU208" s="144"/>
      <c r="EV208" s="144"/>
      <c r="EW208" s="144"/>
      <c r="EX208" s="144"/>
      <c r="EY208" s="144"/>
      <c r="EZ208" s="144"/>
      <c r="FA208" s="144"/>
      <c r="FB208" s="144"/>
      <c r="FC208" s="144"/>
      <c r="FD208" s="144"/>
      <c r="FE208" s="144"/>
      <c r="FF208" s="144"/>
      <c r="FG208" s="144"/>
      <c r="FH208" s="144"/>
      <c r="FI208" s="144"/>
      <c r="FJ208" s="144"/>
      <c r="FK208" s="144"/>
      <c r="FL208" s="144"/>
      <c r="FM208" s="144"/>
      <c r="FN208" s="144"/>
      <c r="FO208" s="144"/>
      <c r="FP208" s="144"/>
      <c r="FQ208" s="144"/>
      <c r="FR208" s="144"/>
      <c r="FS208" s="144"/>
      <c r="FT208" s="144"/>
      <c r="FU208" s="144"/>
    </row>
    <row r="209" spans="1:177" ht="12" customHeight="1" x14ac:dyDescent="0.2">
      <c r="CP209" s="144"/>
      <c r="CQ209" s="144"/>
      <c r="DM209" s="144"/>
      <c r="DN209" s="144"/>
      <c r="DO209" s="144"/>
      <c r="DP209" s="144"/>
      <c r="DQ209" s="144"/>
      <c r="DR209" s="144"/>
      <c r="DS209" s="144"/>
      <c r="DT209" s="144"/>
      <c r="DU209" s="144"/>
      <c r="DV209" s="144"/>
      <c r="DW209" s="144"/>
      <c r="DX209" s="144"/>
      <c r="DY209" s="144"/>
      <c r="DZ209" s="144"/>
      <c r="EA209" s="144"/>
      <c r="EB209" s="144"/>
      <c r="EC209" s="144"/>
      <c r="ED209" s="144"/>
      <c r="EE209" s="144"/>
      <c r="EF209" s="144"/>
      <c r="EG209" s="144"/>
      <c r="EH209" s="144"/>
      <c r="EI209" s="144"/>
      <c r="EJ209" s="144"/>
      <c r="EK209" s="144"/>
      <c r="EL209" s="144"/>
      <c r="EM209" s="144"/>
      <c r="EN209" s="144"/>
      <c r="EO209" s="144"/>
      <c r="EP209" s="144"/>
      <c r="EQ209" s="144"/>
      <c r="ER209" s="144"/>
      <c r="ES209" s="144"/>
      <c r="ET209" s="144"/>
      <c r="EU209" s="144"/>
      <c r="EV209" s="144"/>
      <c r="EW209" s="144"/>
      <c r="EX209" s="144"/>
      <c r="EY209" s="144"/>
      <c r="EZ209" s="144"/>
      <c r="FA209" s="144"/>
      <c r="FB209" s="144"/>
      <c r="FC209" s="144"/>
      <c r="FD209" s="144"/>
      <c r="FE209" s="144"/>
      <c r="FF209" s="144"/>
      <c r="FG209" s="144"/>
      <c r="FH209" s="144"/>
      <c r="FI209" s="144"/>
      <c r="FJ209" s="144"/>
      <c r="FK209" s="144"/>
      <c r="FL209" s="144"/>
      <c r="FM209" s="144"/>
      <c r="FN209" s="144"/>
      <c r="FO209" s="144"/>
      <c r="FP209" s="144"/>
      <c r="FQ209" s="144"/>
      <c r="FR209" s="144"/>
      <c r="FS209" s="144"/>
      <c r="FT209" s="144"/>
      <c r="FU209" s="144"/>
    </row>
    <row r="210" spans="1:177" ht="12" customHeight="1" x14ac:dyDescent="0.2">
      <c r="CP210" s="144"/>
      <c r="CQ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144"/>
      <c r="EM210" s="144"/>
      <c r="EN210" s="144"/>
      <c r="EO210" s="144"/>
      <c r="EP210" s="144"/>
      <c r="EQ210" s="144"/>
      <c r="ER210" s="144"/>
      <c r="ES210" s="144"/>
      <c r="ET210" s="144"/>
      <c r="EU210" s="144"/>
      <c r="EV210" s="144"/>
      <c r="EW210" s="144"/>
      <c r="EX210" s="144"/>
      <c r="EY210" s="144"/>
      <c r="EZ210" s="144"/>
      <c r="FA210" s="144"/>
      <c r="FB210" s="144"/>
      <c r="FC210" s="144"/>
      <c r="FD210" s="144"/>
      <c r="FE210" s="144"/>
      <c r="FF210" s="144"/>
      <c r="FG210" s="144"/>
      <c r="FH210" s="144"/>
      <c r="FI210" s="144"/>
      <c r="FJ210" s="144"/>
      <c r="FK210" s="144"/>
      <c r="FL210" s="144"/>
      <c r="FM210" s="144"/>
      <c r="FN210" s="144"/>
      <c r="FO210" s="144"/>
      <c r="FP210" s="144"/>
      <c r="FQ210" s="144"/>
      <c r="FR210" s="144"/>
      <c r="FS210" s="144"/>
      <c r="FT210" s="144"/>
      <c r="FU210" s="144"/>
    </row>
    <row r="211" spans="1:177" ht="12" customHeight="1" x14ac:dyDescent="0.2">
      <c r="CP211" s="144"/>
      <c r="CQ211" s="144"/>
      <c r="DM211" s="144"/>
      <c r="DN211" s="144"/>
      <c r="DO211" s="144"/>
      <c r="DP211" s="144"/>
      <c r="DQ211" s="144"/>
      <c r="DR211" s="144"/>
      <c r="DS211" s="144"/>
      <c r="DT211" s="144"/>
      <c r="DU211" s="144"/>
      <c r="DV211" s="144"/>
      <c r="DW211" s="144"/>
      <c r="DX211" s="144"/>
      <c r="DY211" s="144"/>
      <c r="DZ211" s="144"/>
      <c r="EA211" s="144"/>
      <c r="EB211" s="144"/>
      <c r="EC211" s="144"/>
      <c r="ED211" s="144"/>
      <c r="EE211" s="144"/>
      <c r="EF211" s="144"/>
      <c r="EG211" s="144"/>
      <c r="EH211" s="144"/>
      <c r="EI211" s="144"/>
      <c r="EJ211" s="144"/>
      <c r="EK211" s="144"/>
      <c r="EL211" s="144"/>
      <c r="EM211" s="144"/>
      <c r="EN211" s="144"/>
      <c r="EO211" s="144"/>
      <c r="EP211" s="144"/>
      <c r="EQ211" s="144"/>
      <c r="ER211" s="144"/>
      <c r="ES211" s="144"/>
      <c r="ET211" s="144"/>
      <c r="EU211" s="144"/>
      <c r="EV211" s="144"/>
      <c r="EW211" s="144"/>
      <c r="EX211" s="144"/>
      <c r="EY211" s="144"/>
      <c r="EZ211" s="144"/>
      <c r="FA211" s="144"/>
      <c r="FB211" s="144"/>
      <c r="FC211" s="144"/>
      <c r="FD211" s="144"/>
      <c r="FE211" s="144"/>
      <c r="FF211" s="144"/>
      <c r="FG211" s="144"/>
      <c r="FH211" s="144"/>
      <c r="FI211" s="144"/>
      <c r="FJ211" s="144"/>
      <c r="FK211" s="144"/>
      <c r="FL211" s="144"/>
      <c r="FM211" s="144"/>
      <c r="FN211" s="144"/>
      <c r="FO211" s="144"/>
      <c r="FP211" s="144"/>
      <c r="FQ211" s="144"/>
      <c r="FR211" s="144"/>
      <c r="FS211" s="144"/>
      <c r="FT211" s="144"/>
      <c r="FU211" s="144"/>
    </row>
    <row r="212" spans="1:177" ht="12" customHeight="1" x14ac:dyDescent="0.2">
      <c r="CP212" s="144"/>
      <c r="CQ212" s="144"/>
      <c r="DM212" s="144"/>
      <c r="DN212" s="144"/>
      <c r="DO212" s="144"/>
      <c r="DP212" s="144"/>
      <c r="DQ212" s="144"/>
      <c r="DR212" s="144"/>
      <c r="DS212" s="144"/>
      <c r="DT212" s="144"/>
      <c r="DU212" s="144"/>
      <c r="DV212" s="144"/>
      <c r="DW212" s="144"/>
      <c r="DX212" s="144"/>
      <c r="DY212" s="144"/>
      <c r="DZ212" s="144"/>
      <c r="EA212" s="144"/>
      <c r="EB212" s="144"/>
      <c r="EC212" s="144"/>
      <c r="ED212" s="144"/>
      <c r="EE212" s="144"/>
      <c r="EF212" s="144"/>
      <c r="EG212" s="144"/>
      <c r="EH212" s="144"/>
      <c r="EI212" s="144"/>
      <c r="EJ212" s="144"/>
      <c r="EK212" s="144"/>
      <c r="EL212" s="144"/>
      <c r="EM212" s="144"/>
      <c r="EN212" s="144"/>
      <c r="EO212" s="144"/>
      <c r="EP212" s="144"/>
      <c r="EQ212" s="144"/>
      <c r="ER212" s="144"/>
      <c r="ES212" s="144"/>
      <c r="ET212" s="144"/>
      <c r="EU212" s="144"/>
      <c r="EV212" s="144"/>
      <c r="EW212" s="144"/>
      <c r="EX212" s="144"/>
      <c r="EY212" s="144"/>
      <c r="EZ212" s="144"/>
      <c r="FA212" s="144"/>
      <c r="FB212" s="144"/>
      <c r="FC212" s="144"/>
      <c r="FD212" s="144"/>
      <c r="FE212" s="144"/>
      <c r="FF212" s="144"/>
      <c r="FG212" s="144"/>
      <c r="FH212" s="144"/>
      <c r="FI212" s="144"/>
      <c r="FJ212" s="144"/>
      <c r="FK212" s="144"/>
      <c r="FL212" s="144"/>
      <c r="FM212" s="144"/>
      <c r="FN212" s="144"/>
      <c r="FO212" s="144"/>
      <c r="FP212" s="144"/>
      <c r="FQ212" s="144"/>
      <c r="FR212" s="144"/>
      <c r="FS212" s="144"/>
      <c r="FT212" s="144"/>
      <c r="FU212" s="144"/>
    </row>
    <row r="213" spans="1:177" ht="12" customHeight="1" x14ac:dyDescent="0.2">
      <c r="CP213" s="144"/>
      <c r="CQ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144"/>
      <c r="EM213" s="144"/>
      <c r="EN213" s="144"/>
      <c r="EO213" s="144"/>
      <c r="EP213" s="144"/>
      <c r="EQ213" s="144"/>
      <c r="ER213" s="144"/>
      <c r="ES213" s="144"/>
      <c r="ET213" s="144"/>
      <c r="EU213" s="144"/>
      <c r="EV213" s="144"/>
      <c r="EW213" s="144"/>
      <c r="EX213" s="144"/>
      <c r="EY213" s="144"/>
      <c r="EZ213" s="144"/>
      <c r="FA213" s="144"/>
      <c r="FB213" s="144"/>
      <c r="FC213" s="144"/>
      <c r="FD213" s="144"/>
      <c r="FE213" s="144"/>
      <c r="FF213" s="144"/>
      <c r="FG213" s="144"/>
      <c r="FH213" s="144"/>
      <c r="FI213" s="144"/>
      <c r="FJ213" s="144"/>
      <c r="FK213" s="144"/>
      <c r="FL213" s="144"/>
      <c r="FM213" s="144"/>
      <c r="FN213" s="144"/>
      <c r="FO213" s="144"/>
      <c r="FP213" s="144"/>
      <c r="FQ213" s="144"/>
      <c r="FR213" s="144"/>
      <c r="FS213" s="144"/>
      <c r="FT213" s="144"/>
      <c r="FU213" s="144"/>
    </row>
    <row r="214" spans="1:177" ht="12" customHeight="1" x14ac:dyDescent="0.2">
      <c r="CP214" s="144"/>
      <c r="CQ214" s="144"/>
      <c r="DM214" s="144"/>
      <c r="DN214" s="144"/>
      <c r="DO214" s="144"/>
      <c r="DP214" s="144"/>
      <c r="DQ214" s="144"/>
      <c r="DR214" s="144"/>
      <c r="DS214" s="144"/>
      <c r="DT214" s="144"/>
      <c r="DU214" s="144"/>
      <c r="DV214" s="144"/>
      <c r="DW214" s="144"/>
      <c r="DX214" s="144"/>
      <c r="DY214" s="144"/>
      <c r="DZ214" s="144"/>
      <c r="EA214" s="144"/>
      <c r="EB214" s="144"/>
      <c r="EC214" s="144"/>
      <c r="ED214" s="144"/>
      <c r="EE214" s="144"/>
      <c r="EF214" s="144"/>
      <c r="EG214" s="144"/>
      <c r="EH214" s="144"/>
      <c r="EI214" s="144"/>
      <c r="EJ214" s="144"/>
      <c r="EK214" s="144"/>
      <c r="EL214" s="144"/>
      <c r="EM214" s="144"/>
      <c r="EN214" s="144"/>
      <c r="EO214" s="144"/>
      <c r="EP214" s="144"/>
      <c r="EQ214" s="144"/>
      <c r="ER214" s="144"/>
      <c r="ES214" s="144"/>
      <c r="ET214" s="144"/>
      <c r="EU214" s="144"/>
      <c r="EV214" s="144"/>
      <c r="EW214" s="144"/>
      <c r="EX214" s="144"/>
      <c r="EY214" s="144"/>
      <c r="EZ214" s="144"/>
      <c r="FA214" s="144"/>
      <c r="FB214" s="144"/>
      <c r="FC214" s="144"/>
      <c r="FD214" s="144"/>
      <c r="FE214" s="144"/>
      <c r="FF214" s="144"/>
      <c r="FG214" s="144"/>
      <c r="FH214" s="144"/>
      <c r="FI214" s="144"/>
      <c r="FJ214" s="144"/>
      <c r="FK214" s="144"/>
      <c r="FL214" s="144"/>
      <c r="FM214" s="144"/>
      <c r="FN214" s="144"/>
      <c r="FO214" s="144"/>
      <c r="FP214" s="144"/>
      <c r="FQ214" s="144"/>
      <c r="FR214" s="144"/>
      <c r="FS214" s="144"/>
      <c r="FT214" s="144"/>
      <c r="FU214" s="144"/>
    </row>
    <row r="215" spans="1:177" ht="12" customHeight="1" x14ac:dyDescent="0.2">
      <c r="CP215" s="144"/>
      <c r="CQ215" s="144"/>
      <c r="DM215" s="144"/>
      <c r="DN215" s="144"/>
      <c r="DO215" s="144"/>
      <c r="DP215" s="144"/>
      <c r="DQ215" s="144"/>
      <c r="DR215" s="144"/>
      <c r="DS215" s="144"/>
      <c r="DT215" s="144"/>
      <c r="DU215" s="144"/>
      <c r="DV215" s="144"/>
      <c r="DW215" s="144"/>
      <c r="DX215" s="144"/>
      <c r="DY215" s="144"/>
      <c r="DZ215" s="144"/>
      <c r="EA215" s="144"/>
      <c r="EB215" s="144"/>
      <c r="EC215" s="144"/>
      <c r="ED215" s="144"/>
      <c r="EE215" s="144"/>
      <c r="EF215" s="144"/>
      <c r="EG215" s="144"/>
      <c r="EH215" s="144"/>
      <c r="EI215" s="144"/>
      <c r="EJ215" s="144"/>
      <c r="EK215" s="144"/>
      <c r="EL215" s="144"/>
      <c r="EM215" s="144"/>
      <c r="EN215" s="144"/>
      <c r="EO215" s="144"/>
      <c r="EP215" s="144"/>
      <c r="EQ215" s="144"/>
      <c r="ER215" s="144"/>
      <c r="ES215" s="144"/>
      <c r="ET215" s="144"/>
      <c r="EU215" s="144"/>
      <c r="EV215" s="144"/>
      <c r="EW215" s="144"/>
      <c r="EX215" s="144"/>
      <c r="EY215" s="144"/>
      <c r="EZ215" s="144"/>
      <c r="FA215" s="144"/>
      <c r="FB215" s="144"/>
      <c r="FC215" s="144"/>
      <c r="FD215" s="144"/>
      <c r="FE215" s="144"/>
      <c r="FF215" s="144"/>
      <c r="FG215" s="144"/>
      <c r="FH215" s="144"/>
      <c r="FI215" s="144"/>
      <c r="FJ215" s="144"/>
      <c r="FK215" s="144"/>
      <c r="FL215" s="144"/>
      <c r="FM215" s="144"/>
      <c r="FN215" s="144"/>
      <c r="FO215" s="144"/>
      <c r="FP215" s="144"/>
      <c r="FQ215" s="144"/>
      <c r="FR215" s="144"/>
      <c r="FS215" s="144"/>
      <c r="FT215" s="144"/>
      <c r="FU215" s="144"/>
    </row>
    <row r="216" spans="1:177" ht="12" customHeight="1" x14ac:dyDescent="0.2">
      <c r="CP216" s="144"/>
      <c r="CQ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144"/>
      <c r="EM216" s="144"/>
      <c r="EN216" s="144"/>
      <c r="EO216" s="144"/>
      <c r="EP216" s="144"/>
      <c r="EQ216" s="144"/>
      <c r="ER216" s="144"/>
      <c r="ES216" s="144"/>
      <c r="ET216" s="144"/>
      <c r="EU216" s="144"/>
      <c r="EV216" s="144"/>
      <c r="EW216" s="144"/>
      <c r="EX216" s="144"/>
      <c r="EY216" s="144"/>
      <c r="EZ216" s="144"/>
      <c r="FA216" s="144"/>
      <c r="FB216" s="144"/>
      <c r="FC216" s="144"/>
      <c r="FD216" s="144"/>
      <c r="FE216" s="144"/>
      <c r="FF216" s="144"/>
      <c r="FG216" s="144"/>
      <c r="FH216" s="144"/>
      <c r="FI216" s="144"/>
      <c r="FJ216" s="144"/>
      <c r="FK216" s="144"/>
      <c r="FL216" s="144"/>
      <c r="FM216" s="144"/>
      <c r="FN216" s="144"/>
      <c r="FO216" s="144"/>
      <c r="FP216" s="144"/>
      <c r="FQ216" s="144"/>
      <c r="FR216" s="144"/>
      <c r="FS216" s="144"/>
      <c r="FT216" s="144"/>
      <c r="FU216" s="144"/>
    </row>
    <row r="217" spans="1:177" ht="12" customHeight="1" x14ac:dyDescent="0.2">
      <c r="CP217" s="144"/>
      <c r="CQ217" s="144"/>
      <c r="DM217" s="144"/>
      <c r="DN217" s="144"/>
      <c r="DO217" s="144"/>
      <c r="DP217" s="144"/>
      <c r="DQ217" s="144"/>
      <c r="DR217" s="144"/>
      <c r="DS217" s="144"/>
      <c r="DT217" s="144"/>
      <c r="DU217" s="144"/>
      <c r="DV217" s="144"/>
      <c r="DW217" s="144"/>
      <c r="DX217" s="144"/>
      <c r="DY217" s="144"/>
      <c r="DZ217" s="144"/>
      <c r="EA217" s="144"/>
      <c r="EB217" s="144"/>
      <c r="EC217" s="144"/>
      <c r="ED217" s="144"/>
      <c r="EE217" s="144"/>
      <c r="EF217" s="144"/>
      <c r="EG217" s="144"/>
      <c r="EH217" s="144"/>
      <c r="EI217" s="144"/>
      <c r="EJ217" s="144"/>
      <c r="EK217" s="144"/>
      <c r="EL217" s="144"/>
      <c r="EM217" s="144"/>
      <c r="EN217" s="144"/>
      <c r="EO217" s="144"/>
      <c r="EP217" s="144"/>
      <c r="EQ217" s="144"/>
      <c r="ER217" s="144"/>
      <c r="ES217" s="144"/>
      <c r="ET217" s="144"/>
      <c r="EU217" s="144"/>
      <c r="EV217" s="144"/>
      <c r="EW217" s="144"/>
      <c r="EX217" s="144"/>
      <c r="EY217" s="144"/>
      <c r="EZ217" s="144"/>
      <c r="FA217" s="144"/>
      <c r="FB217" s="144"/>
      <c r="FC217" s="144"/>
      <c r="FD217" s="144"/>
      <c r="FE217" s="144"/>
      <c r="FF217" s="144"/>
      <c r="FG217" s="144"/>
      <c r="FH217" s="144"/>
      <c r="FI217" s="144"/>
      <c r="FJ217" s="144"/>
      <c r="FK217" s="144"/>
      <c r="FL217" s="144"/>
      <c r="FM217" s="144"/>
      <c r="FN217" s="144"/>
      <c r="FO217" s="144"/>
      <c r="FP217" s="144"/>
      <c r="FQ217" s="144"/>
      <c r="FR217" s="144"/>
      <c r="FS217" s="144"/>
      <c r="FT217" s="144"/>
      <c r="FU217" s="144"/>
    </row>
    <row r="218" spans="1:177" ht="12" customHeight="1" x14ac:dyDescent="0.2">
      <c r="CP218" s="144"/>
      <c r="CQ218" s="144"/>
      <c r="DM218" s="144"/>
      <c r="DN218" s="144"/>
      <c r="DO218" s="144"/>
      <c r="DP218" s="144"/>
      <c r="DQ218" s="144"/>
      <c r="DR218" s="144"/>
      <c r="DS218" s="144"/>
      <c r="DT218" s="144"/>
      <c r="DU218" s="144"/>
      <c r="DV218" s="144"/>
      <c r="DW218" s="144"/>
      <c r="DX218" s="144"/>
      <c r="DY218" s="144"/>
      <c r="DZ218" s="144"/>
      <c r="EA218" s="144"/>
      <c r="EB218" s="144"/>
      <c r="EC218" s="144"/>
      <c r="ED218" s="144"/>
      <c r="EE218" s="144"/>
      <c r="EF218" s="144"/>
      <c r="EG218" s="144"/>
      <c r="EH218" s="144"/>
      <c r="EI218" s="144"/>
      <c r="EJ218" s="144"/>
      <c r="EK218" s="144"/>
      <c r="EL218" s="144"/>
      <c r="EM218" s="144"/>
      <c r="EN218" s="144"/>
      <c r="EO218" s="144"/>
      <c r="EP218" s="144"/>
      <c r="EQ218" s="144"/>
      <c r="ER218" s="144"/>
      <c r="ES218" s="144"/>
      <c r="ET218" s="144"/>
      <c r="EU218" s="144"/>
      <c r="EV218" s="144"/>
      <c r="EW218" s="144"/>
      <c r="EX218" s="144"/>
      <c r="EY218" s="144"/>
      <c r="EZ218" s="144"/>
      <c r="FA218" s="144"/>
      <c r="FB218" s="144"/>
      <c r="FC218" s="144"/>
      <c r="FD218" s="144"/>
      <c r="FE218" s="144"/>
      <c r="FF218" s="144"/>
      <c r="FG218" s="144"/>
      <c r="FH218" s="144"/>
      <c r="FI218" s="144"/>
      <c r="FJ218" s="144"/>
      <c r="FK218" s="144"/>
      <c r="FL218" s="144"/>
      <c r="FM218" s="144"/>
      <c r="FN218" s="144"/>
      <c r="FO218" s="144"/>
      <c r="FP218" s="144"/>
      <c r="FQ218" s="144"/>
      <c r="FR218" s="144"/>
      <c r="FS218" s="144"/>
      <c r="FT218" s="144"/>
      <c r="FU218" s="144"/>
    </row>
    <row r="219" spans="1:177" ht="12" customHeight="1" x14ac:dyDescent="0.2">
      <c r="CP219" s="144"/>
      <c r="CQ219" s="144"/>
      <c r="DM219" s="144"/>
      <c r="DN219" s="144"/>
      <c r="DO219" s="144"/>
      <c r="DP219" s="144"/>
      <c r="DQ219" s="144"/>
      <c r="DR219" s="144"/>
      <c r="DS219" s="144"/>
      <c r="DT219" s="144"/>
      <c r="DU219" s="144"/>
      <c r="DV219" s="144"/>
      <c r="DW219" s="144"/>
      <c r="DX219" s="144"/>
      <c r="DY219" s="144"/>
      <c r="DZ219" s="144"/>
      <c r="EA219" s="144"/>
      <c r="EB219" s="144"/>
      <c r="EC219" s="144"/>
      <c r="ED219" s="144"/>
      <c r="EE219" s="144"/>
      <c r="EF219" s="144"/>
      <c r="EG219" s="144"/>
      <c r="EH219" s="144"/>
      <c r="EI219" s="144"/>
      <c r="EJ219" s="144"/>
      <c r="EK219" s="144"/>
      <c r="EL219" s="144"/>
      <c r="EM219" s="144"/>
      <c r="EN219" s="144"/>
      <c r="EO219" s="144"/>
      <c r="EP219" s="144"/>
      <c r="EQ219" s="144"/>
      <c r="ER219" s="144"/>
      <c r="ES219" s="144"/>
      <c r="ET219" s="144"/>
      <c r="EU219" s="144"/>
      <c r="EV219" s="144"/>
      <c r="EW219" s="144"/>
      <c r="EX219" s="144"/>
      <c r="EY219" s="144"/>
      <c r="EZ219" s="144"/>
      <c r="FA219" s="144"/>
      <c r="FB219" s="144"/>
      <c r="FC219" s="144"/>
      <c r="FD219" s="144"/>
      <c r="FE219" s="144"/>
      <c r="FF219" s="144"/>
      <c r="FG219" s="144"/>
      <c r="FH219" s="144"/>
      <c r="FI219" s="144"/>
      <c r="FJ219" s="144"/>
      <c r="FK219" s="144"/>
      <c r="FL219" s="144"/>
      <c r="FM219" s="144"/>
      <c r="FN219" s="144"/>
      <c r="FO219" s="144"/>
      <c r="FP219" s="144"/>
      <c r="FQ219" s="144"/>
      <c r="FR219" s="144"/>
      <c r="FS219" s="144"/>
      <c r="FT219" s="144"/>
      <c r="FU219" s="144"/>
    </row>
    <row r="220" spans="1:177" ht="12" customHeight="1" x14ac:dyDescent="0.2">
      <c r="CP220" s="144"/>
      <c r="CQ220" s="144"/>
      <c r="DM220" s="144"/>
      <c r="DN220" s="144"/>
      <c r="DO220" s="144"/>
      <c r="DP220" s="144"/>
      <c r="DQ220" s="144"/>
      <c r="DR220" s="144"/>
      <c r="DS220" s="144"/>
      <c r="DT220" s="144"/>
      <c r="DU220" s="144"/>
      <c r="DV220" s="144"/>
      <c r="DW220" s="144"/>
      <c r="DX220" s="144"/>
      <c r="DY220" s="144"/>
      <c r="DZ220" s="144"/>
      <c r="EA220" s="144"/>
      <c r="EB220" s="144"/>
      <c r="EC220" s="144"/>
      <c r="ED220" s="144"/>
      <c r="EE220" s="144"/>
      <c r="EF220" s="144"/>
      <c r="EG220" s="144"/>
      <c r="EH220" s="144"/>
      <c r="EI220" s="144"/>
      <c r="EJ220" s="144"/>
      <c r="EK220" s="144"/>
      <c r="EL220" s="144"/>
      <c r="EM220" s="144"/>
      <c r="EN220" s="144"/>
      <c r="EO220" s="144"/>
      <c r="EP220" s="144"/>
      <c r="EQ220" s="144"/>
      <c r="ER220" s="144"/>
      <c r="ES220" s="144"/>
      <c r="ET220" s="144"/>
      <c r="EU220" s="144"/>
      <c r="EV220" s="144"/>
      <c r="EW220" s="144"/>
      <c r="EX220" s="144"/>
      <c r="EY220" s="144"/>
      <c r="EZ220" s="144"/>
      <c r="FA220" s="144"/>
      <c r="FB220" s="144"/>
      <c r="FC220" s="144"/>
      <c r="FD220" s="144"/>
      <c r="FE220" s="144"/>
      <c r="FF220" s="144"/>
      <c r="FG220" s="144"/>
      <c r="FH220" s="144"/>
      <c r="FI220" s="144"/>
      <c r="FJ220" s="144"/>
      <c r="FK220" s="144"/>
      <c r="FL220" s="144"/>
      <c r="FM220" s="144"/>
      <c r="FN220" s="144"/>
      <c r="FO220" s="144"/>
      <c r="FP220" s="144"/>
      <c r="FQ220" s="144"/>
      <c r="FR220" s="144"/>
      <c r="FS220" s="144"/>
      <c r="FT220" s="144"/>
      <c r="FU220" s="144"/>
    </row>
    <row r="221" spans="1:177" ht="12" customHeight="1" x14ac:dyDescent="0.2">
      <c r="A221" s="148"/>
      <c r="CP221" s="144"/>
      <c r="CQ221" s="144"/>
      <c r="DM221" s="144"/>
      <c r="DN221" s="144"/>
      <c r="DO221" s="144"/>
      <c r="DP221" s="144"/>
      <c r="DQ221" s="144"/>
      <c r="DR221" s="144"/>
      <c r="DS221" s="144"/>
      <c r="DT221" s="144"/>
      <c r="DU221" s="144"/>
      <c r="DV221" s="144"/>
      <c r="DW221" s="144"/>
      <c r="DX221" s="144"/>
      <c r="DY221" s="144"/>
      <c r="DZ221" s="144"/>
      <c r="EA221" s="144"/>
      <c r="EB221" s="144"/>
      <c r="EC221" s="144"/>
      <c r="ED221" s="144"/>
      <c r="EE221" s="144"/>
      <c r="EF221" s="144"/>
      <c r="EG221" s="144"/>
      <c r="EH221" s="144"/>
      <c r="EI221" s="144"/>
      <c r="EJ221" s="144"/>
      <c r="EK221" s="144"/>
      <c r="EL221" s="144"/>
      <c r="EM221" s="144"/>
      <c r="EN221" s="144"/>
      <c r="EO221" s="144"/>
      <c r="EP221" s="144"/>
      <c r="EQ221" s="144"/>
      <c r="ER221" s="144"/>
      <c r="ES221" s="144"/>
      <c r="ET221" s="144"/>
      <c r="EU221" s="144"/>
      <c r="EV221" s="144"/>
      <c r="EW221" s="144"/>
      <c r="EX221" s="144"/>
      <c r="EY221" s="144"/>
      <c r="EZ221" s="144"/>
      <c r="FA221" s="144"/>
      <c r="FB221" s="144"/>
      <c r="FC221" s="144"/>
      <c r="FD221" s="144"/>
      <c r="FE221" s="144"/>
      <c r="FF221" s="144"/>
      <c r="FG221" s="144"/>
      <c r="FH221" s="144"/>
      <c r="FI221" s="144"/>
      <c r="FJ221" s="144"/>
      <c r="FK221" s="144"/>
      <c r="FL221" s="144"/>
      <c r="FM221" s="144"/>
      <c r="FN221" s="144"/>
      <c r="FO221" s="144"/>
      <c r="FP221" s="144"/>
      <c r="FQ221" s="144"/>
      <c r="FR221" s="144"/>
      <c r="FS221" s="144"/>
      <c r="FT221" s="144"/>
      <c r="FU221" s="144"/>
    </row>
    <row r="222" spans="1:177" ht="12" customHeight="1" x14ac:dyDescent="0.2">
      <c r="A222" s="148"/>
      <c r="CP222" s="144"/>
      <c r="CQ222" s="144"/>
      <c r="DM222" s="144"/>
      <c r="DN222" s="144"/>
      <c r="DO222" s="144"/>
      <c r="DP222" s="144"/>
      <c r="DQ222" s="144"/>
      <c r="DR222" s="144"/>
      <c r="DS222" s="144"/>
      <c r="DT222" s="144"/>
      <c r="DU222" s="144"/>
      <c r="DV222" s="144"/>
      <c r="DW222" s="144"/>
      <c r="DX222" s="144"/>
      <c r="DY222" s="144"/>
      <c r="DZ222" s="144"/>
      <c r="EA222" s="144"/>
      <c r="EB222" s="144"/>
      <c r="EC222" s="144"/>
      <c r="ED222" s="144"/>
      <c r="EE222" s="144"/>
      <c r="EF222" s="144"/>
      <c r="EG222" s="144"/>
      <c r="EH222" s="144"/>
      <c r="EI222" s="144"/>
      <c r="EJ222" s="144"/>
      <c r="EK222" s="144"/>
      <c r="EL222" s="144"/>
      <c r="EM222" s="144"/>
      <c r="EN222" s="144"/>
      <c r="EO222" s="144"/>
      <c r="EP222" s="144"/>
      <c r="EQ222" s="144"/>
      <c r="ER222" s="144"/>
      <c r="ES222" s="144"/>
      <c r="ET222" s="144"/>
      <c r="EU222" s="144"/>
      <c r="EV222" s="144"/>
      <c r="EW222" s="144"/>
      <c r="EX222" s="144"/>
      <c r="EY222" s="144"/>
      <c r="EZ222" s="144"/>
      <c r="FA222" s="144"/>
      <c r="FB222" s="144"/>
      <c r="FC222" s="144"/>
      <c r="FD222" s="144"/>
      <c r="FE222" s="144"/>
      <c r="FF222" s="144"/>
      <c r="FG222" s="144"/>
      <c r="FH222" s="144"/>
      <c r="FI222" s="144"/>
      <c r="FJ222" s="144"/>
      <c r="FK222" s="144"/>
      <c r="FL222" s="144"/>
      <c r="FM222" s="144"/>
      <c r="FN222" s="144"/>
      <c r="FO222" s="144"/>
      <c r="FP222" s="144"/>
      <c r="FQ222" s="144"/>
      <c r="FR222" s="144"/>
      <c r="FS222" s="144"/>
      <c r="FT222" s="144"/>
      <c r="FU222" s="144"/>
    </row>
    <row r="223" spans="1:177" ht="12" customHeight="1" x14ac:dyDescent="0.2">
      <c r="A223" s="148"/>
      <c r="CP223" s="144"/>
      <c r="CQ223" s="144"/>
      <c r="DM223" s="144"/>
      <c r="DN223" s="144"/>
      <c r="DO223" s="144"/>
      <c r="DP223" s="144"/>
      <c r="DQ223" s="144"/>
      <c r="DR223" s="144"/>
      <c r="DS223" s="144"/>
      <c r="DT223" s="144"/>
      <c r="DU223" s="144"/>
      <c r="DV223" s="144"/>
      <c r="DW223" s="144"/>
      <c r="DX223" s="144"/>
      <c r="DY223" s="144"/>
      <c r="DZ223" s="144"/>
      <c r="EA223" s="144"/>
      <c r="EB223" s="144"/>
      <c r="EC223" s="144"/>
      <c r="ED223" s="144"/>
      <c r="EE223" s="144"/>
      <c r="EF223" s="144"/>
      <c r="EG223" s="144"/>
      <c r="EH223" s="144"/>
      <c r="EI223" s="144"/>
      <c r="EJ223" s="144"/>
      <c r="EK223" s="144"/>
      <c r="EL223" s="144"/>
      <c r="EM223" s="144"/>
      <c r="EN223" s="144"/>
      <c r="EO223" s="144"/>
      <c r="EP223" s="144"/>
      <c r="EQ223" s="144"/>
      <c r="ER223" s="144"/>
      <c r="ES223" s="144"/>
      <c r="ET223" s="144"/>
      <c r="EU223" s="144"/>
      <c r="EV223" s="144"/>
      <c r="EW223" s="144"/>
      <c r="EX223" s="144"/>
      <c r="EY223" s="144"/>
      <c r="EZ223" s="144"/>
      <c r="FA223" s="144"/>
      <c r="FB223" s="144"/>
      <c r="FC223" s="144"/>
      <c r="FD223" s="144"/>
      <c r="FE223" s="144"/>
      <c r="FF223" s="144"/>
      <c r="FG223" s="144"/>
      <c r="FH223" s="144"/>
      <c r="FI223" s="144"/>
      <c r="FJ223" s="144"/>
      <c r="FK223" s="144"/>
      <c r="FL223" s="144"/>
      <c r="FM223" s="144"/>
      <c r="FN223" s="144"/>
      <c r="FO223" s="144"/>
      <c r="FP223" s="144"/>
      <c r="FQ223" s="144"/>
      <c r="FR223" s="144"/>
      <c r="FS223" s="144"/>
      <c r="FT223" s="144"/>
      <c r="FU223" s="144"/>
    </row>
    <row r="224" spans="1:177" ht="12" customHeight="1" x14ac:dyDescent="0.2">
      <c r="A224" s="148"/>
      <c r="CP224" s="144"/>
      <c r="CQ224" s="144"/>
      <c r="DM224" s="144"/>
      <c r="DN224" s="144"/>
      <c r="DO224" s="144"/>
      <c r="DP224" s="144"/>
      <c r="DQ224" s="144"/>
      <c r="DR224" s="144"/>
      <c r="DS224" s="144"/>
      <c r="DT224" s="144"/>
      <c r="DU224" s="144"/>
      <c r="DV224" s="144"/>
      <c r="DW224" s="144"/>
      <c r="DX224" s="144"/>
      <c r="DY224" s="144"/>
      <c r="DZ224" s="144"/>
      <c r="EA224" s="144"/>
      <c r="EB224" s="144"/>
      <c r="EC224" s="144"/>
      <c r="ED224" s="144"/>
      <c r="EE224" s="144"/>
      <c r="EF224" s="144"/>
      <c r="EG224" s="144"/>
      <c r="EH224" s="144"/>
      <c r="EI224" s="144"/>
      <c r="EJ224" s="144"/>
      <c r="EK224" s="144"/>
      <c r="EL224" s="144"/>
      <c r="EM224" s="144"/>
      <c r="EN224" s="144"/>
      <c r="EO224" s="144"/>
      <c r="EP224" s="144"/>
      <c r="EQ224" s="144"/>
      <c r="ER224" s="144"/>
      <c r="ES224" s="144"/>
      <c r="ET224" s="144"/>
      <c r="EU224" s="144"/>
      <c r="EV224" s="144"/>
      <c r="EW224" s="144"/>
      <c r="EX224" s="144"/>
      <c r="EY224" s="144"/>
      <c r="EZ224" s="144"/>
      <c r="FA224" s="144"/>
      <c r="FB224" s="144"/>
      <c r="FC224" s="144"/>
      <c r="FD224" s="144"/>
      <c r="FE224" s="144"/>
      <c r="FF224" s="144"/>
      <c r="FG224" s="144"/>
      <c r="FH224" s="144"/>
      <c r="FI224" s="144"/>
      <c r="FJ224" s="144"/>
      <c r="FK224" s="144"/>
      <c r="FL224" s="144"/>
      <c r="FM224" s="144"/>
      <c r="FN224" s="144"/>
      <c r="FO224" s="144"/>
      <c r="FP224" s="144"/>
      <c r="FQ224" s="144"/>
      <c r="FR224" s="144"/>
      <c r="FS224" s="144"/>
      <c r="FT224" s="144"/>
      <c r="FU224" s="144"/>
    </row>
    <row r="225" spans="1:177" ht="12" customHeight="1" x14ac:dyDescent="0.2">
      <c r="A225" s="148"/>
      <c r="CP225" s="144"/>
      <c r="CQ225" s="144"/>
      <c r="DM225" s="144"/>
      <c r="DN225" s="144"/>
      <c r="DO225" s="144"/>
      <c r="DP225" s="144"/>
      <c r="DQ225" s="144"/>
      <c r="DR225" s="144"/>
      <c r="DS225" s="144"/>
      <c r="DT225" s="144"/>
      <c r="DU225" s="144"/>
      <c r="DV225" s="144"/>
      <c r="DW225" s="144"/>
      <c r="DX225" s="144"/>
      <c r="DY225" s="144"/>
      <c r="DZ225" s="144"/>
      <c r="EA225" s="144"/>
      <c r="EB225" s="144"/>
      <c r="EC225" s="144"/>
      <c r="ED225" s="144"/>
      <c r="EE225" s="144"/>
      <c r="EF225" s="144"/>
      <c r="EG225" s="144"/>
      <c r="EH225" s="144"/>
      <c r="EI225" s="144"/>
      <c r="EJ225" s="144"/>
      <c r="EK225" s="144"/>
      <c r="EL225" s="144"/>
      <c r="EM225" s="144"/>
      <c r="EN225" s="144"/>
      <c r="EO225" s="144"/>
      <c r="EP225" s="144"/>
      <c r="EQ225" s="144"/>
      <c r="ER225" s="144"/>
      <c r="ES225" s="144"/>
      <c r="ET225" s="144"/>
      <c r="EU225" s="144"/>
      <c r="EV225" s="144"/>
      <c r="EW225" s="144"/>
      <c r="EX225" s="144"/>
      <c r="EY225" s="144"/>
      <c r="EZ225" s="144"/>
      <c r="FA225" s="144"/>
      <c r="FB225" s="144"/>
      <c r="FC225" s="144"/>
      <c r="FD225" s="144"/>
      <c r="FE225" s="144"/>
      <c r="FF225" s="144"/>
      <c r="FG225" s="144"/>
      <c r="FH225" s="144"/>
      <c r="FI225" s="144"/>
      <c r="FJ225" s="144"/>
      <c r="FK225" s="144"/>
      <c r="FL225" s="144"/>
      <c r="FM225" s="144"/>
      <c r="FN225" s="144"/>
      <c r="FO225" s="144"/>
      <c r="FP225" s="144"/>
      <c r="FQ225" s="144"/>
      <c r="FR225" s="144"/>
      <c r="FS225" s="144"/>
      <c r="FT225" s="144"/>
      <c r="FU225" s="144"/>
    </row>
    <row r="226" spans="1:177" ht="12" customHeight="1" x14ac:dyDescent="0.2">
      <c r="A226" s="148"/>
      <c r="CP226" s="144"/>
      <c r="CQ226" s="144"/>
      <c r="DM226" s="144"/>
      <c r="DN226" s="144"/>
      <c r="DO226" s="144"/>
      <c r="DP226" s="144"/>
      <c r="DQ226" s="144"/>
      <c r="DR226" s="144"/>
      <c r="DS226" s="144"/>
      <c r="DT226" s="144"/>
      <c r="DU226" s="144"/>
      <c r="DV226" s="144"/>
      <c r="DW226" s="144"/>
      <c r="DX226" s="144"/>
      <c r="DY226" s="144"/>
      <c r="DZ226" s="144"/>
      <c r="EA226" s="144"/>
      <c r="EB226" s="144"/>
      <c r="EC226" s="144"/>
      <c r="ED226" s="144"/>
      <c r="EE226" s="144"/>
      <c r="EF226" s="144"/>
      <c r="EG226" s="144"/>
      <c r="EH226" s="144"/>
      <c r="EI226" s="144"/>
      <c r="EJ226" s="144"/>
      <c r="EK226" s="144"/>
      <c r="EL226" s="144"/>
      <c r="EM226" s="144"/>
      <c r="EN226" s="144"/>
      <c r="EO226" s="144"/>
      <c r="EP226" s="144"/>
      <c r="EQ226" s="144"/>
      <c r="ER226" s="144"/>
      <c r="ES226" s="144"/>
      <c r="ET226" s="144"/>
      <c r="EU226" s="144"/>
      <c r="EV226" s="144"/>
      <c r="EW226" s="144"/>
      <c r="EX226" s="144"/>
      <c r="EY226" s="144"/>
      <c r="EZ226" s="144"/>
      <c r="FA226" s="144"/>
      <c r="FB226" s="144"/>
      <c r="FC226" s="144"/>
      <c r="FD226" s="144"/>
      <c r="FE226" s="144"/>
      <c r="FF226" s="144"/>
      <c r="FG226" s="144"/>
      <c r="FH226" s="144"/>
      <c r="FI226" s="144"/>
      <c r="FJ226" s="144"/>
      <c r="FK226" s="144"/>
      <c r="FL226" s="144"/>
      <c r="FM226" s="144"/>
      <c r="FN226" s="144"/>
      <c r="FO226" s="144"/>
      <c r="FP226" s="144"/>
      <c r="FQ226" s="144"/>
      <c r="FR226" s="144"/>
      <c r="FS226" s="144"/>
      <c r="FT226" s="144"/>
      <c r="FU226" s="144"/>
    </row>
    <row r="227" spans="1:177" ht="12" customHeight="1" x14ac:dyDescent="0.2">
      <c r="A227" s="148"/>
      <c r="CP227" s="144"/>
      <c r="CQ227" s="144"/>
      <c r="DM227" s="144"/>
      <c r="DN227" s="144"/>
      <c r="DO227" s="144"/>
      <c r="DP227" s="144"/>
      <c r="DQ227" s="144"/>
      <c r="DR227" s="144"/>
      <c r="DS227" s="144"/>
      <c r="DT227" s="144"/>
      <c r="DU227" s="144"/>
      <c r="DV227" s="144"/>
      <c r="DW227" s="144"/>
      <c r="DX227" s="144"/>
      <c r="DY227" s="144"/>
      <c r="DZ227" s="144"/>
      <c r="EA227" s="144"/>
      <c r="EB227" s="144"/>
      <c r="EC227" s="144"/>
      <c r="ED227" s="144"/>
      <c r="EE227" s="144"/>
      <c r="EF227" s="144"/>
      <c r="EG227" s="144"/>
      <c r="EH227" s="144"/>
      <c r="EI227" s="144"/>
      <c r="EJ227" s="144"/>
      <c r="EK227" s="144"/>
      <c r="EL227" s="144"/>
      <c r="EM227" s="144"/>
      <c r="EN227" s="144"/>
      <c r="EO227" s="144"/>
      <c r="EP227" s="144"/>
      <c r="EQ227" s="144"/>
      <c r="ER227" s="144"/>
      <c r="ES227" s="144"/>
      <c r="ET227" s="144"/>
      <c r="EU227" s="144"/>
      <c r="EV227" s="144"/>
      <c r="EW227" s="144"/>
      <c r="EX227" s="144"/>
      <c r="EY227" s="144"/>
      <c r="EZ227" s="144"/>
      <c r="FA227" s="144"/>
      <c r="FB227" s="144"/>
      <c r="FC227" s="144"/>
      <c r="FD227" s="144"/>
      <c r="FE227" s="144"/>
      <c r="FF227" s="144"/>
      <c r="FG227" s="144"/>
      <c r="FH227" s="144"/>
      <c r="FI227" s="144"/>
      <c r="FJ227" s="144"/>
      <c r="FK227" s="144"/>
      <c r="FL227" s="144"/>
      <c r="FM227" s="144"/>
      <c r="FN227" s="144"/>
      <c r="FO227" s="144"/>
      <c r="FP227" s="144"/>
      <c r="FQ227" s="144"/>
      <c r="FR227" s="144"/>
      <c r="FS227" s="144"/>
      <c r="FT227" s="144"/>
      <c r="FU227" s="144"/>
    </row>
    <row r="228" spans="1:177" ht="12" customHeight="1" x14ac:dyDescent="0.2">
      <c r="A228" s="148"/>
      <c r="CP228" s="144"/>
      <c r="CQ228" s="144"/>
      <c r="DM228" s="144"/>
      <c r="DN228" s="144"/>
      <c r="DO228" s="144"/>
      <c r="DP228" s="144"/>
      <c r="DQ228" s="144"/>
      <c r="DR228" s="144"/>
      <c r="DS228" s="144"/>
      <c r="DT228" s="144"/>
      <c r="DU228" s="144"/>
      <c r="DV228" s="144"/>
      <c r="DW228" s="144"/>
      <c r="DX228" s="144"/>
      <c r="DY228" s="144"/>
      <c r="DZ228" s="144"/>
      <c r="EA228" s="144"/>
      <c r="EB228" s="144"/>
      <c r="EC228" s="144"/>
      <c r="ED228" s="144"/>
      <c r="EE228" s="144"/>
      <c r="EF228" s="144"/>
      <c r="EG228" s="144"/>
      <c r="EH228" s="144"/>
      <c r="EI228" s="144"/>
      <c r="EJ228" s="144"/>
      <c r="EK228" s="144"/>
      <c r="EL228" s="144"/>
      <c r="EM228" s="144"/>
      <c r="EN228" s="144"/>
      <c r="EO228" s="144"/>
      <c r="EP228" s="144"/>
      <c r="EQ228" s="144"/>
      <c r="ER228" s="144"/>
      <c r="ES228" s="144"/>
      <c r="ET228" s="144"/>
      <c r="EU228" s="144"/>
      <c r="EV228" s="144"/>
      <c r="EW228" s="144"/>
      <c r="EX228" s="144"/>
      <c r="EY228" s="144"/>
      <c r="EZ228" s="144"/>
      <c r="FA228" s="144"/>
      <c r="FB228" s="144"/>
      <c r="FC228" s="144"/>
      <c r="FD228" s="144"/>
      <c r="FE228" s="144"/>
      <c r="FF228" s="144"/>
      <c r="FG228" s="144"/>
      <c r="FH228" s="144"/>
      <c r="FI228" s="144"/>
      <c r="FJ228" s="144"/>
      <c r="FK228" s="144"/>
      <c r="FL228" s="144"/>
      <c r="FM228" s="144"/>
      <c r="FN228" s="144"/>
      <c r="FO228" s="144"/>
      <c r="FP228" s="144"/>
      <c r="FQ228" s="144"/>
      <c r="FR228" s="144"/>
      <c r="FS228" s="144"/>
      <c r="FT228" s="144"/>
      <c r="FU228" s="144"/>
    </row>
    <row r="229" spans="1:177" ht="12" customHeight="1" x14ac:dyDescent="0.2">
      <c r="A229" s="148"/>
      <c r="CP229" s="144"/>
      <c r="CQ229" s="144"/>
      <c r="DM229" s="144"/>
      <c r="DN229" s="144"/>
      <c r="DO229" s="144"/>
      <c r="DP229" s="144"/>
      <c r="DQ229" s="144"/>
      <c r="DR229" s="144"/>
      <c r="DS229" s="144"/>
      <c r="DT229" s="144"/>
      <c r="DU229" s="144"/>
      <c r="DV229" s="144"/>
      <c r="DW229" s="144"/>
      <c r="DX229" s="144"/>
      <c r="DY229" s="144"/>
      <c r="DZ229" s="144"/>
      <c r="EA229" s="144"/>
      <c r="EB229" s="144"/>
      <c r="EC229" s="144"/>
      <c r="ED229" s="144"/>
      <c r="EE229" s="144"/>
      <c r="EF229" s="144"/>
      <c r="EG229" s="144"/>
      <c r="EH229" s="144"/>
      <c r="EI229" s="144"/>
      <c r="EJ229" s="144"/>
      <c r="EK229" s="144"/>
      <c r="EL229" s="144"/>
      <c r="EM229" s="144"/>
      <c r="EN229" s="144"/>
      <c r="EO229" s="144"/>
      <c r="EP229" s="144"/>
      <c r="EQ229" s="144"/>
      <c r="ER229" s="144"/>
      <c r="ES229" s="144"/>
      <c r="ET229" s="144"/>
      <c r="EU229" s="144"/>
      <c r="EV229" s="144"/>
      <c r="EW229" s="144"/>
      <c r="EX229" s="144"/>
      <c r="EY229" s="144"/>
      <c r="EZ229" s="144"/>
      <c r="FA229" s="144"/>
      <c r="FB229" s="144"/>
      <c r="FC229" s="144"/>
      <c r="FD229" s="144"/>
      <c r="FE229" s="144"/>
      <c r="FF229" s="144"/>
      <c r="FG229" s="144"/>
      <c r="FH229" s="144"/>
      <c r="FI229" s="144"/>
      <c r="FJ229" s="144"/>
      <c r="FK229" s="144"/>
      <c r="FL229" s="144"/>
      <c r="FM229" s="144"/>
      <c r="FN229" s="144"/>
      <c r="FO229" s="144"/>
      <c r="FP229" s="144"/>
      <c r="FQ229" s="144"/>
      <c r="FR229" s="144"/>
      <c r="FS229" s="144"/>
      <c r="FT229" s="144"/>
      <c r="FU229" s="144"/>
    </row>
    <row r="230" spans="1:177" ht="12" customHeight="1" x14ac:dyDescent="0.2">
      <c r="A230" s="148"/>
      <c r="CP230" s="144"/>
      <c r="CQ230" s="144"/>
      <c r="DM230" s="144"/>
      <c r="DN230" s="144"/>
      <c r="DO230" s="144"/>
      <c r="DP230" s="144"/>
      <c r="DQ230" s="144"/>
      <c r="DR230" s="144"/>
      <c r="DS230" s="144"/>
      <c r="DT230" s="144"/>
      <c r="DU230" s="144"/>
      <c r="DV230" s="144"/>
      <c r="DW230" s="144"/>
      <c r="DX230" s="144"/>
      <c r="DY230" s="144"/>
      <c r="DZ230" s="144"/>
      <c r="EA230" s="144"/>
      <c r="EB230" s="144"/>
      <c r="EC230" s="144"/>
      <c r="ED230" s="144"/>
      <c r="EE230" s="144"/>
      <c r="EF230" s="144"/>
      <c r="EG230" s="144"/>
      <c r="EH230" s="144"/>
      <c r="EI230" s="144"/>
      <c r="EJ230" s="144"/>
      <c r="EK230" s="144"/>
      <c r="EL230" s="144"/>
      <c r="EM230" s="144"/>
      <c r="EN230" s="144"/>
      <c r="EO230" s="144"/>
      <c r="EP230" s="144"/>
      <c r="EQ230" s="144"/>
      <c r="ER230" s="144"/>
      <c r="ES230" s="144"/>
      <c r="ET230" s="144"/>
      <c r="EU230" s="144"/>
      <c r="EV230" s="144"/>
      <c r="EW230" s="144"/>
      <c r="EX230" s="144"/>
      <c r="EY230" s="144"/>
      <c r="EZ230" s="144"/>
      <c r="FA230" s="144"/>
      <c r="FB230" s="144"/>
      <c r="FC230" s="144"/>
      <c r="FD230" s="144"/>
      <c r="FE230" s="144"/>
      <c r="FF230" s="144"/>
      <c r="FG230" s="144"/>
      <c r="FH230" s="144"/>
      <c r="FI230" s="144"/>
      <c r="FJ230" s="144"/>
      <c r="FK230" s="144"/>
      <c r="FL230" s="144"/>
      <c r="FM230" s="144"/>
      <c r="FN230" s="144"/>
      <c r="FO230" s="144"/>
      <c r="FP230" s="144"/>
      <c r="FQ230" s="144"/>
      <c r="FR230" s="144"/>
      <c r="FS230" s="144"/>
      <c r="FT230" s="144"/>
      <c r="FU230" s="144"/>
    </row>
    <row r="231" spans="1:177" ht="12" customHeight="1" x14ac:dyDescent="0.2">
      <c r="CP231" s="144"/>
      <c r="CQ231" s="144"/>
      <c r="DM231" s="144"/>
      <c r="DN231" s="144"/>
      <c r="DO231" s="144"/>
      <c r="DP231" s="144"/>
      <c r="DQ231" s="144"/>
      <c r="DR231" s="144"/>
      <c r="DS231" s="144"/>
      <c r="DT231" s="144"/>
      <c r="DU231" s="144"/>
      <c r="DV231" s="144"/>
      <c r="DW231" s="144"/>
      <c r="DX231" s="144"/>
      <c r="DY231" s="144"/>
      <c r="DZ231" s="144"/>
      <c r="EA231" s="144"/>
      <c r="EB231" s="144"/>
      <c r="EC231" s="144"/>
      <c r="ED231" s="144"/>
      <c r="EE231" s="144"/>
      <c r="EF231" s="144"/>
      <c r="EG231" s="144"/>
      <c r="EH231" s="144"/>
      <c r="EI231" s="144"/>
      <c r="EJ231" s="144"/>
      <c r="EK231" s="144"/>
      <c r="EL231" s="144"/>
      <c r="EM231" s="144"/>
      <c r="EN231" s="144"/>
      <c r="EO231" s="144"/>
      <c r="EP231" s="144"/>
      <c r="EQ231" s="144"/>
      <c r="ER231" s="144"/>
      <c r="ES231" s="144"/>
      <c r="ET231" s="144"/>
      <c r="EU231" s="144"/>
      <c r="EV231" s="144"/>
      <c r="EW231" s="144"/>
      <c r="EX231" s="144"/>
      <c r="EY231" s="144"/>
      <c r="EZ231" s="144"/>
      <c r="FA231" s="144"/>
      <c r="FB231" s="144"/>
      <c r="FC231" s="144"/>
      <c r="FD231" s="144"/>
      <c r="FE231" s="144"/>
      <c r="FF231" s="144"/>
      <c r="FG231" s="144"/>
      <c r="FH231" s="144"/>
      <c r="FI231" s="144"/>
      <c r="FJ231" s="144"/>
      <c r="FK231" s="144"/>
      <c r="FL231" s="144"/>
      <c r="FM231" s="144"/>
      <c r="FN231" s="144"/>
      <c r="FO231" s="144"/>
      <c r="FP231" s="144"/>
      <c r="FQ231" s="144"/>
      <c r="FR231" s="144"/>
      <c r="FS231" s="144"/>
      <c r="FT231" s="144"/>
      <c r="FU231" s="144"/>
    </row>
    <row r="232" spans="1:177" ht="12" customHeight="1" x14ac:dyDescent="0.2">
      <c r="CP232" s="144"/>
      <c r="CQ232" s="144"/>
      <c r="DM232" s="144"/>
      <c r="DN232" s="144"/>
      <c r="DO232" s="144"/>
      <c r="DP232" s="144"/>
      <c r="DQ232" s="144"/>
      <c r="DR232" s="144"/>
      <c r="DS232" s="144"/>
      <c r="DT232" s="144"/>
      <c r="DU232" s="144"/>
      <c r="DV232" s="144"/>
      <c r="DW232" s="144"/>
      <c r="DX232" s="144"/>
      <c r="DY232" s="144"/>
      <c r="DZ232" s="144"/>
      <c r="EA232" s="144"/>
      <c r="EB232" s="144"/>
      <c r="EC232" s="144"/>
      <c r="ED232" s="144"/>
      <c r="EE232" s="144"/>
      <c r="EF232" s="144"/>
      <c r="EG232" s="144"/>
      <c r="EH232" s="144"/>
      <c r="EI232" s="144"/>
      <c r="EJ232" s="144"/>
      <c r="EK232" s="144"/>
      <c r="EL232" s="144"/>
      <c r="EM232" s="144"/>
      <c r="EN232" s="144"/>
      <c r="EO232" s="144"/>
      <c r="EP232" s="144"/>
      <c r="EQ232" s="144"/>
      <c r="ER232" s="144"/>
      <c r="ES232" s="144"/>
      <c r="ET232" s="144"/>
      <c r="EU232" s="144"/>
      <c r="EV232" s="144"/>
      <c r="EW232" s="144"/>
      <c r="EX232" s="144"/>
      <c r="EY232" s="144"/>
      <c r="EZ232" s="144"/>
      <c r="FA232" s="144"/>
      <c r="FB232" s="144"/>
      <c r="FC232" s="144"/>
      <c r="FD232" s="144"/>
      <c r="FE232" s="144"/>
      <c r="FF232" s="144"/>
      <c r="FG232" s="144"/>
      <c r="FH232" s="144"/>
      <c r="FI232" s="144"/>
      <c r="FJ232" s="144"/>
      <c r="FK232" s="144"/>
      <c r="FL232" s="144"/>
      <c r="FM232" s="144"/>
      <c r="FN232" s="144"/>
      <c r="FO232" s="144"/>
      <c r="FP232" s="144"/>
      <c r="FQ232" s="144"/>
      <c r="FR232" s="144"/>
      <c r="FS232" s="144"/>
      <c r="FT232" s="144"/>
      <c r="FU232" s="144"/>
    </row>
    <row r="233" spans="1:177" ht="12" customHeight="1" x14ac:dyDescent="0.2">
      <c r="CP233" s="144"/>
      <c r="CQ233" s="144"/>
      <c r="DM233" s="144"/>
      <c r="DN233" s="144"/>
      <c r="DO233" s="144"/>
      <c r="DP233" s="144"/>
      <c r="DQ233" s="144"/>
      <c r="DR233" s="144"/>
      <c r="DS233" s="144"/>
      <c r="DT233" s="144"/>
      <c r="DU233" s="144"/>
      <c r="DV233" s="144"/>
      <c r="DW233" s="144"/>
      <c r="DX233" s="144"/>
      <c r="DY233" s="144"/>
      <c r="DZ233" s="144"/>
      <c r="EA233" s="144"/>
      <c r="EB233" s="144"/>
      <c r="EC233" s="144"/>
      <c r="ED233" s="144"/>
      <c r="EE233" s="144"/>
      <c r="EF233" s="144"/>
      <c r="EG233" s="144"/>
      <c r="EH233" s="144"/>
      <c r="EI233" s="144"/>
      <c r="EJ233" s="144"/>
      <c r="EK233" s="144"/>
      <c r="EL233" s="144"/>
      <c r="EM233" s="144"/>
      <c r="EN233" s="144"/>
      <c r="EO233" s="144"/>
      <c r="EP233" s="144"/>
      <c r="EQ233" s="144"/>
      <c r="ER233" s="144"/>
      <c r="ES233" s="144"/>
      <c r="ET233" s="144"/>
      <c r="EU233" s="144"/>
      <c r="EV233" s="144"/>
      <c r="EW233" s="144"/>
      <c r="EX233" s="144"/>
      <c r="EY233" s="144"/>
      <c r="EZ233" s="144"/>
      <c r="FA233" s="144"/>
      <c r="FB233" s="144"/>
      <c r="FC233" s="144"/>
      <c r="FD233" s="144"/>
      <c r="FE233" s="144"/>
      <c r="FF233" s="144"/>
      <c r="FG233" s="144"/>
      <c r="FH233" s="144"/>
      <c r="FI233" s="144"/>
      <c r="FJ233" s="144"/>
      <c r="FK233" s="144"/>
      <c r="FL233" s="144"/>
      <c r="FM233" s="144"/>
      <c r="FN233" s="144"/>
      <c r="FO233" s="144"/>
      <c r="FP233" s="144"/>
      <c r="FQ233" s="144"/>
      <c r="FR233" s="144"/>
      <c r="FS233" s="144"/>
      <c r="FT233" s="144"/>
      <c r="FU233" s="144"/>
    </row>
    <row r="234" spans="1:177" ht="12" customHeight="1" x14ac:dyDescent="0.2">
      <c r="CP234" s="144"/>
      <c r="CQ234" s="144"/>
      <c r="DM234" s="144"/>
      <c r="DN234" s="144"/>
      <c r="DO234" s="144"/>
      <c r="DP234" s="144"/>
      <c r="DQ234" s="144"/>
      <c r="DR234" s="144"/>
      <c r="DS234" s="144"/>
      <c r="DT234" s="144"/>
      <c r="DU234" s="144"/>
      <c r="DV234" s="144"/>
      <c r="DW234" s="144"/>
      <c r="DX234" s="144"/>
      <c r="DY234" s="144"/>
      <c r="DZ234" s="144"/>
      <c r="EA234" s="144"/>
      <c r="EB234" s="144"/>
      <c r="EC234" s="144"/>
      <c r="ED234" s="144"/>
      <c r="EE234" s="144"/>
      <c r="EF234" s="144"/>
      <c r="EG234" s="144"/>
      <c r="EH234" s="144"/>
      <c r="EI234" s="144"/>
      <c r="EJ234" s="144"/>
      <c r="EK234" s="144"/>
      <c r="EL234" s="144"/>
      <c r="EM234" s="144"/>
      <c r="EN234" s="144"/>
      <c r="EO234" s="144"/>
      <c r="EP234" s="144"/>
      <c r="EQ234" s="144"/>
      <c r="ER234" s="144"/>
      <c r="ES234" s="144"/>
      <c r="ET234" s="144"/>
      <c r="EU234" s="144"/>
      <c r="EV234" s="144"/>
      <c r="EW234" s="144"/>
      <c r="EX234" s="144"/>
      <c r="EY234" s="144"/>
      <c r="EZ234" s="144"/>
      <c r="FA234" s="144"/>
      <c r="FB234" s="144"/>
      <c r="FC234" s="144"/>
      <c r="FD234" s="144"/>
      <c r="FE234" s="144"/>
      <c r="FF234" s="144"/>
      <c r="FG234" s="144"/>
      <c r="FH234" s="144"/>
      <c r="FI234" s="144"/>
      <c r="FJ234" s="144"/>
      <c r="FK234" s="144"/>
      <c r="FL234" s="144"/>
      <c r="FM234" s="144"/>
      <c r="FN234" s="144"/>
      <c r="FO234" s="144"/>
      <c r="FP234" s="144"/>
      <c r="FQ234" s="144"/>
      <c r="FR234" s="144"/>
      <c r="FS234" s="144"/>
      <c r="FT234" s="144"/>
      <c r="FU234" s="144"/>
    </row>
    <row r="235" spans="1:177" ht="12" customHeight="1" x14ac:dyDescent="0.2">
      <c r="CP235" s="144"/>
      <c r="CQ235" s="144"/>
      <c r="DM235" s="144"/>
      <c r="DN235" s="144"/>
      <c r="DO235" s="144"/>
      <c r="DP235" s="144"/>
      <c r="DQ235" s="144"/>
      <c r="DR235" s="144"/>
      <c r="DS235" s="144"/>
      <c r="DT235" s="144"/>
      <c r="DU235" s="144"/>
      <c r="DV235" s="144"/>
      <c r="DW235" s="144"/>
      <c r="DX235" s="144"/>
      <c r="DY235" s="144"/>
      <c r="DZ235" s="144"/>
      <c r="EA235" s="144"/>
      <c r="EB235" s="144"/>
      <c r="EC235" s="144"/>
      <c r="ED235" s="144"/>
      <c r="EE235" s="144"/>
      <c r="EF235" s="144"/>
      <c r="EG235" s="144"/>
      <c r="EH235" s="144"/>
      <c r="EI235" s="144"/>
      <c r="EJ235" s="144"/>
      <c r="EK235" s="144"/>
      <c r="EL235" s="144"/>
      <c r="EM235" s="144"/>
      <c r="EN235" s="144"/>
      <c r="EO235" s="144"/>
      <c r="EP235" s="144"/>
      <c r="EQ235" s="144"/>
      <c r="ER235" s="144"/>
      <c r="ES235" s="144"/>
      <c r="ET235" s="144"/>
      <c r="EU235" s="144"/>
      <c r="EV235" s="144"/>
      <c r="EW235" s="144"/>
      <c r="EX235" s="144"/>
      <c r="EY235" s="144"/>
      <c r="EZ235" s="144"/>
      <c r="FA235" s="144"/>
      <c r="FB235" s="144"/>
      <c r="FC235" s="144"/>
      <c r="FD235" s="144"/>
      <c r="FE235" s="144"/>
      <c r="FF235" s="144"/>
      <c r="FG235" s="144"/>
      <c r="FH235" s="144"/>
      <c r="FI235" s="144"/>
      <c r="FJ235" s="144"/>
      <c r="FK235" s="144"/>
      <c r="FL235" s="144"/>
      <c r="FM235" s="144"/>
      <c r="FN235" s="144"/>
      <c r="FO235" s="144"/>
      <c r="FP235" s="144"/>
      <c r="FQ235" s="144"/>
      <c r="FR235" s="144"/>
      <c r="FS235" s="144"/>
      <c r="FT235" s="144"/>
      <c r="FU235" s="144"/>
    </row>
    <row r="236" spans="1:177" ht="12" customHeight="1" x14ac:dyDescent="0.2">
      <c r="CP236" s="144"/>
      <c r="CQ236" s="144"/>
      <c r="DM236" s="144"/>
      <c r="DN236" s="144"/>
      <c r="DO236" s="144"/>
      <c r="DP236" s="144"/>
      <c r="DQ236" s="144"/>
      <c r="DR236" s="144"/>
      <c r="DS236" s="144"/>
      <c r="DT236" s="144"/>
      <c r="DU236" s="144"/>
      <c r="DV236" s="144"/>
      <c r="DW236" s="144"/>
      <c r="DX236" s="144"/>
      <c r="DY236" s="144"/>
      <c r="DZ236" s="144"/>
      <c r="EA236" s="144"/>
      <c r="EB236" s="144"/>
      <c r="EC236" s="144"/>
      <c r="ED236" s="144"/>
      <c r="EE236" s="144"/>
      <c r="EF236" s="144"/>
      <c r="EG236" s="144"/>
      <c r="EH236" s="144"/>
      <c r="EI236" s="144"/>
      <c r="EJ236" s="144"/>
      <c r="EK236" s="144"/>
      <c r="EL236" s="144"/>
      <c r="EM236" s="144"/>
      <c r="EN236" s="144"/>
      <c r="EO236" s="144"/>
      <c r="EP236" s="144"/>
      <c r="EQ236" s="144"/>
      <c r="ER236" s="144"/>
      <c r="ES236" s="144"/>
      <c r="ET236" s="144"/>
      <c r="EU236" s="144"/>
      <c r="EV236" s="144"/>
      <c r="EW236" s="144"/>
      <c r="EX236" s="144"/>
      <c r="EY236" s="144"/>
      <c r="EZ236" s="144"/>
      <c r="FA236" s="144"/>
      <c r="FB236" s="144"/>
      <c r="FC236" s="144"/>
      <c r="FD236" s="144"/>
      <c r="FE236" s="144"/>
      <c r="FF236" s="144"/>
      <c r="FG236" s="144"/>
      <c r="FH236" s="144"/>
      <c r="FI236" s="144"/>
      <c r="FJ236" s="144"/>
      <c r="FK236" s="144"/>
      <c r="FL236" s="144"/>
      <c r="FM236" s="144"/>
      <c r="FN236" s="144"/>
      <c r="FO236" s="144"/>
      <c r="FP236" s="144"/>
      <c r="FQ236" s="144"/>
      <c r="FR236" s="144"/>
      <c r="FS236" s="144"/>
      <c r="FT236" s="144"/>
      <c r="FU236" s="144"/>
    </row>
    <row r="237" spans="1:177" ht="12" customHeight="1" x14ac:dyDescent="0.2">
      <c r="CP237" s="144"/>
      <c r="CQ237" s="144"/>
      <c r="DM237" s="144"/>
      <c r="DN237" s="144"/>
      <c r="DO237" s="144"/>
      <c r="DP237" s="144"/>
      <c r="DQ237" s="144"/>
      <c r="DR237" s="144"/>
      <c r="DS237" s="144"/>
      <c r="DT237" s="144"/>
      <c r="DU237" s="144"/>
      <c r="DV237" s="144"/>
      <c r="DW237" s="144"/>
      <c r="DX237" s="144"/>
      <c r="DY237" s="144"/>
      <c r="DZ237" s="144"/>
      <c r="EA237" s="144"/>
      <c r="EB237" s="144"/>
      <c r="EC237" s="144"/>
      <c r="ED237" s="144"/>
      <c r="EE237" s="144"/>
      <c r="EF237" s="144"/>
      <c r="EG237" s="144"/>
      <c r="EH237" s="144"/>
      <c r="EI237" s="144"/>
      <c r="EJ237" s="144"/>
      <c r="EK237" s="144"/>
      <c r="EL237" s="144"/>
      <c r="EM237" s="144"/>
      <c r="EN237" s="144"/>
      <c r="EO237" s="144"/>
      <c r="EP237" s="144"/>
      <c r="EQ237" s="144"/>
      <c r="ER237" s="144"/>
      <c r="ES237" s="144"/>
      <c r="ET237" s="144"/>
      <c r="EU237" s="144"/>
      <c r="EV237" s="144"/>
      <c r="EW237" s="144"/>
      <c r="EX237" s="144"/>
      <c r="EY237" s="144"/>
      <c r="EZ237" s="144"/>
      <c r="FA237" s="144"/>
      <c r="FB237" s="144"/>
      <c r="FC237" s="144"/>
      <c r="FD237" s="144"/>
      <c r="FE237" s="144"/>
      <c r="FF237" s="144"/>
      <c r="FG237" s="144"/>
      <c r="FH237" s="144"/>
      <c r="FI237" s="144"/>
      <c r="FJ237" s="144"/>
      <c r="FK237" s="144"/>
      <c r="FL237" s="144"/>
      <c r="FM237" s="144"/>
      <c r="FN237" s="144"/>
      <c r="FO237" s="144"/>
      <c r="FP237" s="144"/>
      <c r="FQ237" s="144"/>
      <c r="FR237" s="144"/>
      <c r="FS237" s="144"/>
      <c r="FT237" s="144"/>
      <c r="FU237" s="144"/>
    </row>
    <row r="238" spans="1:177" ht="12" customHeight="1" x14ac:dyDescent="0.2">
      <c r="B238" s="109"/>
      <c r="C238" s="148"/>
      <c r="D238" s="148"/>
      <c r="E238" s="148"/>
      <c r="F238" s="148"/>
      <c r="G238" s="148"/>
      <c r="H238" s="148"/>
      <c r="I238" s="148"/>
      <c r="J238" s="148"/>
      <c r="K238" s="148"/>
      <c r="L238" s="148"/>
      <c r="M238" s="148"/>
      <c r="N238" s="148"/>
      <c r="O238" s="148"/>
      <c r="P238" s="148"/>
      <c r="Q238" s="148"/>
      <c r="R238" s="148"/>
      <c r="S238" s="148"/>
      <c r="T238" s="148"/>
      <c r="U238" s="214"/>
      <c r="V238" s="121"/>
      <c r="W238" s="121"/>
      <c r="X238" s="121"/>
      <c r="Y238" s="121"/>
      <c r="Z238" s="121"/>
      <c r="DM238" s="144"/>
      <c r="DN238" s="144"/>
      <c r="DO238" s="144"/>
      <c r="DP238" s="144"/>
      <c r="DQ238" s="144"/>
      <c r="DR238" s="144"/>
      <c r="DS238" s="144"/>
      <c r="DT238" s="144"/>
      <c r="DU238" s="144"/>
      <c r="DV238" s="144"/>
      <c r="DW238" s="144"/>
      <c r="DX238" s="144"/>
      <c r="DY238" s="144"/>
      <c r="DZ238" s="144"/>
      <c r="EA238" s="144"/>
      <c r="EB238" s="144"/>
      <c r="EC238" s="144"/>
      <c r="ED238" s="144"/>
      <c r="EE238" s="144"/>
      <c r="EF238" s="144"/>
      <c r="EG238" s="144"/>
      <c r="EH238" s="144"/>
      <c r="EI238" s="144"/>
      <c r="EJ238" s="144"/>
      <c r="EK238" s="144"/>
      <c r="EL238" s="144"/>
      <c r="EM238" s="144"/>
      <c r="EN238" s="144"/>
      <c r="EO238" s="144"/>
      <c r="EP238" s="144"/>
      <c r="EQ238" s="144"/>
      <c r="ER238" s="144"/>
      <c r="ES238" s="144"/>
      <c r="ET238" s="144"/>
      <c r="EU238" s="144"/>
      <c r="EV238" s="144"/>
      <c r="EW238" s="144"/>
      <c r="EX238" s="144"/>
      <c r="EY238" s="144"/>
      <c r="EZ238" s="144"/>
      <c r="FA238" s="144"/>
      <c r="FB238" s="144"/>
    </row>
    <row r="239" spans="1:177" ht="12" customHeight="1" x14ac:dyDescent="0.2">
      <c r="BQ239" s="57"/>
      <c r="BR239" s="57"/>
      <c r="CN239" s="105"/>
      <c r="CO239" s="105"/>
      <c r="CP239" s="105"/>
      <c r="CQ239" s="105"/>
      <c r="DM239" s="144"/>
      <c r="DN239" s="144"/>
      <c r="DO239" s="144"/>
      <c r="DP239" s="144"/>
      <c r="DQ239" s="144"/>
      <c r="DR239" s="144"/>
      <c r="DS239" s="144"/>
      <c r="DT239" s="144"/>
      <c r="DU239" s="144"/>
      <c r="DV239" s="144"/>
      <c r="DW239" s="144"/>
      <c r="DX239" s="144"/>
      <c r="DY239" s="144"/>
      <c r="DZ239" s="144"/>
      <c r="EA239" s="144"/>
      <c r="EB239" s="144"/>
      <c r="EC239" s="144"/>
      <c r="ED239" s="144"/>
      <c r="EE239" s="144"/>
      <c r="EF239" s="144"/>
      <c r="EG239" s="144"/>
      <c r="EH239" s="144"/>
      <c r="EI239" s="144"/>
      <c r="EJ239" s="144"/>
      <c r="EK239" s="144"/>
      <c r="EL239" s="144"/>
      <c r="EM239" s="144"/>
      <c r="EN239" s="144"/>
      <c r="EO239" s="144"/>
      <c r="EP239" s="144"/>
      <c r="EQ239" s="144"/>
      <c r="ER239" s="144"/>
      <c r="ES239" s="144"/>
      <c r="ET239" s="144"/>
      <c r="EU239" s="144"/>
      <c r="EV239" s="144"/>
      <c r="EW239" s="144"/>
      <c r="EX239" s="144"/>
      <c r="EY239" s="144"/>
      <c r="EZ239" s="144"/>
      <c r="FA239" s="144"/>
      <c r="FB239" s="144"/>
    </row>
    <row r="240" spans="1:177" ht="12" customHeight="1" x14ac:dyDescent="0.2">
      <c r="BQ240" s="57"/>
      <c r="BR240" s="57"/>
      <c r="CN240" s="105"/>
      <c r="CO240" s="105"/>
      <c r="CP240" s="105"/>
      <c r="CQ240" s="105"/>
    </row>
    <row r="241" spans="69:95" ht="12" customHeight="1" x14ac:dyDescent="0.2">
      <c r="BQ241" s="57"/>
      <c r="BR241" s="57"/>
      <c r="CN241" s="105"/>
      <c r="CO241" s="105"/>
      <c r="CP241" s="105"/>
      <c r="CQ241" s="105"/>
    </row>
    <row r="242" spans="69:95" ht="12" customHeight="1" x14ac:dyDescent="0.2">
      <c r="BQ242" s="57"/>
      <c r="BR242" s="57"/>
      <c r="CN242" s="105"/>
      <c r="CO242" s="105"/>
      <c r="CP242" s="105"/>
      <c r="CQ242" s="105"/>
    </row>
    <row r="243" spans="69:95" ht="12" customHeight="1" x14ac:dyDescent="0.2">
      <c r="BQ243" s="57"/>
      <c r="BR243" s="57"/>
      <c r="CN243" s="105"/>
      <c r="CO243" s="105"/>
      <c r="CP243" s="105"/>
      <c r="CQ243" s="105"/>
    </row>
    <row r="244" spans="69:95" ht="12" customHeight="1" x14ac:dyDescent="0.2">
      <c r="BQ244" s="57"/>
      <c r="BR244" s="57"/>
      <c r="CN244" s="105"/>
      <c r="CO244" s="105"/>
      <c r="CP244" s="105"/>
      <c r="CQ244" s="105"/>
    </row>
    <row r="245" spans="69:95" ht="12" customHeight="1" x14ac:dyDescent="0.2">
      <c r="BQ245" s="57"/>
      <c r="BR245" s="57"/>
      <c r="CN245" s="105"/>
      <c r="CO245" s="105"/>
      <c r="CP245" s="105"/>
      <c r="CQ245" s="105"/>
    </row>
    <row r="246" spans="69:95" ht="12" customHeight="1" x14ac:dyDescent="0.2">
      <c r="BQ246" s="57"/>
      <c r="BR246" s="57"/>
      <c r="CN246" s="105"/>
      <c r="CO246" s="105"/>
      <c r="CP246" s="105"/>
      <c r="CQ246" s="105"/>
    </row>
    <row r="247" spans="69:95" ht="12" customHeight="1" x14ac:dyDescent="0.2">
      <c r="BQ247" s="57"/>
      <c r="BR247" s="57"/>
      <c r="CN247" s="105"/>
      <c r="CO247" s="105"/>
      <c r="CP247" s="105"/>
      <c r="CQ247" s="105"/>
    </row>
  </sheetData>
  <sheetProtection password="DEEC" sheet="1" objects="1" scenarios="1" selectLockedCells="1"/>
  <mergeCells count="663">
    <mergeCell ref="C38:Y39"/>
    <mergeCell ref="K22:R22"/>
    <mergeCell ref="K24:R24"/>
    <mergeCell ref="K17:Y17"/>
    <mergeCell ref="K23:M23"/>
    <mergeCell ref="C32:Y33"/>
    <mergeCell ref="C28:Y28"/>
    <mergeCell ref="K18:Y18"/>
    <mergeCell ref="K20:Y20"/>
    <mergeCell ref="K26:V26"/>
    <mergeCell ref="C30:Y31"/>
    <mergeCell ref="C21:J21"/>
    <mergeCell ref="K19:Y19"/>
    <mergeCell ref="K21:Y21"/>
    <mergeCell ref="K25:Y25"/>
    <mergeCell ref="C35:Y36"/>
    <mergeCell ref="T3:AM3"/>
    <mergeCell ref="AC78:AI78"/>
    <mergeCell ref="AC79:AI79"/>
    <mergeCell ref="AC87:AI87"/>
    <mergeCell ref="AC88:AI88"/>
    <mergeCell ref="AJ87:AR87"/>
    <mergeCell ref="AJ88:AR88"/>
    <mergeCell ref="C126:BH132"/>
    <mergeCell ref="C99:Y108"/>
    <mergeCell ref="AO3:AQ4"/>
    <mergeCell ref="AO5:AQ5"/>
    <mergeCell ref="AO6:AQ6"/>
    <mergeCell ref="AO7:AQ7"/>
    <mergeCell ref="AO8:AQ8"/>
    <mergeCell ref="AO9:AQ9"/>
    <mergeCell ref="AO10:AQ10"/>
    <mergeCell ref="AR5:AT5"/>
    <mergeCell ref="AU8:AW8"/>
    <mergeCell ref="AR8:AT8"/>
    <mergeCell ref="AR9:AT9"/>
    <mergeCell ref="K10:M10"/>
    <mergeCell ref="N5:P5"/>
    <mergeCell ref="N6:P6"/>
    <mergeCell ref="N7:P7"/>
    <mergeCell ref="N10:P10"/>
    <mergeCell ref="H8:J8"/>
    <mergeCell ref="AV16:AW16"/>
    <mergeCell ref="AU9:AW9"/>
    <mergeCell ref="AU10:AW10"/>
    <mergeCell ref="AL16:AQ16"/>
    <mergeCell ref="N12:P12"/>
    <mergeCell ref="H10:J10"/>
    <mergeCell ref="K16:Y16"/>
    <mergeCell ref="AR10:AT10"/>
    <mergeCell ref="AF16:AK16"/>
    <mergeCell ref="H5:J5"/>
    <mergeCell ref="Q3:S4"/>
    <mergeCell ref="Q5:S5"/>
    <mergeCell ref="H9:J9"/>
    <mergeCell ref="N11:P11"/>
    <mergeCell ref="I11:M11"/>
    <mergeCell ref="H6:J6"/>
    <mergeCell ref="H7:J7"/>
    <mergeCell ref="I12:M12"/>
    <mergeCell ref="Q6:S6"/>
    <mergeCell ref="Q7:S7"/>
    <mergeCell ref="Q8:S8"/>
    <mergeCell ref="Q9:S9"/>
    <mergeCell ref="Q10:S10"/>
    <mergeCell ref="H3:J4"/>
    <mergeCell ref="K3:M4"/>
    <mergeCell ref="N3:P4"/>
    <mergeCell ref="K5:M5"/>
    <mergeCell ref="K6:M6"/>
    <mergeCell ref="K7:M7"/>
    <mergeCell ref="K8:M8"/>
    <mergeCell ref="K9:M9"/>
    <mergeCell ref="N8:P8"/>
    <mergeCell ref="N9:P9"/>
    <mergeCell ref="X72:Y72"/>
    <mergeCell ref="X73:Y73"/>
    <mergeCell ref="L65:M65"/>
    <mergeCell ref="L66:M66"/>
    <mergeCell ref="L67:M67"/>
    <mergeCell ref="L68:M68"/>
    <mergeCell ref="L69:M69"/>
    <mergeCell ref="L70:M70"/>
    <mergeCell ref="L71:M71"/>
    <mergeCell ref="L72:M72"/>
    <mergeCell ref="L73:M73"/>
    <mergeCell ref="X65:Y65"/>
    <mergeCell ref="X66:Y66"/>
    <mergeCell ref="X67:Y67"/>
    <mergeCell ref="X68:Y68"/>
    <mergeCell ref="U73:W73"/>
    <mergeCell ref="X69:Y69"/>
    <mergeCell ref="X70:Y70"/>
    <mergeCell ref="X71:Y71"/>
    <mergeCell ref="I70:K70"/>
    <mergeCell ref="I71:K71"/>
    <mergeCell ref="I73:K73"/>
    <mergeCell ref="U65:W65"/>
    <mergeCell ref="U66:W66"/>
    <mergeCell ref="U67:W67"/>
    <mergeCell ref="U68:W68"/>
    <mergeCell ref="U69:W69"/>
    <mergeCell ref="U70:W70"/>
    <mergeCell ref="U72:W72"/>
    <mergeCell ref="I72:K72"/>
    <mergeCell ref="I66:K66"/>
    <mergeCell ref="I67:K67"/>
    <mergeCell ref="I68:K68"/>
    <mergeCell ref="I69:K69"/>
    <mergeCell ref="B30:B31"/>
    <mergeCell ref="B32:B33"/>
    <mergeCell ref="CJ157:CP158"/>
    <mergeCell ref="CB142:CH143"/>
    <mergeCell ref="CJ142:CP143"/>
    <mergeCell ref="BL150:BR150"/>
    <mergeCell ref="BL140:BR140"/>
    <mergeCell ref="AV138:BB138"/>
    <mergeCell ref="AV139:BB139"/>
    <mergeCell ref="BD139:BJ139"/>
    <mergeCell ref="BL139:BR139"/>
    <mergeCell ref="BL136:BR136"/>
    <mergeCell ref="BL137:BR137"/>
    <mergeCell ref="AV67:AW67"/>
    <mergeCell ref="AX67:BF67"/>
    <mergeCell ref="AX71:BF71"/>
    <mergeCell ref="AV72:AW72"/>
    <mergeCell ref="CJ136:CP136"/>
    <mergeCell ref="AV42:BH43"/>
    <mergeCell ref="AV50:BH54"/>
    <mergeCell ref="C45:Z46"/>
    <mergeCell ref="U71:W71"/>
    <mergeCell ref="C56:Y60"/>
    <mergeCell ref="I65:K65"/>
    <mergeCell ref="CJ138:CP138"/>
    <mergeCell ref="BD30:BH30"/>
    <mergeCell ref="BD31:BH31"/>
    <mergeCell ref="AC119:AI119"/>
    <mergeCell ref="CJ139:CP139"/>
    <mergeCell ref="AV136:BB136"/>
    <mergeCell ref="BL138:BR138"/>
    <mergeCell ref="BD138:BJ138"/>
    <mergeCell ref="BT139:BZ139"/>
    <mergeCell ref="BT138:BZ138"/>
    <mergeCell ref="CB136:CH136"/>
    <mergeCell ref="BT136:BZ136"/>
    <mergeCell ref="BD137:BJ137"/>
    <mergeCell ref="CB138:CH138"/>
    <mergeCell ref="CB139:CH139"/>
    <mergeCell ref="CJ137:CP137"/>
    <mergeCell ref="BT137:BZ137"/>
    <mergeCell ref="CB137:CH137"/>
    <mergeCell ref="AV137:BB137"/>
    <mergeCell ref="AF37:AI37"/>
    <mergeCell ref="AF33:AI33"/>
    <mergeCell ref="AC36:AE36"/>
    <mergeCell ref="AC37:AE37"/>
    <mergeCell ref="AF36:AI36"/>
    <mergeCell ref="CJ144:CP144"/>
    <mergeCell ref="CJ149:CP149"/>
    <mergeCell ref="CJ146:CP146"/>
    <mergeCell ref="CJ147:CP147"/>
    <mergeCell ref="CJ148:CP148"/>
    <mergeCell ref="CJ140:CP140"/>
    <mergeCell ref="BT148:BZ148"/>
    <mergeCell ref="CB140:CH140"/>
    <mergeCell ref="CJ145:CP145"/>
    <mergeCell ref="BT145:BZ145"/>
    <mergeCell ref="CB145:CH145"/>
    <mergeCell ref="CB146:CH146"/>
    <mergeCell ref="BT142:BZ143"/>
    <mergeCell ref="BT140:BZ140"/>
    <mergeCell ref="CB147:CH147"/>
    <mergeCell ref="CB148:CH148"/>
    <mergeCell ref="CB144:CH144"/>
    <mergeCell ref="AV149:BB149"/>
    <mergeCell ref="AV148:BB148"/>
    <mergeCell ref="BD149:BJ149"/>
    <mergeCell ref="BD148:BJ148"/>
    <mergeCell ref="AG145:AM145"/>
    <mergeCell ref="AG147:AM147"/>
    <mergeCell ref="AQ142:AU143"/>
    <mergeCell ref="AV142:BB143"/>
    <mergeCell ref="BD140:BJ140"/>
    <mergeCell ref="AV144:BB144"/>
    <mergeCell ref="AV140:BB140"/>
    <mergeCell ref="AV145:BB145"/>
    <mergeCell ref="BD146:BJ146"/>
    <mergeCell ref="BD142:BJ143"/>
    <mergeCell ref="BD145:BJ145"/>
    <mergeCell ref="BD147:BJ147"/>
    <mergeCell ref="AG149:AM152"/>
    <mergeCell ref="CJ161:CP161"/>
    <mergeCell ref="AV160:BB160"/>
    <mergeCell ref="AV146:BB146"/>
    <mergeCell ref="C169:O169"/>
    <mergeCell ref="C172:O172"/>
    <mergeCell ref="CJ166:CP170"/>
    <mergeCell ref="AV165:BB165"/>
    <mergeCell ref="BT166:BZ170"/>
    <mergeCell ref="CB166:CH170"/>
    <mergeCell ref="AV166:BB170"/>
    <mergeCell ref="BD165:BJ165"/>
    <mergeCell ref="BD166:BJ170"/>
    <mergeCell ref="CJ165:CP165"/>
    <mergeCell ref="BL166:BR170"/>
    <mergeCell ref="BT165:BZ165"/>
    <mergeCell ref="Y168:AE168"/>
    <mergeCell ref="Y169:AE169"/>
    <mergeCell ref="Y170:AE170"/>
    <mergeCell ref="BL165:BR165"/>
    <mergeCell ref="CB165:CH165"/>
    <mergeCell ref="AV161:BB161"/>
    <mergeCell ref="CB157:CH158"/>
    <mergeCell ref="CJ150:CP150"/>
    <mergeCell ref="AV147:BB147"/>
    <mergeCell ref="CJ163:CP163"/>
    <mergeCell ref="CJ162:CP162"/>
    <mergeCell ref="AV162:BB162"/>
    <mergeCell ref="BD162:BJ162"/>
    <mergeCell ref="BL162:BR162"/>
    <mergeCell ref="CB163:CH163"/>
    <mergeCell ref="CB164:CH164"/>
    <mergeCell ref="BD164:BJ164"/>
    <mergeCell ref="CJ164:CP164"/>
    <mergeCell ref="CB162:CH162"/>
    <mergeCell ref="BT163:BZ163"/>
    <mergeCell ref="BL163:BR163"/>
    <mergeCell ref="BT162:BZ162"/>
    <mergeCell ref="AV163:BB163"/>
    <mergeCell ref="BD163:BJ163"/>
    <mergeCell ref="BL164:BR164"/>
    <mergeCell ref="BT164:BZ164"/>
    <mergeCell ref="AV164:BB164"/>
    <mergeCell ref="CJ160:CP160"/>
    <mergeCell ref="CB159:CH159"/>
    <mergeCell ref="BL159:BR159"/>
    <mergeCell ref="CB149:CH149"/>
    <mergeCell ref="BT161:BZ161"/>
    <mergeCell ref="BL157:BR158"/>
    <mergeCell ref="BD161:BJ161"/>
    <mergeCell ref="BD151:BJ155"/>
    <mergeCell ref="BL149:BR149"/>
    <mergeCell ref="CJ151:CP155"/>
    <mergeCell ref="BD160:BJ160"/>
    <mergeCell ref="CB161:CH161"/>
    <mergeCell ref="CB160:CH160"/>
    <mergeCell ref="BL161:BR161"/>
    <mergeCell ref="CJ159:CP159"/>
    <mergeCell ref="CB151:CH155"/>
    <mergeCell ref="BT151:BZ155"/>
    <mergeCell ref="BT150:BZ150"/>
    <mergeCell ref="CB150:CH150"/>
    <mergeCell ref="BD150:BJ150"/>
    <mergeCell ref="BT157:BZ158"/>
    <mergeCell ref="BL151:BR155"/>
    <mergeCell ref="BD159:BJ159"/>
    <mergeCell ref="BL160:BR160"/>
    <mergeCell ref="BT160:BZ160"/>
    <mergeCell ref="BT159:BZ159"/>
    <mergeCell ref="BL147:BR147"/>
    <mergeCell ref="BL148:BR148"/>
    <mergeCell ref="BL146:BR146"/>
    <mergeCell ref="BD144:BJ144"/>
    <mergeCell ref="BL144:BR144"/>
    <mergeCell ref="BT144:BZ144"/>
    <mergeCell ref="BT146:BZ146"/>
    <mergeCell ref="BT147:BZ147"/>
    <mergeCell ref="BT149:BZ149"/>
    <mergeCell ref="BD157:BJ158"/>
    <mergeCell ref="BL145:BR145"/>
    <mergeCell ref="AF28:AI28"/>
    <mergeCell ref="AK31:AL31"/>
    <mergeCell ref="AK32:AL32"/>
    <mergeCell ref="BL142:BR143"/>
    <mergeCell ref="AC46:AR46"/>
    <mergeCell ref="AC53:AI53"/>
    <mergeCell ref="AC57:AI57"/>
    <mergeCell ref="AC52:AI52"/>
    <mergeCell ref="AJ49:AR49"/>
    <mergeCell ref="AC63:AI63"/>
    <mergeCell ref="AC49:AI49"/>
    <mergeCell ref="AV45:BG46"/>
    <mergeCell ref="AV59:AW59"/>
    <mergeCell ref="AF29:AI29"/>
    <mergeCell ref="AC29:AE29"/>
    <mergeCell ref="AJ69:AR69"/>
    <mergeCell ref="AJ51:AR51"/>
    <mergeCell ref="AJ71:AR71"/>
    <mergeCell ref="AJ74:AR74"/>
    <mergeCell ref="AJ70:AR70"/>
    <mergeCell ref="AJ64:AR64"/>
    <mergeCell ref="AJ54:AR54"/>
    <mergeCell ref="AC30:AE30"/>
    <mergeCell ref="AF30:AI30"/>
    <mergeCell ref="AK24:AL24"/>
    <mergeCell ref="AX59:BF59"/>
    <mergeCell ref="AJ59:AR59"/>
    <mergeCell ref="AJ58:AR58"/>
    <mergeCell ref="AN33:AP33"/>
    <mergeCell ref="AK30:AL30"/>
    <mergeCell ref="AN29:AP29"/>
    <mergeCell ref="BK2:CQ133"/>
    <mergeCell ref="AC16:AE16"/>
    <mergeCell ref="AC32:AE32"/>
    <mergeCell ref="AF31:AI31"/>
    <mergeCell ref="AC31:AE31"/>
    <mergeCell ref="AC35:AE35"/>
    <mergeCell ref="AF35:AI35"/>
    <mergeCell ref="AK37:AL37"/>
    <mergeCell ref="AN35:AP35"/>
    <mergeCell ref="AK23:AL23"/>
    <mergeCell ref="AN23:AP23"/>
    <mergeCell ref="AN24:AP24"/>
    <mergeCell ref="AF34:AI34"/>
    <mergeCell ref="AC34:AE34"/>
    <mergeCell ref="AC33:AE33"/>
    <mergeCell ref="AK33:AL33"/>
    <mergeCell ref="AK34:AL34"/>
    <mergeCell ref="BD22:BH22"/>
    <mergeCell ref="AV25:AW25"/>
    <mergeCell ref="BD24:BH24"/>
    <mergeCell ref="BD21:BH21"/>
    <mergeCell ref="AX23:BC23"/>
    <mergeCell ref="AX24:BC24"/>
    <mergeCell ref="AV28:AW28"/>
    <mergeCell ref="AC17:AE17"/>
    <mergeCell ref="AF20:AI20"/>
    <mergeCell ref="AF21:AI21"/>
    <mergeCell ref="AJ19:AM19"/>
    <mergeCell ref="AF17:AK17"/>
    <mergeCell ref="AL17:AQ17"/>
    <mergeCell ref="AN27:AP27"/>
    <mergeCell ref="AN28:AP28"/>
    <mergeCell ref="AF23:AI23"/>
    <mergeCell ref="AF27:AI27"/>
    <mergeCell ref="AC28:AE28"/>
    <mergeCell ref="AC27:AE27"/>
    <mergeCell ref="AK28:AL28"/>
    <mergeCell ref="AK26:AL26"/>
    <mergeCell ref="AF24:AI24"/>
    <mergeCell ref="AC24:AE24"/>
    <mergeCell ref="AC25:AE25"/>
    <mergeCell ref="AF25:AI25"/>
    <mergeCell ref="AK25:AL25"/>
    <mergeCell ref="AK22:AL22"/>
    <mergeCell ref="AC21:AE21"/>
    <mergeCell ref="AC26:AE26"/>
    <mergeCell ref="AX22:BC22"/>
    <mergeCell ref="AV22:AW22"/>
    <mergeCell ref="AV20:AW20"/>
    <mergeCell ref="AX19:BC19"/>
    <mergeCell ref="AX20:BC20"/>
    <mergeCell ref="AX21:BC21"/>
    <mergeCell ref="AF19:AI19"/>
    <mergeCell ref="AC19:AE19"/>
    <mergeCell ref="AK20:AL20"/>
    <mergeCell ref="AF22:AI22"/>
    <mergeCell ref="AV21:AW21"/>
    <mergeCell ref="AC20:AE20"/>
    <mergeCell ref="AV19:AW19"/>
    <mergeCell ref="AN20:AP20"/>
    <mergeCell ref="AN19:AP19"/>
    <mergeCell ref="AK21:AL21"/>
    <mergeCell ref="AC22:AE22"/>
    <mergeCell ref="AN21:AP21"/>
    <mergeCell ref="AN22:AP22"/>
    <mergeCell ref="AF39:AI39"/>
    <mergeCell ref="AJ41:AM41"/>
    <mergeCell ref="AK38:AL38"/>
    <mergeCell ref="AJ43:AM44"/>
    <mergeCell ref="AN36:AP36"/>
    <mergeCell ref="AN39:AP39"/>
    <mergeCell ref="AF38:AI38"/>
    <mergeCell ref="AK36:AL36"/>
    <mergeCell ref="AE43:AI44"/>
    <mergeCell ref="AN38:AP38"/>
    <mergeCell ref="AN43:AP44"/>
    <mergeCell ref="AC38:AE38"/>
    <mergeCell ref="AC39:AE39"/>
    <mergeCell ref="AJ42:AM42"/>
    <mergeCell ref="AN42:AP42"/>
    <mergeCell ref="AC50:AI50"/>
    <mergeCell ref="AC51:AI51"/>
    <mergeCell ref="AC66:AI66"/>
    <mergeCell ref="AJ65:AR65"/>
    <mergeCell ref="AJ66:AR66"/>
    <mergeCell ref="AC64:AI64"/>
    <mergeCell ref="AJ57:AR57"/>
    <mergeCell ref="AJ53:AN53"/>
    <mergeCell ref="AO53:AR53"/>
    <mergeCell ref="AJ52:AR52"/>
    <mergeCell ref="AJ50:AR50"/>
    <mergeCell ref="AC65:AI65"/>
    <mergeCell ref="AC54:AI54"/>
    <mergeCell ref="AC58:AI58"/>
    <mergeCell ref="AC59:AI59"/>
    <mergeCell ref="AC23:AE23"/>
    <mergeCell ref="AF26:AI26"/>
    <mergeCell ref="AV120:BE121"/>
    <mergeCell ref="AF32:AI32"/>
    <mergeCell ref="AK27:AL27"/>
    <mergeCell ref="AJ107:AR107"/>
    <mergeCell ref="AJ60:AR60"/>
    <mergeCell ref="AC60:AI60"/>
    <mergeCell ref="AC102:AI102"/>
    <mergeCell ref="AC98:AI98"/>
    <mergeCell ref="AC99:AI99"/>
    <mergeCell ref="AX60:BF60"/>
    <mergeCell ref="AX29:BC29"/>
    <mergeCell ref="AX30:BC30"/>
    <mergeCell ref="BD29:BH29"/>
    <mergeCell ref="AX31:BC31"/>
    <mergeCell ref="AK39:AL39"/>
    <mergeCell ref="AV39:BH40"/>
    <mergeCell ref="AV60:AW60"/>
    <mergeCell ref="AQ43:AS44"/>
    <mergeCell ref="AK29:AL29"/>
    <mergeCell ref="BD27:BH27"/>
    <mergeCell ref="AC75:AI75"/>
    <mergeCell ref="AJ63:AR63"/>
    <mergeCell ref="AR3:AT4"/>
    <mergeCell ref="BD17:BH17"/>
    <mergeCell ref="AX16:BC16"/>
    <mergeCell ref="AX18:BC18"/>
    <mergeCell ref="BD16:BH16"/>
    <mergeCell ref="AX17:BC17"/>
    <mergeCell ref="BD19:BH19"/>
    <mergeCell ref="BD20:BH20"/>
    <mergeCell ref="AU3:AW4"/>
    <mergeCell ref="AU5:AW5"/>
    <mergeCell ref="AU6:AW6"/>
    <mergeCell ref="AU7:AW7"/>
    <mergeCell ref="AV17:AW17"/>
    <mergeCell ref="AV18:AW18"/>
    <mergeCell ref="BE15:BG15"/>
    <mergeCell ref="BD18:BH18"/>
    <mergeCell ref="AR6:AT6"/>
    <mergeCell ref="AR7:AT7"/>
    <mergeCell ref="BF4:BG4"/>
    <mergeCell ref="BF5:BG5"/>
    <mergeCell ref="AZ11:BH12"/>
    <mergeCell ref="BD23:BH23"/>
    <mergeCell ref="AV24:AW24"/>
    <mergeCell ref="AV23:AW23"/>
    <mergeCell ref="AN32:AP32"/>
    <mergeCell ref="AK35:AL35"/>
    <mergeCell ref="C142:O142"/>
    <mergeCell ref="AJ118:AR118"/>
    <mergeCell ref="AJ119:AR119"/>
    <mergeCell ref="AJ120:AR120"/>
    <mergeCell ref="AJ110:AR110"/>
    <mergeCell ref="AJ109:AR109"/>
    <mergeCell ref="AJ102:AR102"/>
    <mergeCell ref="AC120:AI120"/>
    <mergeCell ref="I113:O113"/>
    <mergeCell ref="I114:O114"/>
    <mergeCell ref="I115:O115"/>
    <mergeCell ref="I116:O116"/>
    <mergeCell ref="I117:O117"/>
    <mergeCell ref="I118:O118"/>
    <mergeCell ref="I119:O119"/>
    <mergeCell ref="I120:O120"/>
    <mergeCell ref="C113:G113"/>
    <mergeCell ref="C114:G114"/>
    <mergeCell ref="C115:G115"/>
    <mergeCell ref="C41:Y42"/>
    <mergeCell ref="K44:Y44"/>
    <mergeCell ref="C53:Z54"/>
    <mergeCell ref="K49:Y49"/>
    <mergeCell ref="K50:Y50"/>
    <mergeCell ref="K51:Y51"/>
    <mergeCell ref="K52:Y52"/>
    <mergeCell ref="K55:Y55"/>
    <mergeCell ref="K47:Y47"/>
    <mergeCell ref="K48:Y48"/>
    <mergeCell ref="K43:Y43"/>
    <mergeCell ref="Y171:AE172"/>
    <mergeCell ref="K125:P125"/>
    <mergeCell ref="C76:Z77"/>
    <mergeCell ref="AC110:AI110"/>
    <mergeCell ref="Y145:AE145"/>
    <mergeCell ref="AC103:AI103"/>
    <mergeCell ref="AC104:AI104"/>
    <mergeCell ref="C139:O139"/>
    <mergeCell ref="AC83:AI83"/>
    <mergeCell ref="AC84:AI84"/>
    <mergeCell ref="AC86:AI86"/>
    <mergeCell ref="AC113:AI113"/>
    <mergeCell ref="AC114:AI114"/>
    <mergeCell ref="AC85:AI85"/>
    <mergeCell ref="AG154:AM155"/>
    <mergeCell ref="Y159:AE159"/>
    <mergeCell ref="Y157:AE157"/>
    <mergeCell ref="AG148:AM148"/>
    <mergeCell ref="Y149:AE152"/>
    <mergeCell ref="C79:Z80"/>
    <mergeCell ref="AC108:AI108"/>
    <mergeCell ref="AJ79:AR79"/>
    <mergeCell ref="AJ80:AR80"/>
    <mergeCell ref="AJ81:AR81"/>
    <mergeCell ref="BD25:BH25"/>
    <mergeCell ref="AV30:AW30"/>
    <mergeCell ref="AN41:AP41"/>
    <mergeCell ref="AN37:AP37"/>
    <mergeCell ref="AN26:AP26"/>
    <mergeCell ref="AV29:AW29"/>
    <mergeCell ref="AN30:AP30"/>
    <mergeCell ref="BD26:BH26"/>
    <mergeCell ref="BD28:BH28"/>
    <mergeCell ref="AN34:AP34"/>
    <mergeCell ref="AN31:AP31"/>
    <mergeCell ref="AV26:AW26"/>
    <mergeCell ref="AV27:AW27"/>
    <mergeCell ref="AV31:AW31"/>
    <mergeCell ref="AV36:BG37"/>
    <mergeCell ref="AN25:AP25"/>
    <mergeCell ref="AX25:BC25"/>
    <mergeCell ref="AX26:BC26"/>
    <mergeCell ref="AX27:BC27"/>
    <mergeCell ref="AX28:BC28"/>
    <mergeCell ref="BG119:BH119"/>
    <mergeCell ref="AZ119:BB119"/>
    <mergeCell ref="BC115:BE115"/>
    <mergeCell ref="AZ115:BB115"/>
    <mergeCell ref="AV92:BG97"/>
    <mergeCell ref="BC118:BE118"/>
    <mergeCell ref="AV78:BG79"/>
    <mergeCell ref="AV63:AW63"/>
    <mergeCell ref="BF115:BH115"/>
    <mergeCell ref="BF116:BH116"/>
    <mergeCell ref="BF117:BH117"/>
    <mergeCell ref="BF118:BH118"/>
    <mergeCell ref="BF114:BH114"/>
    <mergeCell ref="AX69:BF69"/>
    <mergeCell ref="AV65:AW65"/>
    <mergeCell ref="AX73:BF73"/>
    <mergeCell ref="AV70:AW70"/>
    <mergeCell ref="AV68:AW68"/>
    <mergeCell ref="AV73:AW73"/>
    <mergeCell ref="AX63:BF63"/>
    <mergeCell ref="AV64:AW64"/>
    <mergeCell ref="AX65:BF65"/>
    <mergeCell ref="AX70:BF70"/>
    <mergeCell ref="AX64:BF64"/>
    <mergeCell ref="AV62:AW62"/>
    <mergeCell ref="AX61:BF61"/>
    <mergeCell ref="AX62:BF62"/>
    <mergeCell ref="AX72:BF72"/>
    <mergeCell ref="AV66:AW66"/>
    <mergeCell ref="AX66:BF66"/>
    <mergeCell ref="AV71:AW71"/>
    <mergeCell ref="AX68:BF68"/>
    <mergeCell ref="AV69:AW69"/>
    <mergeCell ref="AV61:AW61"/>
    <mergeCell ref="AJ75:AR75"/>
    <mergeCell ref="AC70:AI70"/>
    <mergeCell ref="AC69:AI69"/>
    <mergeCell ref="BC119:BE119"/>
    <mergeCell ref="AZ118:BB118"/>
    <mergeCell ref="BC116:BE116"/>
    <mergeCell ref="AJ115:AR115"/>
    <mergeCell ref="BC117:BE117"/>
    <mergeCell ref="AZ116:BB116"/>
    <mergeCell ref="AZ117:BB117"/>
    <mergeCell ref="AC71:AI71"/>
    <mergeCell ref="AC81:AI81"/>
    <mergeCell ref="AC82:AI82"/>
    <mergeCell ref="AJ104:AR104"/>
    <mergeCell ref="AZ114:BB114"/>
    <mergeCell ref="BC114:BE114"/>
    <mergeCell ref="AJ116:AR116"/>
    <mergeCell ref="AJ117:AR117"/>
    <mergeCell ref="AV84:BG85"/>
    <mergeCell ref="AJ78:AR78"/>
    <mergeCell ref="AC109:AI109"/>
    <mergeCell ref="AC107:AI107"/>
    <mergeCell ref="AC74:AI74"/>
    <mergeCell ref="AC80:AI80"/>
    <mergeCell ref="BD136:BJ136"/>
    <mergeCell ref="AC91:AI91"/>
    <mergeCell ref="Y147:AE147"/>
    <mergeCell ref="AO98:AR98"/>
    <mergeCell ref="AO99:AR99"/>
    <mergeCell ref="AJ86:AR86"/>
    <mergeCell ref="AG143:AM143"/>
    <mergeCell ref="Y138:AE138"/>
    <mergeCell ref="AJ91:AR91"/>
    <mergeCell ref="AJ94:AR94"/>
    <mergeCell ref="AJ92:AR92"/>
    <mergeCell ref="AJ97:AN97"/>
    <mergeCell ref="AJ98:AN98"/>
    <mergeCell ref="AG136:AM136"/>
    <mergeCell ref="AC116:AI116"/>
    <mergeCell ref="AC117:AI117"/>
    <mergeCell ref="AC118:AI118"/>
    <mergeCell ref="Y137:AE137"/>
    <mergeCell ref="AG138:AM138"/>
    <mergeCell ref="Y142:AE142"/>
    <mergeCell ref="AG144:AM144"/>
    <mergeCell ref="AG137:AM137"/>
    <mergeCell ref="AG142:AM142"/>
    <mergeCell ref="AV87:BH88"/>
    <mergeCell ref="AV157:BB158"/>
    <mergeCell ref="AV159:BB159"/>
    <mergeCell ref="AV150:BB150"/>
    <mergeCell ref="AV151:BB155"/>
    <mergeCell ref="AQ157:AU158"/>
    <mergeCell ref="AV81:BG82"/>
    <mergeCell ref="C151:O151"/>
    <mergeCell ref="C154:O154"/>
    <mergeCell ref="C148:O148"/>
    <mergeCell ref="C145:O145"/>
    <mergeCell ref="Y154:AE155"/>
    <mergeCell ref="C82:Z89"/>
    <mergeCell ref="Y140:AE141"/>
    <mergeCell ref="AG146:AM146"/>
    <mergeCell ref="AJ82:AR82"/>
    <mergeCell ref="AJ83:AR83"/>
    <mergeCell ref="AJ84:AR84"/>
    <mergeCell ref="AG140:AM141"/>
    <mergeCell ref="AJ85:AR85"/>
    <mergeCell ref="Y148:AE148"/>
    <mergeCell ref="Y143:AE143"/>
    <mergeCell ref="Y144:AE144"/>
    <mergeCell ref="Y146:AE146"/>
    <mergeCell ref="C91:Y97"/>
    <mergeCell ref="AC92:AI92"/>
    <mergeCell ref="AC97:AI97"/>
    <mergeCell ref="AC93:AI93"/>
    <mergeCell ref="AJ93:AR93"/>
    <mergeCell ref="AC115:AI115"/>
    <mergeCell ref="C116:G116"/>
    <mergeCell ref="C117:G117"/>
    <mergeCell ref="C118:G118"/>
    <mergeCell ref="Y136:AE136"/>
    <mergeCell ref="AJ103:AR103"/>
    <mergeCell ref="AJ99:AN99"/>
    <mergeCell ref="AJ108:AR108"/>
    <mergeCell ref="AO97:AR97"/>
    <mergeCell ref="AJ113:AR113"/>
    <mergeCell ref="AJ114:AR114"/>
    <mergeCell ref="C119:G119"/>
    <mergeCell ref="C120:G120"/>
    <mergeCell ref="C125:I125"/>
    <mergeCell ref="AC94:AI94"/>
    <mergeCell ref="AG163:AM166"/>
    <mergeCell ref="Y158:AE158"/>
    <mergeCell ref="AG161:AM161"/>
    <mergeCell ref="AG162:AM162"/>
    <mergeCell ref="AG156:AM156"/>
    <mergeCell ref="AG158:AM158"/>
    <mergeCell ref="C166:O166"/>
    <mergeCell ref="Y156:AE156"/>
    <mergeCell ref="Y161:AE161"/>
    <mergeCell ref="Y162:AE162"/>
    <mergeCell ref="C163:O163"/>
    <mergeCell ref="C160:O160"/>
    <mergeCell ref="Y163:AE166"/>
    <mergeCell ref="AG157:AM157"/>
    <mergeCell ref="C157:O157"/>
    <mergeCell ref="AG160:AM160"/>
    <mergeCell ref="AG159:AM159"/>
    <mergeCell ref="Y160:AE160"/>
  </mergeCells>
  <conditionalFormatting sqref="AY47">
    <cfRule type="expression" dxfId="100" priority="90">
      <formula>IF(Experience="",FALSE,TRUE)</formula>
    </cfRule>
  </conditionalFormatting>
  <conditionalFormatting sqref="AO11 T11:AM11">
    <cfRule type="expression" dxfId="99" priority="85">
      <formula>IF(T11="",FALSE,IF(T11&lt;0,TRUE,FALSE))</formula>
    </cfRule>
    <cfRule type="expression" dxfId="98" priority="86">
      <formula>IF(T11="",FALSE,IF(T11&gt;0,TRUE,FALSE))</formula>
    </cfRule>
  </conditionalFormatting>
  <conditionalFormatting sqref="AY89">
    <cfRule type="expression" dxfId="97" priority="83">
      <formula>IF(Experience="",FALSE,TRUE)</formula>
    </cfRule>
  </conditionalFormatting>
  <conditionalFormatting sqref="AX91">
    <cfRule type="expression" dxfId="96" priority="82">
      <formula>IF(Experience="",FALSE,TRUE)</formula>
    </cfRule>
  </conditionalFormatting>
  <conditionalFormatting sqref="AC74:AI75">
    <cfRule type="expression" dxfId="95" priority="65">
      <formula>IF(ClericKnowledgeLevel&gt;=1,TRUE,FALSE)</formula>
    </cfRule>
  </conditionalFormatting>
  <conditionalFormatting sqref="AJ74:AR75">
    <cfRule type="expression" dxfId="94" priority="64">
      <formula>IF(ClericKnowledgeLevel&gt;=1,TRUE,FALSE)</formula>
    </cfRule>
  </conditionalFormatting>
  <conditionalFormatting sqref="E98">
    <cfRule type="expression" dxfId="93" priority="59">
      <formula>IF(Experience="",FALSE,TRUE)</formula>
    </cfRule>
  </conditionalFormatting>
  <conditionalFormatting sqref="AV16:AW31">
    <cfRule type="expression" dxfId="92" priority="552">
      <formula>IF(OR(AV16&gt;$BC$33,$AF$17=""),FALSE,TRUE)</formula>
    </cfRule>
  </conditionalFormatting>
  <conditionalFormatting sqref="AX16:AX31">
    <cfRule type="expression" dxfId="91" priority="553">
      <formula>IF(OR(AV16&gt;$BC$33,$AF$17=""),FALSE,TRUE)</formula>
    </cfRule>
  </conditionalFormatting>
  <conditionalFormatting sqref="BG60:BG69">
    <cfRule type="expression" dxfId="90" priority="554">
      <formula>IF(#REF!&gt;$BC$33,FALSE,TRUE)</formula>
    </cfRule>
  </conditionalFormatting>
  <conditionalFormatting sqref="AV59:AW73">
    <cfRule type="expression" dxfId="89" priority="579">
      <formula>IF(OR(AV59&gt;$BF$75,$AF$17=""),FALSE,TRUE)</formula>
    </cfRule>
  </conditionalFormatting>
  <conditionalFormatting sqref="AX59:AX73">
    <cfRule type="expression" dxfId="88" priority="580">
      <formula>IF(OR(AV59&gt;$BF$75,$AF$17=""),FALSE,TRUE)</formula>
    </cfRule>
  </conditionalFormatting>
  <conditionalFormatting sqref="C28">
    <cfRule type="expression" dxfId="87" priority="616">
      <formula>IF($C$27="",FALSE,TRUE)</formula>
    </cfRule>
  </conditionalFormatting>
  <conditionalFormatting sqref="AJ52:AJ54">
    <cfRule type="expression" dxfId="86" priority="808">
      <formula>IF($AB52=FALSE,FALSE,TRUE)</formula>
    </cfRule>
  </conditionalFormatting>
  <conditionalFormatting sqref="AC52:AI54">
    <cfRule type="expression" dxfId="85" priority="11">
      <formula>IF($AB52=FALSE,FALSE,TRUE)</formula>
    </cfRule>
  </conditionalFormatting>
  <conditionalFormatting sqref="AC20:AE39">
    <cfRule type="expression" dxfId="84" priority="1030">
      <formula>IF(OR($AC$17&lt;$AC20,$AF$17=""),FALSE,TRUE)</formula>
    </cfRule>
  </conditionalFormatting>
  <conditionalFormatting sqref="AN21:AN39 AF20:AI39">
    <cfRule type="expression" dxfId="83" priority="1031">
      <formula>IF(OR($AC$17&lt;$AC20,$AF$17=""),FALSE,TRUE)</formula>
    </cfRule>
  </conditionalFormatting>
  <conditionalFormatting sqref="W75 BD75 BA33">
    <cfRule type="expression" dxfId="82" priority="5">
      <formula>IF(W33&lt;Y33,TRUE,FALSE)</formula>
    </cfRule>
    <cfRule type="expression" dxfId="81" priority="58">
      <formula>IF(W33&gt;Y33,TRUE,FALSE)</formula>
    </cfRule>
  </conditionalFormatting>
  <conditionalFormatting sqref="T5:AM10">
    <cfRule type="expression" dxfId="80" priority="1218">
      <formula>IF(AND(T$11&gt;0,T$12="A"),TRUE,FALSE)</formula>
    </cfRule>
  </conditionalFormatting>
  <conditionalFormatting sqref="T5:AM5">
    <cfRule type="expression" dxfId="79" priority="1219">
      <formula>IF(AND(T$11&gt;0,OR(T$12="SC",T$12="SD",T$12="ST")),TRUE,FALSE)</formula>
    </cfRule>
  </conditionalFormatting>
  <conditionalFormatting sqref="T6:AM6">
    <cfRule type="expression" dxfId="78" priority="1220">
      <formula>IF(AND(T$11&gt;0,T$12="SD"),TRUE,FALSE)</formula>
    </cfRule>
  </conditionalFormatting>
  <conditionalFormatting sqref="T7:AM7">
    <cfRule type="expression" dxfId="77" priority="1221">
      <formula>IF(AND(T$11&gt;0,OR(T$12="SC",T$12="CO")),TRUE,FALSE)</formula>
    </cfRule>
  </conditionalFormatting>
  <conditionalFormatting sqref="T8:AM8">
    <cfRule type="expression" dxfId="76" priority="1222">
      <formula>IF(AND(T$11&gt;0,OR(T$12="IN",T$12="IW")),TRUE,FALSE)</formula>
    </cfRule>
  </conditionalFormatting>
  <conditionalFormatting sqref="T10:AM10">
    <cfRule type="expression" dxfId="75" priority="1223">
      <formula>IF(AND(T$11&gt;0,T$12="CH"),TRUE,FALSE)</formula>
    </cfRule>
  </conditionalFormatting>
  <conditionalFormatting sqref="T9:AM9">
    <cfRule type="expression" dxfId="74" priority="1224">
      <formula>IF(AND(T$11&gt;0,T$12="IW"),TRUE,FALSE)</formula>
    </cfRule>
  </conditionalFormatting>
  <conditionalFormatting sqref="C113:C120">
    <cfRule type="expression" dxfId="73" priority="1569">
      <formula>IF($B113=TRUE,TRUE,FALSE)</formula>
    </cfRule>
  </conditionalFormatting>
  <conditionalFormatting sqref="I113:I120">
    <cfRule type="expression" dxfId="72" priority="1570">
      <formula>IF($B113=TRUE,TRUE,FALSE)</formula>
    </cfRule>
  </conditionalFormatting>
  <conditionalFormatting sqref="I11:I12">
    <cfRule type="expression" dxfId="71" priority="1800">
      <formula>IF(OR(AND(Race="Human",$BF$5="•"),Race="Half-Elf"),TRUE,FALSE)</formula>
    </cfRule>
  </conditionalFormatting>
  <conditionalFormatting sqref="N11:N12">
    <cfRule type="expression" dxfId="70" priority="1801">
      <formula>IF(OR(AND(Race="Human",$BF$5="•"),Race="Half-Elf"),TRUE,FALSE)</formula>
    </cfRule>
  </conditionalFormatting>
  <dataValidations count="48">
    <dataValidation type="list" allowBlank="1" showInputMessage="1" showErrorMessage="1" sqref="K21">
      <formula1>SubraceList</formula1>
    </dataValidation>
    <dataValidation type="list" allowBlank="1" showInputMessage="1" showErrorMessage="1" sqref="AG137">
      <formula1>ShieldlList</formula1>
    </dataValidation>
    <dataValidation type="list" allowBlank="1" showInputMessage="1" showErrorMessage="1" sqref="Y138 AG138 CJ138 CB138 BT138 AV138 BD138 BL138">
      <formula1>MagicBonus</formula1>
    </dataValidation>
    <dataValidation type="list" allowBlank="1" showInputMessage="1" showErrorMessage="1" sqref="CJ137 CB137 BT137 BL137 BD137 AV137">
      <formula1>WeaponList</formula1>
    </dataValidation>
    <dataValidation type="list" allowBlank="1" showInputMessage="1" showErrorMessage="1" sqref="K55">
      <formula1>DeityList</formula1>
    </dataValidation>
    <dataValidation type="list" allowBlank="1" showInputMessage="1" showErrorMessage="1" sqref="AX16:AX31">
      <formula1>LanguageList</formula1>
    </dataValidation>
    <dataValidation type="list" allowBlank="1" showInputMessage="1" showErrorMessage="1" sqref="AJ57:AJ60">
      <formula1>FightingStyleList</formula1>
    </dataValidation>
    <dataValidation type="list" allowBlank="1" showInputMessage="1" showErrorMessage="1" sqref="C125 I113:I120 J114:O120">
      <formula1>FeatList</formula1>
    </dataValidation>
    <dataValidation type="list" allowBlank="1" showInputMessage="1" showErrorMessage="1" sqref="Y137:AE137">
      <formula1>ArmorList</formula1>
    </dataValidation>
    <dataValidation type="list" allowBlank="1" showInputMessage="1" showErrorMessage="1" sqref="C30:Y33">
      <formula1>CharacterBackgroundPersonalityTraitList</formula1>
    </dataValidation>
    <dataValidation type="list" allowBlank="1" showInputMessage="1" showErrorMessage="1" sqref="C35:Y36">
      <formula1>CharacterBackgroundIdealList</formula1>
    </dataValidation>
    <dataValidation type="list" allowBlank="1" showInputMessage="1" showErrorMessage="1" sqref="C38:Y39">
      <formula1>CharacterBackgroundBondList</formula1>
    </dataValidation>
    <dataValidation type="list" allowBlank="1" showInputMessage="1" showErrorMessage="1" sqref="C41:Y42">
      <formula1>CharacterBackgroundFlawList</formula1>
    </dataValidation>
    <dataValidation type="list" allowBlank="1" showInputMessage="1" showErrorMessage="1" sqref="C28">
      <formula1>CharacterBackgroundSpecialtyList</formula1>
    </dataValidation>
    <dataValidation type="list" allowBlank="1" showInputMessage="1" showErrorMessage="1" sqref="AX59:BF73">
      <formula1>ToolList</formula1>
    </dataValidation>
    <dataValidation type="whole" allowBlank="1" showInputMessage="1" showErrorMessage="1" sqref="AY89">
      <formula1>0</formula1>
      <formula2>10</formula2>
    </dataValidation>
    <dataValidation type="list" allowBlank="1" showInputMessage="1" showErrorMessage="1" sqref="N11:N12">
      <formula1>AbilityScores</formula1>
    </dataValidation>
    <dataValidation type="list" allowBlank="1" showInputMessage="1" showErrorMessage="1" sqref="AJ63:AR66">
      <formula1>RogueExpertiseList</formula1>
    </dataValidation>
    <dataValidation type="list" allowBlank="1" showInputMessage="1" showErrorMessage="1" sqref="AV140:BB140 BD140:BJ140 BL140:BR140 BT140:BZ140 CB140:CH140 CJ140:CP140 Y168:AE168">
      <formula1>AmmunitionBonus</formula1>
    </dataValidation>
    <dataValidation type="list" allowBlank="1" showInputMessage="1" showErrorMessage="1" sqref="AJ74:AR75">
      <formula1>ClericKnowledgeSkillList</formula1>
    </dataValidation>
    <dataValidation type="whole" allowBlank="1" showInputMessage="1" showErrorMessage="1" errorTitle="Exceeded" error="Choose from maximum remaining" sqref="E98 AX91">
      <formula1>0</formula1>
      <formula2>H91</formula2>
    </dataValidation>
    <dataValidation type="whole" errorStyle="warning" allowBlank="1" showInputMessage="1" showErrorMessage="1" errorTitle="Exceeded Maxmium" error="Maximum trained languages equals your Intelligence modifier" sqref="AY47">
      <formula1>0</formula1>
      <formula2>INTMod</formula2>
    </dataValidation>
    <dataValidation type="list" allowBlank="1" showInputMessage="1" showErrorMessage="1" errorTitle="Class" error="Select a valid Class from the Class list" sqref="AF20:AI39">
      <formula1>ClassList</formula1>
    </dataValidation>
    <dataValidation type="list" allowBlank="1" showInputMessage="1" showErrorMessage="1" errorTitle="Background" error="Select a valid Background from Background list" sqref="K25:Y25">
      <formula1>CharacterBackgroundList</formula1>
    </dataValidation>
    <dataValidation type="list" allowBlank="1" showInputMessage="1" showErrorMessage="1" errorTitle="Race" error="Select a valid Race from the Race list" sqref="K20:Y20">
      <formula1>RaceList</formula1>
    </dataValidation>
    <dataValidation type="list" allowBlank="1" showInputMessage="1" showErrorMessage="1" errorTitle="Gender" error="Select a valid Gender from the Gender list" sqref="K43:Y43">
      <formula1>GenderList</formula1>
    </dataValidation>
    <dataValidation type="list" allowBlank="1" showInputMessage="1" showErrorMessage="1" errorTitle="Alignment" error="Select a valid Alignment from the Alignment list" sqref="K52:Y52">
      <formula1>AlignmentList</formula1>
    </dataValidation>
    <dataValidation type="list" allowBlank="1" showInputMessage="1" showErrorMessage="1" sqref="AJ91:AR94">
      <formula1>MonkElementalDisciplinesList</formula1>
    </dataValidation>
    <dataValidation type="list" allowBlank="1" showInputMessage="1" showErrorMessage="1" sqref="AJ49">
      <formula1>SubClass1List</formula1>
    </dataValidation>
    <dataValidation type="list" allowBlank="1" showInputMessage="1" showErrorMessage="1" sqref="AJ50">
      <formula1>SubClass2List</formula1>
    </dataValidation>
    <dataValidation type="list" allowBlank="1" showInputMessage="1" showErrorMessage="1" sqref="AJ51">
      <formula1>SubClass3List</formula1>
    </dataValidation>
    <dataValidation type="list" allowBlank="1" showInputMessage="1" showErrorMessage="1" sqref="AJ52">
      <formula1>DruidLandOriginList</formula1>
    </dataValidation>
    <dataValidation type="list" allowBlank="1" showInputMessage="1" showErrorMessage="1" sqref="AJ69:AR71">
      <formula1>BarbarianTotemSpiritList</formula1>
    </dataValidation>
    <dataValidation type="list" allowBlank="1" showInputMessage="1" showErrorMessage="1" sqref="AJ97:AJ99">
      <formula1>RangerFavoredEnemyList</formula1>
    </dataValidation>
    <dataValidation type="list" allowBlank="1" showInputMessage="1" showErrorMessage="1" sqref="AO97:AR99">
      <formula1>RangerFavoredEnemyHumanoidList</formula1>
    </dataValidation>
    <dataValidation type="list" allowBlank="1" showInputMessage="1" showErrorMessage="1" sqref="AJ102:AR104">
      <formula1>RangerNaturalExplorerList</formula1>
    </dataValidation>
    <dataValidation type="list" allowBlank="1" showInputMessage="1" showErrorMessage="1" sqref="AJ107:AR107">
      <formula1>RangerHunterPreyList</formula1>
    </dataValidation>
    <dataValidation type="list" allowBlank="1" showInputMessage="1" showErrorMessage="1" sqref="AJ108:AR108">
      <formula1>RangerHunterDefensiveTacticsList</formula1>
    </dataValidation>
    <dataValidation type="list" allowBlank="1" showInputMessage="1" showErrorMessage="1" sqref="AJ109:AR109">
      <formula1>RangerHunterMultiattackList</formula1>
    </dataValidation>
    <dataValidation type="list" allowBlank="1" showInputMessage="1" showErrorMessage="1" sqref="AJ110:AR110">
      <formula1>RangerHunterSuperiorDefenseList</formula1>
    </dataValidation>
    <dataValidation type="list" allowBlank="1" showInputMessage="1" showErrorMessage="1" sqref="AJ53">
      <formula1>RaceDraconicAncestryList</formula1>
    </dataValidation>
    <dataValidation type="whole" allowBlank="1" showInputMessage="1" showErrorMessage="1" sqref="AN20:AP20">
      <formula1>1</formula1>
      <formula2>AK20</formula2>
    </dataValidation>
    <dataValidation type="whole" allowBlank="1" showInputMessage="1" showErrorMessage="1" errorTitle="Dice Roll" error="Enter valid die roll" sqref="AN21:AP39">
      <formula1>1</formula1>
      <formula2>AK21</formula2>
    </dataValidation>
    <dataValidation type="list" allowBlank="1" showInputMessage="1" showErrorMessage="1" sqref="AJ54:AR54">
      <formula1>WarlockPactBoonList</formula1>
    </dataValidation>
    <dataValidation type="list" allowBlank="1" showInputMessage="1" showErrorMessage="1" sqref="AJ113:AJ120">
      <formula1>WarlockInvocationsList</formula1>
    </dataValidation>
    <dataValidation type="list" allowBlank="1" showInputMessage="1" showErrorMessage="1" sqref="AV160:BB160 AG157:AM157 BD160:BJ160 BL160:BR160 BT160:BZ160 CB160:CH160 Y157:AE157 CJ160:CP160">
      <formula1>ProficiencyList</formula1>
    </dataValidation>
    <dataValidation type="list" allowBlank="1" showInputMessage="1" showErrorMessage="1" sqref="AJ78:AR88">
      <formula1>FighterBattleMasterManeuversList</formula1>
    </dataValidation>
    <dataValidation type="list" allowBlank="1" showInputMessage="1" showErrorMessage="1" sqref="L65:L73 BF4:BF5 X65:X73">
      <formula1>"•"</formula1>
    </dataValidation>
  </dataValidations>
  <printOptions horizontalCentered="1"/>
  <pageMargins left="0.19685039370078741" right="0.19685039370078741" top="0.19685039370078741" bottom="0.19685039370078741" header="0" footer="0"/>
  <pageSetup scale="37" orientation="portrait" r:id="rId1"/>
  <extLst>
    <ext xmlns:x14="http://schemas.microsoft.com/office/spreadsheetml/2009/9/main" uri="{78C0D931-6437-407d-A8EE-F0AAD7539E65}">
      <x14:conditionalFormattings>
        <x14:conditionalFormatting xmlns:xm="http://schemas.microsoft.com/office/excel/2006/main">
          <x14:cfRule type="expression" priority="63" id="{307476CA-9A4B-4C92-B2DE-A7DFBE8EE605}">
            <xm:f>IF(Tables!$AA$4="",FALSE,TRUE)</xm:f>
            <x14:dxf>
              <font>
                <color theme="1"/>
              </font>
              <fill>
                <patternFill>
                  <bgColor rgb="FFFFFFCC"/>
                </patternFill>
              </fill>
            </x14:dxf>
          </x14:cfRule>
          <xm:sqref>K21:Y21</xm:sqref>
        </x14:conditionalFormatting>
        <x14:conditionalFormatting xmlns:xm="http://schemas.microsoft.com/office/excel/2006/main">
          <x14:cfRule type="expression" priority="62" id="{1982EE92-FF5E-4B6B-BB00-D7472F5E9996}">
            <xm:f>IF(Tables!$AA$4="",FALSE,TRUE)</xm:f>
            <x14:dxf>
              <font>
                <color theme="1"/>
              </font>
            </x14:dxf>
          </x14:cfRule>
          <xm:sqref>C21</xm:sqref>
        </x14:conditionalFormatting>
        <x14:conditionalFormatting xmlns:xm="http://schemas.microsoft.com/office/excel/2006/main">
          <x14:cfRule type="expression" priority="67" id="{55EE9A5B-BA29-47EC-8CF3-09EF6CC79580}">
            <xm:f>IF(Tables!$FS3="",FALSE,TRUE)</xm:f>
            <x14:dxf>
              <font>
                <color theme="1"/>
              </font>
            </x14:dxf>
          </x14:cfRule>
          <xm:sqref>AC63:AI66</xm:sqref>
        </x14:conditionalFormatting>
        <x14:conditionalFormatting xmlns:xm="http://schemas.microsoft.com/office/excel/2006/main">
          <x14:cfRule type="expression" priority="66" id="{4C2F6A10-B692-46EA-8923-84292BF90B82}">
            <xm:f>IF(Tables!$FS3="",FALSE,TRUE)</xm:f>
            <x14:dxf>
              <font>
                <color theme="1"/>
              </font>
              <fill>
                <patternFill>
                  <bgColor rgb="FFFFFFCC"/>
                </patternFill>
              </fill>
            </x14:dxf>
          </x14:cfRule>
          <xm:sqref>AJ63:AR66</xm:sqref>
        </x14:conditionalFormatting>
        <x14:conditionalFormatting xmlns:xm="http://schemas.microsoft.com/office/excel/2006/main">
          <x14:cfRule type="expression" priority="602" id="{BCFFBA66-707C-467D-B05D-F771A8F14ECB}">
            <xm:f>IF(Tables!HG4="",FALSE,TRUE)</xm:f>
            <x14:dxf>
              <font>
                <color theme="1"/>
              </font>
            </x14:dxf>
          </x14:cfRule>
          <xm:sqref>AC69:AE71</xm:sqref>
        </x14:conditionalFormatting>
        <x14:conditionalFormatting xmlns:xm="http://schemas.microsoft.com/office/excel/2006/main">
          <x14:cfRule type="expression" priority="637" id="{30D19F04-5D3A-45F0-AA56-47339523F8E7}">
            <xm:f>IF(Tables!HG4="",FALSE,TRUE)</xm:f>
            <x14:dxf>
              <font>
                <color theme="1"/>
              </font>
              <fill>
                <patternFill>
                  <bgColor rgb="FFFFFFCC"/>
                </patternFill>
              </fill>
            </x14:dxf>
          </x14:cfRule>
          <xm:sqref>AJ69:AR71</xm:sqref>
        </x14:conditionalFormatting>
        <x14:conditionalFormatting xmlns:xm="http://schemas.microsoft.com/office/excel/2006/main">
          <x14:cfRule type="expression" priority="34" id="{90DCE273-E873-4175-81EF-190EC6D81F66}">
            <xm:f>IF(Tables!HN4="",FALSE,TRUE)</xm:f>
            <x14:dxf>
              <font>
                <color theme="1"/>
              </font>
            </x14:dxf>
          </x14:cfRule>
          <xm:sqref>AC97:AI99</xm:sqref>
        </x14:conditionalFormatting>
        <x14:conditionalFormatting xmlns:xm="http://schemas.microsoft.com/office/excel/2006/main">
          <x14:cfRule type="expression" priority="33" id="{8AC6E1A0-D60F-4C35-BA4F-4FF94532DC1A}">
            <xm:f>IF(Tables!HN4="",FALSE,TRUE)</xm:f>
            <x14:dxf>
              <font>
                <color theme="1"/>
              </font>
              <fill>
                <patternFill>
                  <bgColor rgb="FFFFFFCC"/>
                </patternFill>
              </fill>
            </x14:dxf>
          </x14:cfRule>
          <xm:sqref>AJ97:AN99</xm:sqref>
        </x14:conditionalFormatting>
        <x14:conditionalFormatting xmlns:xm="http://schemas.microsoft.com/office/excel/2006/main">
          <x14:cfRule type="expression" priority="32" id="{87C9FA9E-970B-4B0A-9C41-4CAA2763D09D}">
            <xm:f>IF(Tables!HQ4="humanoid",TRUE,FALSE)</xm:f>
            <x14:dxf>
              <font>
                <color theme="1"/>
              </font>
              <fill>
                <patternFill>
                  <bgColor rgb="FFFFFFCC"/>
                </patternFill>
              </fill>
            </x14:dxf>
          </x14:cfRule>
          <xm:sqref>AO97:AP99</xm:sqref>
        </x14:conditionalFormatting>
        <x14:conditionalFormatting xmlns:xm="http://schemas.microsoft.com/office/excel/2006/main">
          <x14:cfRule type="expression" priority="660" id="{87C9FA9E-970B-4B0A-9C41-4CAA2763D09D}">
            <xm:f>IF(Tables!IV4="humanoid",TRUE,FALSE)</xm:f>
            <x14:dxf>
              <font>
                <color theme="1"/>
              </font>
              <fill>
                <patternFill>
                  <bgColor rgb="FFFFFFCC"/>
                </patternFill>
              </fill>
            </x14:dxf>
          </x14:cfRule>
          <xm:sqref>AQ97:AR99</xm:sqref>
        </x14:conditionalFormatting>
        <x14:conditionalFormatting xmlns:xm="http://schemas.microsoft.com/office/excel/2006/main">
          <x14:cfRule type="expression" priority="24" id="{A71B19CB-3CCB-421A-A5D9-EAE9BD18180D}">
            <xm:f>IF(Tables!HU4="",FALSE,TRUE)</xm:f>
            <x14:dxf>
              <font>
                <color theme="1"/>
              </font>
              <fill>
                <patternFill>
                  <bgColor rgb="FFFFFFCC"/>
                </patternFill>
              </fill>
            </x14:dxf>
          </x14:cfRule>
          <xm:sqref>AJ102:AR104</xm:sqref>
        </x14:conditionalFormatting>
        <x14:conditionalFormatting xmlns:xm="http://schemas.microsoft.com/office/excel/2006/main">
          <x14:cfRule type="expression" priority="773" id="{FD60A03B-37ED-40CC-8872-B23CD002B265}">
            <xm:f>IF(Tables!$HU4="",FALSE,TRUE)</xm:f>
            <x14:dxf>
              <font>
                <color theme="1"/>
              </font>
            </x14:dxf>
          </x14:cfRule>
          <xm:sqref>AC102:AI104</xm:sqref>
        </x14:conditionalFormatting>
        <x14:conditionalFormatting xmlns:xm="http://schemas.microsoft.com/office/excel/2006/main">
          <x14:cfRule type="expression" priority="23" id="{52222CBE-439F-4346-ACEF-F73C7D5EA2DA}">
            <xm:f>IF(Tables!$HY4="",FALSE,TRUE)</xm:f>
            <x14:dxf>
              <font>
                <color theme="1"/>
              </font>
            </x14:dxf>
          </x14:cfRule>
          <xm:sqref>AC107:AI110</xm:sqref>
        </x14:conditionalFormatting>
        <x14:conditionalFormatting xmlns:xm="http://schemas.microsoft.com/office/excel/2006/main">
          <x14:cfRule type="expression" priority="22" id="{8296BCDC-A0FA-43FE-9D03-3707C929A8FE}">
            <xm:f>IF(Tables!$HY4="",FALSE,TRUE)</xm:f>
            <x14:dxf>
              <font>
                <color theme="1"/>
              </font>
              <fill>
                <patternFill>
                  <bgColor rgb="FFFFFFCC"/>
                </patternFill>
              </fill>
            </x14:dxf>
          </x14:cfRule>
          <xm:sqref>AJ107:AR110</xm:sqref>
        </x14:conditionalFormatting>
        <x14:conditionalFormatting xmlns:xm="http://schemas.microsoft.com/office/excel/2006/main">
          <x14:cfRule type="expression" priority="775" id="{A0B4896F-1C44-4DDB-AFCF-2004F3B856D1}">
            <xm:f>IF(Tables!BS3=FALSE,FALSE,TRUE)</xm:f>
            <x14:dxf>
              <font>
                <color theme="1"/>
              </font>
            </x14:dxf>
          </x14:cfRule>
          <xm:sqref>AC49:AC51</xm:sqref>
        </x14:conditionalFormatting>
        <x14:conditionalFormatting xmlns:xm="http://schemas.microsoft.com/office/excel/2006/main">
          <x14:cfRule type="expression" priority="776" id="{0A581596-64E0-4371-A362-3BB12E0AD436}">
            <xm:f>IF(Tables!BS3=FALSE,FALSE,TRUE)</xm:f>
            <x14:dxf>
              <font>
                <color theme="1"/>
              </font>
              <fill>
                <patternFill>
                  <bgColor rgb="FFFFFFCC"/>
                </patternFill>
              </fill>
            </x14:dxf>
          </x14:cfRule>
          <xm:sqref>AJ49:AJ51</xm:sqref>
        </x14:conditionalFormatting>
        <x14:conditionalFormatting xmlns:xm="http://schemas.microsoft.com/office/excel/2006/main">
          <x14:cfRule type="expression" priority="809" id="{E0D29A1F-B54A-4C2E-848B-6C6C2C6FAEA9}">
            <xm:f>IF(Tables!$FZ2="",FALSE,TRUE)</xm:f>
            <x14:dxf>
              <font>
                <color theme="1"/>
              </font>
            </x14:dxf>
          </x14:cfRule>
          <xm:sqref>AC57:AI60</xm:sqref>
        </x14:conditionalFormatting>
        <x14:conditionalFormatting xmlns:xm="http://schemas.microsoft.com/office/excel/2006/main">
          <x14:cfRule type="expression" priority="810" id="{00AA3B35-6DAF-4835-86C7-91079A447A4D}">
            <xm:f>IF(Tables!$FZ2="",FALSE,TRUE)</xm:f>
            <x14:dxf>
              <font>
                <color theme="1"/>
              </font>
              <fill>
                <patternFill>
                  <bgColor rgb="FFFFFFCC"/>
                </patternFill>
              </fill>
            </x14:dxf>
          </x14:cfRule>
          <xm:sqref>AJ57:AR60</xm:sqref>
        </x14:conditionalFormatting>
        <x14:conditionalFormatting xmlns:xm="http://schemas.microsoft.com/office/excel/2006/main">
          <x14:cfRule type="expression" priority="7" id="{ED00C73C-E2FF-4910-8600-E6041ED29EF0}">
            <xm:f>IF(Tables!$IO4=TRUE,TRUE,FALSE)</xm:f>
            <x14:dxf>
              <font>
                <color theme="1"/>
              </font>
            </x14:dxf>
          </x14:cfRule>
          <xm:sqref>AC113:AI120</xm:sqref>
        </x14:conditionalFormatting>
        <x14:conditionalFormatting xmlns:xm="http://schemas.microsoft.com/office/excel/2006/main">
          <x14:cfRule type="expression" priority="6" id="{AF387944-82DD-4A1C-A301-940B7338A4C3}">
            <xm:f>IF(Tables!$IO4=TRUE,TRUE,FALSE)</xm:f>
            <x14:dxf>
              <font>
                <color theme="1"/>
              </font>
              <fill>
                <patternFill>
                  <bgColor rgb="FFFFFFCC"/>
                </patternFill>
              </fill>
            </x14:dxf>
          </x14:cfRule>
          <xm:sqref>AJ113:AR120</xm:sqref>
        </x14:conditionalFormatting>
        <x14:conditionalFormatting xmlns:xm="http://schemas.microsoft.com/office/excel/2006/main">
          <x14:cfRule type="expression" priority="1512" id="{9AD33BFD-D0D9-4013-8BFC-F417CB708220}">
            <xm:f>IF(Tables!GK3=TRUE,TRUE,FALSE)</xm:f>
            <x14:dxf>
              <font>
                <color theme="1"/>
              </font>
            </x14:dxf>
          </x14:cfRule>
          <xm:sqref>AF78:AI88</xm:sqref>
        </x14:conditionalFormatting>
        <x14:conditionalFormatting xmlns:xm="http://schemas.microsoft.com/office/excel/2006/main">
          <x14:cfRule type="expression" priority="1514" id="{06D9497A-61D0-4F2B-A65D-999CCB63A1B6}">
            <xm:f>IF(Tables!GK3=TRUE,TRUE,FALSE)</xm:f>
            <x14:dxf>
              <font>
                <color theme="1"/>
              </font>
              <fill>
                <patternFill>
                  <bgColor rgb="FFFFFFCC"/>
                </patternFill>
              </fill>
            </x14:dxf>
          </x14:cfRule>
          <xm:sqref>AM78:AR88</xm:sqref>
        </x14:conditionalFormatting>
        <x14:conditionalFormatting xmlns:xm="http://schemas.microsoft.com/office/excel/2006/main">
          <x14:cfRule type="expression" priority="1517" id="{FE2F1411-1D05-4104-A532-9C402712A986}">
            <xm:f>IF(Tables!GY4="",FALSE,TRUE)</xm:f>
            <x14:dxf>
              <font>
                <color auto="1"/>
              </font>
            </x14:dxf>
          </x14:cfRule>
          <xm:sqref>AC91:AD94</xm:sqref>
        </x14:conditionalFormatting>
        <x14:conditionalFormatting xmlns:xm="http://schemas.microsoft.com/office/excel/2006/main">
          <x14:cfRule type="expression" priority="1518" id="{B52C9302-9763-4B10-86B4-DD13B33D60C6}">
            <xm:f>IF(Tables!GY4="",FALSE,TRUE)</xm:f>
            <x14:dxf>
              <font>
                <color auto="1"/>
              </font>
              <fill>
                <patternFill>
                  <bgColor rgb="FFFFFFCC"/>
                </patternFill>
              </fill>
            </x14:dxf>
          </x14:cfRule>
          <xm:sqref>AJ91:AK94</xm:sqref>
        </x14:conditionalFormatting>
        <x14:conditionalFormatting xmlns:xm="http://schemas.microsoft.com/office/excel/2006/main">
          <x14:cfRule type="expression" priority="1589" id="{9AD33BFD-D0D9-4013-8BFC-F417CB708220}">
            <xm:f>IF(Tables!GF3=TRUE,TRUE,FALSE)</xm:f>
            <x14:dxf>
              <font>
                <color theme="1"/>
              </font>
            </x14:dxf>
          </x14:cfRule>
          <xm:sqref>AC78:AE88</xm:sqref>
        </x14:conditionalFormatting>
        <x14:conditionalFormatting xmlns:xm="http://schemas.microsoft.com/office/excel/2006/main">
          <x14:cfRule type="expression" priority="1590" id="{06D9497A-61D0-4F2B-A65D-999CCB63A1B6}">
            <xm:f>IF(Tables!GF3=TRUE,TRUE,FALSE)</xm:f>
            <x14:dxf>
              <font>
                <color theme="1"/>
              </font>
              <fill>
                <patternFill>
                  <bgColor rgb="FFFFFFCC"/>
                </patternFill>
              </fill>
            </x14:dxf>
          </x14:cfRule>
          <xm:sqref>AJ78:AL88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GD116"/>
  <sheetViews>
    <sheetView showGridLines="0" showRowColHeaders="0" zoomScale="140" zoomScaleNormal="140" zoomScaleSheetLayoutView="140" workbookViewId="0">
      <selection activeCell="AC11" sqref="AC11:AL11"/>
    </sheetView>
  </sheetViews>
  <sheetFormatPr defaultColWidth="2.28515625" defaultRowHeight="12" customHeight="1" x14ac:dyDescent="0.2"/>
  <cols>
    <col min="1" max="1" width="0.7109375" style="53" customWidth="1"/>
    <col min="2" max="2" width="2.28515625" style="53"/>
    <col min="3" max="3" width="2.28515625" style="53" customWidth="1"/>
    <col min="4" max="6" width="2.28515625" style="53"/>
    <col min="7" max="7" width="2.28515625" style="53" customWidth="1"/>
    <col min="8" max="8" width="2.28515625" style="53"/>
    <col min="9" max="11" width="2.28515625" style="53" customWidth="1"/>
    <col min="12" max="12" width="2.28515625" style="53"/>
    <col min="13" max="13" width="2.28515625" style="53" customWidth="1"/>
    <col min="14" max="14" width="2.28515625" style="53"/>
    <col min="15" max="19" width="2.28515625" style="53" customWidth="1"/>
    <col min="20" max="24" width="2.28515625" style="53"/>
    <col min="25" max="25" width="2.28515625" style="207"/>
    <col min="26" max="26" width="2.28515625" style="207" customWidth="1"/>
    <col min="27" max="28" width="2.28515625" style="111" customWidth="1"/>
    <col min="29" max="34" width="2.28515625" style="111"/>
    <col min="35" max="35" width="2.28515625" style="111" customWidth="1"/>
    <col min="36" max="36" width="2.28515625" style="111"/>
    <col min="37" max="37" width="2.28515625" style="111" customWidth="1"/>
    <col min="38" max="39" width="2.28515625" style="111"/>
    <col min="40" max="40" width="2.28515625" style="111" customWidth="1"/>
    <col min="41" max="47" width="2.28515625" style="111"/>
    <col min="48" max="48" width="2.28515625" style="111" customWidth="1"/>
    <col min="49" max="49" width="2.28515625" style="111"/>
    <col min="50" max="50" width="2.28515625" style="111" customWidth="1"/>
    <col min="51" max="53" width="2.28515625" style="111"/>
    <col min="54" max="54" width="2.28515625" style="111" customWidth="1"/>
    <col min="55" max="67" width="2.28515625" style="111"/>
    <col min="68" max="68" width="2.28515625" style="111" customWidth="1"/>
    <col min="69" max="81" width="2.28515625" style="53"/>
    <col min="82" max="82" width="2.28515625" style="53" customWidth="1"/>
    <col min="83" max="16384" width="2.28515625" style="53"/>
  </cols>
  <sheetData>
    <row r="1" spans="2:95" ht="3.75" customHeight="1" x14ac:dyDescent="0.2"/>
    <row r="2" spans="2:95" ht="12" customHeight="1" x14ac:dyDescent="0.2">
      <c r="B2" s="417" t="s">
        <v>329</v>
      </c>
      <c r="C2" s="418"/>
      <c r="D2" s="418"/>
      <c r="E2" s="418"/>
      <c r="F2" s="418"/>
      <c r="G2" s="418"/>
      <c r="H2" s="418"/>
      <c r="I2" s="418"/>
      <c r="J2" s="418"/>
      <c r="K2" s="418"/>
      <c r="L2" s="418"/>
      <c r="M2" s="418"/>
      <c r="N2" s="418"/>
      <c r="O2" s="189"/>
      <c r="P2" s="189"/>
      <c r="Q2" s="189"/>
      <c r="R2" s="189"/>
      <c r="S2" s="189"/>
      <c r="T2" s="189"/>
      <c r="U2" s="189"/>
      <c r="V2" s="189"/>
      <c r="W2" s="190"/>
      <c r="X2" s="54"/>
      <c r="Y2" s="156" t="s">
        <v>1871</v>
      </c>
      <c r="Z2" s="208"/>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90"/>
    </row>
    <row r="3" spans="2:95" ht="12" customHeight="1" x14ac:dyDescent="0.25">
      <c r="B3" s="419"/>
      <c r="C3" s="154"/>
      <c r="D3" s="154"/>
      <c r="E3" s="154"/>
      <c r="F3" s="154"/>
      <c r="G3" s="154"/>
      <c r="H3" s="154"/>
      <c r="I3" s="154"/>
      <c r="J3" s="154"/>
      <c r="K3" s="154"/>
      <c r="L3" s="154"/>
      <c r="M3" s="154"/>
      <c r="N3" s="154"/>
      <c r="O3" s="132"/>
      <c r="P3" s="132"/>
      <c r="Q3" s="132"/>
      <c r="R3" s="132"/>
      <c r="S3" s="132"/>
      <c r="T3" s="132"/>
      <c r="U3" s="54"/>
      <c r="V3" s="54"/>
      <c r="W3" s="191"/>
      <c r="X3" s="54"/>
      <c r="Y3" s="531"/>
      <c r="Z3" s="529"/>
      <c r="AA3" s="377"/>
      <c r="AB3" s="377"/>
      <c r="AC3" s="377"/>
      <c r="AD3" s="377"/>
      <c r="AE3" s="377"/>
      <c r="AF3" s="377"/>
      <c r="AG3" s="377"/>
      <c r="AH3" s="377"/>
      <c r="AI3" s="377"/>
      <c r="AJ3" s="377"/>
      <c r="AK3" s="377"/>
      <c r="AL3" s="377"/>
      <c r="AM3" s="377"/>
      <c r="AN3" s="377"/>
      <c r="AO3" s="377"/>
      <c r="AP3" s="377"/>
      <c r="AQ3" s="377"/>
      <c r="AR3" s="377"/>
      <c r="AS3" s="377"/>
      <c r="AT3" s="332" t="s">
        <v>1873</v>
      </c>
      <c r="AU3" s="749">
        <f ca="1">COUNTIF(AO6:AP25,"•")+COUNTIF(BC6:BD25,"•")+COUNTIF(BQ6:BR25,"•")+COUNTIF(CE6:CF25,"•")+COUNTIF(Spellcasting!AA33:AB47,"•")+COUNTIF(Spellcasting!AO33:AP44,"•")+COUNTIF(Spellcasting!BC33:BD44,"•")+COUNTIF(Spellcasting!BQ33:BR42,"•")+COUNTIF(Spellcasting!CE33:CF42,"•")-IF(BardLoreLevel&gt;=6,2,0)-BA27-BO27-CC27-CQ27-AM49</f>
        <v>0</v>
      </c>
      <c r="AV3" s="260" t="s">
        <v>1833</v>
      </c>
      <c r="AW3" s="749">
        <f ca="1">SUM(G6:G8)</f>
        <v>0</v>
      </c>
      <c r="AX3" s="377"/>
      <c r="AY3" s="377" t="s">
        <v>2697</v>
      </c>
      <c r="AZ3" s="377"/>
      <c r="BA3" s="114"/>
      <c r="BB3" s="377"/>
      <c r="BC3" s="114"/>
      <c r="BD3" s="114"/>
      <c r="BE3" s="114"/>
      <c r="BF3" s="114"/>
      <c r="BG3" s="114"/>
      <c r="BH3" s="114"/>
      <c r="BI3" s="114"/>
      <c r="BJ3" s="114"/>
      <c r="BK3" s="114"/>
      <c r="BL3" s="114"/>
      <c r="BM3" s="114"/>
      <c r="BN3" s="114"/>
      <c r="BO3" s="114"/>
      <c r="BP3" s="11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498" t="str">
        <f ca="1">IF(ClericLevel&gt;=1,"ᵈ DOMAIN SPELL   ","")&amp;IF(PaladinLevel&gt;=2,"ᵒ OATH SPELL   ","")&amp;IF(DruidLandLevel&gt;=3,"ᶜ CIRCLE SPELL","")</f>
        <v/>
      </c>
      <c r="CQ3" s="191"/>
    </row>
    <row r="4" spans="2:95" ht="12" customHeight="1" x14ac:dyDescent="0.25">
      <c r="B4" s="153"/>
      <c r="C4" s="500" t="s">
        <v>327</v>
      </c>
      <c r="D4" s="500"/>
      <c r="E4" s="500"/>
      <c r="F4" s="500"/>
      <c r="G4" s="500"/>
      <c r="H4" s="500"/>
      <c r="I4" s="500"/>
      <c r="J4" s="916" t="str">
        <f ca="1">IF(Tables!JX3=0,"-",Tables!JX3)</f>
        <v>-</v>
      </c>
      <c r="K4" s="916"/>
      <c r="L4" s="528" t="s">
        <v>3284</v>
      </c>
      <c r="M4" s="264"/>
      <c r="N4" s="264"/>
      <c r="O4" s="325"/>
      <c r="R4" s="913" t="str">
        <f>IF(WarlockLevel=0,"-",WarlockLevel)</f>
        <v>-</v>
      </c>
      <c r="S4" s="913"/>
      <c r="T4" s="264"/>
      <c r="U4" s="263"/>
      <c r="V4" s="263"/>
      <c r="W4" s="501"/>
      <c r="X4" s="54"/>
      <c r="Y4" s="531"/>
      <c r="Z4" s="260"/>
      <c r="AA4" s="260"/>
      <c r="AB4" s="260"/>
      <c r="AC4" s="260"/>
      <c r="AD4" s="260"/>
      <c r="AE4" s="260"/>
      <c r="AF4" s="260"/>
      <c r="AG4" s="260"/>
      <c r="AH4" s="260"/>
      <c r="AI4" s="260"/>
      <c r="AJ4" s="377"/>
      <c r="AK4" s="377"/>
      <c r="AL4" s="377"/>
      <c r="AM4" s="377"/>
      <c r="AN4" s="377"/>
      <c r="AO4" s="750"/>
      <c r="AP4" s="750"/>
      <c r="AQ4" s="750"/>
      <c r="AR4" s="750"/>
      <c r="AS4" s="750"/>
      <c r="AT4" s="750"/>
      <c r="AU4" s="750"/>
      <c r="AV4" s="750"/>
      <c r="AW4" s="750"/>
      <c r="AX4" s="750"/>
      <c r="AY4" s="377"/>
      <c r="AZ4" s="377"/>
      <c r="BA4" s="114"/>
      <c r="BB4" s="114"/>
      <c r="BC4" s="114"/>
      <c r="BD4" s="114"/>
      <c r="BE4" s="114"/>
      <c r="BF4" s="114"/>
      <c r="BG4" s="114"/>
      <c r="BH4" s="114"/>
      <c r="BI4" s="114"/>
      <c r="BJ4" s="114"/>
      <c r="BK4" s="114"/>
      <c r="BL4" s="114"/>
      <c r="BM4" s="114"/>
      <c r="BN4" s="114"/>
      <c r="BO4" s="114"/>
      <c r="BP4" s="11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191"/>
    </row>
    <row r="5" spans="2:95" ht="12" customHeight="1" thickBot="1" x14ac:dyDescent="0.3">
      <c r="B5" s="153"/>
      <c r="C5" s="502" t="s">
        <v>1871</v>
      </c>
      <c r="D5" s="500"/>
      <c r="E5" s="500"/>
      <c r="F5" s="500"/>
      <c r="G5" s="500"/>
      <c r="H5" s="500"/>
      <c r="I5" s="500"/>
      <c r="J5" s="264"/>
      <c r="K5" s="503"/>
      <c r="L5" s="504"/>
      <c r="M5" s="504"/>
      <c r="N5" s="504"/>
      <c r="O5" s="504"/>
      <c r="P5" s="504"/>
      <c r="Q5" s="504"/>
      <c r="R5" s="412" t="str">
        <f ca="1">R6&amp;R7&amp;R8</f>
        <v/>
      </c>
      <c r="S5" s="505"/>
      <c r="V5" s="506"/>
      <c r="W5" s="501"/>
      <c r="X5" s="54"/>
      <c r="Y5" s="193"/>
      <c r="Z5" s="54"/>
      <c r="AA5" s="114"/>
      <c r="AB5" s="186"/>
      <c r="AC5" s="924" t="str">
        <f ca="1">IF(CasterLevel&gt;0,"CANTRIPS KNOWN","")</f>
        <v>CANTRIPS KNOWN</v>
      </c>
      <c r="AD5" s="924"/>
      <c r="AE5" s="924"/>
      <c r="AF5" s="924"/>
      <c r="AG5" s="924"/>
      <c r="AH5" s="924"/>
      <c r="AI5" s="591">
        <f ca="1">IF(CasterLevel&gt;0,COUNTIF(AC6:AL15,"&lt;&gt;"),"")</f>
        <v>0</v>
      </c>
      <c r="AJ5" s="591" t="s">
        <v>1833</v>
      </c>
      <c r="AK5" s="591">
        <f ca="1">IF(CasterLevel&lt;&gt;"",Tables!JX13+IF(OR(Subrace="High",Subrace="Forest",Race="Tiefling",Race="Aasimar"),1,0)+IF(ClericLightLevel&gt;0,1,0)+IF(ClericNatureLevel&gt;0,1,0)+IF(DruidLandLevel&gt;=2,1,0),0)</f>
        <v>0</v>
      </c>
      <c r="AL5" s="335"/>
      <c r="AM5" s="450"/>
      <c r="AN5" s="334"/>
      <c r="AO5" s="928" t="s">
        <v>455</v>
      </c>
      <c r="AP5" s="928"/>
      <c r="AQ5" s="777" t="s">
        <v>448</v>
      </c>
      <c r="AR5" s="777"/>
      <c r="AS5" s="777"/>
      <c r="AT5" s="777"/>
      <c r="AU5" s="777"/>
      <c r="AV5" s="777"/>
      <c r="AW5" s="777"/>
      <c r="AX5" s="777"/>
      <c r="AY5" s="777"/>
      <c r="AZ5" s="777"/>
      <c r="BA5" s="335"/>
      <c r="BB5" s="335"/>
      <c r="BC5" s="928" t="s">
        <v>455</v>
      </c>
      <c r="BD5" s="928"/>
      <c r="BE5" s="777" t="s">
        <v>459</v>
      </c>
      <c r="BF5" s="777"/>
      <c r="BG5" s="777"/>
      <c r="BH5" s="777"/>
      <c r="BI5" s="777"/>
      <c r="BJ5" s="777"/>
      <c r="BK5" s="777"/>
      <c r="BL5" s="777"/>
      <c r="BM5" s="777"/>
      <c r="BN5" s="777"/>
      <c r="BO5" s="335"/>
      <c r="BP5" s="335"/>
      <c r="BQ5" s="928" t="s">
        <v>455</v>
      </c>
      <c r="BR5" s="928"/>
      <c r="BS5" s="777" t="s">
        <v>460</v>
      </c>
      <c r="BT5" s="777"/>
      <c r="BU5" s="777"/>
      <c r="BV5" s="777"/>
      <c r="BW5" s="777"/>
      <c r="BX5" s="777"/>
      <c r="BY5" s="777"/>
      <c r="BZ5" s="777"/>
      <c r="CA5" s="777"/>
      <c r="CB5" s="777"/>
      <c r="CC5" s="335"/>
      <c r="CD5" s="335"/>
      <c r="CE5" s="928" t="s">
        <v>455</v>
      </c>
      <c r="CF5" s="928"/>
      <c r="CG5" s="777" t="s">
        <v>461</v>
      </c>
      <c r="CH5" s="777"/>
      <c r="CI5" s="777"/>
      <c r="CJ5" s="777"/>
      <c r="CK5" s="777"/>
      <c r="CL5" s="777"/>
      <c r="CM5" s="777"/>
      <c r="CN5" s="777"/>
      <c r="CO5" s="777"/>
      <c r="CP5" s="777"/>
      <c r="CQ5" s="191"/>
    </row>
    <row r="6" spans="2:95" ht="12" customHeight="1" thickTop="1" thickBot="1" x14ac:dyDescent="0.3">
      <c r="B6" s="193"/>
      <c r="D6" s="921" t="str">
        <f ca="1">SpellcasterClass1</f>
        <v/>
      </c>
      <c r="E6" s="921"/>
      <c r="F6" s="921"/>
      <c r="G6" s="576" t="str">
        <f ca="1">IF(OR($D6="",CasterLevel=""),"",VLOOKUP($D6,Tables!$JY$3:$KB$22,4,FALSE))</f>
        <v/>
      </c>
      <c r="H6" s="961" t="str">
        <f ca="1">IF(OR($D6="",CasterLevel=""),"",VLOOKUP($D6,Tables!$JY$3:$KB$22,3,FALSE))</f>
        <v/>
      </c>
      <c r="I6" s="961"/>
      <c r="J6" s="961"/>
      <c r="K6" s="507"/>
      <c r="L6" s="508"/>
      <c r="M6" s="508"/>
      <c r="N6" s="508"/>
      <c r="O6" s="507"/>
      <c r="P6" s="507"/>
      <c r="Q6" s="508"/>
      <c r="R6" s="509" t="str">
        <f ca="1">IF(D6="","",IF(COUNTIF($D$5:$D5,"&gt;&lt;""")&gt;0," / "&amp;G6,G6))</f>
        <v/>
      </c>
      <c r="S6" s="510"/>
      <c r="T6" s="510"/>
      <c r="U6" s="506"/>
      <c r="V6" s="506"/>
      <c r="W6" s="501"/>
      <c r="X6" s="54"/>
      <c r="Y6" s="965" t="str">
        <f>IF(Race="Tiefling","Tiefling",IF(Race="Aasimar","Aasimar",IF(Subrace="High","High Elf",IF(Subrace="Forest","Forest Gnome",""))))</f>
        <v/>
      </c>
      <c r="Z6" s="966"/>
      <c r="AA6" s="966"/>
      <c r="AB6" s="306">
        <v>1</v>
      </c>
      <c r="AC6" s="925"/>
      <c r="AD6" s="926"/>
      <c r="AE6" s="926"/>
      <c r="AF6" s="926"/>
      <c r="AG6" s="926"/>
      <c r="AH6" s="926"/>
      <c r="AI6" s="926"/>
      <c r="AJ6" s="926"/>
      <c r="AK6" s="926"/>
      <c r="AL6" s="927"/>
      <c r="AM6" s="347"/>
      <c r="AN6" s="316">
        <v>1</v>
      </c>
      <c r="AO6" s="835"/>
      <c r="AP6" s="836"/>
      <c r="AQ6" s="893" t="s">
        <v>324</v>
      </c>
      <c r="AR6" s="893"/>
      <c r="AS6" s="893"/>
      <c r="AT6" s="893"/>
      <c r="AU6" s="893"/>
      <c r="AV6" s="893"/>
      <c r="AW6" s="893"/>
      <c r="AX6" s="893"/>
      <c r="AY6" s="893"/>
      <c r="AZ6" s="893"/>
      <c r="BA6" s="460" t="str">
        <f>IF(ISERROR(VLOOKUP(AQ6,Tables!$TK:$UB,Tables!$TP$1,FALSE)),"",VLOOKUP(AQ6,Tables!$TK:$UB,Tables!$TP$1,FALSE))</f>
        <v/>
      </c>
      <c r="BB6" s="316">
        <v>1</v>
      </c>
      <c r="BC6" s="835"/>
      <c r="BD6" s="836"/>
      <c r="BE6" s="893"/>
      <c r="BF6" s="893"/>
      <c r="BG6" s="893"/>
      <c r="BH6" s="893"/>
      <c r="BI6" s="893"/>
      <c r="BJ6" s="893"/>
      <c r="BK6" s="893"/>
      <c r="BL6" s="893"/>
      <c r="BM6" s="893"/>
      <c r="BN6" s="893"/>
      <c r="BO6" s="460" t="str">
        <f>IF(ISERROR(VLOOKUP(BE6,Tables!$TK:$UB,Tables!$TP$1,FALSE)),"",VLOOKUP(BE6,Tables!$TK:$UB,Tables!$TP$1,FALSE))</f>
        <v/>
      </c>
      <c r="BP6" s="316">
        <v>1</v>
      </c>
      <c r="BQ6" s="835"/>
      <c r="BR6" s="836"/>
      <c r="BS6" s="893"/>
      <c r="BT6" s="893"/>
      <c r="BU6" s="893"/>
      <c r="BV6" s="893"/>
      <c r="BW6" s="893"/>
      <c r="BX6" s="893"/>
      <c r="BY6" s="893"/>
      <c r="BZ6" s="893"/>
      <c r="CA6" s="893"/>
      <c r="CB6" s="893"/>
      <c r="CC6" s="460" t="str">
        <f>IF(ISERROR(VLOOKUP(BS6,Tables!$TK:$UB,Tables!$TP$1,FALSE)),"",VLOOKUP(BS6,Tables!$TK:$UB,Tables!$TP$1,FALSE))</f>
        <v/>
      </c>
      <c r="CD6" s="316">
        <v>1</v>
      </c>
      <c r="CE6" s="835"/>
      <c r="CF6" s="836"/>
      <c r="CG6" s="893"/>
      <c r="CH6" s="893"/>
      <c r="CI6" s="893"/>
      <c r="CJ6" s="893"/>
      <c r="CK6" s="893"/>
      <c r="CL6" s="893"/>
      <c r="CM6" s="893"/>
      <c r="CN6" s="893"/>
      <c r="CO6" s="893"/>
      <c r="CP6" s="893"/>
      <c r="CQ6" s="351" t="str">
        <f>IF(ISERROR(VLOOKUP(CG6,Tables!$TK:$UB,Tables!$TP$1,FALSE)),"",VLOOKUP(CG6,Tables!$TK:$UB,Tables!$TP$1,FALSE))</f>
        <v/>
      </c>
    </row>
    <row r="7" spans="2:95" ht="12" customHeight="1" thickTop="1" thickBot="1" x14ac:dyDescent="0.3">
      <c r="B7" s="193"/>
      <c r="D7" s="921" t="str">
        <f ca="1">SpellcasterClass2</f>
        <v/>
      </c>
      <c r="E7" s="921"/>
      <c r="F7" s="921"/>
      <c r="G7" s="576" t="str">
        <f ca="1">IF(OR($D7="",CasterLevel=""),"",VLOOKUP($D7,Tables!$JY$3:$KB$22,4,FALSE))</f>
        <v/>
      </c>
      <c r="H7" s="961" t="str">
        <f ca="1">IF(OR($D7="",CasterLevel=""),"",VLOOKUP($D7,Tables!$JY$3:$KB$22,3,FALSE))</f>
        <v/>
      </c>
      <c r="I7" s="961"/>
      <c r="J7" s="961"/>
      <c r="K7" s="507"/>
      <c r="L7" s="508"/>
      <c r="M7" s="508"/>
      <c r="N7" s="508"/>
      <c r="O7" s="507"/>
      <c r="P7" s="507"/>
      <c r="Q7" s="508"/>
      <c r="R7" s="509" t="str">
        <f ca="1">IF(D7="","",IF(COUNTIF($D$5:$D6,"&gt;&lt;""")&gt;0," / "&amp;G7,G7))</f>
        <v/>
      </c>
      <c r="S7" s="510"/>
      <c r="T7" s="510"/>
      <c r="U7" s="506"/>
      <c r="V7" s="506"/>
      <c r="W7" s="501"/>
      <c r="X7" s="178"/>
      <c r="Y7" s="194"/>
      <c r="Z7" s="588"/>
      <c r="AA7" s="114"/>
      <c r="AB7" s="306">
        <v>2</v>
      </c>
      <c r="AC7" s="925"/>
      <c r="AD7" s="926"/>
      <c r="AE7" s="926"/>
      <c r="AF7" s="926"/>
      <c r="AG7" s="926"/>
      <c r="AH7" s="926"/>
      <c r="AI7" s="926"/>
      <c r="AJ7" s="926"/>
      <c r="AK7" s="926"/>
      <c r="AL7" s="927"/>
      <c r="AM7" s="347"/>
      <c r="AN7" s="316">
        <v>2</v>
      </c>
      <c r="AO7" s="835"/>
      <c r="AP7" s="836"/>
      <c r="AQ7" s="893" t="s">
        <v>324</v>
      </c>
      <c r="AR7" s="893"/>
      <c r="AS7" s="893"/>
      <c r="AT7" s="893"/>
      <c r="AU7" s="893"/>
      <c r="AV7" s="893"/>
      <c r="AW7" s="893"/>
      <c r="AX7" s="893"/>
      <c r="AY7" s="893"/>
      <c r="AZ7" s="893"/>
      <c r="BA7" s="460" t="str">
        <f>IF(ISERROR(VLOOKUP(AQ7,Tables!$TK:$UB,Tables!$TP$1,FALSE)),"",VLOOKUP(AQ7,Tables!$TK:$UB,Tables!$TP$1,FALSE))</f>
        <v/>
      </c>
      <c r="BB7" s="316">
        <v>2</v>
      </c>
      <c r="BC7" s="835"/>
      <c r="BD7" s="836"/>
      <c r="BE7" s="893"/>
      <c r="BF7" s="893"/>
      <c r="BG7" s="893"/>
      <c r="BH7" s="893"/>
      <c r="BI7" s="893"/>
      <c r="BJ7" s="893"/>
      <c r="BK7" s="893"/>
      <c r="BL7" s="893"/>
      <c r="BM7" s="893"/>
      <c r="BN7" s="893"/>
      <c r="BO7" s="460" t="str">
        <f>IF(ISERROR(VLOOKUP(BE7,Tables!$TK:$UB,Tables!$TP$1,FALSE)),"",VLOOKUP(BE7,Tables!$TK:$UB,Tables!$TP$1,FALSE))</f>
        <v/>
      </c>
      <c r="BP7" s="316">
        <v>2</v>
      </c>
      <c r="BQ7" s="835"/>
      <c r="BR7" s="836"/>
      <c r="BS7" s="893"/>
      <c r="BT7" s="893"/>
      <c r="BU7" s="893"/>
      <c r="BV7" s="893"/>
      <c r="BW7" s="893"/>
      <c r="BX7" s="893"/>
      <c r="BY7" s="893"/>
      <c r="BZ7" s="893"/>
      <c r="CA7" s="893"/>
      <c r="CB7" s="893"/>
      <c r="CC7" s="460" t="str">
        <f>IF(ISERROR(VLOOKUP(BS7,Tables!$TK:$UB,Tables!$TP$1,FALSE)),"",VLOOKUP(BS7,Tables!$TK:$UB,Tables!$TP$1,FALSE))</f>
        <v/>
      </c>
      <c r="CD7" s="316">
        <v>2</v>
      </c>
      <c r="CE7" s="835"/>
      <c r="CF7" s="836"/>
      <c r="CG7" s="893"/>
      <c r="CH7" s="893"/>
      <c r="CI7" s="893"/>
      <c r="CJ7" s="893"/>
      <c r="CK7" s="893"/>
      <c r="CL7" s="893"/>
      <c r="CM7" s="893"/>
      <c r="CN7" s="893"/>
      <c r="CO7" s="893"/>
      <c r="CP7" s="893"/>
      <c r="CQ7" s="351" t="str">
        <f>IF(ISERROR(VLOOKUP(CG7,Tables!$TK:$UB,Tables!$TP$1,FALSE)),"",VLOOKUP(CG7,Tables!$TK:$UB,Tables!$TP$1,FALSE))</f>
        <v/>
      </c>
    </row>
    <row r="8" spans="2:95" ht="12" customHeight="1" thickTop="1" thickBot="1" x14ac:dyDescent="0.3">
      <c r="B8" s="193"/>
      <c r="D8" s="921" t="str">
        <f ca="1">SpellcasterClass3</f>
        <v/>
      </c>
      <c r="E8" s="921"/>
      <c r="F8" s="921"/>
      <c r="G8" s="576" t="str">
        <f ca="1">IF(OR($D8="",CasterLevel=""),"",VLOOKUP($D8,Tables!$JY$3:$KB$22,4,FALSE))</f>
        <v/>
      </c>
      <c r="H8" s="961" t="str">
        <f ca="1">IF(OR($D8="",CasterLevel=""),"",VLOOKUP($D8,Tables!$JY$3:$KB$22,3,FALSE))</f>
        <v/>
      </c>
      <c r="I8" s="961"/>
      <c r="J8" s="961"/>
      <c r="K8" s="507"/>
      <c r="L8" s="508"/>
      <c r="M8" s="508"/>
      <c r="N8" s="508"/>
      <c r="O8" s="507"/>
      <c r="P8" s="508"/>
      <c r="Q8" s="508"/>
      <c r="R8" s="509" t="str">
        <f ca="1">IF(D8="","",IF(COUNTIF($D$5:$D7,"&gt;&lt;""")&gt;0," / "&amp;G8,G8))</f>
        <v/>
      </c>
      <c r="S8" s="510"/>
      <c r="T8" s="510"/>
      <c r="U8" s="506"/>
      <c r="V8" s="506"/>
      <c r="W8" s="501"/>
      <c r="X8" s="196"/>
      <c r="Y8" s="194"/>
      <c r="Z8" s="588"/>
      <c r="AA8" s="114"/>
      <c r="AB8" s="306">
        <v>3</v>
      </c>
      <c r="AC8" s="925"/>
      <c r="AD8" s="926"/>
      <c r="AE8" s="926"/>
      <c r="AF8" s="926"/>
      <c r="AG8" s="926"/>
      <c r="AH8" s="926"/>
      <c r="AI8" s="926"/>
      <c r="AJ8" s="926"/>
      <c r="AK8" s="926"/>
      <c r="AL8" s="927"/>
      <c r="AM8" s="347"/>
      <c r="AN8" s="316">
        <v>3</v>
      </c>
      <c r="AO8" s="835"/>
      <c r="AP8" s="836"/>
      <c r="AQ8" s="893"/>
      <c r="AR8" s="893"/>
      <c r="AS8" s="893"/>
      <c r="AT8" s="893"/>
      <c r="AU8" s="893"/>
      <c r="AV8" s="893"/>
      <c r="AW8" s="893"/>
      <c r="AX8" s="893"/>
      <c r="AY8" s="893"/>
      <c r="AZ8" s="893"/>
      <c r="BA8" s="460" t="str">
        <f>IF(ISERROR(VLOOKUP(AQ8,Tables!$TK:$UB,Tables!$TP$1,FALSE)),"",VLOOKUP(AQ8,Tables!$TK:$UB,Tables!$TP$1,FALSE))</f>
        <v/>
      </c>
      <c r="BB8" s="316">
        <v>3</v>
      </c>
      <c r="BC8" s="835"/>
      <c r="BD8" s="836"/>
      <c r="BE8" s="893"/>
      <c r="BF8" s="893"/>
      <c r="BG8" s="893"/>
      <c r="BH8" s="893"/>
      <c r="BI8" s="893"/>
      <c r="BJ8" s="893"/>
      <c r="BK8" s="893"/>
      <c r="BL8" s="893"/>
      <c r="BM8" s="893"/>
      <c r="BN8" s="893"/>
      <c r="BO8" s="460" t="str">
        <f>IF(ISERROR(VLOOKUP(BE8,Tables!$TK:$UB,Tables!$TP$1,FALSE)),"",VLOOKUP(BE8,Tables!$TK:$UB,Tables!$TP$1,FALSE))</f>
        <v/>
      </c>
      <c r="BP8" s="316">
        <v>3</v>
      </c>
      <c r="BQ8" s="835"/>
      <c r="BR8" s="836"/>
      <c r="BS8" s="893"/>
      <c r="BT8" s="893"/>
      <c r="BU8" s="893"/>
      <c r="BV8" s="893"/>
      <c r="BW8" s="893"/>
      <c r="BX8" s="893"/>
      <c r="BY8" s="893"/>
      <c r="BZ8" s="893"/>
      <c r="CA8" s="893"/>
      <c r="CB8" s="893"/>
      <c r="CC8" s="460" t="str">
        <f>IF(ISERROR(VLOOKUP(BS8,Tables!$TK:$UB,Tables!$TP$1,FALSE)),"",VLOOKUP(BS8,Tables!$TK:$UB,Tables!$TP$1,FALSE))</f>
        <v/>
      </c>
      <c r="CD8" s="316">
        <v>3</v>
      </c>
      <c r="CE8" s="835"/>
      <c r="CF8" s="836"/>
      <c r="CG8" s="893"/>
      <c r="CH8" s="893"/>
      <c r="CI8" s="893"/>
      <c r="CJ8" s="893"/>
      <c r="CK8" s="893"/>
      <c r="CL8" s="893"/>
      <c r="CM8" s="893"/>
      <c r="CN8" s="893"/>
      <c r="CO8" s="893"/>
      <c r="CP8" s="893"/>
      <c r="CQ8" s="351" t="str">
        <f>IF(ISERROR(VLOOKUP(CG8,Tables!$TK:$UB,Tables!$TP$1,FALSE)),"",VLOOKUP(CG8,Tables!$TK:$UB,Tables!$TP$1,FALSE))</f>
        <v/>
      </c>
    </row>
    <row r="9" spans="2:95" ht="12" customHeight="1" thickTop="1" thickBot="1" x14ac:dyDescent="0.25">
      <c r="B9" s="153"/>
      <c r="C9" s="502"/>
      <c r="D9" s="500"/>
      <c r="E9" s="500"/>
      <c r="F9" s="500"/>
      <c r="G9" s="502"/>
      <c r="H9" s="500"/>
      <c r="I9" s="500"/>
      <c r="J9" s="476"/>
      <c r="K9" s="581"/>
      <c r="L9" s="577"/>
      <c r="M9" s="577"/>
      <c r="N9" s="577"/>
      <c r="O9" s="581"/>
      <c r="P9" s="577"/>
      <c r="Q9" s="577"/>
      <c r="R9" s="578"/>
      <c r="S9" s="578"/>
      <c r="T9" s="578"/>
      <c r="U9" s="505"/>
      <c r="V9" s="505"/>
      <c r="W9" s="511"/>
      <c r="X9" s="196"/>
      <c r="Y9" s="194"/>
      <c r="Z9" s="588"/>
      <c r="AA9" s="114"/>
      <c r="AB9" s="306">
        <v>4</v>
      </c>
      <c r="AC9" s="925"/>
      <c r="AD9" s="926"/>
      <c r="AE9" s="926"/>
      <c r="AF9" s="926"/>
      <c r="AG9" s="926"/>
      <c r="AH9" s="926"/>
      <c r="AI9" s="926"/>
      <c r="AJ9" s="926"/>
      <c r="AK9" s="926"/>
      <c r="AL9" s="927"/>
      <c r="AM9" s="347"/>
      <c r="AN9" s="316">
        <v>4</v>
      </c>
      <c r="AO9" s="835"/>
      <c r="AP9" s="836"/>
      <c r="AQ9" s="893"/>
      <c r="AR9" s="893"/>
      <c r="AS9" s="893"/>
      <c r="AT9" s="893"/>
      <c r="AU9" s="893"/>
      <c r="AV9" s="893"/>
      <c r="AW9" s="893"/>
      <c r="AX9" s="893"/>
      <c r="AY9" s="893"/>
      <c r="AZ9" s="893"/>
      <c r="BA9" s="460" t="str">
        <f>IF(ISERROR(VLOOKUP(AQ9,Tables!$TK:$UB,Tables!$TP$1,FALSE)),"",VLOOKUP(AQ9,Tables!$TK:$UB,Tables!$TP$1,FALSE))</f>
        <v/>
      </c>
      <c r="BB9" s="316">
        <v>4</v>
      </c>
      <c r="BC9" s="835"/>
      <c r="BD9" s="836"/>
      <c r="BE9" s="893"/>
      <c r="BF9" s="893"/>
      <c r="BG9" s="893"/>
      <c r="BH9" s="893"/>
      <c r="BI9" s="893"/>
      <c r="BJ9" s="893"/>
      <c r="BK9" s="893"/>
      <c r="BL9" s="893"/>
      <c r="BM9" s="893"/>
      <c r="BN9" s="893"/>
      <c r="BO9" s="460" t="str">
        <f>IF(ISERROR(VLOOKUP(BE9,Tables!$TK:$UB,Tables!$TP$1,FALSE)),"",VLOOKUP(BE9,Tables!$TK:$UB,Tables!$TP$1,FALSE))</f>
        <v/>
      </c>
      <c r="BP9" s="316">
        <v>4</v>
      </c>
      <c r="BQ9" s="835"/>
      <c r="BR9" s="836"/>
      <c r="BS9" s="893"/>
      <c r="BT9" s="893"/>
      <c r="BU9" s="893"/>
      <c r="BV9" s="893"/>
      <c r="BW9" s="893"/>
      <c r="BX9" s="893"/>
      <c r="BY9" s="893"/>
      <c r="BZ9" s="893"/>
      <c r="CA9" s="893"/>
      <c r="CB9" s="893"/>
      <c r="CC9" s="460" t="str">
        <f>IF(ISERROR(VLOOKUP(BS9,Tables!$TK:$UB,Tables!$TP$1,FALSE)),"",VLOOKUP(BS9,Tables!$TK:$UB,Tables!$TP$1,FALSE))</f>
        <v/>
      </c>
      <c r="CD9" s="316">
        <v>4</v>
      </c>
      <c r="CE9" s="835"/>
      <c r="CF9" s="836"/>
      <c r="CG9" s="893"/>
      <c r="CH9" s="893"/>
      <c r="CI9" s="893"/>
      <c r="CJ9" s="893"/>
      <c r="CK9" s="893"/>
      <c r="CL9" s="893"/>
      <c r="CM9" s="893"/>
      <c r="CN9" s="893"/>
      <c r="CO9" s="893"/>
      <c r="CP9" s="893"/>
      <c r="CQ9" s="351" t="str">
        <f>IF(ISERROR(VLOOKUP(CG9,Tables!$TK:$UB,Tables!$TP$1,FALSE)),"",VLOOKUP(CG9,Tables!$TK:$UB,Tables!$TP$1,FALSE))</f>
        <v/>
      </c>
    </row>
    <row r="10" spans="2:95" ht="12" customHeight="1" thickTop="1" thickBot="1" x14ac:dyDescent="0.25">
      <c r="B10" s="421"/>
      <c r="C10" s="500" t="s">
        <v>330</v>
      </c>
      <c r="D10" s="500"/>
      <c r="E10" s="500"/>
      <c r="F10" s="500"/>
      <c r="G10" s="500"/>
      <c r="H10" s="500"/>
      <c r="I10" s="512"/>
      <c r="J10" s="512"/>
      <c r="K10" s="414"/>
      <c r="L10" s="414"/>
      <c r="M10" s="414"/>
      <c r="N10" s="414"/>
      <c r="O10" s="414"/>
      <c r="P10" s="414"/>
      <c r="Q10" s="412" t="str">
        <f ca="1">Q11&amp;Q12&amp;Q13</f>
        <v/>
      </c>
      <c r="R10" s="412" t="str">
        <f ca="1">R11&amp;R12&amp;R13</f>
        <v/>
      </c>
      <c r="S10" s="412" t="str">
        <f ca="1">S11&amp;S12&amp;S13</f>
        <v/>
      </c>
      <c r="T10" s="412"/>
      <c r="U10" s="412"/>
      <c r="V10" s="412"/>
      <c r="W10" s="513"/>
      <c r="X10" s="196"/>
      <c r="Y10" s="194"/>
      <c r="Z10" s="588"/>
      <c r="AA10" s="114"/>
      <c r="AB10" s="306">
        <v>5</v>
      </c>
      <c r="AC10" s="925"/>
      <c r="AD10" s="926"/>
      <c r="AE10" s="926"/>
      <c r="AF10" s="926"/>
      <c r="AG10" s="926"/>
      <c r="AH10" s="926"/>
      <c r="AI10" s="926"/>
      <c r="AJ10" s="926"/>
      <c r="AK10" s="926"/>
      <c r="AL10" s="927"/>
      <c r="AM10" s="347"/>
      <c r="AN10" s="316">
        <v>5</v>
      </c>
      <c r="AO10" s="835"/>
      <c r="AP10" s="836"/>
      <c r="AQ10" s="893"/>
      <c r="AR10" s="893"/>
      <c r="AS10" s="893"/>
      <c r="AT10" s="893"/>
      <c r="AU10" s="893"/>
      <c r="AV10" s="893"/>
      <c r="AW10" s="893"/>
      <c r="AX10" s="893"/>
      <c r="AY10" s="893"/>
      <c r="AZ10" s="893"/>
      <c r="BA10" s="460" t="str">
        <f>IF(ISERROR(VLOOKUP(AQ10,Tables!$TK:$UB,Tables!$TP$1,FALSE)),"",VLOOKUP(AQ10,Tables!$TK:$UB,Tables!$TP$1,FALSE))</f>
        <v/>
      </c>
      <c r="BB10" s="316">
        <v>5</v>
      </c>
      <c r="BC10" s="835"/>
      <c r="BD10" s="836"/>
      <c r="BE10" s="893"/>
      <c r="BF10" s="893"/>
      <c r="BG10" s="893"/>
      <c r="BH10" s="893"/>
      <c r="BI10" s="893"/>
      <c r="BJ10" s="893"/>
      <c r="BK10" s="893"/>
      <c r="BL10" s="893"/>
      <c r="BM10" s="893"/>
      <c r="BN10" s="893"/>
      <c r="BO10" s="460" t="str">
        <f>IF(ISERROR(VLOOKUP(BE10,Tables!$TK:$UB,Tables!$TP$1,FALSE)),"",VLOOKUP(BE10,Tables!$TK:$UB,Tables!$TP$1,FALSE))</f>
        <v/>
      </c>
      <c r="BP10" s="316">
        <v>5</v>
      </c>
      <c r="BQ10" s="835"/>
      <c r="BR10" s="836"/>
      <c r="BS10" s="893"/>
      <c r="BT10" s="893"/>
      <c r="BU10" s="893"/>
      <c r="BV10" s="893"/>
      <c r="BW10" s="893"/>
      <c r="BX10" s="893"/>
      <c r="BY10" s="893"/>
      <c r="BZ10" s="893"/>
      <c r="CA10" s="893"/>
      <c r="CB10" s="893"/>
      <c r="CC10" s="460" t="str">
        <f>IF(ISERROR(VLOOKUP(BS10,Tables!$TK:$UB,Tables!$TP$1,FALSE)),"",VLOOKUP(BS10,Tables!$TK:$UB,Tables!$TP$1,FALSE))</f>
        <v/>
      </c>
      <c r="CD10" s="316">
        <v>5</v>
      </c>
      <c r="CE10" s="835"/>
      <c r="CF10" s="836"/>
      <c r="CG10" s="893"/>
      <c r="CH10" s="893"/>
      <c r="CI10" s="893"/>
      <c r="CJ10" s="893"/>
      <c r="CK10" s="893"/>
      <c r="CL10" s="893"/>
      <c r="CM10" s="893"/>
      <c r="CN10" s="893"/>
      <c r="CO10" s="893"/>
      <c r="CP10" s="893"/>
      <c r="CQ10" s="351" t="str">
        <f>IF(ISERROR(VLOOKUP(CG10,Tables!$TK:$UB,Tables!$TP$1,FALSE)),"",VLOOKUP(CG10,Tables!$TK:$UB,Tables!$TP$1,FALSE))</f>
        <v/>
      </c>
    </row>
    <row r="11" spans="2:95" ht="12" customHeight="1" thickTop="1" thickBot="1" x14ac:dyDescent="0.3">
      <c r="B11" s="421"/>
      <c r="C11" s="514">
        <v>1</v>
      </c>
      <c r="D11" s="920" t="str">
        <f ca="1">IF(ISERROR(VLOOKUP($C11,$K$11:$P$13,2,FALSE)),"",VLOOKUP($C11,$K$11:$P$13,2,FALSE))</f>
        <v/>
      </c>
      <c r="E11" s="920"/>
      <c r="F11" s="920"/>
      <c r="G11" s="918" t="str">
        <f ca="1">IF(ISERROR(VLOOKUP($C11,$K$11:$P$13,4,FALSE)),"",VLOOKUP($C11,$K$11:$P$13,4,FALSE))</f>
        <v/>
      </c>
      <c r="H11" s="918"/>
      <c r="I11" s="919" t="str">
        <f ca="1">IF(D11="","",8+INDIRECT(TEXT(G11&amp;"Mod",0))+ProfBonus)</f>
        <v/>
      </c>
      <c r="J11" s="919"/>
      <c r="K11" s="582" t="str">
        <f ca="1">IF(Tables!BO3="","",MAX($K$10:K10)+1)</f>
        <v/>
      </c>
      <c r="L11" s="583" t="str">
        <f ca="1">Tables!BO3</f>
        <v/>
      </c>
      <c r="M11" s="583"/>
      <c r="N11" s="583" t="str">
        <f ca="1">Tables!BP3</f>
        <v/>
      </c>
      <c r="O11" s="584"/>
      <c r="P11" s="582" t="str">
        <f ca="1">IF(G11="","",INDIRECT(TEXT(G11&amp;"Mod",0)))</f>
        <v/>
      </c>
      <c r="Q11" s="585" t="str">
        <f ca="1">IF(D11="","",IF(COUNTIF($L$10:L10,"&gt;&lt;""")&gt;0," / "&amp;TEXT(P11,"+0;-0"),TEXT(P11,"+0;-0")))</f>
        <v/>
      </c>
      <c r="R11" s="412" t="str">
        <f ca="1">IF(D11="","",IF(COUNTIF($L$10:L10,"&gt;&lt;""")&gt;0," / "&amp;G11,G11))</f>
        <v/>
      </c>
      <c r="S11" s="413" t="str">
        <f ca="1">IF(D11="","",IF(COUNTIF($L$10:L10,"&gt;&lt;""")&gt;0," / "&amp;I11,I11))</f>
        <v/>
      </c>
      <c r="T11" s="413"/>
      <c r="U11" s="413"/>
      <c r="V11" s="413"/>
      <c r="W11" s="515"/>
      <c r="X11" s="177"/>
      <c r="Y11" s="194"/>
      <c r="Z11" s="588"/>
      <c r="AA11" s="114"/>
      <c r="AB11" s="306">
        <v>6</v>
      </c>
      <c r="AC11" s="925"/>
      <c r="AD11" s="926"/>
      <c r="AE11" s="926"/>
      <c r="AF11" s="926"/>
      <c r="AG11" s="926"/>
      <c r="AH11" s="926"/>
      <c r="AI11" s="926"/>
      <c r="AJ11" s="926"/>
      <c r="AK11" s="926"/>
      <c r="AL11" s="927"/>
      <c r="AM11" s="347"/>
      <c r="AN11" s="316">
        <v>6</v>
      </c>
      <c r="AO11" s="835"/>
      <c r="AP11" s="836"/>
      <c r="AQ11" s="893"/>
      <c r="AR11" s="893"/>
      <c r="AS11" s="893"/>
      <c r="AT11" s="893"/>
      <c r="AU11" s="893"/>
      <c r="AV11" s="893"/>
      <c r="AW11" s="893"/>
      <c r="AX11" s="893"/>
      <c r="AY11" s="893"/>
      <c r="AZ11" s="893"/>
      <c r="BA11" s="460" t="str">
        <f>IF(ISERROR(VLOOKUP(AQ11,Tables!$TK:$UB,Tables!$TP$1,FALSE)),"",VLOOKUP(AQ11,Tables!$TK:$UB,Tables!$TP$1,FALSE))</f>
        <v/>
      </c>
      <c r="BB11" s="316">
        <v>6</v>
      </c>
      <c r="BC11" s="835"/>
      <c r="BD11" s="836"/>
      <c r="BE11" s="893"/>
      <c r="BF11" s="893"/>
      <c r="BG11" s="893"/>
      <c r="BH11" s="893"/>
      <c r="BI11" s="893"/>
      <c r="BJ11" s="893"/>
      <c r="BK11" s="893"/>
      <c r="BL11" s="893"/>
      <c r="BM11" s="893"/>
      <c r="BN11" s="893"/>
      <c r="BO11" s="460" t="str">
        <f>IF(ISERROR(VLOOKUP(BE11,Tables!$TK:$UB,Tables!$TP$1,FALSE)),"",VLOOKUP(BE11,Tables!$TK:$UB,Tables!$TP$1,FALSE))</f>
        <v/>
      </c>
      <c r="BP11" s="316">
        <v>6</v>
      </c>
      <c r="BQ11" s="835"/>
      <c r="BR11" s="836"/>
      <c r="BS11" s="893"/>
      <c r="BT11" s="893"/>
      <c r="BU11" s="893"/>
      <c r="BV11" s="893"/>
      <c r="BW11" s="893"/>
      <c r="BX11" s="893"/>
      <c r="BY11" s="893"/>
      <c r="BZ11" s="893"/>
      <c r="CA11" s="893"/>
      <c r="CB11" s="893"/>
      <c r="CC11" s="460" t="str">
        <f>IF(ISERROR(VLOOKUP(BS11,Tables!$TK:$UB,Tables!$TP$1,FALSE)),"",VLOOKUP(BS11,Tables!$TK:$UB,Tables!$TP$1,FALSE))</f>
        <v/>
      </c>
      <c r="CD11" s="316">
        <v>6</v>
      </c>
      <c r="CE11" s="835"/>
      <c r="CF11" s="836"/>
      <c r="CG11" s="893"/>
      <c r="CH11" s="893"/>
      <c r="CI11" s="893"/>
      <c r="CJ11" s="893"/>
      <c r="CK11" s="893"/>
      <c r="CL11" s="893"/>
      <c r="CM11" s="893"/>
      <c r="CN11" s="893"/>
      <c r="CO11" s="893"/>
      <c r="CP11" s="893"/>
      <c r="CQ11" s="351" t="str">
        <f>IF(ISERROR(VLOOKUP(CG11,Tables!$TK:$UB,Tables!$TP$1,FALSE)),"",VLOOKUP(CG11,Tables!$TK:$UB,Tables!$TP$1,FALSE))</f>
        <v/>
      </c>
    </row>
    <row r="12" spans="2:95" ht="12" customHeight="1" thickTop="1" thickBot="1" x14ac:dyDescent="0.3">
      <c r="B12" s="421"/>
      <c r="C12" s="514">
        <v>2</v>
      </c>
      <c r="D12" s="920" t="str">
        <f ca="1">IF(ISERROR(VLOOKUP($C12,$K$11:$P$13,2,FALSE)),"",VLOOKUP($C12,$K$11:$P$13,2,FALSE))</f>
        <v/>
      </c>
      <c r="E12" s="920"/>
      <c r="F12" s="920"/>
      <c r="G12" s="918" t="str">
        <f ca="1">IF(ISERROR(VLOOKUP($C12,$K$11:$P$13,4,FALSE)),"",VLOOKUP($C12,$K$11:$P$13,4,FALSE))</f>
        <v/>
      </c>
      <c r="H12" s="918"/>
      <c r="I12" s="919" t="str">
        <f ca="1">IF(D12="","",8+INDIRECT(TEXT(G12&amp;"Mod",0))+ProfBonus)</f>
        <v/>
      </c>
      <c r="J12" s="919"/>
      <c r="K12" s="582" t="str">
        <f ca="1">IF(Tables!BO4="","",MAX($K$10:K11)+1)</f>
        <v/>
      </c>
      <c r="L12" s="583" t="str">
        <f ca="1">Tables!BO4</f>
        <v/>
      </c>
      <c r="M12" s="583"/>
      <c r="N12" s="583" t="str">
        <f ca="1">Tables!BP4</f>
        <v/>
      </c>
      <c r="O12" s="414"/>
      <c r="P12" s="582" t="str">
        <f ca="1">IF(G12="","",INDIRECT(TEXT(G12&amp;"Mod",0)))</f>
        <v/>
      </c>
      <c r="Q12" s="585" t="str">
        <f ca="1">IF(D12="","",IF(COUNTIF($L$10:L11,"&gt;&lt;""")&gt;0," / "&amp;TEXT(P12,"+0;-0"),TEXT(P12,"+0;-0")))</f>
        <v/>
      </c>
      <c r="R12" s="412" t="str">
        <f ca="1">IF(D12="","",IF(COUNTIF($L$10:L11,"&gt;&lt;""")&gt;0," / "&amp;G12,G12))</f>
        <v/>
      </c>
      <c r="S12" s="413" t="str">
        <f ca="1">IF(D12="","",IF(COUNTIF($L$10:L11,"&gt;&lt;""")&gt;0," / "&amp;I12,I12))</f>
        <v/>
      </c>
      <c r="T12" s="413"/>
      <c r="U12" s="349"/>
      <c r="V12" s="349"/>
      <c r="W12" s="516"/>
      <c r="X12" s="157"/>
      <c r="Y12" s="194"/>
      <c r="Z12" s="588"/>
      <c r="AA12" s="114"/>
      <c r="AB12" s="306">
        <v>7</v>
      </c>
      <c r="AC12" s="925"/>
      <c r="AD12" s="926"/>
      <c r="AE12" s="926"/>
      <c r="AF12" s="926"/>
      <c r="AG12" s="926"/>
      <c r="AH12" s="926"/>
      <c r="AI12" s="926"/>
      <c r="AJ12" s="926"/>
      <c r="AK12" s="926"/>
      <c r="AL12" s="927"/>
      <c r="AM12" s="114"/>
      <c r="AN12" s="316">
        <v>7</v>
      </c>
      <c r="AO12" s="835"/>
      <c r="AP12" s="836"/>
      <c r="AQ12" s="893"/>
      <c r="AR12" s="893"/>
      <c r="AS12" s="893"/>
      <c r="AT12" s="893"/>
      <c r="AU12" s="893"/>
      <c r="AV12" s="893"/>
      <c r="AW12" s="893"/>
      <c r="AX12" s="893"/>
      <c r="AY12" s="893"/>
      <c r="AZ12" s="893"/>
      <c r="BA12" s="460" t="str">
        <f>IF(ISERROR(VLOOKUP(AQ12,Tables!$TK:$UB,Tables!$TP$1,FALSE)),"",VLOOKUP(AQ12,Tables!$TK:$UB,Tables!$TP$1,FALSE))</f>
        <v/>
      </c>
      <c r="BB12" s="316">
        <v>7</v>
      </c>
      <c r="BC12" s="835"/>
      <c r="BD12" s="836"/>
      <c r="BE12" s="893"/>
      <c r="BF12" s="893"/>
      <c r="BG12" s="893"/>
      <c r="BH12" s="893"/>
      <c r="BI12" s="893"/>
      <c r="BJ12" s="893"/>
      <c r="BK12" s="893"/>
      <c r="BL12" s="893"/>
      <c r="BM12" s="893"/>
      <c r="BN12" s="893"/>
      <c r="BO12" s="460" t="str">
        <f>IF(ISERROR(VLOOKUP(BE12,Tables!$TK:$UB,Tables!$TP$1,FALSE)),"",VLOOKUP(BE12,Tables!$TK:$UB,Tables!$TP$1,FALSE))</f>
        <v/>
      </c>
      <c r="BP12" s="316">
        <v>7</v>
      </c>
      <c r="BQ12" s="835"/>
      <c r="BR12" s="836"/>
      <c r="BS12" s="893"/>
      <c r="BT12" s="893"/>
      <c r="BU12" s="893"/>
      <c r="BV12" s="893"/>
      <c r="BW12" s="893"/>
      <c r="BX12" s="893"/>
      <c r="BY12" s="893"/>
      <c r="BZ12" s="893"/>
      <c r="CA12" s="893"/>
      <c r="CB12" s="893"/>
      <c r="CC12" s="460" t="str">
        <f>IF(ISERROR(VLOOKUP(BS12,Tables!$TK:$UB,Tables!$TP$1,FALSE)),"",VLOOKUP(BS12,Tables!$TK:$UB,Tables!$TP$1,FALSE))</f>
        <v/>
      </c>
      <c r="CD12" s="316">
        <v>7</v>
      </c>
      <c r="CE12" s="835"/>
      <c r="CF12" s="836"/>
      <c r="CG12" s="893"/>
      <c r="CH12" s="893"/>
      <c r="CI12" s="893"/>
      <c r="CJ12" s="893"/>
      <c r="CK12" s="893"/>
      <c r="CL12" s="893"/>
      <c r="CM12" s="893"/>
      <c r="CN12" s="893"/>
      <c r="CO12" s="893"/>
      <c r="CP12" s="893"/>
      <c r="CQ12" s="351" t="str">
        <f>IF(ISERROR(VLOOKUP(CG12,Tables!$TK:$UB,Tables!$TP$1,FALSE)),"",VLOOKUP(CG12,Tables!$TK:$UB,Tables!$TP$1,FALSE))</f>
        <v/>
      </c>
    </row>
    <row r="13" spans="2:95" ht="12" customHeight="1" thickTop="1" thickBot="1" x14ac:dyDescent="0.3">
      <c r="B13" s="421"/>
      <c r="C13" s="514">
        <v>3</v>
      </c>
      <c r="D13" s="920" t="str">
        <f ca="1">IF(ISERROR(VLOOKUP($C13,$K$11:$P$13,2,FALSE)),"",VLOOKUP($C13,$K$11:$P$13,2,FALSE))</f>
        <v/>
      </c>
      <c r="E13" s="920"/>
      <c r="F13" s="920"/>
      <c r="G13" s="918" t="str">
        <f ca="1">IF(ISERROR(VLOOKUP($C13,$K$11:$P$13,4,FALSE)),"",VLOOKUP($C13,$K$11:$P$13,4,FALSE))</f>
        <v/>
      </c>
      <c r="H13" s="918"/>
      <c r="I13" s="919" t="str">
        <f ca="1">IF(D13="","",8+INDIRECT(TEXT(G13&amp;"Mod",0))+ProfBonus)</f>
        <v/>
      </c>
      <c r="J13" s="919"/>
      <c r="K13" s="582" t="str">
        <f ca="1">IF(Tables!BO5="","",MAX($K$10:K12)+1)</f>
        <v/>
      </c>
      <c r="L13" s="583" t="str">
        <f ca="1">Tables!BO5</f>
        <v/>
      </c>
      <c r="M13" s="583"/>
      <c r="N13" s="583" t="str">
        <f ca="1">Tables!BP5</f>
        <v/>
      </c>
      <c r="O13" s="414"/>
      <c r="P13" s="582" t="str">
        <f ca="1">IF(G13="","",INDIRECT(TEXT(G13&amp;"Mod",0)))</f>
        <v/>
      </c>
      <c r="Q13" s="585" t="str">
        <f ca="1">IF(D13="","",IF(COUNTIF($L$10:L12,"&gt;&lt;""")&gt;0," / "&amp;TEXT(P13,"+0;-0"),TEXT(P13,"+0;-0")))</f>
        <v/>
      </c>
      <c r="R13" s="412" t="str">
        <f ca="1">IF(D13="","",IF(COUNTIF($L$10:L12,"&gt;&lt;""")&gt;0," / "&amp;G13,G13))</f>
        <v/>
      </c>
      <c r="S13" s="413" t="str">
        <f ca="1">IF(D13="","",IF(COUNTIF($L$10:L12,"&gt;&lt;""")&gt;0," / "&amp;I13,I13))</f>
        <v/>
      </c>
      <c r="T13" s="413"/>
      <c r="U13" s="349"/>
      <c r="V13" s="349"/>
      <c r="W13" s="516"/>
      <c r="X13" s="181"/>
      <c r="Y13" s="194"/>
      <c r="Z13" s="588"/>
      <c r="AA13" s="114"/>
      <c r="AB13" s="306">
        <v>8</v>
      </c>
      <c r="AC13" s="925"/>
      <c r="AD13" s="926"/>
      <c r="AE13" s="926"/>
      <c r="AF13" s="926"/>
      <c r="AG13" s="926"/>
      <c r="AH13" s="926"/>
      <c r="AI13" s="926"/>
      <c r="AJ13" s="926"/>
      <c r="AK13" s="926"/>
      <c r="AL13" s="927"/>
      <c r="AM13" s="110"/>
      <c r="AN13" s="316">
        <v>8</v>
      </c>
      <c r="AO13" s="835"/>
      <c r="AP13" s="836"/>
      <c r="AQ13" s="893" t="s">
        <v>324</v>
      </c>
      <c r="AR13" s="893"/>
      <c r="AS13" s="893"/>
      <c r="AT13" s="893"/>
      <c r="AU13" s="893"/>
      <c r="AV13" s="893"/>
      <c r="AW13" s="893"/>
      <c r="AX13" s="893"/>
      <c r="AY13" s="893"/>
      <c r="AZ13" s="893"/>
      <c r="BA13" s="460" t="str">
        <f>IF(ISERROR(VLOOKUP(AQ13,Tables!$TK:$UB,Tables!$TP$1,FALSE)),"",VLOOKUP(AQ13,Tables!$TK:$UB,Tables!$TP$1,FALSE))</f>
        <v/>
      </c>
      <c r="BB13" s="316">
        <v>8</v>
      </c>
      <c r="BC13" s="835"/>
      <c r="BD13" s="836"/>
      <c r="BE13" s="893"/>
      <c r="BF13" s="893"/>
      <c r="BG13" s="893"/>
      <c r="BH13" s="893"/>
      <c r="BI13" s="893"/>
      <c r="BJ13" s="893"/>
      <c r="BK13" s="893"/>
      <c r="BL13" s="893"/>
      <c r="BM13" s="893"/>
      <c r="BN13" s="893"/>
      <c r="BO13" s="460" t="str">
        <f>IF(ISERROR(VLOOKUP(BE13,Tables!$TK:$UB,Tables!$TP$1,FALSE)),"",VLOOKUP(BE13,Tables!$TK:$UB,Tables!$TP$1,FALSE))</f>
        <v/>
      </c>
      <c r="BP13" s="316">
        <v>8</v>
      </c>
      <c r="BQ13" s="835"/>
      <c r="BR13" s="836"/>
      <c r="BS13" s="893"/>
      <c r="BT13" s="893"/>
      <c r="BU13" s="893"/>
      <c r="BV13" s="893"/>
      <c r="BW13" s="893"/>
      <c r="BX13" s="893"/>
      <c r="BY13" s="893"/>
      <c r="BZ13" s="893"/>
      <c r="CA13" s="893"/>
      <c r="CB13" s="893"/>
      <c r="CC13" s="460" t="str">
        <f>IF(ISERROR(VLOOKUP(BS13,Tables!$TK:$UB,Tables!$TP$1,FALSE)),"",VLOOKUP(BS13,Tables!$TK:$UB,Tables!$TP$1,FALSE))</f>
        <v/>
      </c>
      <c r="CD13" s="316">
        <v>8</v>
      </c>
      <c r="CE13" s="835"/>
      <c r="CF13" s="836"/>
      <c r="CG13" s="893"/>
      <c r="CH13" s="893"/>
      <c r="CI13" s="893"/>
      <c r="CJ13" s="893"/>
      <c r="CK13" s="893"/>
      <c r="CL13" s="893"/>
      <c r="CM13" s="893"/>
      <c r="CN13" s="893"/>
      <c r="CO13" s="893"/>
      <c r="CP13" s="893"/>
      <c r="CQ13" s="351" t="str">
        <f>IF(ISERROR(VLOOKUP(CG13,Tables!$TK:$UB,Tables!$TP$1,FALSE)),"",VLOOKUP(CG13,Tables!$TK:$UB,Tables!$TP$1,FALSE))</f>
        <v/>
      </c>
    </row>
    <row r="14" spans="2:95" ht="12" customHeight="1" thickTop="1" thickBot="1" x14ac:dyDescent="0.25">
      <c r="B14" s="421"/>
      <c r="C14" s="325"/>
      <c r="D14" s="325"/>
      <c r="E14" s="325"/>
      <c r="F14" s="325"/>
      <c r="G14" s="325"/>
      <c r="H14" s="325"/>
      <c r="I14" s="517"/>
      <c r="J14" s="517"/>
      <c r="K14" s="414"/>
      <c r="L14" s="414"/>
      <c r="M14" s="414"/>
      <c r="N14" s="414"/>
      <c r="O14" s="414"/>
      <c r="P14" s="414"/>
      <c r="Q14" s="585"/>
      <c r="R14" s="582"/>
      <c r="S14" s="414"/>
      <c r="T14" s="414"/>
      <c r="U14" s="414"/>
      <c r="V14" s="414"/>
      <c r="W14" s="518"/>
      <c r="X14" s="180"/>
      <c r="Y14" s="194"/>
      <c r="Z14" s="588"/>
      <c r="AA14" s="114"/>
      <c r="AB14" s="306">
        <v>9</v>
      </c>
      <c r="AC14" s="925"/>
      <c r="AD14" s="926"/>
      <c r="AE14" s="926"/>
      <c r="AF14" s="926"/>
      <c r="AG14" s="926"/>
      <c r="AH14" s="926"/>
      <c r="AI14" s="926"/>
      <c r="AJ14" s="926"/>
      <c r="AK14" s="926"/>
      <c r="AL14" s="927"/>
      <c r="AM14" s="110"/>
      <c r="AN14" s="316">
        <v>9</v>
      </c>
      <c r="AO14" s="835"/>
      <c r="AP14" s="836"/>
      <c r="AQ14" s="893"/>
      <c r="AR14" s="893"/>
      <c r="AS14" s="893"/>
      <c r="AT14" s="893"/>
      <c r="AU14" s="893"/>
      <c r="AV14" s="893"/>
      <c r="AW14" s="893"/>
      <c r="AX14" s="893"/>
      <c r="AY14" s="893"/>
      <c r="AZ14" s="893"/>
      <c r="BA14" s="460" t="str">
        <f>IF(ISERROR(VLOOKUP(AQ14,Tables!$TK:$UB,Tables!$TP$1,FALSE)),"",VLOOKUP(AQ14,Tables!$TK:$UB,Tables!$TP$1,FALSE))</f>
        <v/>
      </c>
      <c r="BB14" s="316">
        <v>9</v>
      </c>
      <c r="BC14" s="835"/>
      <c r="BD14" s="836"/>
      <c r="BE14" s="893"/>
      <c r="BF14" s="893"/>
      <c r="BG14" s="893"/>
      <c r="BH14" s="893"/>
      <c r="BI14" s="893"/>
      <c r="BJ14" s="893"/>
      <c r="BK14" s="893"/>
      <c r="BL14" s="893"/>
      <c r="BM14" s="893"/>
      <c r="BN14" s="893"/>
      <c r="BO14" s="460" t="str">
        <f>IF(ISERROR(VLOOKUP(BE14,Tables!$TK:$UB,Tables!$TP$1,FALSE)),"",VLOOKUP(BE14,Tables!$TK:$UB,Tables!$TP$1,FALSE))</f>
        <v/>
      </c>
      <c r="BP14" s="316">
        <v>9</v>
      </c>
      <c r="BQ14" s="835"/>
      <c r="BR14" s="836"/>
      <c r="BS14" s="893"/>
      <c r="BT14" s="893"/>
      <c r="BU14" s="893"/>
      <c r="BV14" s="893"/>
      <c r="BW14" s="893"/>
      <c r="BX14" s="893"/>
      <c r="BY14" s="893"/>
      <c r="BZ14" s="893"/>
      <c r="CA14" s="893"/>
      <c r="CB14" s="893"/>
      <c r="CC14" s="460" t="str">
        <f>IF(ISERROR(VLOOKUP(BS14,Tables!$TK:$UB,Tables!$TP$1,FALSE)),"",VLOOKUP(BS14,Tables!$TK:$UB,Tables!$TP$1,FALSE))</f>
        <v/>
      </c>
      <c r="CD14" s="316">
        <v>9</v>
      </c>
      <c r="CE14" s="835"/>
      <c r="CF14" s="836"/>
      <c r="CG14" s="893"/>
      <c r="CH14" s="893"/>
      <c r="CI14" s="893"/>
      <c r="CJ14" s="893"/>
      <c r="CK14" s="893"/>
      <c r="CL14" s="893"/>
      <c r="CM14" s="893"/>
      <c r="CN14" s="893"/>
      <c r="CO14" s="893"/>
      <c r="CP14" s="893"/>
      <c r="CQ14" s="351" t="str">
        <f>IF(ISERROR(VLOOKUP(CG14,Tables!$TK:$UB,Tables!$TP$1,FALSE)),"",VLOOKUP(CG14,Tables!$TK:$UB,Tables!$TP$1,FALSE))</f>
        <v/>
      </c>
    </row>
    <row r="15" spans="2:95" ht="12" customHeight="1" thickTop="1" thickBot="1" x14ac:dyDescent="0.25">
      <c r="B15" s="153"/>
      <c r="C15" s="917" t="s">
        <v>328</v>
      </c>
      <c r="D15" s="917"/>
      <c r="E15" s="917"/>
      <c r="F15" s="917"/>
      <c r="G15" s="917"/>
      <c r="H15" s="917"/>
      <c r="I15" s="917"/>
      <c r="J15" s="917"/>
      <c r="K15" s="917"/>
      <c r="L15" s="325"/>
      <c r="M15" s="325"/>
      <c r="N15" s="325"/>
      <c r="O15" s="325"/>
      <c r="P15" s="325"/>
      <c r="Q15" s="519"/>
      <c r="R15" s="325"/>
      <c r="S15" s="325"/>
      <c r="T15" s="325"/>
      <c r="U15" s="325"/>
      <c r="V15" s="325"/>
      <c r="W15" s="520"/>
      <c r="X15" s="157"/>
      <c r="Y15" s="194"/>
      <c r="Z15" s="588"/>
      <c r="AA15" s="114"/>
      <c r="AB15" s="306">
        <v>10</v>
      </c>
      <c r="AC15" s="925"/>
      <c r="AD15" s="926"/>
      <c r="AE15" s="926"/>
      <c r="AF15" s="926"/>
      <c r="AG15" s="926"/>
      <c r="AH15" s="926"/>
      <c r="AI15" s="926"/>
      <c r="AJ15" s="926"/>
      <c r="AK15" s="926"/>
      <c r="AL15" s="927"/>
      <c r="AM15" s="110"/>
      <c r="AN15" s="316">
        <v>10</v>
      </c>
      <c r="AO15" s="835"/>
      <c r="AP15" s="836"/>
      <c r="AQ15" s="893"/>
      <c r="AR15" s="893"/>
      <c r="AS15" s="893"/>
      <c r="AT15" s="893"/>
      <c r="AU15" s="893"/>
      <c r="AV15" s="893"/>
      <c r="AW15" s="893"/>
      <c r="AX15" s="893"/>
      <c r="AY15" s="893"/>
      <c r="AZ15" s="893"/>
      <c r="BA15" s="460" t="str">
        <f>IF(ISERROR(VLOOKUP(AQ15,Tables!$TK:$UB,Tables!$TP$1,FALSE)),"",VLOOKUP(AQ15,Tables!$TK:$UB,Tables!$TP$1,FALSE))</f>
        <v/>
      </c>
      <c r="BB15" s="316">
        <v>10</v>
      </c>
      <c r="BC15" s="835"/>
      <c r="BD15" s="836"/>
      <c r="BE15" s="893"/>
      <c r="BF15" s="893"/>
      <c r="BG15" s="893"/>
      <c r="BH15" s="893"/>
      <c r="BI15" s="893"/>
      <c r="BJ15" s="893"/>
      <c r="BK15" s="893"/>
      <c r="BL15" s="893"/>
      <c r="BM15" s="893"/>
      <c r="BN15" s="893"/>
      <c r="BO15" s="460" t="str">
        <f>IF(ISERROR(VLOOKUP(BE15,Tables!$TK:$UB,Tables!$TP$1,FALSE)),"",VLOOKUP(BE15,Tables!$TK:$UB,Tables!$TP$1,FALSE))</f>
        <v/>
      </c>
      <c r="BP15" s="316">
        <v>10</v>
      </c>
      <c r="BQ15" s="835"/>
      <c r="BR15" s="836"/>
      <c r="BS15" s="893"/>
      <c r="BT15" s="893"/>
      <c r="BU15" s="893"/>
      <c r="BV15" s="893"/>
      <c r="BW15" s="893"/>
      <c r="BX15" s="893"/>
      <c r="BY15" s="893"/>
      <c r="BZ15" s="893"/>
      <c r="CA15" s="893"/>
      <c r="CB15" s="893"/>
      <c r="CC15" s="460" t="str">
        <f>IF(ISERROR(VLOOKUP(BS15,Tables!$TK:$UB,Tables!$TP$1,FALSE)),"",VLOOKUP(BS15,Tables!$TK:$UB,Tables!$TP$1,FALSE))</f>
        <v/>
      </c>
      <c r="CD15" s="316">
        <v>10</v>
      </c>
      <c r="CE15" s="835"/>
      <c r="CF15" s="836"/>
      <c r="CG15" s="893"/>
      <c r="CH15" s="893"/>
      <c r="CI15" s="893"/>
      <c r="CJ15" s="893"/>
      <c r="CK15" s="893"/>
      <c r="CL15" s="893"/>
      <c r="CM15" s="893"/>
      <c r="CN15" s="893"/>
      <c r="CO15" s="893"/>
      <c r="CP15" s="893"/>
      <c r="CQ15" s="351" t="str">
        <f>IF(ISERROR(VLOOKUP(CG15,Tables!$TK:$UB,Tables!$TP$1,FALSE)),"",VLOOKUP(CG15,Tables!$TK:$UB,Tables!$TP$1,FALSE))</f>
        <v/>
      </c>
    </row>
    <row r="16" spans="2:95" ht="12" customHeight="1" thickTop="1" thickBot="1" x14ac:dyDescent="0.3">
      <c r="B16" s="421"/>
      <c r="C16" s="933">
        <v>1</v>
      </c>
      <c r="D16" s="933"/>
      <c r="E16" s="934">
        <v>2</v>
      </c>
      <c r="F16" s="934"/>
      <c r="G16" s="935">
        <v>3</v>
      </c>
      <c r="H16" s="935"/>
      <c r="I16" s="923">
        <v>4</v>
      </c>
      <c r="J16" s="923"/>
      <c r="K16" s="923">
        <v>5</v>
      </c>
      <c r="L16" s="923"/>
      <c r="M16" s="923">
        <v>6</v>
      </c>
      <c r="N16" s="923"/>
      <c r="O16" s="923">
        <v>7</v>
      </c>
      <c r="P16" s="923"/>
      <c r="Q16" s="923">
        <v>8</v>
      </c>
      <c r="R16" s="923"/>
      <c r="S16" s="923">
        <v>9</v>
      </c>
      <c r="T16" s="923"/>
      <c r="U16" s="521"/>
      <c r="V16" s="521"/>
      <c r="W16" s="522"/>
      <c r="X16" s="154"/>
      <c r="Y16" s="415"/>
      <c r="Z16" s="114"/>
      <c r="AA16" s="114"/>
      <c r="AB16" s="114"/>
      <c r="AC16" s="114"/>
      <c r="AD16" s="114"/>
      <c r="AE16" s="114"/>
      <c r="AF16" s="114"/>
      <c r="AG16" s="114"/>
      <c r="AH16" s="114"/>
      <c r="AI16" s="114"/>
      <c r="AJ16" s="114"/>
      <c r="AK16" s="114"/>
      <c r="AL16" s="114"/>
      <c r="AM16" s="114"/>
      <c r="AN16" s="316">
        <v>11</v>
      </c>
      <c r="AO16" s="835"/>
      <c r="AP16" s="836"/>
      <c r="AQ16" s="893"/>
      <c r="AR16" s="893"/>
      <c r="AS16" s="893"/>
      <c r="AT16" s="893"/>
      <c r="AU16" s="893"/>
      <c r="AV16" s="893"/>
      <c r="AW16" s="893"/>
      <c r="AX16" s="893"/>
      <c r="AY16" s="893"/>
      <c r="AZ16" s="893"/>
      <c r="BA16" s="460" t="str">
        <f>IF(ISERROR(VLOOKUP(AQ16,Tables!$TK:$UB,Tables!$TP$1,FALSE)),"",VLOOKUP(AQ16,Tables!$TK:$UB,Tables!$TP$1,FALSE))</f>
        <v/>
      </c>
      <c r="BB16" s="316">
        <v>11</v>
      </c>
      <c r="BC16" s="835"/>
      <c r="BD16" s="836"/>
      <c r="BE16" s="893"/>
      <c r="BF16" s="893"/>
      <c r="BG16" s="893"/>
      <c r="BH16" s="893"/>
      <c r="BI16" s="893"/>
      <c r="BJ16" s="893"/>
      <c r="BK16" s="893"/>
      <c r="BL16" s="893"/>
      <c r="BM16" s="893"/>
      <c r="BN16" s="893"/>
      <c r="BO16" s="460" t="str">
        <f>IF(ISERROR(VLOOKUP(BE16,Tables!$TK:$UB,Tables!$TP$1,FALSE)),"",VLOOKUP(BE16,Tables!$TK:$UB,Tables!$TP$1,FALSE))</f>
        <v/>
      </c>
      <c r="BP16" s="316">
        <v>11</v>
      </c>
      <c r="BQ16" s="835"/>
      <c r="BR16" s="836"/>
      <c r="BS16" s="893"/>
      <c r="BT16" s="893"/>
      <c r="BU16" s="893"/>
      <c r="BV16" s="893"/>
      <c r="BW16" s="893"/>
      <c r="BX16" s="893"/>
      <c r="BY16" s="893"/>
      <c r="BZ16" s="893"/>
      <c r="CA16" s="893"/>
      <c r="CB16" s="893"/>
      <c r="CC16" s="460" t="str">
        <f>IF(ISERROR(VLOOKUP(BS16,Tables!$TK:$UB,Tables!$TP$1,FALSE)),"",VLOOKUP(BS16,Tables!$TK:$UB,Tables!$TP$1,FALSE))</f>
        <v/>
      </c>
      <c r="CD16" s="316">
        <v>11</v>
      </c>
      <c r="CE16" s="835"/>
      <c r="CF16" s="836"/>
      <c r="CG16" s="893"/>
      <c r="CH16" s="893"/>
      <c r="CI16" s="893"/>
      <c r="CJ16" s="893"/>
      <c r="CK16" s="893"/>
      <c r="CL16" s="893"/>
      <c r="CM16" s="893"/>
      <c r="CN16" s="893"/>
      <c r="CO16" s="893"/>
      <c r="CP16" s="893"/>
      <c r="CQ16" s="351" t="str">
        <f>IF(ISERROR(VLOOKUP(CG16,Tables!$TK:$UB,Tables!$TP$1,FALSE)),"",VLOOKUP(CG16,Tables!$TK:$UB,Tables!$TP$1,FALSE))</f>
        <v/>
      </c>
    </row>
    <row r="17" spans="2:95" ht="12" customHeight="1" thickTop="1" thickBot="1" x14ac:dyDescent="0.3">
      <c r="B17" s="421"/>
      <c r="C17" s="914" t="str">
        <f ca="1">Tables!JN27</f>
        <v>-</v>
      </c>
      <c r="D17" s="914"/>
      <c r="E17" s="914" t="str">
        <f ca="1">Tables!JO27</f>
        <v>-</v>
      </c>
      <c r="F17" s="914"/>
      <c r="G17" s="914" t="str">
        <f ca="1">Tables!JP27</f>
        <v>-</v>
      </c>
      <c r="H17" s="914"/>
      <c r="I17" s="914" t="str">
        <f ca="1">Tables!JQ27</f>
        <v>-</v>
      </c>
      <c r="J17" s="914"/>
      <c r="K17" s="914" t="str">
        <f ca="1">Tables!JR27</f>
        <v>-</v>
      </c>
      <c r="L17" s="914"/>
      <c r="M17" s="914" t="str">
        <f ca="1">Tables!JS27</f>
        <v>-</v>
      </c>
      <c r="N17" s="914"/>
      <c r="O17" s="914" t="str">
        <f ca="1">Tables!JT27</f>
        <v>-</v>
      </c>
      <c r="P17" s="914"/>
      <c r="Q17" s="914" t="str">
        <f ca="1">Tables!JU27</f>
        <v>-</v>
      </c>
      <c r="R17" s="914"/>
      <c r="S17" s="914" t="str">
        <f ca="1">Tables!JV27</f>
        <v>-</v>
      </c>
      <c r="T17" s="914"/>
      <c r="U17" s="477"/>
      <c r="V17" s="477"/>
      <c r="W17" s="523"/>
      <c r="X17" s="154"/>
      <c r="Y17" s="415"/>
      <c r="Z17" s="109"/>
      <c r="AA17" s="114"/>
      <c r="AB17" s="906" t="s">
        <v>3123</v>
      </c>
      <c r="AC17" s="906"/>
      <c r="AD17" s="906"/>
      <c r="AE17" s="906"/>
      <c r="AF17" s="906"/>
      <c r="AG17" s="906"/>
      <c r="AH17" s="906"/>
      <c r="AI17" s="906"/>
      <c r="AJ17" s="906"/>
      <c r="AK17" s="906"/>
      <c r="AL17" s="906"/>
      <c r="AM17" s="109"/>
      <c r="AN17" s="316">
        <v>12</v>
      </c>
      <c r="AO17" s="835"/>
      <c r="AP17" s="836"/>
      <c r="AQ17" s="893"/>
      <c r="AR17" s="893"/>
      <c r="AS17" s="893"/>
      <c r="AT17" s="893"/>
      <c r="AU17" s="893"/>
      <c r="AV17" s="893"/>
      <c r="AW17" s="893"/>
      <c r="AX17" s="893"/>
      <c r="AY17" s="893"/>
      <c r="AZ17" s="893"/>
      <c r="BA17" s="460" t="str">
        <f>IF(ISERROR(VLOOKUP(AQ17,Tables!$TK:$UB,Tables!$TP$1,FALSE)),"",VLOOKUP(AQ17,Tables!$TK:$UB,Tables!$TP$1,FALSE))</f>
        <v/>
      </c>
      <c r="BB17" s="316">
        <v>12</v>
      </c>
      <c r="BC17" s="835"/>
      <c r="BD17" s="836"/>
      <c r="BE17" s="893"/>
      <c r="BF17" s="893"/>
      <c r="BG17" s="893"/>
      <c r="BH17" s="893"/>
      <c r="BI17" s="893"/>
      <c r="BJ17" s="893"/>
      <c r="BK17" s="893"/>
      <c r="BL17" s="893"/>
      <c r="BM17" s="893"/>
      <c r="BN17" s="893"/>
      <c r="BO17" s="460" t="str">
        <f>IF(ISERROR(VLOOKUP(BE17,Tables!$TK:$UB,Tables!$TP$1,FALSE)),"",VLOOKUP(BE17,Tables!$TK:$UB,Tables!$TP$1,FALSE))</f>
        <v/>
      </c>
      <c r="BP17" s="316">
        <v>12</v>
      </c>
      <c r="BQ17" s="835"/>
      <c r="BR17" s="836"/>
      <c r="BS17" s="893"/>
      <c r="BT17" s="893"/>
      <c r="BU17" s="893"/>
      <c r="BV17" s="893"/>
      <c r="BW17" s="893"/>
      <c r="BX17" s="893"/>
      <c r="BY17" s="893"/>
      <c r="BZ17" s="893"/>
      <c r="CA17" s="893"/>
      <c r="CB17" s="893"/>
      <c r="CC17" s="460" t="str">
        <f>IF(ISERROR(VLOOKUP(BS17,Tables!$TK:$UB,Tables!$TP$1,FALSE)),"",VLOOKUP(BS17,Tables!$TK:$UB,Tables!$TP$1,FALSE))</f>
        <v/>
      </c>
      <c r="CD17" s="316">
        <v>12</v>
      </c>
      <c r="CE17" s="835"/>
      <c r="CF17" s="836"/>
      <c r="CG17" s="893"/>
      <c r="CH17" s="893"/>
      <c r="CI17" s="893"/>
      <c r="CJ17" s="893"/>
      <c r="CK17" s="893"/>
      <c r="CL17" s="893"/>
      <c r="CM17" s="893"/>
      <c r="CN17" s="893"/>
      <c r="CO17" s="893"/>
      <c r="CP17" s="893"/>
      <c r="CQ17" s="351" t="str">
        <f>IF(ISERROR(VLOOKUP(CG17,Tables!$TK:$UB,Tables!$TP$1,FALSE)),"",VLOOKUP(CG17,Tables!$TK:$UB,Tables!$TP$1,FALSE))</f>
        <v/>
      </c>
    </row>
    <row r="18" spans="2:95" ht="12" customHeight="1" thickTop="1" thickBot="1" x14ac:dyDescent="0.25">
      <c r="B18" s="153"/>
      <c r="C18" s="917" t="s">
        <v>2726</v>
      </c>
      <c r="D18" s="917"/>
      <c r="E18" s="917"/>
      <c r="F18" s="917"/>
      <c r="G18" s="917"/>
      <c r="H18" s="917"/>
      <c r="I18" s="917"/>
      <c r="J18" s="917"/>
      <c r="K18" s="917" t="str">
        <f ca="1">IF(AND(WizardLevel&gt;=1,DruidLandLevel&gt;=2),ROUNDUP((WizardLevel+DruidLandLevel)/2,0),IF(WizardLevel&gt;=1,ROUNDUP(WizardLevel/2,0),IF(DruidLandLevel&gt;=2,ROUNDUP(DruidLandLevel/2,0),"")))</f>
        <v/>
      </c>
      <c r="L18" s="917"/>
      <c r="M18" s="554"/>
      <c r="N18" s="554"/>
      <c r="O18" s="917" t="s">
        <v>3110</v>
      </c>
      <c r="P18" s="917"/>
      <c r="Q18" s="917"/>
      <c r="R18" s="917"/>
      <c r="S18" s="917"/>
      <c r="T18" s="917"/>
      <c r="U18" s="917" t="str">
        <f>IF(SorcererLevel&gt;0,SorcererLevel,"")</f>
        <v/>
      </c>
      <c r="V18" s="917"/>
      <c r="W18" s="520"/>
      <c r="X18" s="154"/>
      <c r="Y18" s="416"/>
      <c r="Z18" s="348"/>
      <c r="AA18" s="684" t="str">
        <f>IF(WizardLevel&gt;=18,"TRUE","")</f>
        <v/>
      </c>
      <c r="AB18" s="565" t="s">
        <v>3111</v>
      </c>
      <c r="AC18" s="905" t="s">
        <v>171</v>
      </c>
      <c r="AD18" s="905"/>
      <c r="AE18" s="905"/>
      <c r="AF18" s="905"/>
      <c r="AG18" s="905"/>
      <c r="AH18" s="905"/>
      <c r="AI18" s="905"/>
      <c r="AJ18" s="905"/>
      <c r="AK18" s="905"/>
      <c r="AL18" s="905"/>
      <c r="AM18" s="347"/>
      <c r="AN18" s="316">
        <v>13</v>
      </c>
      <c r="AO18" s="835"/>
      <c r="AP18" s="836"/>
      <c r="AQ18" s="893"/>
      <c r="AR18" s="893"/>
      <c r="AS18" s="893"/>
      <c r="AT18" s="893"/>
      <c r="AU18" s="893"/>
      <c r="AV18" s="893"/>
      <c r="AW18" s="893"/>
      <c r="AX18" s="893"/>
      <c r="AY18" s="893"/>
      <c r="AZ18" s="893"/>
      <c r="BA18" s="460" t="str">
        <f>IF(ISERROR(VLOOKUP(AQ18,Tables!$TK:$UB,Tables!$TP$1,FALSE)),"",VLOOKUP(AQ18,Tables!$TK:$UB,Tables!$TP$1,FALSE))</f>
        <v/>
      </c>
      <c r="BB18" s="316">
        <v>13</v>
      </c>
      <c r="BC18" s="835"/>
      <c r="BD18" s="836"/>
      <c r="BE18" s="893"/>
      <c r="BF18" s="893"/>
      <c r="BG18" s="893"/>
      <c r="BH18" s="893"/>
      <c r="BI18" s="893"/>
      <c r="BJ18" s="893"/>
      <c r="BK18" s="893"/>
      <c r="BL18" s="893"/>
      <c r="BM18" s="893"/>
      <c r="BN18" s="893"/>
      <c r="BO18" s="460" t="str">
        <f>IF(ISERROR(VLOOKUP(BE18,Tables!$TK:$UB,Tables!$TP$1,FALSE)),"",VLOOKUP(BE18,Tables!$TK:$UB,Tables!$TP$1,FALSE))</f>
        <v/>
      </c>
      <c r="BP18" s="316">
        <v>13</v>
      </c>
      <c r="BQ18" s="835"/>
      <c r="BR18" s="836"/>
      <c r="BS18" s="893"/>
      <c r="BT18" s="893"/>
      <c r="BU18" s="893"/>
      <c r="BV18" s="893"/>
      <c r="BW18" s="893"/>
      <c r="BX18" s="893"/>
      <c r="BY18" s="893"/>
      <c r="BZ18" s="893"/>
      <c r="CA18" s="893"/>
      <c r="CB18" s="893"/>
      <c r="CC18" s="460" t="str">
        <f>IF(ISERROR(VLOOKUP(BS18,Tables!$TK:$UB,Tables!$TP$1,FALSE)),"",VLOOKUP(BS18,Tables!$TK:$UB,Tables!$TP$1,FALSE))</f>
        <v/>
      </c>
      <c r="CD18" s="316">
        <v>13</v>
      </c>
      <c r="CE18" s="835"/>
      <c r="CF18" s="836"/>
      <c r="CG18" s="893"/>
      <c r="CH18" s="893"/>
      <c r="CI18" s="893"/>
      <c r="CJ18" s="893"/>
      <c r="CK18" s="893"/>
      <c r="CL18" s="893"/>
      <c r="CM18" s="893"/>
      <c r="CN18" s="893"/>
      <c r="CO18" s="893"/>
      <c r="CP18" s="893"/>
      <c r="CQ18" s="351" t="str">
        <f>IF(ISERROR(VLOOKUP(CG18,Tables!$TK:$UB,Tables!$TP$1,FALSE)),"",VLOOKUP(CG18,Tables!$TK:$UB,Tables!$TP$1,FALSE))</f>
        <v/>
      </c>
    </row>
    <row r="19" spans="2:95" ht="12" customHeight="1" thickTop="1" thickBot="1" x14ac:dyDescent="0.25">
      <c r="B19" s="422"/>
      <c r="C19" s="945"/>
      <c r="D19" s="945"/>
      <c r="E19" s="945"/>
      <c r="F19" s="945"/>
      <c r="G19" s="945"/>
      <c r="H19" s="945"/>
      <c r="I19" s="945"/>
      <c r="J19" s="945"/>
      <c r="K19" s="945"/>
      <c r="L19" s="945"/>
      <c r="M19" s="524"/>
      <c r="N19" s="524"/>
      <c r="O19" s="945"/>
      <c r="P19" s="945"/>
      <c r="Q19" s="945"/>
      <c r="R19" s="945"/>
      <c r="S19" s="945"/>
      <c r="T19" s="945"/>
      <c r="U19" s="945"/>
      <c r="V19" s="945"/>
      <c r="W19" s="525"/>
      <c r="X19" s="154"/>
      <c r="Y19" s="416"/>
      <c r="Z19" s="348"/>
      <c r="AA19" s="684" t="str">
        <f>IF(WizardLevel&gt;=18,"TRUE","")</f>
        <v/>
      </c>
      <c r="AB19" s="565" t="s">
        <v>3112</v>
      </c>
      <c r="AC19" s="905" t="s">
        <v>171</v>
      </c>
      <c r="AD19" s="905"/>
      <c r="AE19" s="905"/>
      <c r="AF19" s="905"/>
      <c r="AG19" s="905"/>
      <c r="AH19" s="905"/>
      <c r="AI19" s="905"/>
      <c r="AJ19" s="905"/>
      <c r="AK19" s="905"/>
      <c r="AL19" s="905"/>
      <c r="AM19" s="347"/>
      <c r="AN19" s="316">
        <v>14</v>
      </c>
      <c r="AO19" s="835"/>
      <c r="AP19" s="836"/>
      <c r="AQ19" s="893"/>
      <c r="AR19" s="893"/>
      <c r="AS19" s="893"/>
      <c r="AT19" s="893"/>
      <c r="AU19" s="893"/>
      <c r="AV19" s="893"/>
      <c r="AW19" s="893"/>
      <c r="AX19" s="893"/>
      <c r="AY19" s="893"/>
      <c r="AZ19" s="893"/>
      <c r="BA19" s="460" t="str">
        <f>IF(ISERROR(VLOOKUP(AQ19,Tables!$TK:$UB,Tables!$TP$1,FALSE)),"",VLOOKUP(AQ19,Tables!$TK:$UB,Tables!$TP$1,FALSE))</f>
        <v/>
      </c>
      <c r="BB19" s="316">
        <v>14</v>
      </c>
      <c r="BC19" s="835"/>
      <c r="BD19" s="836"/>
      <c r="BE19" s="893"/>
      <c r="BF19" s="893"/>
      <c r="BG19" s="893"/>
      <c r="BH19" s="893"/>
      <c r="BI19" s="893"/>
      <c r="BJ19" s="893"/>
      <c r="BK19" s="893"/>
      <c r="BL19" s="893"/>
      <c r="BM19" s="893"/>
      <c r="BN19" s="893"/>
      <c r="BO19" s="460" t="str">
        <f>IF(ISERROR(VLOOKUP(BE19,Tables!$TK:$UB,Tables!$TP$1,FALSE)),"",VLOOKUP(BE19,Tables!$TK:$UB,Tables!$TP$1,FALSE))</f>
        <v/>
      </c>
      <c r="BP19" s="316">
        <v>14</v>
      </c>
      <c r="BQ19" s="835"/>
      <c r="BR19" s="836"/>
      <c r="BS19" s="893"/>
      <c r="BT19" s="893"/>
      <c r="BU19" s="893"/>
      <c r="BV19" s="893"/>
      <c r="BW19" s="893"/>
      <c r="BX19" s="893"/>
      <c r="BY19" s="893"/>
      <c r="BZ19" s="893"/>
      <c r="CA19" s="893"/>
      <c r="CB19" s="893"/>
      <c r="CC19" s="460" t="str">
        <f>IF(ISERROR(VLOOKUP(BS19,Tables!$TK:$UB,Tables!$TP$1,FALSE)),"",VLOOKUP(BS19,Tables!$TK:$UB,Tables!$TP$1,FALSE))</f>
        <v/>
      </c>
      <c r="CD19" s="316">
        <v>14</v>
      </c>
      <c r="CE19" s="835"/>
      <c r="CF19" s="836"/>
      <c r="CG19" s="893"/>
      <c r="CH19" s="893"/>
      <c r="CI19" s="893"/>
      <c r="CJ19" s="893"/>
      <c r="CK19" s="893"/>
      <c r="CL19" s="893"/>
      <c r="CM19" s="893"/>
      <c r="CN19" s="893"/>
      <c r="CO19" s="893"/>
      <c r="CP19" s="893"/>
      <c r="CQ19" s="351" t="str">
        <f>IF(ISERROR(VLOOKUP(CG19,Tables!$TK:$UB,Tables!$TP$1,FALSE)),"",VLOOKUP(CG19,Tables!$TK:$UB,Tables!$TP$1,FALSE))</f>
        <v/>
      </c>
    </row>
    <row r="20" spans="2:95" ht="12" customHeight="1" thickTop="1" thickBot="1" x14ac:dyDescent="0.25">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97"/>
      <c r="Z20" s="348"/>
      <c r="AA20" s="684" t="str">
        <f>IF(WizardLevel&gt;=20,"TRUE","")</f>
        <v/>
      </c>
      <c r="AB20" s="565" t="s">
        <v>3113</v>
      </c>
      <c r="AC20" s="962" t="s">
        <v>171</v>
      </c>
      <c r="AD20" s="963"/>
      <c r="AE20" s="963"/>
      <c r="AF20" s="963"/>
      <c r="AG20" s="963"/>
      <c r="AH20" s="963"/>
      <c r="AI20" s="963"/>
      <c r="AJ20" s="963"/>
      <c r="AK20" s="963"/>
      <c r="AL20" s="964"/>
      <c r="AM20" s="347"/>
      <c r="AN20" s="316">
        <v>15</v>
      </c>
      <c r="AO20" s="835"/>
      <c r="AP20" s="836"/>
      <c r="AQ20" s="893"/>
      <c r="AR20" s="893"/>
      <c r="AS20" s="893"/>
      <c r="AT20" s="893"/>
      <c r="AU20" s="893"/>
      <c r="AV20" s="893"/>
      <c r="AW20" s="893"/>
      <c r="AX20" s="893"/>
      <c r="AY20" s="893"/>
      <c r="AZ20" s="893"/>
      <c r="BA20" s="460" t="str">
        <f>IF(ISERROR(VLOOKUP(AQ20,Tables!$TK:$UB,Tables!$TP$1,FALSE)),"",VLOOKUP(AQ20,Tables!$TK:$UB,Tables!$TP$1,FALSE))</f>
        <v/>
      </c>
      <c r="BB20" s="316">
        <v>15</v>
      </c>
      <c r="BC20" s="835"/>
      <c r="BD20" s="836"/>
      <c r="BE20" s="893"/>
      <c r="BF20" s="893"/>
      <c r="BG20" s="893"/>
      <c r="BH20" s="893"/>
      <c r="BI20" s="893"/>
      <c r="BJ20" s="893"/>
      <c r="BK20" s="893"/>
      <c r="BL20" s="893"/>
      <c r="BM20" s="893"/>
      <c r="BN20" s="893"/>
      <c r="BO20" s="460" t="str">
        <f>IF(ISERROR(VLOOKUP(BE20,Tables!$TK:$UB,Tables!$TP$1,FALSE)),"",VLOOKUP(BE20,Tables!$TK:$UB,Tables!$TP$1,FALSE))</f>
        <v/>
      </c>
      <c r="BP20" s="316">
        <v>15</v>
      </c>
      <c r="BQ20" s="835"/>
      <c r="BR20" s="836"/>
      <c r="BS20" s="893"/>
      <c r="BT20" s="893"/>
      <c r="BU20" s="893"/>
      <c r="BV20" s="893"/>
      <c r="BW20" s="893"/>
      <c r="BX20" s="893"/>
      <c r="BY20" s="893"/>
      <c r="BZ20" s="893"/>
      <c r="CA20" s="893"/>
      <c r="CB20" s="893"/>
      <c r="CC20" s="460" t="str">
        <f>IF(ISERROR(VLOOKUP(BS20,Tables!$TK:$UB,Tables!$TP$1,FALSE)),"",VLOOKUP(BS20,Tables!$TK:$UB,Tables!$TP$1,FALSE))</f>
        <v/>
      </c>
      <c r="CD20" s="316">
        <v>15</v>
      </c>
      <c r="CE20" s="835"/>
      <c r="CF20" s="836"/>
      <c r="CG20" s="893"/>
      <c r="CH20" s="893"/>
      <c r="CI20" s="893"/>
      <c r="CJ20" s="893"/>
      <c r="CK20" s="893"/>
      <c r="CL20" s="893"/>
      <c r="CM20" s="893"/>
      <c r="CN20" s="893"/>
      <c r="CO20" s="893"/>
      <c r="CP20" s="893"/>
      <c r="CQ20" s="351" t="str">
        <f>IF(ISERROR(VLOOKUP(CG20,Tables!$TK:$UB,Tables!$TP$1,FALSE)),"",VLOOKUP(CG20,Tables!$TK:$UB,Tables!$TP$1,FALSE))</f>
        <v/>
      </c>
    </row>
    <row r="21" spans="2:95" ht="12" customHeight="1" thickTop="1" thickBot="1" x14ac:dyDescent="0.25">
      <c r="B21" s="417" t="s">
        <v>467</v>
      </c>
      <c r="C21" s="418"/>
      <c r="D21" s="418"/>
      <c r="E21" s="418"/>
      <c r="F21" s="418"/>
      <c r="G21" s="418"/>
      <c r="H21" s="418"/>
      <c r="I21" s="418"/>
      <c r="J21" s="418"/>
      <c r="K21" s="418"/>
      <c r="L21" s="418"/>
      <c r="M21" s="418"/>
      <c r="N21" s="418"/>
      <c r="O21" s="418"/>
      <c r="P21" s="418"/>
      <c r="Q21" s="418"/>
      <c r="R21" s="418"/>
      <c r="S21" s="418"/>
      <c r="T21" s="418"/>
      <c r="U21" s="418"/>
      <c r="V21" s="418"/>
      <c r="W21" s="423"/>
      <c r="X21" s="157"/>
      <c r="Y21" s="192"/>
      <c r="Z21" s="152"/>
      <c r="AA21" s="684" t="str">
        <f>IF(WizardLevel&gt;=20,"TRUE","")</f>
        <v/>
      </c>
      <c r="AB21" s="565" t="s">
        <v>3113</v>
      </c>
      <c r="AC21" s="962" t="s">
        <v>171</v>
      </c>
      <c r="AD21" s="963"/>
      <c r="AE21" s="963"/>
      <c r="AF21" s="963"/>
      <c r="AG21" s="963"/>
      <c r="AH21" s="963"/>
      <c r="AI21" s="963"/>
      <c r="AJ21" s="963"/>
      <c r="AK21" s="963"/>
      <c r="AL21" s="964"/>
      <c r="AM21" s="148"/>
      <c r="AN21" s="316">
        <v>16</v>
      </c>
      <c r="AO21" s="835"/>
      <c r="AP21" s="836"/>
      <c r="AQ21" s="893"/>
      <c r="AR21" s="893"/>
      <c r="AS21" s="893"/>
      <c r="AT21" s="893"/>
      <c r="AU21" s="893"/>
      <c r="AV21" s="893"/>
      <c r="AW21" s="893"/>
      <c r="AX21" s="893"/>
      <c r="AY21" s="893"/>
      <c r="AZ21" s="893"/>
      <c r="BA21" s="460" t="str">
        <f>IF(ISERROR(VLOOKUP(AQ21,Tables!$TK:$UB,Tables!$TP$1,FALSE)),"",VLOOKUP(AQ21,Tables!$TK:$UB,Tables!$TP$1,FALSE))</f>
        <v/>
      </c>
      <c r="BB21" s="316">
        <v>16</v>
      </c>
      <c r="BC21" s="835"/>
      <c r="BD21" s="836"/>
      <c r="BE21" s="893"/>
      <c r="BF21" s="893"/>
      <c r="BG21" s="893"/>
      <c r="BH21" s="893"/>
      <c r="BI21" s="893"/>
      <c r="BJ21" s="893"/>
      <c r="BK21" s="893"/>
      <c r="BL21" s="893"/>
      <c r="BM21" s="893"/>
      <c r="BN21" s="893"/>
      <c r="BO21" s="460" t="str">
        <f>IF(ISERROR(VLOOKUP(BE21,Tables!$TK:$UB,Tables!$TP$1,FALSE)),"",VLOOKUP(BE21,Tables!$TK:$UB,Tables!$TP$1,FALSE))</f>
        <v/>
      </c>
      <c r="BP21" s="316">
        <v>16</v>
      </c>
      <c r="BQ21" s="835"/>
      <c r="BR21" s="836"/>
      <c r="BS21" s="893"/>
      <c r="BT21" s="893"/>
      <c r="BU21" s="893"/>
      <c r="BV21" s="893"/>
      <c r="BW21" s="893"/>
      <c r="BX21" s="893"/>
      <c r="BY21" s="893"/>
      <c r="BZ21" s="893"/>
      <c r="CA21" s="893"/>
      <c r="CB21" s="893"/>
      <c r="CC21" s="460" t="str">
        <f>IF(ISERROR(VLOOKUP(BS21,Tables!$TK:$UB,Tables!$TP$1,FALSE)),"",VLOOKUP(BS21,Tables!$TK:$UB,Tables!$TP$1,FALSE))</f>
        <v/>
      </c>
      <c r="CD21" s="316">
        <v>16</v>
      </c>
      <c r="CE21" s="835"/>
      <c r="CF21" s="836"/>
      <c r="CG21" s="893"/>
      <c r="CH21" s="893"/>
      <c r="CI21" s="893"/>
      <c r="CJ21" s="893"/>
      <c r="CK21" s="893"/>
      <c r="CL21" s="893"/>
      <c r="CM21" s="893"/>
      <c r="CN21" s="893"/>
      <c r="CO21" s="893"/>
      <c r="CP21" s="893"/>
      <c r="CQ21" s="351" t="str">
        <f>IF(ISERROR(VLOOKUP(CG21,Tables!$TK:$UB,Tables!$TP$1,FALSE)),"",VLOOKUP(CG21,Tables!$TK:$UB,Tables!$TP$1,FALSE))</f>
        <v/>
      </c>
    </row>
    <row r="22" spans="2:95" ht="12" customHeight="1" thickTop="1" thickBot="1" x14ac:dyDescent="0.25">
      <c r="B22" s="153"/>
      <c r="C22" s="132"/>
      <c r="D22" s="132"/>
      <c r="E22" s="132"/>
      <c r="F22" s="132"/>
      <c r="G22" s="132"/>
      <c r="H22" s="132"/>
      <c r="I22" s="132"/>
      <c r="J22" s="132"/>
      <c r="K22" s="132"/>
      <c r="L22" s="132"/>
      <c r="M22" s="132"/>
      <c r="N22" s="132"/>
      <c r="O22" s="420"/>
      <c r="P22" s="420"/>
      <c r="Q22" s="420"/>
      <c r="R22" s="420"/>
      <c r="S22" s="132"/>
      <c r="T22" s="132"/>
      <c r="U22" s="132"/>
      <c r="V22" s="132"/>
      <c r="W22" s="151"/>
      <c r="Y22" s="192"/>
      <c r="Z22" s="596"/>
      <c r="AB22" s="114"/>
      <c r="AC22" s="114"/>
      <c r="AD22" s="114"/>
      <c r="AE22" s="114"/>
      <c r="AF22" s="114"/>
      <c r="AG22" s="114"/>
      <c r="AH22" s="114"/>
      <c r="AI22" s="114"/>
      <c r="AJ22" s="114"/>
      <c r="AK22" s="114"/>
      <c r="AL22" s="114"/>
      <c r="AM22" s="148"/>
      <c r="AN22" s="316">
        <v>17</v>
      </c>
      <c r="AO22" s="835"/>
      <c r="AP22" s="836"/>
      <c r="AQ22" s="893"/>
      <c r="AR22" s="893"/>
      <c r="AS22" s="893"/>
      <c r="AT22" s="893"/>
      <c r="AU22" s="893"/>
      <c r="AV22" s="893"/>
      <c r="AW22" s="893"/>
      <c r="AX22" s="893"/>
      <c r="AY22" s="893"/>
      <c r="AZ22" s="893"/>
      <c r="BA22" s="460" t="str">
        <f>IF(ISERROR(VLOOKUP(AQ22,Tables!$TK:$UB,Tables!$TP$1,FALSE)),"",VLOOKUP(AQ22,Tables!$TK:$UB,Tables!$TP$1,FALSE))</f>
        <v/>
      </c>
      <c r="BB22" s="316">
        <v>17</v>
      </c>
      <c r="BC22" s="835"/>
      <c r="BD22" s="836"/>
      <c r="BE22" s="893"/>
      <c r="BF22" s="893"/>
      <c r="BG22" s="893"/>
      <c r="BH22" s="893"/>
      <c r="BI22" s="893"/>
      <c r="BJ22" s="893"/>
      <c r="BK22" s="893"/>
      <c r="BL22" s="893"/>
      <c r="BM22" s="893"/>
      <c r="BN22" s="893"/>
      <c r="BO22" s="460" t="str">
        <f>IF(ISERROR(VLOOKUP(BE22,Tables!$TK:$UB,Tables!$TP$1,FALSE)),"",VLOOKUP(BE22,Tables!$TK:$UB,Tables!$TP$1,FALSE))</f>
        <v/>
      </c>
      <c r="BP22" s="316">
        <v>17</v>
      </c>
      <c r="BQ22" s="835"/>
      <c r="BR22" s="836"/>
      <c r="BS22" s="893"/>
      <c r="BT22" s="893"/>
      <c r="BU22" s="893"/>
      <c r="BV22" s="893"/>
      <c r="BW22" s="893"/>
      <c r="BX22" s="893"/>
      <c r="BY22" s="893"/>
      <c r="BZ22" s="893"/>
      <c r="CA22" s="893"/>
      <c r="CB22" s="893"/>
      <c r="CC22" s="460" t="str">
        <f>IF(ISERROR(VLOOKUP(BS22,Tables!$TK:$UB,Tables!$TP$1,FALSE)),"",VLOOKUP(BS22,Tables!$TK:$UB,Tables!$TP$1,FALSE))</f>
        <v/>
      </c>
      <c r="CD22" s="316">
        <v>17</v>
      </c>
      <c r="CE22" s="835"/>
      <c r="CF22" s="836"/>
      <c r="CG22" s="893"/>
      <c r="CH22" s="893"/>
      <c r="CI22" s="893"/>
      <c r="CJ22" s="893"/>
      <c r="CK22" s="893"/>
      <c r="CL22" s="893"/>
      <c r="CM22" s="893"/>
      <c r="CN22" s="893"/>
      <c r="CO22" s="893"/>
      <c r="CP22" s="893"/>
      <c r="CQ22" s="351" t="str">
        <f>IF(ISERROR(VLOOKUP(CG22,Tables!$TK:$UB,Tables!$TP$1,FALSE)),"",VLOOKUP(CG22,Tables!$TK:$UB,Tables!$TP$1,FALSE))</f>
        <v/>
      </c>
    </row>
    <row r="23" spans="2:95" ht="12" customHeight="1" thickTop="1" thickBot="1" x14ac:dyDescent="0.3">
      <c r="B23" s="637"/>
      <c r="C23" s="938" t="s">
        <v>3405</v>
      </c>
      <c r="D23" s="938"/>
      <c r="E23" s="938"/>
      <c r="F23" s="942" t="s">
        <v>171</v>
      </c>
      <c r="G23" s="943"/>
      <c r="H23" s="943"/>
      <c r="I23" s="943"/>
      <c r="J23" s="943"/>
      <c r="K23" s="132"/>
      <c r="L23" s="936" t="s">
        <v>468</v>
      </c>
      <c r="M23" s="937"/>
      <c r="N23" s="948"/>
      <c r="O23" s="949"/>
      <c r="P23" s="949"/>
      <c r="Q23" s="949"/>
      <c r="R23" s="949"/>
      <c r="S23" s="949"/>
      <c r="T23" s="949"/>
      <c r="U23" s="949"/>
      <c r="V23" s="949"/>
      <c r="W23" s="151"/>
      <c r="Y23" s="192"/>
      <c r="Z23" s="596"/>
      <c r="AB23" s="776" t="s">
        <v>3287</v>
      </c>
      <c r="AC23" s="776"/>
      <c r="AD23" s="776"/>
      <c r="AE23" s="776"/>
      <c r="AF23" s="776"/>
      <c r="AG23" s="776"/>
      <c r="AH23" s="776"/>
      <c r="AI23" s="776"/>
      <c r="AJ23" s="776"/>
      <c r="AK23" s="776"/>
      <c r="AL23" s="776"/>
      <c r="AM23" s="148"/>
      <c r="AN23" s="316">
        <v>18</v>
      </c>
      <c r="AO23" s="835"/>
      <c r="AP23" s="836"/>
      <c r="AQ23" s="893"/>
      <c r="AR23" s="893"/>
      <c r="AS23" s="893"/>
      <c r="AT23" s="893"/>
      <c r="AU23" s="893"/>
      <c r="AV23" s="893"/>
      <c r="AW23" s="893"/>
      <c r="AX23" s="893"/>
      <c r="AY23" s="893"/>
      <c r="AZ23" s="893"/>
      <c r="BA23" s="460" t="str">
        <f>IF(ISERROR(VLOOKUP(AQ23,Tables!$TK:$UB,Tables!$TP$1,FALSE)),"",VLOOKUP(AQ23,Tables!$TK:$UB,Tables!$TP$1,FALSE))</f>
        <v/>
      </c>
      <c r="BB23" s="316">
        <v>18</v>
      </c>
      <c r="BC23" s="835"/>
      <c r="BD23" s="836"/>
      <c r="BE23" s="893"/>
      <c r="BF23" s="893"/>
      <c r="BG23" s="893"/>
      <c r="BH23" s="893"/>
      <c r="BI23" s="893"/>
      <c r="BJ23" s="893"/>
      <c r="BK23" s="893"/>
      <c r="BL23" s="893"/>
      <c r="BM23" s="893"/>
      <c r="BN23" s="893"/>
      <c r="BO23" s="460" t="str">
        <f>IF(ISERROR(VLOOKUP(BE23,Tables!$TK:$UB,Tables!$TP$1,FALSE)),"",VLOOKUP(BE23,Tables!$TK:$UB,Tables!$TP$1,FALSE))</f>
        <v/>
      </c>
      <c r="BP23" s="316">
        <v>18</v>
      </c>
      <c r="BQ23" s="835"/>
      <c r="BR23" s="836"/>
      <c r="BS23" s="893"/>
      <c r="BT23" s="893"/>
      <c r="BU23" s="893"/>
      <c r="BV23" s="893"/>
      <c r="BW23" s="893"/>
      <c r="BX23" s="893"/>
      <c r="BY23" s="893"/>
      <c r="BZ23" s="893"/>
      <c r="CA23" s="893"/>
      <c r="CB23" s="893"/>
      <c r="CC23" s="460" t="str">
        <f>IF(ISERROR(VLOOKUP(BS23,Tables!$TK:$UB,Tables!$TP$1,FALSE)),"",VLOOKUP(BS23,Tables!$TK:$UB,Tables!$TP$1,FALSE))</f>
        <v/>
      </c>
      <c r="CD23" s="316">
        <v>18</v>
      </c>
      <c r="CE23" s="835"/>
      <c r="CF23" s="836"/>
      <c r="CG23" s="893"/>
      <c r="CH23" s="893"/>
      <c r="CI23" s="893"/>
      <c r="CJ23" s="893"/>
      <c r="CK23" s="893"/>
      <c r="CL23" s="893"/>
      <c r="CM23" s="893"/>
      <c r="CN23" s="893"/>
      <c r="CO23" s="893"/>
      <c r="CP23" s="893"/>
      <c r="CQ23" s="351" t="str">
        <f>IF(ISERROR(VLOOKUP(CG23,Tables!$TK:$UB,Tables!$TP$1,FALSE)),"",VLOOKUP(CG23,Tables!$TK:$UB,Tables!$TP$1,FALSE))</f>
        <v/>
      </c>
    </row>
    <row r="24" spans="2:95" ht="12" customHeight="1" thickTop="1" thickBot="1" x14ac:dyDescent="0.3">
      <c r="B24" s="637"/>
      <c r="C24" s="922" t="s">
        <v>24</v>
      </c>
      <c r="D24" s="922"/>
      <c r="E24" s="696"/>
      <c r="F24" s="910" t="s">
        <v>20</v>
      </c>
      <c r="G24" s="910"/>
      <c r="H24" s="696"/>
      <c r="I24" s="915" t="s">
        <v>19</v>
      </c>
      <c r="J24" s="915"/>
      <c r="K24" s="915" t="s">
        <v>23</v>
      </c>
      <c r="L24" s="915"/>
      <c r="M24" s="915" t="s">
        <v>31</v>
      </c>
      <c r="N24" s="915"/>
      <c r="O24" s="915" t="s">
        <v>34</v>
      </c>
      <c r="P24" s="915"/>
      <c r="Q24" s="915" t="s">
        <v>39</v>
      </c>
      <c r="R24" s="915"/>
      <c r="S24" s="915" t="s">
        <v>42</v>
      </c>
      <c r="T24" s="915"/>
      <c r="U24" s="687"/>
      <c r="V24" s="687"/>
      <c r="W24" s="151"/>
      <c r="Y24" s="192"/>
      <c r="Z24" s="596"/>
      <c r="AB24" s="685" t="str">
        <f>Tables!IE4</f>
        <v>3rd</v>
      </c>
      <c r="AC24" s="907" t="s">
        <v>171</v>
      </c>
      <c r="AD24" s="907"/>
      <c r="AE24" s="907"/>
      <c r="AF24" s="907"/>
      <c r="AG24" s="907"/>
      <c r="AH24" s="907"/>
      <c r="AI24" s="907"/>
      <c r="AJ24" s="907"/>
      <c r="AK24" s="907"/>
      <c r="AL24" s="907"/>
      <c r="AM24" s="148"/>
      <c r="AN24" s="316">
        <v>19</v>
      </c>
      <c r="AO24" s="835"/>
      <c r="AP24" s="836"/>
      <c r="AQ24" s="893"/>
      <c r="AR24" s="893"/>
      <c r="AS24" s="893"/>
      <c r="AT24" s="893"/>
      <c r="AU24" s="893"/>
      <c r="AV24" s="893"/>
      <c r="AW24" s="893"/>
      <c r="AX24" s="893"/>
      <c r="AY24" s="893"/>
      <c r="AZ24" s="893"/>
      <c r="BA24" s="460" t="str">
        <f>IF(ISERROR(VLOOKUP(AQ24,Tables!$TK:$UB,Tables!$TP$1,FALSE)),"",VLOOKUP(AQ24,Tables!$TK:$UB,Tables!$TP$1,FALSE))</f>
        <v/>
      </c>
      <c r="BB24" s="316">
        <v>19</v>
      </c>
      <c r="BC24" s="835"/>
      <c r="BD24" s="836"/>
      <c r="BE24" s="893"/>
      <c r="BF24" s="893"/>
      <c r="BG24" s="893"/>
      <c r="BH24" s="893"/>
      <c r="BI24" s="893"/>
      <c r="BJ24" s="893"/>
      <c r="BK24" s="893"/>
      <c r="BL24" s="893"/>
      <c r="BM24" s="893"/>
      <c r="BN24" s="893"/>
      <c r="BO24" s="460" t="str">
        <f>IF(ISERROR(VLOOKUP(BE24,Tables!$TK:$UB,Tables!$TP$1,FALSE)),"",VLOOKUP(BE24,Tables!$TK:$UB,Tables!$TP$1,FALSE))</f>
        <v/>
      </c>
      <c r="BP24" s="316">
        <v>19</v>
      </c>
      <c r="BQ24" s="835"/>
      <c r="BR24" s="836"/>
      <c r="BS24" s="893"/>
      <c r="BT24" s="893"/>
      <c r="BU24" s="893"/>
      <c r="BV24" s="893"/>
      <c r="BW24" s="893"/>
      <c r="BX24" s="893"/>
      <c r="BY24" s="893"/>
      <c r="BZ24" s="893"/>
      <c r="CA24" s="893"/>
      <c r="CB24" s="893"/>
      <c r="CC24" s="460" t="str">
        <f>IF(ISERROR(VLOOKUP(BS24,Tables!$TK:$UB,Tables!$TP$1,FALSE)),"",VLOOKUP(BS24,Tables!$TK:$UB,Tables!$TP$1,FALSE))</f>
        <v/>
      </c>
      <c r="CD24" s="316">
        <v>19</v>
      </c>
      <c r="CE24" s="835"/>
      <c r="CF24" s="836"/>
      <c r="CG24" s="893"/>
      <c r="CH24" s="893"/>
      <c r="CI24" s="893"/>
      <c r="CJ24" s="893"/>
      <c r="CK24" s="893"/>
      <c r="CL24" s="893"/>
      <c r="CM24" s="893"/>
      <c r="CN24" s="893"/>
      <c r="CO24" s="893"/>
      <c r="CP24" s="893"/>
      <c r="CQ24" s="351" t="str">
        <f>IF(ISERROR(VLOOKUP(CG24,Tables!$TK:$UB,Tables!$TP$1,FALSE)),"",VLOOKUP(CG24,Tables!$TK:$UB,Tables!$TP$1,FALSE))</f>
        <v/>
      </c>
    </row>
    <row r="25" spans="2:95" ht="12" customHeight="1" thickTop="1" thickBot="1" x14ac:dyDescent="0.3">
      <c r="B25" s="637"/>
      <c r="C25" s="914" t="str">
        <f>IF(C40="",Tables!XQ2,C40)</f>
        <v/>
      </c>
      <c r="D25" s="914"/>
      <c r="E25" s="634"/>
      <c r="F25" s="777" t="str">
        <f>IF(F40="",Tables!XR2,F40)</f>
        <v/>
      </c>
      <c r="G25" s="777"/>
      <c r="H25" s="528"/>
      <c r="I25" s="332" t="str">
        <f>IF(I40="",Tables!XT2,I40)</f>
        <v/>
      </c>
      <c r="J25" s="475" t="str">
        <f>IF($F$23=SelectText,"",IF(I40="","("&amp;TEXT((I25-10)/2,"+0;-0")&amp;")","("&amp;TEXT((I40-10)/2,"+0;-0")&amp;")"))</f>
        <v/>
      </c>
      <c r="K25" s="332" t="str">
        <f>IF(K40="",Tables!XU2,K40)</f>
        <v/>
      </c>
      <c r="L25" s="475" t="str">
        <f>IF($F$23=SelectText,"",IF(L40="","("&amp;TEXT((K25-10)/2,"+0;-0")&amp;")","("&amp;TEXT((L40-10)/2,"+0;-0")&amp;")"))</f>
        <v/>
      </c>
      <c r="M25" s="332" t="str">
        <f>IF(M40="",Tables!XV2,M40)</f>
        <v/>
      </c>
      <c r="N25" s="475" t="str">
        <f>IF($F$23=SelectText,"",IF(N40="","("&amp;TEXT((M25-10)/2,"+0;-0")&amp;")","("&amp;TEXT((N40-10)/2,"+0;-0")&amp;")"))</f>
        <v/>
      </c>
      <c r="O25" s="332" t="str">
        <f>IF(O40="",Tables!XW2,O40)</f>
        <v/>
      </c>
      <c r="P25" s="475" t="str">
        <f>IF($F$23=SelectText,"",IF(P40="","("&amp;TEXT((O25-10)/2,"+0;-0")&amp;")","("&amp;TEXT((P40-10)/2,"+0;-0")&amp;")"))</f>
        <v/>
      </c>
      <c r="Q25" s="332" t="str">
        <f>IF(Q40="",Tables!XX2,Q40)</f>
        <v/>
      </c>
      <c r="R25" s="475" t="str">
        <f>IF($F$23=SelectText,"",IF(R40="","("&amp;TEXT((Q25-10)/2,"+0;-0")&amp;")","("&amp;TEXT((R40-10)/2,"+0;-0")&amp;")"))</f>
        <v/>
      </c>
      <c r="S25" s="332" t="str">
        <f>IF(S40="",Tables!XY2,S40)</f>
        <v/>
      </c>
      <c r="T25" s="475" t="str">
        <f>IF($F$23=SelectText,"",IF(T40="","("&amp;TEXT((S25-10)/2,"+0;-0")&amp;")","("&amp;TEXT((T40-10)/2,"+0;-0")&amp;")"))</f>
        <v/>
      </c>
      <c r="U25" s="693"/>
      <c r="V25" s="693"/>
      <c r="W25" s="151"/>
      <c r="Y25" s="192"/>
      <c r="Z25" s="596"/>
      <c r="AB25" s="685" t="str">
        <f>Tables!IE5</f>
        <v>3rd</v>
      </c>
      <c r="AC25" s="907" t="s">
        <v>171</v>
      </c>
      <c r="AD25" s="907"/>
      <c r="AE25" s="907"/>
      <c r="AF25" s="907"/>
      <c r="AG25" s="907"/>
      <c r="AH25" s="907"/>
      <c r="AI25" s="907"/>
      <c r="AJ25" s="907"/>
      <c r="AK25" s="907"/>
      <c r="AL25" s="907"/>
      <c r="AM25" s="148"/>
      <c r="AN25" s="316">
        <v>20</v>
      </c>
      <c r="AO25" s="835"/>
      <c r="AP25" s="836"/>
      <c r="AQ25" s="893"/>
      <c r="AR25" s="893"/>
      <c r="AS25" s="893"/>
      <c r="AT25" s="893"/>
      <c r="AU25" s="893"/>
      <c r="AV25" s="893"/>
      <c r="AW25" s="893"/>
      <c r="AX25" s="893"/>
      <c r="AY25" s="893"/>
      <c r="AZ25" s="893"/>
      <c r="BA25" s="460" t="str">
        <f>IF(ISERROR(VLOOKUP(AQ25,Tables!$TK:$UB,Tables!$TP$1,FALSE)),"",VLOOKUP(AQ25,Tables!$TK:$UB,Tables!$TP$1,FALSE))</f>
        <v/>
      </c>
      <c r="BB25" s="316">
        <v>20</v>
      </c>
      <c r="BC25" s="835"/>
      <c r="BD25" s="836"/>
      <c r="BE25" s="893"/>
      <c r="BF25" s="893"/>
      <c r="BG25" s="893"/>
      <c r="BH25" s="893"/>
      <c r="BI25" s="893"/>
      <c r="BJ25" s="893"/>
      <c r="BK25" s="893"/>
      <c r="BL25" s="893"/>
      <c r="BM25" s="893"/>
      <c r="BN25" s="893"/>
      <c r="BO25" s="460" t="str">
        <f>IF(ISERROR(VLOOKUP(BE25,Tables!$TK:$UB,Tables!$TP$1,FALSE)),"",VLOOKUP(BE25,Tables!$TK:$UB,Tables!$TP$1,FALSE))</f>
        <v/>
      </c>
      <c r="BP25" s="316">
        <v>20</v>
      </c>
      <c r="BQ25" s="835"/>
      <c r="BR25" s="836"/>
      <c r="BS25" s="893"/>
      <c r="BT25" s="893"/>
      <c r="BU25" s="893"/>
      <c r="BV25" s="893"/>
      <c r="BW25" s="893"/>
      <c r="BX25" s="893"/>
      <c r="BY25" s="893"/>
      <c r="BZ25" s="893"/>
      <c r="CA25" s="893"/>
      <c r="CB25" s="893"/>
      <c r="CC25" s="460" t="str">
        <f>IF(ISERROR(VLOOKUP(BS25,Tables!$TK:$UB,Tables!$TP$1,FALSE)),"",VLOOKUP(BS25,Tables!$TK:$UB,Tables!$TP$1,FALSE))</f>
        <v/>
      </c>
      <c r="CD25" s="316">
        <v>20</v>
      </c>
      <c r="CE25" s="835"/>
      <c r="CF25" s="836"/>
      <c r="CG25" s="893"/>
      <c r="CH25" s="893"/>
      <c r="CI25" s="893"/>
      <c r="CJ25" s="893"/>
      <c r="CK25" s="893"/>
      <c r="CL25" s="893"/>
      <c r="CM25" s="893"/>
      <c r="CN25" s="893"/>
      <c r="CO25" s="893"/>
      <c r="CP25" s="893"/>
      <c r="CQ25" s="351" t="str">
        <f>IF(ISERROR(VLOOKUP(CG25,Tables!$TK:$UB,Tables!$TP$1,FALSE)),"",VLOOKUP(CG25,Tables!$TK:$UB,Tables!$TP$1,FALSE))</f>
        <v/>
      </c>
    </row>
    <row r="26" spans="2:95" ht="12" customHeight="1" thickTop="1" x14ac:dyDescent="0.25">
      <c r="B26" s="692"/>
      <c r="C26" s="938" t="s">
        <v>9</v>
      </c>
      <c r="D26" s="938"/>
      <c r="E26" s="938"/>
      <c r="F26" s="939" t="str">
        <f>IF(OR(F41="",F41=SelectText),Tables!XO2,F41)</f>
        <v/>
      </c>
      <c r="G26" s="939"/>
      <c r="H26" s="939"/>
      <c r="I26" s="695"/>
      <c r="J26" s="695"/>
      <c r="K26" s="695"/>
      <c r="L26" s="695"/>
      <c r="M26" s="695"/>
      <c r="N26" s="695"/>
      <c r="O26" s="695"/>
      <c r="P26" s="695"/>
      <c r="Q26" s="695"/>
      <c r="R26" s="695"/>
      <c r="S26" s="695"/>
      <c r="T26" s="695"/>
      <c r="U26" s="695"/>
      <c r="V26" s="695"/>
      <c r="W26" s="411"/>
      <c r="Y26" s="194"/>
      <c r="Z26" s="347"/>
      <c r="AA26" s="347"/>
      <c r="AB26" s="685" t="str">
        <f>Tables!IE6</f>
        <v>10th</v>
      </c>
      <c r="AC26" s="907" t="s">
        <v>171</v>
      </c>
      <c r="AD26" s="907"/>
      <c r="AE26" s="907"/>
      <c r="AF26" s="907"/>
      <c r="AG26" s="907"/>
      <c r="AH26" s="907"/>
      <c r="AI26" s="907"/>
      <c r="AJ26" s="907"/>
      <c r="AK26" s="907"/>
      <c r="AL26" s="907"/>
      <c r="AM26" s="148"/>
      <c r="AN26" s="114"/>
      <c r="AO26" s="114"/>
      <c r="AP26" s="447"/>
      <c r="AQ26" s="911" t="str">
        <f>IF(BA26&gt;0,"Select your spells - "&amp;BA26&amp;" remaining",IF(BA26&lt;0,ABS(BA26)&amp;" too many spells selected",""))</f>
        <v/>
      </c>
      <c r="AR26" s="911"/>
      <c r="AS26" s="911"/>
      <c r="AT26" s="911"/>
      <c r="AU26" s="911"/>
      <c r="AV26" s="911"/>
      <c r="AW26" s="911"/>
      <c r="AX26" s="911"/>
      <c r="AY26" s="911"/>
      <c r="AZ26" s="911"/>
      <c r="BA26" s="451">
        <f>Tables!EK6-BA27</f>
        <v>0</v>
      </c>
      <c r="BB26" s="114"/>
      <c r="BC26" s="114"/>
      <c r="BD26" s="448"/>
      <c r="BE26" s="911" t="str">
        <f>IF(BO26&gt;0,"Select your spells - "&amp;BO26&amp;" remaining",IF(BO26&lt;0,ABS(BO26)&amp;" too many spells selected",""))</f>
        <v/>
      </c>
      <c r="BF26" s="911"/>
      <c r="BG26" s="911"/>
      <c r="BH26" s="911"/>
      <c r="BI26" s="911"/>
      <c r="BJ26" s="911"/>
      <c r="BK26" s="911"/>
      <c r="BL26" s="911"/>
      <c r="BM26" s="911"/>
      <c r="BN26" s="911"/>
      <c r="BO26" s="494">
        <f>Tables!EM6-BO27</f>
        <v>0</v>
      </c>
      <c r="BP26" s="114"/>
      <c r="BQ26" s="54"/>
      <c r="BR26" s="448"/>
      <c r="BS26" s="911" t="str">
        <f>IF(CC26&gt;0,"Select your spells - "&amp;CC26&amp;" remaining",IF(CC26&lt;0,ABS(CC26)&amp;" too many spells selected",""))</f>
        <v/>
      </c>
      <c r="BT26" s="911"/>
      <c r="BU26" s="911"/>
      <c r="BV26" s="911"/>
      <c r="BW26" s="911"/>
      <c r="BX26" s="911"/>
      <c r="BY26" s="911"/>
      <c r="BZ26" s="911"/>
      <c r="CA26" s="911"/>
      <c r="CB26" s="911"/>
      <c r="CC26" s="451">
        <f>Tables!EO6-CC27</f>
        <v>0</v>
      </c>
      <c r="CD26" s="54"/>
      <c r="CE26" s="54"/>
      <c r="CF26" s="448"/>
      <c r="CG26" s="911" t="str">
        <f>IF(CQ26&gt;0,"Select your spells - "&amp;CQ26&amp;" remaining",IF(CQ26&lt;0,ABS(CQ26)&amp;" too many spells selected",""))</f>
        <v/>
      </c>
      <c r="CH26" s="911"/>
      <c r="CI26" s="911"/>
      <c r="CJ26" s="911"/>
      <c r="CK26" s="911"/>
      <c r="CL26" s="911"/>
      <c r="CM26" s="911"/>
      <c r="CN26" s="911"/>
      <c r="CO26" s="911"/>
      <c r="CP26" s="911"/>
      <c r="CQ26" s="452">
        <f>Tables!EQ6-CQ27</f>
        <v>0</v>
      </c>
    </row>
    <row r="27" spans="2:95" ht="12" customHeight="1" thickBot="1" x14ac:dyDescent="0.3">
      <c r="B27" s="692"/>
      <c r="C27" s="941" t="s">
        <v>8</v>
      </c>
      <c r="D27" s="941"/>
      <c r="E27" s="941"/>
      <c r="F27" s="940" t="str">
        <f>IF(OR(F42="",F42=SelectText),Tables!XP2,F42)</f>
        <v/>
      </c>
      <c r="G27" s="940"/>
      <c r="H27" s="940"/>
      <c r="I27" s="696"/>
      <c r="J27" s="696"/>
      <c r="K27" s="696"/>
      <c r="L27" s="696"/>
      <c r="M27" s="696"/>
      <c r="N27" s="696"/>
      <c r="O27" s="696"/>
      <c r="P27" s="696"/>
      <c r="Q27" s="696"/>
      <c r="R27" s="696"/>
      <c r="S27" s="696"/>
      <c r="T27" s="696"/>
      <c r="U27" s="696"/>
      <c r="V27" s="696"/>
      <c r="W27" s="411"/>
      <c r="Y27" s="194"/>
      <c r="Z27" s="347"/>
      <c r="AA27" s="347"/>
      <c r="AB27" s="685" t="str">
        <f>Tables!IE7</f>
        <v>17th</v>
      </c>
      <c r="AC27" s="907" t="s">
        <v>171</v>
      </c>
      <c r="AD27" s="907"/>
      <c r="AE27" s="907"/>
      <c r="AF27" s="907"/>
      <c r="AG27" s="907"/>
      <c r="AH27" s="907"/>
      <c r="AI27" s="907"/>
      <c r="AJ27" s="907"/>
      <c r="AK27" s="907"/>
      <c r="AL27" s="907"/>
      <c r="AM27" s="347"/>
      <c r="AN27" s="453"/>
      <c r="AO27" s="453"/>
      <c r="AP27" s="908" t="str">
        <f>Tables!EJ6</f>
        <v/>
      </c>
      <c r="AQ27" s="908"/>
      <c r="AR27" s="908"/>
      <c r="AS27" s="908"/>
      <c r="AT27" s="908"/>
      <c r="AU27" s="908"/>
      <c r="AV27" s="908"/>
      <c r="AW27" s="908"/>
      <c r="AX27" s="908"/>
      <c r="AY27" s="908"/>
      <c r="AZ27" s="908"/>
      <c r="BA27" s="451">
        <f>SUMPRODUCT(--(LEN(BA6:BA25)=1))+2*SUMPRODUCT(--(LEN(BA6:BA25)=2))+3*SUMPRODUCT(--(LEN(BA6:BA25)=3))</f>
        <v>0</v>
      </c>
      <c r="BB27" s="114"/>
      <c r="BC27" s="446"/>
      <c r="BD27" s="908" t="str">
        <f>Tables!EL6</f>
        <v/>
      </c>
      <c r="BE27" s="908"/>
      <c r="BF27" s="908"/>
      <c r="BG27" s="908"/>
      <c r="BH27" s="908"/>
      <c r="BI27" s="908"/>
      <c r="BJ27" s="908"/>
      <c r="BK27" s="908"/>
      <c r="BL27" s="908"/>
      <c r="BM27" s="908"/>
      <c r="BN27" s="908"/>
      <c r="BO27" s="494">
        <f>SUMPRODUCT(--(LEN(BO6:BO25)=1))+2*SUMPRODUCT(--(LEN(BO6:BO25)=2))+3*SUMPRODUCT(--(LEN(BO6:BO25)=3))</f>
        <v>0</v>
      </c>
      <c r="BP27" s="114"/>
      <c r="BQ27" s="446"/>
      <c r="BR27" s="908" t="str">
        <f>Tables!EN6</f>
        <v/>
      </c>
      <c r="BS27" s="908"/>
      <c r="BT27" s="908"/>
      <c r="BU27" s="908"/>
      <c r="BV27" s="908"/>
      <c r="BW27" s="908"/>
      <c r="BX27" s="908"/>
      <c r="BY27" s="908"/>
      <c r="BZ27" s="908"/>
      <c r="CA27" s="908"/>
      <c r="CB27" s="908"/>
      <c r="CC27" s="451">
        <f>SUMPRODUCT(--(LEN(CC6:CC25)=1))+2*SUMPRODUCT(--(LEN(CC6:CC25)=2))+3*SUMPRODUCT(--(LEN(CC6:CC25)=3))</f>
        <v>0</v>
      </c>
      <c r="CD27" s="54"/>
      <c r="CE27" s="446"/>
      <c r="CF27" s="908" t="str">
        <f>Tables!EP6</f>
        <v/>
      </c>
      <c r="CG27" s="908"/>
      <c r="CH27" s="908"/>
      <c r="CI27" s="908"/>
      <c r="CJ27" s="908"/>
      <c r="CK27" s="908"/>
      <c r="CL27" s="908"/>
      <c r="CM27" s="908"/>
      <c r="CN27" s="908"/>
      <c r="CO27" s="908"/>
      <c r="CP27" s="908"/>
      <c r="CQ27" s="452">
        <f>SUMPRODUCT(--(LEN(CQ6:CQ25)=1))+2*SUMPRODUCT(--(LEN(CQ6:CQ25)=2))+3*SUMPRODUCT(--(LEN(CQ6:CQ25)=3))</f>
        <v>0</v>
      </c>
    </row>
    <row r="28" spans="2:95" ht="12" customHeight="1" thickTop="1" x14ac:dyDescent="0.25">
      <c r="B28" s="691"/>
      <c r="C28" s="946" t="s">
        <v>18</v>
      </c>
      <c r="D28" s="946"/>
      <c r="E28" s="946"/>
      <c r="F28" s="912" t="str">
        <f>IF(F43="",Tables!XS2,F43)</f>
        <v/>
      </c>
      <c r="G28" s="912"/>
      <c r="H28" s="912"/>
      <c r="I28" s="912"/>
      <c r="J28" s="912"/>
      <c r="K28" s="912"/>
      <c r="L28" s="912"/>
      <c r="M28" s="912"/>
      <c r="N28" s="912"/>
      <c r="O28" s="912"/>
      <c r="P28" s="912"/>
      <c r="Q28" s="912"/>
      <c r="R28" s="912"/>
      <c r="S28" s="912"/>
      <c r="T28" s="912"/>
      <c r="U28" s="912"/>
      <c r="V28" s="912"/>
      <c r="W28" s="191"/>
      <c r="Y28" s="194"/>
      <c r="Z28" s="114"/>
      <c r="AA28" s="114"/>
      <c r="AB28" s="114"/>
      <c r="AC28" s="114"/>
      <c r="AD28" s="347"/>
      <c r="AE28" s="347"/>
      <c r="AF28" s="347"/>
      <c r="AG28" s="347"/>
      <c r="AH28" s="347"/>
      <c r="AI28" s="347"/>
      <c r="AJ28" s="347"/>
      <c r="AK28" s="347"/>
      <c r="AL28" s="347"/>
      <c r="AM28" s="347"/>
      <c r="AN28" s="453"/>
      <c r="AO28" s="453"/>
      <c r="AP28" s="908"/>
      <c r="AQ28" s="908"/>
      <c r="AR28" s="908"/>
      <c r="AS28" s="908"/>
      <c r="AT28" s="908"/>
      <c r="AU28" s="908"/>
      <c r="AV28" s="908"/>
      <c r="AW28" s="908"/>
      <c r="AX28" s="908"/>
      <c r="AY28" s="908"/>
      <c r="AZ28" s="908"/>
      <c r="BA28" s="490"/>
      <c r="BB28" s="446"/>
      <c r="BC28" s="446"/>
      <c r="BD28" s="908"/>
      <c r="BE28" s="908"/>
      <c r="BF28" s="908"/>
      <c r="BG28" s="908"/>
      <c r="BH28" s="908"/>
      <c r="BI28" s="908"/>
      <c r="BJ28" s="908"/>
      <c r="BK28" s="908"/>
      <c r="BL28" s="908"/>
      <c r="BM28" s="908"/>
      <c r="BN28" s="908"/>
      <c r="BO28" s="490"/>
      <c r="BP28" s="446"/>
      <c r="BQ28" s="446"/>
      <c r="BR28" s="908"/>
      <c r="BS28" s="908"/>
      <c r="BT28" s="908"/>
      <c r="BU28" s="908"/>
      <c r="BV28" s="908"/>
      <c r="BW28" s="908"/>
      <c r="BX28" s="908"/>
      <c r="BY28" s="908"/>
      <c r="BZ28" s="908"/>
      <c r="CA28" s="908"/>
      <c r="CB28" s="908"/>
      <c r="CC28" s="490"/>
      <c r="CD28" s="446"/>
      <c r="CE28" s="446"/>
      <c r="CF28" s="908"/>
      <c r="CG28" s="908"/>
      <c r="CH28" s="908"/>
      <c r="CI28" s="908"/>
      <c r="CJ28" s="908"/>
      <c r="CK28" s="908"/>
      <c r="CL28" s="908"/>
      <c r="CM28" s="908"/>
      <c r="CN28" s="908"/>
      <c r="CO28" s="908"/>
      <c r="CP28" s="908"/>
      <c r="CQ28" s="491"/>
    </row>
    <row r="29" spans="2:95" ht="12" customHeight="1" x14ac:dyDescent="0.25">
      <c r="B29" s="691"/>
      <c r="C29" s="947" t="s">
        <v>33</v>
      </c>
      <c r="D29" s="947"/>
      <c r="E29" s="947"/>
      <c r="F29" s="944" t="str">
        <f>IF(F44="",Tables!XZ2,F44)</f>
        <v/>
      </c>
      <c r="G29" s="944"/>
      <c r="H29" s="944"/>
      <c r="I29" s="944"/>
      <c r="J29" s="944"/>
      <c r="K29" s="944"/>
      <c r="L29" s="944"/>
      <c r="M29" s="944"/>
      <c r="N29" s="944"/>
      <c r="O29" s="944"/>
      <c r="P29" s="944"/>
      <c r="Q29" s="944"/>
      <c r="R29" s="944"/>
      <c r="S29" s="944"/>
      <c r="T29" s="944"/>
      <c r="U29" s="944"/>
      <c r="V29" s="944"/>
      <c r="W29" s="211"/>
      <c r="Y29" s="194"/>
      <c r="Z29" s="114"/>
      <c r="AA29" s="114"/>
      <c r="AB29" s="114"/>
      <c r="AC29" s="114"/>
      <c r="AD29" s="114"/>
      <c r="AE29" s="114"/>
      <c r="AF29" s="114"/>
      <c r="AG29" s="114"/>
      <c r="AH29" s="114"/>
      <c r="AI29" s="114"/>
      <c r="AJ29" s="114"/>
      <c r="AK29" s="114"/>
      <c r="AL29" s="114"/>
      <c r="AM29" s="114"/>
      <c r="AN29" s="453"/>
      <c r="AO29" s="453"/>
      <c r="AP29" s="908"/>
      <c r="AQ29" s="908"/>
      <c r="AR29" s="908"/>
      <c r="AS29" s="908"/>
      <c r="AT29" s="908"/>
      <c r="AU29" s="908"/>
      <c r="AV29" s="908"/>
      <c r="AW29" s="908"/>
      <c r="AX29" s="908"/>
      <c r="AY29" s="908"/>
      <c r="AZ29" s="908"/>
      <c r="BA29" s="492"/>
      <c r="BB29" s="446"/>
      <c r="BC29" s="446"/>
      <c r="BD29" s="908"/>
      <c r="BE29" s="908"/>
      <c r="BF29" s="908"/>
      <c r="BG29" s="908"/>
      <c r="BH29" s="908"/>
      <c r="BI29" s="908"/>
      <c r="BJ29" s="908"/>
      <c r="BK29" s="908"/>
      <c r="BL29" s="908"/>
      <c r="BM29" s="908"/>
      <c r="BN29" s="908"/>
      <c r="BO29" s="492"/>
      <c r="BP29" s="446"/>
      <c r="BQ29" s="446"/>
      <c r="BR29" s="908"/>
      <c r="BS29" s="908"/>
      <c r="BT29" s="908"/>
      <c r="BU29" s="908"/>
      <c r="BV29" s="908"/>
      <c r="BW29" s="908"/>
      <c r="BX29" s="908"/>
      <c r="BY29" s="908"/>
      <c r="BZ29" s="908"/>
      <c r="CA29" s="908"/>
      <c r="CB29" s="908"/>
      <c r="CC29" s="492"/>
      <c r="CD29" s="446"/>
      <c r="CE29" s="446"/>
      <c r="CF29" s="908"/>
      <c r="CG29" s="908"/>
      <c r="CH29" s="908"/>
      <c r="CI29" s="908"/>
      <c r="CJ29" s="908"/>
      <c r="CK29" s="908"/>
      <c r="CL29" s="908"/>
      <c r="CM29" s="908"/>
      <c r="CN29" s="908"/>
      <c r="CO29" s="908"/>
      <c r="CP29" s="908"/>
      <c r="CQ29" s="493"/>
    </row>
    <row r="30" spans="2:95" ht="12" customHeight="1" x14ac:dyDescent="0.25">
      <c r="B30" s="691"/>
      <c r="C30" s="946" t="s">
        <v>1738</v>
      </c>
      <c r="D30" s="946"/>
      <c r="E30" s="946"/>
      <c r="F30" s="944" t="str">
        <f>IF(F45="",Tables!YA2,F45)</f>
        <v/>
      </c>
      <c r="G30" s="944"/>
      <c r="H30" s="944"/>
      <c r="I30" s="944"/>
      <c r="J30" s="944"/>
      <c r="K30" s="944"/>
      <c r="L30" s="944"/>
      <c r="M30" s="944"/>
      <c r="N30" s="944"/>
      <c r="O30" s="944"/>
      <c r="P30" s="944"/>
      <c r="Q30" s="944"/>
      <c r="R30" s="944"/>
      <c r="S30" s="944"/>
      <c r="T30" s="944"/>
      <c r="U30" s="944"/>
      <c r="V30" s="944"/>
      <c r="W30" s="211"/>
      <c r="Y30" s="194"/>
      <c r="Z30" s="114"/>
      <c r="AA30" s="114"/>
      <c r="AB30" s="114"/>
      <c r="AC30" s="114"/>
      <c r="AD30" s="114"/>
      <c r="AE30" s="114"/>
      <c r="AF30" s="114"/>
      <c r="AG30" s="114"/>
      <c r="AH30" s="114"/>
      <c r="AI30" s="114"/>
      <c r="AJ30" s="114"/>
      <c r="AK30" s="114"/>
      <c r="AL30" s="114"/>
      <c r="AM30" s="114"/>
      <c r="AN30" s="453"/>
      <c r="AO30" s="453"/>
      <c r="AP30" s="908"/>
      <c r="AQ30" s="908"/>
      <c r="AR30" s="908"/>
      <c r="AS30" s="908"/>
      <c r="AT30" s="908"/>
      <c r="AU30" s="908"/>
      <c r="AV30" s="908"/>
      <c r="AW30" s="908"/>
      <c r="AX30" s="908"/>
      <c r="AY30" s="908"/>
      <c r="AZ30" s="908"/>
      <c r="BA30" s="446"/>
      <c r="BB30" s="446"/>
      <c r="BC30" s="446"/>
      <c r="BD30" s="908"/>
      <c r="BE30" s="908"/>
      <c r="BF30" s="908"/>
      <c r="BG30" s="908"/>
      <c r="BH30" s="908"/>
      <c r="BI30" s="908"/>
      <c r="BJ30" s="908"/>
      <c r="BK30" s="908"/>
      <c r="BL30" s="908"/>
      <c r="BM30" s="908"/>
      <c r="BN30" s="908"/>
      <c r="BO30" s="446"/>
      <c r="BP30" s="446"/>
      <c r="BQ30" s="446"/>
      <c r="BR30" s="908"/>
      <c r="BS30" s="908"/>
      <c r="BT30" s="908"/>
      <c r="BU30" s="908"/>
      <c r="BV30" s="908"/>
      <c r="BW30" s="908"/>
      <c r="BX30" s="908"/>
      <c r="BY30" s="908"/>
      <c r="BZ30" s="908"/>
      <c r="CA30" s="908"/>
      <c r="CB30" s="908"/>
      <c r="CC30" s="446"/>
      <c r="CD30" s="446"/>
      <c r="CE30" s="446"/>
      <c r="CF30" s="908"/>
      <c r="CG30" s="908"/>
      <c r="CH30" s="908"/>
      <c r="CI30" s="908"/>
      <c r="CJ30" s="908"/>
      <c r="CK30" s="908"/>
      <c r="CL30" s="908"/>
      <c r="CM30" s="908"/>
      <c r="CN30" s="908"/>
      <c r="CO30" s="908"/>
      <c r="CP30" s="908"/>
      <c r="CQ30" s="449"/>
    </row>
    <row r="31" spans="2:95" ht="12" customHeight="1" x14ac:dyDescent="0.25">
      <c r="B31" s="691"/>
      <c r="C31" s="947" t="s">
        <v>248</v>
      </c>
      <c r="D31" s="947"/>
      <c r="E31" s="947"/>
      <c r="F31" s="944" t="str">
        <f>IF(F46="",Tables!YB2,F46)</f>
        <v/>
      </c>
      <c r="G31" s="944"/>
      <c r="H31" s="944"/>
      <c r="I31" s="944"/>
      <c r="J31" s="944"/>
      <c r="K31" s="944"/>
      <c r="L31" s="944"/>
      <c r="M31" s="944"/>
      <c r="N31" s="944"/>
      <c r="O31" s="944"/>
      <c r="P31" s="944"/>
      <c r="Q31" s="944"/>
      <c r="R31" s="944"/>
      <c r="S31" s="944"/>
      <c r="T31" s="944"/>
      <c r="U31" s="944"/>
      <c r="V31" s="944"/>
      <c r="W31" s="191"/>
      <c r="Y31" s="194"/>
      <c r="Z31" s="114"/>
      <c r="AA31" s="114"/>
      <c r="AB31" s="114"/>
      <c r="AC31" s="114"/>
      <c r="AD31" s="114"/>
      <c r="AE31" s="114"/>
      <c r="AF31" s="114"/>
      <c r="AG31" s="114"/>
      <c r="AH31" s="114"/>
      <c r="AI31" s="114"/>
      <c r="AJ31" s="114"/>
      <c r="AK31" s="114"/>
      <c r="AL31" s="114"/>
      <c r="AM31" s="114"/>
      <c r="AN31" s="114"/>
      <c r="AO31" s="114"/>
      <c r="AP31" s="446"/>
      <c r="AQ31" s="446"/>
      <c r="AR31" s="446"/>
      <c r="AS31" s="446"/>
      <c r="AT31" s="446"/>
      <c r="AU31" s="446"/>
      <c r="AV31" s="446"/>
      <c r="AW31" s="446"/>
      <c r="AX31" s="446"/>
      <c r="AY31" s="446"/>
      <c r="AZ31" s="446"/>
      <c r="BA31" s="114"/>
      <c r="BB31" s="114"/>
      <c r="BC31" s="114"/>
      <c r="BD31" s="114"/>
      <c r="BE31" s="114"/>
      <c r="BF31" s="114"/>
      <c r="BG31" s="114"/>
      <c r="BH31" s="114"/>
      <c r="BI31" s="114"/>
      <c r="BJ31" s="114"/>
      <c r="BK31" s="114"/>
      <c r="BL31" s="114"/>
      <c r="BM31" s="114"/>
      <c r="BN31" s="114"/>
      <c r="BO31" s="11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195"/>
      <c r="CQ31" s="449"/>
    </row>
    <row r="32" spans="2:95" ht="12" customHeight="1" thickBot="1" x14ac:dyDescent="0.3">
      <c r="B32" s="691"/>
      <c r="C32" s="947"/>
      <c r="D32" s="947"/>
      <c r="E32" s="947"/>
      <c r="F32" s="944"/>
      <c r="G32" s="944"/>
      <c r="H32" s="944"/>
      <c r="I32" s="944"/>
      <c r="J32" s="944"/>
      <c r="K32" s="944"/>
      <c r="L32" s="944"/>
      <c r="M32" s="944"/>
      <c r="N32" s="944"/>
      <c r="O32" s="944"/>
      <c r="P32" s="944"/>
      <c r="Q32" s="944"/>
      <c r="R32" s="944"/>
      <c r="S32" s="944"/>
      <c r="T32" s="944"/>
      <c r="U32" s="944"/>
      <c r="V32" s="944"/>
      <c r="W32" s="211"/>
      <c r="Y32" s="194"/>
      <c r="Z32" s="588"/>
      <c r="AA32" s="928" t="s">
        <v>455</v>
      </c>
      <c r="AB32" s="928"/>
      <c r="AC32" s="857" t="s">
        <v>462</v>
      </c>
      <c r="AD32" s="857"/>
      <c r="AE32" s="857"/>
      <c r="AF32" s="857"/>
      <c r="AG32" s="857"/>
      <c r="AH32" s="857"/>
      <c r="AI32" s="857"/>
      <c r="AJ32" s="857"/>
      <c r="AK32" s="857"/>
      <c r="AL32" s="857"/>
      <c r="AM32" s="260"/>
      <c r="AN32" s="260"/>
      <c r="AO32" s="928" t="s">
        <v>455</v>
      </c>
      <c r="AP32" s="928"/>
      <c r="AQ32" s="857" t="s">
        <v>463</v>
      </c>
      <c r="AR32" s="857"/>
      <c r="AS32" s="857"/>
      <c r="AT32" s="857"/>
      <c r="AU32" s="857"/>
      <c r="AV32" s="857"/>
      <c r="AW32" s="857"/>
      <c r="AX32" s="857"/>
      <c r="AY32" s="857"/>
      <c r="AZ32" s="857"/>
      <c r="BA32" s="260"/>
      <c r="BB32" s="260"/>
      <c r="BC32" s="928" t="s">
        <v>455</v>
      </c>
      <c r="BD32" s="928"/>
      <c r="BE32" s="857" t="s">
        <v>464</v>
      </c>
      <c r="BF32" s="857"/>
      <c r="BG32" s="857"/>
      <c r="BH32" s="857"/>
      <c r="BI32" s="857"/>
      <c r="BJ32" s="857"/>
      <c r="BK32" s="857"/>
      <c r="BL32" s="857"/>
      <c r="BM32" s="857"/>
      <c r="BN32" s="857"/>
      <c r="BO32" s="260"/>
      <c r="BP32" s="260"/>
      <c r="BQ32" s="928" t="s">
        <v>455</v>
      </c>
      <c r="BR32" s="928"/>
      <c r="BS32" s="857" t="s">
        <v>465</v>
      </c>
      <c r="BT32" s="857"/>
      <c r="BU32" s="857"/>
      <c r="BV32" s="857"/>
      <c r="BW32" s="857"/>
      <c r="BX32" s="857"/>
      <c r="BY32" s="857"/>
      <c r="BZ32" s="857"/>
      <c r="CA32" s="857"/>
      <c r="CB32" s="857"/>
      <c r="CC32" s="260"/>
      <c r="CD32" s="591"/>
      <c r="CE32" s="928" t="s">
        <v>455</v>
      </c>
      <c r="CF32" s="928"/>
      <c r="CG32" s="857" t="s">
        <v>466</v>
      </c>
      <c r="CH32" s="857"/>
      <c r="CI32" s="857"/>
      <c r="CJ32" s="857"/>
      <c r="CK32" s="857"/>
      <c r="CL32" s="857"/>
      <c r="CM32" s="857"/>
      <c r="CN32" s="857"/>
      <c r="CO32" s="857"/>
      <c r="CP32" s="857"/>
      <c r="CQ32" s="191"/>
    </row>
    <row r="33" spans="2:95" ht="12" customHeight="1" thickTop="1" thickBot="1" x14ac:dyDescent="0.3">
      <c r="B33" s="155"/>
      <c r="C33" s="909" t="s">
        <v>323</v>
      </c>
      <c r="D33" s="909"/>
      <c r="E33" s="909"/>
      <c r="F33" s="446"/>
      <c r="G33" s="446"/>
      <c r="H33" s="446"/>
      <c r="I33" s="446"/>
      <c r="J33" s="446"/>
      <c r="K33" s="446"/>
      <c r="L33" s="446"/>
      <c r="M33" s="446"/>
      <c r="N33" s="446"/>
      <c r="O33" s="446"/>
      <c r="P33" s="446"/>
      <c r="Q33" s="446"/>
      <c r="R33" s="446"/>
      <c r="S33" s="446"/>
      <c r="T33" s="446"/>
      <c r="U33" s="446"/>
      <c r="V33" s="446"/>
      <c r="W33" s="449"/>
      <c r="Y33" s="194"/>
      <c r="Z33" s="588">
        <v>1</v>
      </c>
      <c r="AA33" s="835"/>
      <c r="AB33" s="836"/>
      <c r="AC33" s="893"/>
      <c r="AD33" s="893"/>
      <c r="AE33" s="893"/>
      <c r="AF33" s="893"/>
      <c r="AG33" s="893"/>
      <c r="AH33" s="893"/>
      <c r="AI33" s="893"/>
      <c r="AJ33" s="893"/>
      <c r="AK33" s="893"/>
      <c r="AL33" s="893"/>
      <c r="AM33" s="460" t="str">
        <f>IF(ISERROR(VLOOKUP(AC33,Tables!$TK:$UB,Tables!$TP$1,FALSE)),"",VLOOKUP(AC33,Tables!$TK:$UB,Tables!$TP$1,FALSE))</f>
        <v/>
      </c>
      <c r="AN33" s="316">
        <v>1</v>
      </c>
      <c r="AO33" s="835"/>
      <c r="AP33" s="836"/>
      <c r="AQ33" s="893"/>
      <c r="AR33" s="893"/>
      <c r="AS33" s="893"/>
      <c r="AT33" s="893"/>
      <c r="AU33" s="893"/>
      <c r="AV33" s="893"/>
      <c r="AW33" s="893"/>
      <c r="AX33" s="893"/>
      <c r="AY33" s="893"/>
      <c r="AZ33" s="893"/>
      <c r="BA33" s="110"/>
      <c r="BB33" s="305">
        <v>1</v>
      </c>
      <c r="BC33" s="835"/>
      <c r="BD33" s="836"/>
      <c r="BE33" s="893"/>
      <c r="BF33" s="893"/>
      <c r="BG33" s="893"/>
      <c r="BH33" s="893"/>
      <c r="BI33" s="893"/>
      <c r="BJ33" s="893"/>
      <c r="BK33" s="893"/>
      <c r="BL33" s="893"/>
      <c r="BM33" s="893"/>
      <c r="BN33" s="893"/>
      <c r="BO33" s="110"/>
      <c r="BP33" s="316">
        <v>1</v>
      </c>
      <c r="BQ33" s="835"/>
      <c r="BR33" s="836"/>
      <c r="BS33" s="893"/>
      <c r="BT33" s="893"/>
      <c r="BU33" s="893"/>
      <c r="BV33" s="893"/>
      <c r="BW33" s="893"/>
      <c r="BX33" s="893"/>
      <c r="BY33" s="893"/>
      <c r="BZ33" s="893"/>
      <c r="CA33" s="893"/>
      <c r="CB33" s="893"/>
      <c r="CC33" s="195"/>
      <c r="CD33" s="316">
        <v>1</v>
      </c>
      <c r="CE33" s="835"/>
      <c r="CF33" s="836"/>
      <c r="CG33" s="893"/>
      <c r="CH33" s="893"/>
      <c r="CI33" s="893"/>
      <c r="CJ33" s="893"/>
      <c r="CK33" s="893"/>
      <c r="CL33" s="893"/>
      <c r="CM33" s="893"/>
      <c r="CN33" s="893"/>
      <c r="CO33" s="893"/>
      <c r="CP33" s="893"/>
      <c r="CQ33" s="191"/>
    </row>
    <row r="34" spans="2:95" ht="12" customHeight="1" thickTop="1" thickBot="1" x14ac:dyDescent="0.25">
      <c r="B34" s="155"/>
      <c r="C34" s="908" t="str">
        <f>IF(C49="",Tables!YC2,C49)</f>
        <v/>
      </c>
      <c r="D34" s="908"/>
      <c r="E34" s="908"/>
      <c r="F34" s="908"/>
      <c r="G34" s="908"/>
      <c r="H34" s="908"/>
      <c r="I34" s="908"/>
      <c r="J34" s="908"/>
      <c r="K34" s="908"/>
      <c r="L34" s="908"/>
      <c r="M34" s="908"/>
      <c r="N34" s="908"/>
      <c r="O34" s="908"/>
      <c r="P34" s="908"/>
      <c r="Q34" s="908"/>
      <c r="R34" s="908"/>
      <c r="S34" s="908"/>
      <c r="T34" s="908"/>
      <c r="U34" s="908"/>
      <c r="V34" s="908"/>
      <c r="W34" s="958"/>
      <c r="Y34" s="194"/>
      <c r="Z34" s="588">
        <v>2</v>
      </c>
      <c r="AA34" s="835"/>
      <c r="AB34" s="836"/>
      <c r="AC34" s="893"/>
      <c r="AD34" s="893"/>
      <c r="AE34" s="893"/>
      <c r="AF34" s="893"/>
      <c r="AG34" s="893"/>
      <c r="AH34" s="893"/>
      <c r="AI34" s="893"/>
      <c r="AJ34" s="893"/>
      <c r="AK34" s="893"/>
      <c r="AL34" s="893"/>
      <c r="AM34" s="460" t="str">
        <f>IF(ISERROR(VLOOKUP(AC34,Tables!$TK:$UB,Tables!$TP$1,FALSE)),"",VLOOKUP(AC34,Tables!$TK:$UB,Tables!$TP$1,FALSE))</f>
        <v/>
      </c>
      <c r="AN34" s="316">
        <v>2</v>
      </c>
      <c r="AO34" s="835"/>
      <c r="AP34" s="836"/>
      <c r="AQ34" s="893"/>
      <c r="AR34" s="893"/>
      <c r="AS34" s="893"/>
      <c r="AT34" s="893"/>
      <c r="AU34" s="893"/>
      <c r="AV34" s="893"/>
      <c r="AW34" s="893"/>
      <c r="AX34" s="893"/>
      <c r="AY34" s="893"/>
      <c r="AZ34" s="893"/>
      <c r="BA34" s="110"/>
      <c r="BB34" s="305">
        <v>2</v>
      </c>
      <c r="BC34" s="835"/>
      <c r="BD34" s="836"/>
      <c r="BE34" s="893"/>
      <c r="BF34" s="893"/>
      <c r="BG34" s="893"/>
      <c r="BH34" s="893"/>
      <c r="BI34" s="893"/>
      <c r="BJ34" s="893"/>
      <c r="BK34" s="893"/>
      <c r="BL34" s="893"/>
      <c r="BM34" s="893"/>
      <c r="BN34" s="893"/>
      <c r="BO34" s="110"/>
      <c r="BP34" s="316">
        <v>2</v>
      </c>
      <c r="BQ34" s="835"/>
      <c r="BR34" s="836"/>
      <c r="BS34" s="893"/>
      <c r="BT34" s="893"/>
      <c r="BU34" s="893"/>
      <c r="BV34" s="893"/>
      <c r="BW34" s="893"/>
      <c r="BX34" s="893"/>
      <c r="BY34" s="893"/>
      <c r="BZ34" s="893"/>
      <c r="CA34" s="893"/>
      <c r="CB34" s="893"/>
      <c r="CC34" s="195"/>
      <c r="CD34" s="316">
        <v>2</v>
      </c>
      <c r="CE34" s="835"/>
      <c r="CF34" s="836"/>
      <c r="CG34" s="893"/>
      <c r="CH34" s="893"/>
      <c r="CI34" s="893"/>
      <c r="CJ34" s="893"/>
      <c r="CK34" s="893"/>
      <c r="CL34" s="893"/>
      <c r="CM34" s="893"/>
      <c r="CN34" s="893"/>
      <c r="CO34" s="893"/>
      <c r="CP34" s="893"/>
      <c r="CQ34" s="191"/>
    </row>
    <row r="35" spans="2:95" ht="12" customHeight="1" thickTop="1" thickBot="1" x14ac:dyDescent="0.25">
      <c r="B35" s="155"/>
      <c r="C35" s="908"/>
      <c r="D35" s="908"/>
      <c r="E35" s="908"/>
      <c r="F35" s="908"/>
      <c r="G35" s="908"/>
      <c r="H35" s="908"/>
      <c r="I35" s="908"/>
      <c r="J35" s="908"/>
      <c r="K35" s="908"/>
      <c r="L35" s="908"/>
      <c r="M35" s="908"/>
      <c r="N35" s="908"/>
      <c r="O35" s="908"/>
      <c r="P35" s="908"/>
      <c r="Q35" s="908"/>
      <c r="R35" s="908"/>
      <c r="S35" s="908"/>
      <c r="T35" s="908"/>
      <c r="U35" s="908"/>
      <c r="V35" s="908"/>
      <c r="W35" s="958"/>
      <c r="Y35" s="194"/>
      <c r="Z35" s="588">
        <v>3</v>
      </c>
      <c r="AA35" s="835"/>
      <c r="AB35" s="836"/>
      <c r="AC35" s="893"/>
      <c r="AD35" s="893"/>
      <c r="AE35" s="893"/>
      <c r="AF35" s="893"/>
      <c r="AG35" s="893"/>
      <c r="AH35" s="893"/>
      <c r="AI35" s="893"/>
      <c r="AJ35" s="893"/>
      <c r="AK35" s="893"/>
      <c r="AL35" s="893"/>
      <c r="AM35" s="460" t="str">
        <f>IF(ISERROR(VLOOKUP(AC35,Tables!$TK:$UB,Tables!$TP$1,FALSE)),"",VLOOKUP(AC35,Tables!$TK:$UB,Tables!$TP$1,FALSE))</f>
        <v/>
      </c>
      <c r="AN35" s="316">
        <v>3</v>
      </c>
      <c r="AO35" s="835"/>
      <c r="AP35" s="836"/>
      <c r="AQ35" s="893"/>
      <c r="AR35" s="893"/>
      <c r="AS35" s="893"/>
      <c r="AT35" s="893"/>
      <c r="AU35" s="893"/>
      <c r="AV35" s="893"/>
      <c r="AW35" s="893"/>
      <c r="AX35" s="893"/>
      <c r="AY35" s="893"/>
      <c r="AZ35" s="893"/>
      <c r="BA35" s="110"/>
      <c r="BB35" s="305">
        <v>3</v>
      </c>
      <c r="BC35" s="835"/>
      <c r="BD35" s="836"/>
      <c r="BE35" s="893"/>
      <c r="BF35" s="893"/>
      <c r="BG35" s="893"/>
      <c r="BH35" s="893"/>
      <c r="BI35" s="893"/>
      <c r="BJ35" s="893"/>
      <c r="BK35" s="893"/>
      <c r="BL35" s="893"/>
      <c r="BM35" s="893"/>
      <c r="BN35" s="893"/>
      <c r="BO35" s="110"/>
      <c r="BP35" s="316">
        <v>3</v>
      </c>
      <c r="BQ35" s="835"/>
      <c r="BR35" s="836"/>
      <c r="BS35" s="893"/>
      <c r="BT35" s="893"/>
      <c r="BU35" s="893"/>
      <c r="BV35" s="893"/>
      <c r="BW35" s="893"/>
      <c r="BX35" s="893"/>
      <c r="BY35" s="893"/>
      <c r="BZ35" s="893"/>
      <c r="CA35" s="893"/>
      <c r="CB35" s="893"/>
      <c r="CC35" s="195"/>
      <c r="CD35" s="316">
        <v>3</v>
      </c>
      <c r="CE35" s="835"/>
      <c r="CF35" s="836"/>
      <c r="CG35" s="893"/>
      <c r="CH35" s="893"/>
      <c r="CI35" s="893"/>
      <c r="CJ35" s="893"/>
      <c r="CK35" s="893"/>
      <c r="CL35" s="893"/>
      <c r="CM35" s="893"/>
      <c r="CN35" s="893"/>
      <c r="CO35" s="893"/>
      <c r="CP35" s="893"/>
      <c r="CQ35" s="191"/>
    </row>
    <row r="36" spans="2:95" ht="12" customHeight="1" thickTop="1" thickBot="1" x14ac:dyDescent="0.25">
      <c r="B36" s="155"/>
      <c r="C36" s="908"/>
      <c r="D36" s="908"/>
      <c r="E36" s="908"/>
      <c r="F36" s="908"/>
      <c r="G36" s="908"/>
      <c r="H36" s="908"/>
      <c r="I36" s="908"/>
      <c r="J36" s="908"/>
      <c r="K36" s="908"/>
      <c r="L36" s="908"/>
      <c r="M36" s="908"/>
      <c r="N36" s="908"/>
      <c r="O36" s="908"/>
      <c r="P36" s="908"/>
      <c r="Q36" s="908"/>
      <c r="R36" s="908"/>
      <c r="S36" s="908"/>
      <c r="T36" s="908"/>
      <c r="U36" s="908"/>
      <c r="V36" s="908"/>
      <c r="W36" s="958"/>
      <c r="Y36" s="194"/>
      <c r="Z36" s="588">
        <v>4</v>
      </c>
      <c r="AA36" s="835"/>
      <c r="AB36" s="836"/>
      <c r="AC36" s="893"/>
      <c r="AD36" s="893"/>
      <c r="AE36" s="893"/>
      <c r="AF36" s="893"/>
      <c r="AG36" s="893"/>
      <c r="AH36" s="893"/>
      <c r="AI36" s="893"/>
      <c r="AJ36" s="893"/>
      <c r="AK36" s="893"/>
      <c r="AL36" s="893"/>
      <c r="AM36" s="460" t="str">
        <f>IF(ISERROR(VLOOKUP(AC36,Tables!$TK:$UB,Tables!$TP$1,FALSE)),"",VLOOKUP(AC36,Tables!$TK:$UB,Tables!$TP$1,FALSE))</f>
        <v/>
      </c>
      <c r="AN36" s="316">
        <v>4</v>
      </c>
      <c r="AO36" s="835"/>
      <c r="AP36" s="836"/>
      <c r="AQ36" s="893"/>
      <c r="AR36" s="893"/>
      <c r="AS36" s="893"/>
      <c r="AT36" s="893"/>
      <c r="AU36" s="893"/>
      <c r="AV36" s="893"/>
      <c r="AW36" s="893"/>
      <c r="AX36" s="893"/>
      <c r="AY36" s="893"/>
      <c r="AZ36" s="893"/>
      <c r="BA36" s="110"/>
      <c r="BB36" s="305">
        <v>4</v>
      </c>
      <c r="BC36" s="835"/>
      <c r="BD36" s="836"/>
      <c r="BE36" s="893"/>
      <c r="BF36" s="893"/>
      <c r="BG36" s="893"/>
      <c r="BH36" s="893"/>
      <c r="BI36" s="893"/>
      <c r="BJ36" s="893"/>
      <c r="BK36" s="893"/>
      <c r="BL36" s="893"/>
      <c r="BM36" s="893"/>
      <c r="BN36" s="893"/>
      <c r="BO36" s="110"/>
      <c r="BP36" s="316">
        <v>4</v>
      </c>
      <c r="BQ36" s="835"/>
      <c r="BR36" s="836"/>
      <c r="BS36" s="893"/>
      <c r="BT36" s="893"/>
      <c r="BU36" s="893"/>
      <c r="BV36" s="893"/>
      <c r="BW36" s="893"/>
      <c r="BX36" s="893"/>
      <c r="BY36" s="893"/>
      <c r="BZ36" s="893"/>
      <c r="CA36" s="893"/>
      <c r="CB36" s="893"/>
      <c r="CC36" s="195"/>
      <c r="CD36" s="316">
        <v>4</v>
      </c>
      <c r="CE36" s="835"/>
      <c r="CF36" s="836"/>
      <c r="CG36" s="893"/>
      <c r="CH36" s="893"/>
      <c r="CI36" s="893"/>
      <c r="CJ36" s="893"/>
      <c r="CK36" s="893"/>
      <c r="CL36" s="893"/>
      <c r="CM36" s="893"/>
      <c r="CN36" s="893"/>
      <c r="CO36" s="893"/>
      <c r="CP36" s="893"/>
      <c r="CQ36" s="191"/>
    </row>
    <row r="37" spans="2:95" ht="12" customHeight="1" thickTop="1" thickBot="1" x14ac:dyDescent="0.25">
      <c r="B37" s="155"/>
      <c r="C37" s="908"/>
      <c r="D37" s="908"/>
      <c r="E37" s="908"/>
      <c r="F37" s="908"/>
      <c r="G37" s="908"/>
      <c r="H37" s="908"/>
      <c r="I37" s="908"/>
      <c r="J37" s="908"/>
      <c r="K37" s="908"/>
      <c r="L37" s="908"/>
      <c r="M37" s="908"/>
      <c r="N37" s="908"/>
      <c r="O37" s="908"/>
      <c r="P37" s="908"/>
      <c r="Q37" s="908"/>
      <c r="R37" s="908"/>
      <c r="S37" s="908"/>
      <c r="T37" s="908"/>
      <c r="U37" s="908"/>
      <c r="V37" s="908"/>
      <c r="W37" s="958"/>
      <c r="Y37" s="194"/>
      <c r="Z37" s="588">
        <v>5</v>
      </c>
      <c r="AA37" s="835"/>
      <c r="AB37" s="836"/>
      <c r="AC37" s="893"/>
      <c r="AD37" s="893"/>
      <c r="AE37" s="893"/>
      <c r="AF37" s="893"/>
      <c r="AG37" s="893"/>
      <c r="AH37" s="893"/>
      <c r="AI37" s="893"/>
      <c r="AJ37" s="893"/>
      <c r="AK37" s="893"/>
      <c r="AL37" s="893"/>
      <c r="AM37" s="460" t="str">
        <f>IF(ISERROR(VLOOKUP(AC37,Tables!$TK:$UB,Tables!$TP$1,FALSE)),"",VLOOKUP(AC37,Tables!$TK:$UB,Tables!$TP$1,FALSE))</f>
        <v/>
      </c>
      <c r="AN37" s="316">
        <v>5</v>
      </c>
      <c r="AO37" s="835"/>
      <c r="AP37" s="836"/>
      <c r="AQ37" s="893"/>
      <c r="AR37" s="893"/>
      <c r="AS37" s="893"/>
      <c r="AT37" s="893"/>
      <c r="AU37" s="893"/>
      <c r="AV37" s="893"/>
      <c r="AW37" s="893"/>
      <c r="AX37" s="893"/>
      <c r="AY37" s="893"/>
      <c r="AZ37" s="893"/>
      <c r="BA37" s="110"/>
      <c r="BB37" s="305">
        <v>5</v>
      </c>
      <c r="BC37" s="835"/>
      <c r="BD37" s="836"/>
      <c r="BE37" s="893"/>
      <c r="BF37" s="893"/>
      <c r="BG37" s="893"/>
      <c r="BH37" s="893"/>
      <c r="BI37" s="893"/>
      <c r="BJ37" s="893"/>
      <c r="BK37" s="893"/>
      <c r="BL37" s="893"/>
      <c r="BM37" s="893"/>
      <c r="BN37" s="893"/>
      <c r="BO37" s="110"/>
      <c r="BP37" s="316">
        <v>5</v>
      </c>
      <c r="BQ37" s="835"/>
      <c r="BR37" s="836"/>
      <c r="BS37" s="893"/>
      <c r="BT37" s="893"/>
      <c r="BU37" s="893"/>
      <c r="BV37" s="893"/>
      <c r="BW37" s="893"/>
      <c r="BX37" s="893"/>
      <c r="BY37" s="893"/>
      <c r="BZ37" s="893"/>
      <c r="CA37" s="893"/>
      <c r="CB37" s="893"/>
      <c r="CC37" s="195"/>
      <c r="CD37" s="316">
        <v>5</v>
      </c>
      <c r="CE37" s="835"/>
      <c r="CF37" s="836"/>
      <c r="CG37" s="893"/>
      <c r="CH37" s="893"/>
      <c r="CI37" s="893"/>
      <c r="CJ37" s="893"/>
      <c r="CK37" s="893"/>
      <c r="CL37" s="893"/>
      <c r="CM37" s="893"/>
      <c r="CN37" s="893"/>
      <c r="CO37" s="893"/>
      <c r="CP37" s="893"/>
      <c r="CQ37" s="191"/>
    </row>
    <row r="38" spans="2:95" ht="12" customHeight="1" thickTop="1" thickBot="1" x14ac:dyDescent="0.3">
      <c r="B38" s="691"/>
      <c r="C38" s="377" t="s">
        <v>190</v>
      </c>
      <c r="D38" s="54"/>
      <c r="E38" s="54"/>
      <c r="F38" s="54"/>
      <c r="G38" s="54"/>
      <c r="H38" s="54"/>
      <c r="I38" s="54"/>
      <c r="J38" s="54"/>
      <c r="K38" s="54"/>
      <c r="L38" s="54"/>
      <c r="M38" s="54"/>
      <c r="N38" s="54"/>
      <c r="O38" s="54"/>
      <c r="P38" s="54"/>
      <c r="Q38" s="54"/>
      <c r="R38" s="54"/>
      <c r="S38" s="54"/>
      <c r="T38" s="54"/>
      <c r="U38" s="54"/>
      <c r="V38" s="54"/>
      <c r="W38" s="191"/>
      <c r="Y38" s="194"/>
      <c r="Z38" s="588">
        <v>6</v>
      </c>
      <c r="AA38" s="835"/>
      <c r="AB38" s="836"/>
      <c r="AC38" s="893"/>
      <c r="AD38" s="893"/>
      <c r="AE38" s="893"/>
      <c r="AF38" s="893"/>
      <c r="AG38" s="893"/>
      <c r="AH38" s="893"/>
      <c r="AI38" s="893"/>
      <c r="AJ38" s="893"/>
      <c r="AK38" s="893"/>
      <c r="AL38" s="893"/>
      <c r="AM38" s="460" t="str">
        <f>IF(ISERROR(VLOOKUP(AC38,Tables!$TK:$UB,Tables!$TP$1,FALSE)),"",VLOOKUP(AC38,Tables!$TK:$UB,Tables!$TP$1,FALSE))</f>
        <v/>
      </c>
      <c r="AN38" s="316">
        <v>6</v>
      </c>
      <c r="AO38" s="835"/>
      <c r="AP38" s="836"/>
      <c r="AQ38" s="893"/>
      <c r="AR38" s="893"/>
      <c r="AS38" s="893"/>
      <c r="AT38" s="893"/>
      <c r="AU38" s="893"/>
      <c r="AV38" s="893"/>
      <c r="AW38" s="893"/>
      <c r="AX38" s="893"/>
      <c r="AY38" s="893"/>
      <c r="AZ38" s="893"/>
      <c r="BA38" s="110"/>
      <c r="BB38" s="305">
        <v>6</v>
      </c>
      <c r="BC38" s="835"/>
      <c r="BD38" s="836"/>
      <c r="BE38" s="893"/>
      <c r="BF38" s="893"/>
      <c r="BG38" s="893"/>
      <c r="BH38" s="893"/>
      <c r="BI38" s="893"/>
      <c r="BJ38" s="893"/>
      <c r="BK38" s="893"/>
      <c r="BL38" s="893"/>
      <c r="BM38" s="893"/>
      <c r="BN38" s="893"/>
      <c r="BO38" s="110"/>
      <c r="BP38" s="316">
        <v>6</v>
      </c>
      <c r="BQ38" s="835"/>
      <c r="BR38" s="836"/>
      <c r="BS38" s="893"/>
      <c r="BT38" s="893"/>
      <c r="BU38" s="893"/>
      <c r="BV38" s="893"/>
      <c r="BW38" s="893"/>
      <c r="BX38" s="893"/>
      <c r="BY38" s="893"/>
      <c r="BZ38" s="893"/>
      <c r="CA38" s="893"/>
      <c r="CB38" s="893"/>
      <c r="CC38" s="195"/>
      <c r="CD38" s="316">
        <v>6</v>
      </c>
      <c r="CE38" s="835"/>
      <c r="CF38" s="836"/>
      <c r="CG38" s="893"/>
      <c r="CH38" s="893"/>
      <c r="CI38" s="893"/>
      <c r="CJ38" s="893"/>
      <c r="CK38" s="893"/>
      <c r="CL38" s="893"/>
      <c r="CM38" s="893"/>
      <c r="CN38" s="893"/>
      <c r="CO38" s="893"/>
      <c r="CP38" s="893"/>
      <c r="CQ38" s="191"/>
    </row>
    <row r="39" spans="2:95" ht="12" customHeight="1" thickTop="1" thickBot="1" x14ac:dyDescent="0.3">
      <c r="B39" s="691"/>
      <c r="C39" s="910" t="s">
        <v>24</v>
      </c>
      <c r="D39" s="910"/>
      <c r="E39" s="697"/>
      <c r="F39" s="910" t="s">
        <v>20</v>
      </c>
      <c r="G39" s="910"/>
      <c r="H39" s="697"/>
      <c r="I39" s="910" t="s">
        <v>19</v>
      </c>
      <c r="J39" s="910"/>
      <c r="K39" s="910" t="s">
        <v>23</v>
      </c>
      <c r="L39" s="910"/>
      <c r="M39" s="910" t="s">
        <v>31</v>
      </c>
      <c r="N39" s="910"/>
      <c r="O39" s="910" t="s">
        <v>34</v>
      </c>
      <c r="P39" s="910"/>
      <c r="Q39" s="910" t="s">
        <v>39</v>
      </c>
      <c r="R39" s="910"/>
      <c r="S39" s="910" t="s">
        <v>42</v>
      </c>
      <c r="T39" s="910"/>
      <c r="U39" s="377"/>
      <c r="V39" s="377"/>
      <c r="W39" s="530"/>
      <c r="Y39" s="194"/>
      <c r="Z39" s="588">
        <v>7</v>
      </c>
      <c r="AA39" s="835"/>
      <c r="AB39" s="836"/>
      <c r="AC39" s="893"/>
      <c r="AD39" s="893"/>
      <c r="AE39" s="893"/>
      <c r="AF39" s="893"/>
      <c r="AG39" s="893"/>
      <c r="AH39" s="893"/>
      <c r="AI39" s="893"/>
      <c r="AJ39" s="893"/>
      <c r="AK39" s="893"/>
      <c r="AL39" s="893"/>
      <c r="AM39" s="460" t="str">
        <f>IF(ISERROR(VLOOKUP(AC39,Tables!$TK:$UB,Tables!$TP$1,FALSE)),"",VLOOKUP(AC39,Tables!$TK:$UB,Tables!$TP$1,FALSE))</f>
        <v/>
      </c>
      <c r="AN39" s="316">
        <v>7</v>
      </c>
      <c r="AO39" s="835"/>
      <c r="AP39" s="836"/>
      <c r="AQ39" s="893"/>
      <c r="AR39" s="893"/>
      <c r="AS39" s="893"/>
      <c r="AT39" s="893"/>
      <c r="AU39" s="893"/>
      <c r="AV39" s="893"/>
      <c r="AW39" s="893"/>
      <c r="AX39" s="893"/>
      <c r="AY39" s="893"/>
      <c r="AZ39" s="893"/>
      <c r="BA39" s="110"/>
      <c r="BB39" s="305">
        <v>7</v>
      </c>
      <c r="BC39" s="835"/>
      <c r="BD39" s="836"/>
      <c r="BE39" s="893"/>
      <c r="BF39" s="893"/>
      <c r="BG39" s="893"/>
      <c r="BH39" s="893"/>
      <c r="BI39" s="893"/>
      <c r="BJ39" s="893"/>
      <c r="BK39" s="893"/>
      <c r="BL39" s="893"/>
      <c r="BM39" s="893"/>
      <c r="BN39" s="893"/>
      <c r="BO39" s="110"/>
      <c r="BP39" s="316">
        <v>7</v>
      </c>
      <c r="BQ39" s="835"/>
      <c r="BR39" s="836"/>
      <c r="BS39" s="893"/>
      <c r="BT39" s="893"/>
      <c r="BU39" s="893"/>
      <c r="BV39" s="893"/>
      <c r="BW39" s="893"/>
      <c r="BX39" s="893"/>
      <c r="BY39" s="893"/>
      <c r="BZ39" s="893"/>
      <c r="CA39" s="893"/>
      <c r="CB39" s="893"/>
      <c r="CC39" s="195"/>
      <c r="CD39" s="316">
        <v>7</v>
      </c>
      <c r="CE39" s="835"/>
      <c r="CF39" s="836"/>
      <c r="CG39" s="893"/>
      <c r="CH39" s="893"/>
      <c r="CI39" s="893"/>
      <c r="CJ39" s="893"/>
      <c r="CK39" s="893"/>
      <c r="CL39" s="893"/>
      <c r="CM39" s="893"/>
      <c r="CN39" s="893"/>
      <c r="CO39" s="893"/>
      <c r="CP39" s="893"/>
      <c r="CQ39" s="191"/>
    </row>
    <row r="40" spans="2:95" ht="12" customHeight="1" thickTop="1" thickBot="1" x14ac:dyDescent="0.3">
      <c r="B40" s="691"/>
      <c r="C40" s="953"/>
      <c r="D40" s="954"/>
      <c r="E40" s="335"/>
      <c r="F40" s="953"/>
      <c r="G40" s="954"/>
      <c r="H40" s="528"/>
      <c r="I40" s="763"/>
      <c r="J40" s="763"/>
      <c r="K40" s="763"/>
      <c r="L40" s="763"/>
      <c r="M40" s="763"/>
      <c r="N40" s="763"/>
      <c r="O40" s="763"/>
      <c r="P40" s="763"/>
      <c r="Q40" s="763"/>
      <c r="R40" s="763"/>
      <c r="S40" s="763"/>
      <c r="T40" s="763"/>
      <c r="U40" s="377"/>
      <c r="V40" s="377"/>
      <c r="W40" s="530"/>
      <c r="Y40" s="194"/>
      <c r="Z40" s="588">
        <v>8</v>
      </c>
      <c r="AA40" s="835"/>
      <c r="AB40" s="836"/>
      <c r="AC40" s="893"/>
      <c r="AD40" s="893"/>
      <c r="AE40" s="893"/>
      <c r="AF40" s="893"/>
      <c r="AG40" s="893"/>
      <c r="AH40" s="893"/>
      <c r="AI40" s="893"/>
      <c r="AJ40" s="893"/>
      <c r="AK40" s="893"/>
      <c r="AL40" s="893"/>
      <c r="AM40" s="460" t="str">
        <f>IF(ISERROR(VLOOKUP(AC40,Tables!$TK:$UB,Tables!$TP$1,FALSE)),"",VLOOKUP(AC40,Tables!$TK:$UB,Tables!$TP$1,FALSE))</f>
        <v/>
      </c>
      <c r="AN40" s="316">
        <v>8</v>
      </c>
      <c r="AO40" s="835"/>
      <c r="AP40" s="836"/>
      <c r="AQ40" s="893"/>
      <c r="AR40" s="893"/>
      <c r="AS40" s="893"/>
      <c r="AT40" s="893"/>
      <c r="AU40" s="893"/>
      <c r="AV40" s="893"/>
      <c r="AW40" s="893"/>
      <c r="AX40" s="893"/>
      <c r="AY40" s="893"/>
      <c r="AZ40" s="893"/>
      <c r="BA40" s="110"/>
      <c r="BB40" s="305">
        <v>8</v>
      </c>
      <c r="BC40" s="835"/>
      <c r="BD40" s="836"/>
      <c r="BE40" s="893"/>
      <c r="BF40" s="893"/>
      <c r="BG40" s="893"/>
      <c r="BH40" s="893"/>
      <c r="BI40" s="893"/>
      <c r="BJ40" s="893"/>
      <c r="BK40" s="893"/>
      <c r="BL40" s="893"/>
      <c r="BM40" s="893"/>
      <c r="BN40" s="893"/>
      <c r="BO40" s="110"/>
      <c r="BP40" s="316">
        <v>8</v>
      </c>
      <c r="BQ40" s="835"/>
      <c r="BR40" s="836"/>
      <c r="BS40" s="893"/>
      <c r="BT40" s="893"/>
      <c r="BU40" s="893"/>
      <c r="BV40" s="893"/>
      <c r="BW40" s="893"/>
      <c r="BX40" s="893"/>
      <c r="BY40" s="893"/>
      <c r="BZ40" s="893"/>
      <c r="CA40" s="893"/>
      <c r="CB40" s="893"/>
      <c r="CC40" s="195"/>
      <c r="CD40" s="316">
        <v>8</v>
      </c>
      <c r="CE40" s="835"/>
      <c r="CF40" s="836"/>
      <c r="CG40" s="893"/>
      <c r="CH40" s="893"/>
      <c r="CI40" s="893"/>
      <c r="CJ40" s="893"/>
      <c r="CK40" s="893"/>
      <c r="CL40" s="893"/>
      <c r="CM40" s="893"/>
      <c r="CN40" s="893"/>
      <c r="CO40" s="893"/>
      <c r="CP40" s="893"/>
      <c r="CQ40" s="191"/>
    </row>
    <row r="41" spans="2:95" ht="12" customHeight="1" thickTop="1" thickBot="1" x14ac:dyDescent="0.3">
      <c r="B41" s="691"/>
      <c r="C41" s="921" t="s">
        <v>9</v>
      </c>
      <c r="D41" s="921"/>
      <c r="E41" s="921"/>
      <c r="F41" s="955" t="s">
        <v>171</v>
      </c>
      <c r="G41" s="956"/>
      <c r="H41" s="956"/>
      <c r="I41" s="956"/>
      <c r="J41" s="957"/>
      <c r="U41" s="686"/>
      <c r="V41" s="686"/>
      <c r="W41" s="530"/>
      <c r="Y41" s="194"/>
      <c r="Z41" s="588">
        <v>9</v>
      </c>
      <c r="AA41" s="835"/>
      <c r="AB41" s="836"/>
      <c r="AC41" s="893"/>
      <c r="AD41" s="893"/>
      <c r="AE41" s="893"/>
      <c r="AF41" s="893"/>
      <c r="AG41" s="893"/>
      <c r="AH41" s="893"/>
      <c r="AI41" s="893"/>
      <c r="AJ41" s="893"/>
      <c r="AK41" s="893"/>
      <c r="AL41" s="893"/>
      <c r="AM41" s="460" t="str">
        <f>IF(ISERROR(VLOOKUP(AC41,Tables!$TK:$UB,Tables!$TP$1,FALSE)),"",VLOOKUP(AC41,Tables!$TK:$UB,Tables!$TP$1,FALSE))</f>
        <v/>
      </c>
      <c r="AN41" s="316">
        <v>9</v>
      </c>
      <c r="AO41" s="835"/>
      <c r="AP41" s="836"/>
      <c r="AQ41" s="893"/>
      <c r="AR41" s="893"/>
      <c r="AS41" s="893"/>
      <c r="AT41" s="893"/>
      <c r="AU41" s="893"/>
      <c r="AV41" s="893"/>
      <c r="AW41" s="893"/>
      <c r="AX41" s="893"/>
      <c r="AY41" s="893"/>
      <c r="AZ41" s="893"/>
      <c r="BA41" s="110"/>
      <c r="BB41" s="305">
        <v>9</v>
      </c>
      <c r="BC41" s="835"/>
      <c r="BD41" s="836"/>
      <c r="BE41" s="893"/>
      <c r="BF41" s="893"/>
      <c r="BG41" s="893"/>
      <c r="BH41" s="893"/>
      <c r="BI41" s="893"/>
      <c r="BJ41" s="893"/>
      <c r="BK41" s="893"/>
      <c r="BL41" s="893"/>
      <c r="BM41" s="893"/>
      <c r="BN41" s="893"/>
      <c r="BO41" s="110"/>
      <c r="BP41" s="316">
        <v>9</v>
      </c>
      <c r="BQ41" s="835"/>
      <c r="BR41" s="836"/>
      <c r="BS41" s="893"/>
      <c r="BT41" s="893"/>
      <c r="BU41" s="893"/>
      <c r="BV41" s="893"/>
      <c r="BW41" s="893"/>
      <c r="BX41" s="893"/>
      <c r="BY41" s="893"/>
      <c r="BZ41" s="893"/>
      <c r="CA41" s="893"/>
      <c r="CB41" s="893"/>
      <c r="CC41" s="195"/>
      <c r="CD41" s="316">
        <v>9</v>
      </c>
      <c r="CE41" s="835"/>
      <c r="CF41" s="836"/>
      <c r="CG41" s="893"/>
      <c r="CH41" s="893"/>
      <c r="CI41" s="893"/>
      <c r="CJ41" s="893"/>
      <c r="CK41" s="893"/>
      <c r="CL41" s="893"/>
      <c r="CM41" s="893"/>
      <c r="CN41" s="893"/>
      <c r="CO41" s="893"/>
      <c r="CP41" s="893"/>
      <c r="CQ41" s="191"/>
    </row>
    <row r="42" spans="2:95" ht="12" customHeight="1" thickTop="1" thickBot="1" x14ac:dyDescent="0.3">
      <c r="B42" s="691"/>
      <c r="C42" s="932" t="s">
        <v>8</v>
      </c>
      <c r="D42" s="932"/>
      <c r="E42" s="932"/>
      <c r="F42" s="929"/>
      <c r="G42" s="930"/>
      <c r="H42" s="930"/>
      <c r="I42" s="930"/>
      <c r="J42" s="931"/>
      <c r="U42" s="686"/>
      <c r="V42" s="686"/>
      <c r="W42" s="530"/>
      <c r="Y42" s="194"/>
      <c r="Z42" s="588">
        <v>10</v>
      </c>
      <c r="AA42" s="835"/>
      <c r="AB42" s="836"/>
      <c r="AC42" s="893"/>
      <c r="AD42" s="893"/>
      <c r="AE42" s="893"/>
      <c r="AF42" s="893"/>
      <c r="AG42" s="893"/>
      <c r="AH42" s="893"/>
      <c r="AI42" s="893"/>
      <c r="AJ42" s="893"/>
      <c r="AK42" s="893"/>
      <c r="AL42" s="893"/>
      <c r="AM42" s="460" t="str">
        <f>IF(ISERROR(VLOOKUP(AC42,Tables!$TK:$UB,Tables!$TP$1,FALSE)),"",VLOOKUP(AC42,Tables!$TK:$UB,Tables!$TP$1,FALSE))</f>
        <v/>
      </c>
      <c r="AN42" s="316">
        <v>10</v>
      </c>
      <c r="AO42" s="835"/>
      <c r="AP42" s="836"/>
      <c r="AQ42" s="893"/>
      <c r="AR42" s="893"/>
      <c r="AS42" s="893"/>
      <c r="AT42" s="893"/>
      <c r="AU42" s="893"/>
      <c r="AV42" s="893"/>
      <c r="AW42" s="893"/>
      <c r="AX42" s="893"/>
      <c r="AY42" s="893"/>
      <c r="AZ42" s="893"/>
      <c r="BA42" s="110"/>
      <c r="BB42" s="305">
        <v>10</v>
      </c>
      <c r="BC42" s="835"/>
      <c r="BD42" s="836"/>
      <c r="BE42" s="893"/>
      <c r="BF42" s="893"/>
      <c r="BG42" s="893"/>
      <c r="BH42" s="893"/>
      <c r="BI42" s="893"/>
      <c r="BJ42" s="893"/>
      <c r="BK42" s="893"/>
      <c r="BL42" s="893"/>
      <c r="BM42" s="893"/>
      <c r="BN42" s="893"/>
      <c r="BO42" s="110"/>
      <c r="BP42" s="316">
        <v>10</v>
      </c>
      <c r="BQ42" s="835"/>
      <c r="BR42" s="836"/>
      <c r="BS42" s="893"/>
      <c r="BT42" s="893"/>
      <c r="BU42" s="893"/>
      <c r="BV42" s="893"/>
      <c r="BW42" s="893"/>
      <c r="BX42" s="893"/>
      <c r="BY42" s="893"/>
      <c r="BZ42" s="893"/>
      <c r="CA42" s="893"/>
      <c r="CB42" s="893"/>
      <c r="CC42" s="195"/>
      <c r="CD42" s="316">
        <v>10</v>
      </c>
      <c r="CE42" s="835"/>
      <c r="CF42" s="836"/>
      <c r="CG42" s="893"/>
      <c r="CH42" s="893"/>
      <c r="CI42" s="893"/>
      <c r="CJ42" s="893"/>
      <c r="CK42" s="893"/>
      <c r="CL42" s="893"/>
      <c r="CM42" s="893"/>
      <c r="CN42" s="893"/>
      <c r="CO42" s="893"/>
      <c r="CP42" s="893"/>
      <c r="CQ42" s="191"/>
    </row>
    <row r="43" spans="2:95" ht="12" customHeight="1" thickTop="1" thickBot="1" x14ac:dyDescent="0.3">
      <c r="B43" s="691"/>
      <c r="C43" s="909" t="s">
        <v>18</v>
      </c>
      <c r="D43" s="909"/>
      <c r="E43" s="909"/>
      <c r="F43" s="955"/>
      <c r="G43" s="956"/>
      <c r="H43" s="956"/>
      <c r="I43" s="956"/>
      <c r="J43" s="956"/>
      <c r="K43" s="956"/>
      <c r="L43" s="956"/>
      <c r="M43" s="956"/>
      <c r="N43" s="956"/>
      <c r="O43" s="956"/>
      <c r="P43" s="956"/>
      <c r="Q43" s="956"/>
      <c r="R43" s="956"/>
      <c r="S43" s="956"/>
      <c r="T43" s="956"/>
      <c r="U43" s="956"/>
      <c r="V43" s="957"/>
      <c r="W43" s="530"/>
      <c r="Y43" s="194"/>
      <c r="Z43" s="588">
        <v>11</v>
      </c>
      <c r="AA43" s="835"/>
      <c r="AB43" s="836"/>
      <c r="AC43" s="893"/>
      <c r="AD43" s="893"/>
      <c r="AE43" s="893"/>
      <c r="AF43" s="893"/>
      <c r="AG43" s="893"/>
      <c r="AH43" s="893"/>
      <c r="AI43" s="893"/>
      <c r="AJ43" s="893"/>
      <c r="AK43" s="893"/>
      <c r="AL43" s="893"/>
      <c r="AM43" s="460" t="str">
        <f>IF(ISERROR(VLOOKUP(AC43,Tables!$TK:$UB,Tables!$TP$1,FALSE)),"",VLOOKUP(AC43,Tables!$TK:$UB,Tables!$TP$1,FALSE))</f>
        <v/>
      </c>
      <c r="AN43" s="316">
        <v>11</v>
      </c>
      <c r="AO43" s="835"/>
      <c r="AP43" s="836"/>
      <c r="AQ43" s="893"/>
      <c r="AR43" s="893"/>
      <c r="AS43" s="893"/>
      <c r="AT43" s="893"/>
      <c r="AU43" s="893"/>
      <c r="AV43" s="893"/>
      <c r="AW43" s="893"/>
      <c r="AX43" s="893"/>
      <c r="AY43" s="893"/>
      <c r="AZ43" s="893"/>
      <c r="BA43" s="110"/>
      <c r="BB43" s="305">
        <v>11</v>
      </c>
      <c r="BC43" s="835"/>
      <c r="BD43" s="836"/>
      <c r="BE43" s="893"/>
      <c r="BF43" s="893"/>
      <c r="BG43" s="893"/>
      <c r="BH43" s="893"/>
      <c r="BI43" s="893"/>
      <c r="BJ43" s="893"/>
      <c r="BK43" s="893"/>
      <c r="BL43" s="893"/>
      <c r="BM43" s="893"/>
      <c r="BN43" s="893"/>
      <c r="BO43" s="110"/>
      <c r="BP43" s="587"/>
      <c r="BQ43" s="195"/>
      <c r="BR43" s="195"/>
      <c r="BS43" s="195"/>
      <c r="BT43" s="195"/>
      <c r="BU43" s="195"/>
      <c r="BV43" s="195"/>
      <c r="BW43" s="195"/>
      <c r="BX43" s="195"/>
      <c r="BY43" s="195"/>
      <c r="BZ43" s="195"/>
      <c r="CA43" s="195"/>
      <c r="CB43" s="195"/>
      <c r="CC43" s="195"/>
      <c r="CD43" s="198"/>
      <c r="CE43" s="195"/>
      <c r="CF43" s="195"/>
      <c r="CG43" s="195"/>
      <c r="CH43" s="195"/>
      <c r="CI43" s="195"/>
      <c r="CJ43" s="195"/>
      <c r="CK43" s="195"/>
      <c r="CL43" s="195"/>
      <c r="CM43" s="195"/>
      <c r="CN43" s="195"/>
      <c r="CO43" s="195"/>
      <c r="CP43" s="195"/>
      <c r="CQ43" s="191"/>
    </row>
    <row r="44" spans="2:95" ht="12" customHeight="1" thickTop="1" thickBot="1" x14ac:dyDescent="0.3">
      <c r="B44" s="691"/>
      <c r="C44" s="909" t="s">
        <v>33</v>
      </c>
      <c r="D44" s="909"/>
      <c r="E44" s="909"/>
      <c r="F44" s="950"/>
      <c r="G44" s="951"/>
      <c r="H44" s="951"/>
      <c r="I44" s="951"/>
      <c r="J44" s="951"/>
      <c r="K44" s="951"/>
      <c r="L44" s="951"/>
      <c r="M44" s="951"/>
      <c r="N44" s="951"/>
      <c r="O44" s="951"/>
      <c r="P44" s="951"/>
      <c r="Q44" s="951"/>
      <c r="R44" s="951"/>
      <c r="S44" s="951"/>
      <c r="T44" s="951"/>
      <c r="U44" s="951"/>
      <c r="V44" s="952"/>
      <c r="W44" s="530"/>
      <c r="Y44" s="194"/>
      <c r="Z44" s="588">
        <v>12</v>
      </c>
      <c r="AA44" s="835"/>
      <c r="AB44" s="836"/>
      <c r="AC44" s="893"/>
      <c r="AD44" s="893"/>
      <c r="AE44" s="893"/>
      <c r="AF44" s="893"/>
      <c r="AG44" s="893"/>
      <c r="AH44" s="893"/>
      <c r="AI44" s="893"/>
      <c r="AJ44" s="893"/>
      <c r="AK44" s="893"/>
      <c r="AL44" s="893"/>
      <c r="AM44" s="460" t="str">
        <f>IF(ISERROR(VLOOKUP(AC44,Tables!$TK:$UB,Tables!$TP$1,FALSE)),"",VLOOKUP(AC44,Tables!$TK:$UB,Tables!$TP$1,FALSE))</f>
        <v/>
      </c>
      <c r="AN44" s="316">
        <v>12</v>
      </c>
      <c r="AO44" s="835"/>
      <c r="AP44" s="836"/>
      <c r="AQ44" s="893"/>
      <c r="AR44" s="893"/>
      <c r="AS44" s="893"/>
      <c r="AT44" s="893"/>
      <c r="AU44" s="893"/>
      <c r="AV44" s="893"/>
      <c r="AW44" s="893"/>
      <c r="AX44" s="893"/>
      <c r="AY44" s="893"/>
      <c r="AZ44" s="893"/>
      <c r="BA44" s="110"/>
      <c r="BB44" s="305">
        <v>12</v>
      </c>
      <c r="BC44" s="835"/>
      <c r="BD44" s="836"/>
      <c r="BE44" s="893"/>
      <c r="BF44" s="893"/>
      <c r="BG44" s="893"/>
      <c r="BH44" s="893"/>
      <c r="BI44" s="893"/>
      <c r="BJ44" s="893"/>
      <c r="BK44" s="893"/>
      <c r="BL44" s="893"/>
      <c r="BM44" s="893"/>
      <c r="BN44" s="893"/>
      <c r="BO44" s="110"/>
      <c r="BP44" s="198"/>
      <c r="BQ44" s="195"/>
      <c r="BR44" s="195"/>
      <c r="BS44" s="195"/>
      <c r="BT44" s="195"/>
      <c r="BU44" s="195"/>
      <c r="BV44" s="195"/>
      <c r="BW44" s="195"/>
      <c r="BX44" s="195"/>
      <c r="BY44" s="195"/>
      <c r="BZ44" s="195"/>
      <c r="CA44" s="195"/>
      <c r="CB44" s="195"/>
      <c r="CC44" s="195"/>
      <c r="CD44" s="198"/>
      <c r="CE44" s="195"/>
      <c r="CF44" s="195"/>
      <c r="CG44" s="195"/>
      <c r="CH44" s="195"/>
      <c r="CI44" s="195"/>
      <c r="CJ44" s="195"/>
      <c r="CK44" s="195"/>
      <c r="CL44" s="195"/>
      <c r="CM44" s="195"/>
      <c r="CN44" s="195"/>
      <c r="CO44" s="195"/>
      <c r="CP44" s="195"/>
      <c r="CQ44" s="191"/>
    </row>
    <row r="45" spans="2:95" ht="12" customHeight="1" thickTop="1" thickBot="1" x14ac:dyDescent="0.3">
      <c r="B45" s="691"/>
      <c r="C45" s="909" t="s">
        <v>1738</v>
      </c>
      <c r="D45" s="909"/>
      <c r="E45" s="909"/>
      <c r="F45" s="950"/>
      <c r="G45" s="951"/>
      <c r="H45" s="951"/>
      <c r="I45" s="951"/>
      <c r="J45" s="951"/>
      <c r="K45" s="951"/>
      <c r="L45" s="951"/>
      <c r="M45" s="951"/>
      <c r="N45" s="951"/>
      <c r="O45" s="951"/>
      <c r="P45" s="951"/>
      <c r="Q45" s="951"/>
      <c r="R45" s="951"/>
      <c r="S45" s="951"/>
      <c r="T45" s="951"/>
      <c r="U45" s="951"/>
      <c r="V45" s="952"/>
      <c r="W45" s="283"/>
      <c r="Y45" s="194"/>
      <c r="Z45" s="588">
        <v>13</v>
      </c>
      <c r="AA45" s="835"/>
      <c r="AB45" s="836"/>
      <c r="AC45" s="893"/>
      <c r="AD45" s="893"/>
      <c r="AE45" s="893"/>
      <c r="AF45" s="893"/>
      <c r="AG45" s="893"/>
      <c r="AH45" s="893"/>
      <c r="AI45" s="893"/>
      <c r="AJ45" s="893"/>
      <c r="AK45" s="893"/>
      <c r="AL45" s="893"/>
      <c r="AM45" s="460" t="str">
        <f>IF(ISERROR(VLOOKUP(AC45,Tables!$TK:$UB,Tables!$TP$1,FALSE)),"",VLOOKUP(AC45,Tables!$TK:$UB,Tables!$TP$1,FALSE))</f>
        <v/>
      </c>
      <c r="AN45" s="587"/>
      <c r="AO45" s="110"/>
      <c r="AP45" s="110"/>
      <c r="AQ45" s="110"/>
      <c r="AR45" s="110"/>
      <c r="AS45" s="110"/>
      <c r="AT45" s="110"/>
      <c r="AU45" s="110"/>
      <c r="AV45" s="110"/>
      <c r="AW45" s="110"/>
      <c r="AX45" s="110"/>
      <c r="AY45" s="110"/>
      <c r="AZ45" s="110"/>
      <c r="BA45" s="110"/>
      <c r="BB45" s="587"/>
      <c r="BC45" s="110"/>
      <c r="BD45" s="110"/>
      <c r="BE45" s="110"/>
      <c r="BF45" s="110"/>
      <c r="BG45" s="110"/>
      <c r="BH45" s="110"/>
      <c r="BI45" s="110"/>
      <c r="BJ45" s="110"/>
      <c r="BK45" s="110"/>
      <c r="BL45" s="110"/>
      <c r="BM45" s="110"/>
      <c r="BN45" s="110"/>
      <c r="BO45" s="110"/>
      <c r="BP45" s="198"/>
      <c r="BQ45" s="195"/>
      <c r="BR45" s="195"/>
      <c r="BS45" s="195"/>
      <c r="BT45" s="195"/>
      <c r="BU45" s="195"/>
      <c r="BV45" s="195"/>
      <c r="BW45" s="195"/>
      <c r="BX45" s="195"/>
      <c r="BY45" s="195"/>
      <c r="BZ45" s="195"/>
      <c r="CA45" s="195"/>
      <c r="CB45" s="195"/>
      <c r="CC45" s="195"/>
      <c r="CD45" s="198"/>
      <c r="CE45" s="195"/>
      <c r="CF45" s="195"/>
      <c r="CG45" s="195"/>
      <c r="CH45" s="195"/>
      <c r="CI45" s="195"/>
      <c r="CJ45" s="195"/>
      <c r="CK45" s="195"/>
      <c r="CL45" s="195"/>
      <c r="CM45" s="195"/>
      <c r="CN45" s="195"/>
      <c r="CO45" s="195"/>
      <c r="CP45" s="195"/>
      <c r="CQ45" s="191"/>
    </row>
    <row r="46" spans="2:95" ht="12" customHeight="1" thickTop="1" thickBot="1" x14ac:dyDescent="0.3">
      <c r="B46" s="691"/>
      <c r="C46" s="946" t="s">
        <v>248</v>
      </c>
      <c r="D46" s="946"/>
      <c r="E46" s="946"/>
      <c r="F46" s="959"/>
      <c r="G46" s="959"/>
      <c r="H46" s="959"/>
      <c r="I46" s="959"/>
      <c r="J46" s="959"/>
      <c r="K46" s="959"/>
      <c r="L46" s="959"/>
      <c r="M46" s="959"/>
      <c r="N46" s="959"/>
      <c r="O46" s="959"/>
      <c r="P46" s="959"/>
      <c r="Q46" s="959"/>
      <c r="R46" s="959"/>
      <c r="S46" s="959"/>
      <c r="T46" s="959"/>
      <c r="U46" s="959"/>
      <c r="V46" s="959"/>
      <c r="W46" s="283"/>
      <c r="Y46" s="194"/>
      <c r="Z46" s="588">
        <v>14</v>
      </c>
      <c r="AA46" s="835"/>
      <c r="AB46" s="836"/>
      <c r="AC46" s="893"/>
      <c r="AD46" s="893"/>
      <c r="AE46" s="893"/>
      <c r="AF46" s="893"/>
      <c r="AG46" s="893"/>
      <c r="AH46" s="893"/>
      <c r="AI46" s="893"/>
      <c r="AJ46" s="893"/>
      <c r="AK46" s="893"/>
      <c r="AL46" s="893"/>
      <c r="AM46" s="460" t="str">
        <f>IF(ISERROR(VLOOKUP(AC46,Tables!$TK:$UB,Tables!$TP$1,FALSE)),"",VLOOKUP(AC46,Tables!$TK:$UB,Tables!$TP$1,FALSE))</f>
        <v/>
      </c>
      <c r="AN46" s="587"/>
      <c r="AO46" s="110"/>
      <c r="AP46" s="110"/>
      <c r="AQ46" s="110"/>
      <c r="AR46" s="110"/>
      <c r="AS46" s="110"/>
      <c r="AT46" s="110"/>
      <c r="AU46" s="110"/>
      <c r="AV46" s="110"/>
      <c r="AW46" s="110"/>
      <c r="AX46" s="110"/>
      <c r="AY46" s="110"/>
      <c r="AZ46" s="110"/>
      <c r="BA46" s="110"/>
      <c r="BB46" s="587"/>
      <c r="BC46" s="110"/>
      <c r="BD46" s="110"/>
      <c r="BE46" s="110"/>
      <c r="BF46" s="110"/>
      <c r="BG46" s="110"/>
      <c r="BH46" s="110"/>
      <c r="BI46" s="110"/>
      <c r="BJ46" s="110"/>
      <c r="BK46" s="110"/>
      <c r="BL46" s="110"/>
      <c r="BM46" s="110"/>
      <c r="BN46" s="110"/>
      <c r="BO46" s="110"/>
      <c r="BP46" s="198"/>
      <c r="BQ46" s="195"/>
      <c r="BR46" s="195"/>
      <c r="BS46" s="195"/>
      <c r="BT46" s="195"/>
      <c r="BU46" s="195"/>
      <c r="BV46" s="195"/>
      <c r="BW46" s="195"/>
      <c r="BX46" s="195"/>
      <c r="BY46" s="195"/>
      <c r="BZ46" s="195"/>
      <c r="CA46" s="195"/>
      <c r="CB46" s="195"/>
      <c r="CC46" s="195"/>
      <c r="CD46" s="198"/>
      <c r="CE46" s="195"/>
      <c r="CF46" s="195"/>
      <c r="CG46" s="195"/>
      <c r="CH46" s="195"/>
      <c r="CI46" s="195"/>
      <c r="CJ46" s="195"/>
      <c r="CK46" s="195"/>
      <c r="CL46" s="195"/>
      <c r="CM46" s="195"/>
      <c r="CN46" s="195"/>
      <c r="CO46" s="195"/>
      <c r="CP46" s="195"/>
      <c r="CQ46" s="191"/>
    </row>
    <row r="47" spans="2:95" ht="12" customHeight="1" thickTop="1" thickBot="1" x14ac:dyDescent="0.3">
      <c r="B47" s="691"/>
      <c r="C47" s="946"/>
      <c r="D47" s="946"/>
      <c r="E47" s="946"/>
      <c r="F47" s="960"/>
      <c r="G47" s="960"/>
      <c r="H47" s="960"/>
      <c r="I47" s="960"/>
      <c r="J47" s="960"/>
      <c r="K47" s="960"/>
      <c r="L47" s="960"/>
      <c r="M47" s="960"/>
      <c r="N47" s="960"/>
      <c r="O47" s="960"/>
      <c r="P47" s="960"/>
      <c r="Q47" s="960"/>
      <c r="R47" s="960"/>
      <c r="S47" s="960"/>
      <c r="T47" s="960"/>
      <c r="U47" s="960"/>
      <c r="V47" s="960"/>
      <c r="W47" s="283"/>
      <c r="Y47" s="194"/>
      <c r="Z47" s="588">
        <v>15</v>
      </c>
      <c r="AA47" s="835"/>
      <c r="AB47" s="836"/>
      <c r="AC47" s="893"/>
      <c r="AD47" s="893"/>
      <c r="AE47" s="893"/>
      <c r="AF47" s="893"/>
      <c r="AG47" s="893"/>
      <c r="AH47" s="893"/>
      <c r="AI47" s="893"/>
      <c r="AJ47" s="893"/>
      <c r="AK47" s="893"/>
      <c r="AL47" s="893"/>
      <c r="AM47" s="460" t="str">
        <f>IF(ISERROR(VLOOKUP(AC47,Tables!$TK:$UB,Tables!$TP$1,FALSE)),"",VLOOKUP(AC47,Tables!$TK:$UB,Tables!$TP$1,FALSE))</f>
        <v/>
      </c>
      <c r="AN47" s="587"/>
      <c r="AO47" s="110"/>
      <c r="AP47" s="110"/>
      <c r="AQ47" s="110"/>
      <c r="AR47" s="110"/>
      <c r="AS47" s="110"/>
      <c r="AT47" s="110"/>
      <c r="AU47" s="110"/>
      <c r="AV47" s="110"/>
      <c r="AW47" s="110"/>
      <c r="AX47" s="110"/>
      <c r="AY47" s="110"/>
      <c r="AZ47" s="110"/>
      <c r="BA47" s="110"/>
      <c r="BB47" s="587"/>
      <c r="BC47" s="110"/>
      <c r="BD47" s="110"/>
      <c r="BE47" s="110"/>
      <c r="BF47" s="110"/>
      <c r="BG47" s="110"/>
      <c r="BH47" s="110"/>
      <c r="BI47" s="110"/>
      <c r="BJ47" s="110"/>
      <c r="BK47" s="110"/>
      <c r="BL47" s="110"/>
      <c r="BM47" s="110"/>
      <c r="BN47" s="110"/>
      <c r="BO47" s="110"/>
      <c r="BP47" s="198"/>
      <c r="BQ47" s="195"/>
      <c r="BR47" s="195"/>
      <c r="BS47" s="195"/>
      <c r="BT47" s="195"/>
      <c r="BU47" s="195"/>
      <c r="BV47" s="195"/>
      <c r="BW47" s="195"/>
      <c r="BX47" s="195"/>
      <c r="BY47" s="195"/>
      <c r="BZ47" s="195"/>
      <c r="CA47" s="195"/>
      <c r="CB47" s="195"/>
      <c r="CC47" s="195"/>
      <c r="CD47" s="198"/>
      <c r="CE47" s="195"/>
      <c r="CF47" s="195"/>
      <c r="CG47" s="195"/>
      <c r="CH47" s="195"/>
      <c r="CI47" s="195"/>
      <c r="CJ47" s="195"/>
      <c r="CK47" s="195"/>
      <c r="CL47" s="195"/>
      <c r="CM47" s="195"/>
      <c r="CN47" s="195"/>
      <c r="CO47" s="195"/>
      <c r="CP47" s="195"/>
      <c r="CQ47" s="191"/>
    </row>
    <row r="48" spans="2:95" ht="12" customHeight="1" thickTop="1" x14ac:dyDescent="0.25">
      <c r="B48" s="691"/>
      <c r="C48" s="909" t="s">
        <v>323</v>
      </c>
      <c r="D48" s="909"/>
      <c r="E48" s="909"/>
      <c r="F48" s="259"/>
      <c r="G48" s="259"/>
      <c r="H48" s="259"/>
      <c r="I48" s="259"/>
      <c r="J48" s="259"/>
      <c r="K48" s="259"/>
      <c r="L48" s="259"/>
      <c r="M48" s="259"/>
      <c r="N48" s="259"/>
      <c r="O48" s="259"/>
      <c r="P48" s="259"/>
      <c r="Q48" s="259"/>
      <c r="R48" s="259"/>
      <c r="S48" s="259"/>
      <c r="T48" s="259"/>
      <c r="U48" s="259"/>
      <c r="V48" s="259"/>
      <c r="W48" s="283"/>
      <c r="Y48" s="194"/>
      <c r="Z48" s="54"/>
      <c r="AA48" s="54"/>
      <c r="AB48" s="54"/>
      <c r="AC48" s="911" t="str">
        <f>IF(AM48&gt;0,"Select your spells - "&amp;AM48&amp;" remaining",IF(AM48&lt;0,ABS(AM48)&amp;" too many spells selected",""))</f>
        <v/>
      </c>
      <c r="AD48" s="911"/>
      <c r="AE48" s="911"/>
      <c r="AF48" s="911"/>
      <c r="AG48" s="911"/>
      <c r="AH48" s="911"/>
      <c r="AI48" s="911"/>
      <c r="AJ48" s="911"/>
      <c r="AK48" s="911"/>
      <c r="AL48" s="911"/>
      <c r="AM48" s="451">
        <f>Tables!ES6-AM49</f>
        <v>0</v>
      </c>
      <c r="AN48" s="587"/>
      <c r="AO48" s="110"/>
      <c r="AP48" s="110"/>
      <c r="AQ48" s="114"/>
      <c r="AR48" s="114"/>
      <c r="AS48" s="114"/>
      <c r="AT48" s="114"/>
      <c r="AU48" s="114"/>
      <c r="AV48" s="114"/>
      <c r="AW48" s="114"/>
      <c r="AX48" s="114"/>
      <c r="AY48" s="114"/>
      <c r="AZ48" s="114"/>
      <c r="BA48" s="110"/>
      <c r="BB48" s="587"/>
      <c r="BC48" s="110"/>
      <c r="BD48" s="110"/>
      <c r="BE48" s="110"/>
      <c r="BF48" s="110"/>
      <c r="BG48" s="110"/>
      <c r="BH48" s="110"/>
      <c r="BI48" s="110"/>
      <c r="BJ48" s="110"/>
      <c r="BK48" s="110"/>
      <c r="BL48" s="110"/>
      <c r="BM48" s="110"/>
      <c r="BN48" s="110"/>
      <c r="BO48" s="110"/>
      <c r="BP48" s="198"/>
      <c r="BQ48" s="195"/>
      <c r="BR48" s="195"/>
      <c r="BS48" s="195"/>
      <c r="BT48" s="195"/>
      <c r="BU48" s="195"/>
      <c r="BV48" s="195"/>
      <c r="BW48" s="195"/>
      <c r="BX48" s="195"/>
      <c r="BY48" s="195"/>
      <c r="BZ48" s="195"/>
      <c r="CA48" s="195"/>
      <c r="CB48" s="195"/>
      <c r="CC48" s="195"/>
      <c r="CD48" s="198"/>
      <c r="CE48" s="195"/>
      <c r="CF48" s="195"/>
      <c r="CG48" s="195"/>
      <c r="CH48" s="195"/>
      <c r="CI48" s="54"/>
      <c r="CJ48" s="54"/>
      <c r="CK48" s="195"/>
      <c r="CL48" s="195"/>
      <c r="CM48" s="195"/>
      <c r="CN48" s="195"/>
      <c r="CO48" s="195"/>
      <c r="CP48" s="195"/>
      <c r="CQ48" s="191"/>
    </row>
    <row r="49" spans="2:185" ht="12" customHeight="1" x14ac:dyDescent="0.2">
      <c r="B49" s="155"/>
      <c r="C49" s="960"/>
      <c r="D49" s="960"/>
      <c r="E49" s="960"/>
      <c r="F49" s="960"/>
      <c r="G49" s="960"/>
      <c r="H49" s="960"/>
      <c r="I49" s="960"/>
      <c r="J49" s="960"/>
      <c r="K49" s="960"/>
      <c r="L49" s="960"/>
      <c r="M49" s="960"/>
      <c r="N49" s="960"/>
      <c r="O49" s="960"/>
      <c r="P49" s="960"/>
      <c r="Q49" s="960"/>
      <c r="R49" s="960"/>
      <c r="S49" s="960"/>
      <c r="T49" s="960"/>
      <c r="U49" s="960"/>
      <c r="V49" s="960"/>
      <c r="W49" s="283"/>
      <c r="Y49" s="194"/>
      <c r="Z49" s="588"/>
      <c r="AA49" s="114"/>
      <c r="AB49" s="908" t="str">
        <f>Tables!ER6</f>
        <v/>
      </c>
      <c r="AC49" s="908"/>
      <c r="AD49" s="908"/>
      <c r="AE49" s="908"/>
      <c r="AF49" s="908"/>
      <c r="AG49" s="908"/>
      <c r="AH49" s="908"/>
      <c r="AI49" s="908"/>
      <c r="AJ49" s="908"/>
      <c r="AK49" s="908"/>
      <c r="AL49" s="908"/>
      <c r="AM49" s="451">
        <f>SUMPRODUCT(--(LEN(AM33:AM47)=1))+2*SUMPRODUCT(--(LEN(AM33:AM47)=2))+3*SUMPRODUCT(--(LEN(AM33:AM47)=3))</f>
        <v>0</v>
      </c>
      <c r="AN49" s="587"/>
      <c r="AO49" s="110"/>
      <c r="AP49" s="110"/>
      <c r="AQ49" s="114"/>
      <c r="AR49" s="114"/>
      <c r="AS49" s="114"/>
      <c r="AT49" s="114"/>
      <c r="AU49" s="114"/>
      <c r="AV49" s="114"/>
      <c r="AW49" s="114"/>
      <c r="AX49" s="114"/>
      <c r="AY49" s="114"/>
      <c r="AZ49" s="114"/>
      <c r="BA49" s="110"/>
      <c r="BB49" s="587"/>
      <c r="BC49" s="110"/>
      <c r="BD49" s="110"/>
      <c r="BE49" s="110"/>
      <c r="BF49" s="110"/>
      <c r="BG49" s="110"/>
      <c r="BH49" s="110"/>
      <c r="BI49" s="110"/>
      <c r="BJ49" s="110"/>
      <c r="BK49" s="110"/>
      <c r="BL49" s="110"/>
      <c r="BM49" s="110"/>
      <c r="BN49" s="110"/>
      <c r="BO49" s="110"/>
      <c r="BP49" s="198"/>
      <c r="BQ49" s="195"/>
      <c r="BR49" s="195"/>
      <c r="BS49" s="195"/>
      <c r="BT49" s="195"/>
      <c r="BU49" s="195"/>
      <c r="BV49" s="195"/>
      <c r="BW49" s="195"/>
      <c r="BX49" s="195"/>
      <c r="BY49" s="195"/>
      <c r="BZ49" s="195"/>
      <c r="CA49" s="195"/>
      <c r="CB49" s="195"/>
      <c r="CC49" s="195"/>
      <c r="CD49" s="198"/>
      <c r="CE49" s="195"/>
      <c r="CF49" s="195"/>
      <c r="CG49" s="496"/>
      <c r="CH49" s="195"/>
      <c r="CI49" s="54"/>
      <c r="CJ49" s="54"/>
      <c r="CK49" s="195"/>
      <c r="CL49" s="195"/>
      <c r="CM49" s="195"/>
      <c r="CN49" s="195"/>
      <c r="CO49" s="195"/>
      <c r="CP49" s="195"/>
      <c r="CQ49" s="191"/>
    </row>
    <row r="50" spans="2:185" ht="12" customHeight="1" x14ac:dyDescent="0.2">
      <c r="B50" s="155"/>
      <c r="C50" s="960"/>
      <c r="D50" s="960"/>
      <c r="E50" s="960"/>
      <c r="F50" s="960"/>
      <c r="G50" s="960"/>
      <c r="H50" s="960"/>
      <c r="I50" s="960"/>
      <c r="J50" s="960"/>
      <c r="K50" s="960"/>
      <c r="L50" s="960"/>
      <c r="M50" s="960"/>
      <c r="N50" s="960"/>
      <c r="O50" s="960"/>
      <c r="P50" s="960"/>
      <c r="Q50" s="960"/>
      <c r="R50" s="960"/>
      <c r="S50" s="960"/>
      <c r="T50" s="960"/>
      <c r="U50" s="960"/>
      <c r="V50" s="960"/>
      <c r="W50" s="283"/>
      <c r="Y50" s="194"/>
      <c r="Z50" s="588"/>
      <c r="AA50" s="114"/>
      <c r="AB50" s="908"/>
      <c r="AC50" s="908"/>
      <c r="AD50" s="908"/>
      <c r="AE50" s="908"/>
      <c r="AF50" s="908"/>
      <c r="AG50" s="908"/>
      <c r="AH50" s="908"/>
      <c r="AI50" s="908"/>
      <c r="AJ50" s="908"/>
      <c r="AK50" s="908"/>
      <c r="AL50" s="908"/>
      <c r="AM50" s="451"/>
      <c r="AN50" s="587"/>
      <c r="AO50" s="110"/>
      <c r="AP50" s="110"/>
      <c r="AQ50" s="114"/>
      <c r="AR50" s="114"/>
      <c r="AS50" s="114"/>
      <c r="AT50" s="114"/>
      <c r="AU50" s="114"/>
      <c r="AV50" s="114"/>
      <c r="AW50" s="114"/>
      <c r="AX50" s="114"/>
      <c r="AY50" s="114"/>
      <c r="AZ50" s="114"/>
      <c r="BA50" s="110"/>
      <c r="BB50" s="587"/>
      <c r="BC50" s="110"/>
      <c r="BD50" s="110"/>
      <c r="BE50" s="114"/>
      <c r="BF50" s="114"/>
      <c r="BG50" s="114"/>
      <c r="BH50" s="114"/>
      <c r="BI50" s="114"/>
      <c r="BJ50" s="114"/>
      <c r="BK50" s="114"/>
      <c r="BL50" s="114"/>
      <c r="BM50" s="114"/>
      <c r="BN50" s="114"/>
      <c r="BO50" s="110"/>
      <c r="BP50" s="198"/>
      <c r="BQ50" s="195"/>
      <c r="BR50" s="195"/>
      <c r="BS50" s="195"/>
      <c r="BT50" s="195"/>
      <c r="BU50" s="195"/>
      <c r="BV50" s="195"/>
      <c r="BW50" s="195"/>
      <c r="BX50" s="195"/>
      <c r="BY50" s="195"/>
      <c r="BZ50" s="195"/>
      <c r="CA50" s="195"/>
      <c r="CB50" s="195"/>
      <c r="CC50" s="195"/>
      <c r="CD50" s="198"/>
      <c r="CE50" s="195"/>
      <c r="CF50" s="495" t="str">
        <f>IF(SUM(QN5:QT5)&gt;0,"ᵈ","")&amp;IF(SUM(QI5:QK5)&gt;0,"ᵒ","")&amp;IF(SUM(QV5:RD5)&gt;0,"ᶜ","")</f>
        <v/>
      </c>
      <c r="CG50" s="496"/>
      <c r="CH50" s="195"/>
      <c r="CI50" s="54"/>
      <c r="CJ50" s="54"/>
      <c r="CK50" s="195"/>
      <c r="CL50" s="54"/>
      <c r="CM50" s="54"/>
      <c r="CN50" s="195"/>
      <c r="CO50" s="195"/>
      <c r="CP50" s="195"/>
      <c r="CQ50" s="191"/>
    </row>
    <row r="51" spans="2:185" ht="12" customHeight="1" x14ac:dyDescent="0.2">
      <c r="B51" s="155"/>
      <c r="C51" s="960"/>
      <c r="D51" s="960"/>
      <c r="E51" s="960"/>
      <c r="F51" s="960"/>
      <c r="G51" s="960"/>
      <c r="H51" s="960"/>
      <c r="I51" s="960"/>
      <c r="J51" s="960"/>
      <c r="K51" s="960"/>
      <c r="L51" s="960"/>
      <c r="M51" s="960"/>
      <c r="N51" s="960"/>
      <c r="O51" s="960"/>
      <c r="P51" s="960"/>
      <c r="Q51" s="960"/>
      <c r="R51" s="960"/>
      <c r="S51" s="960"/>
      <c r="T51" s="960"/>
      <c r="U51" s="960"/>
      <c r="V51" s="960"/>
      <c r="W51" s="283"/>
      <c r="Y51" s="194"/>
      <c r="Z51" s="114"/>
      <c r="AA51" s="114"/>
      <c r="AB51" s="908"/>
      <c r="AC51" s="908"/>
      <c r="AD51" s="908"/>
      <c r="AE51" s="908"/>
      <c r="AF51" s="908"/>
      <c r="AG51" s="908"/>
      <c r="AH51" s="908"/>
      <c r="AI51" s="908"/>
      <c r="AJ51" s="908"/>
      <c r="AK51" s="908"/>
      <c r="AL51" s="908"/>
      <c r="AM51" s="451">
        <f>COUNTIF(AM28:AM48,"ᴼ")+COUNTIF(AM28:AM48,"ᴰᴼ")</f>
        <v>0</v>
      </c>
      <c r="AN51" s="110"/>
      <c r="AO51" s="110"/>
      <c r="AP51" s="110"/>
      <c r="AQ51" s="110"/>
      <c r="AR51" s="110"/>
      <c r="AS51" s="110"/>
      <c r="AT51" s="110"/>
      <c r="AU51" s="110"/>
      <c r="AV51" s="110"/>
      <c r="AW51" s="110"/>
      <c r="AX51" s="110"/>
      <c r="AY51" s="110"/>
      <c r="AZ51" s="110"/>
      <c r="BA51" s="587"/>
      <c r="BB51" s="110"/>
      <c r="BC51" s="110"/>
      <c r="BD51" s="114"/>
      <c r="BE51" s="114"/>
      <c r="BF51" s="114"/>
      <c r="BG51" s="114"/>
      <c r="BH51" s="114"/>
      <c r="BI51" s="114"/>
      <c r="BJ51" s="114"/>
      <c r="BK51" s="114"/>
      <c r="BL51" s="114"/>
      <c r="BM51" s="114"/>
      <c r="BN51" s="110"/>
      <c r="BO51" s="198"/>
      <c r="BP51" s="195"/>
      <c r="BQ51" s="54"/>
      <c r="BR51" s="54"/>
      <c r="BS51" s="16"/>
      <c r="BT51" s="16"/>
      <c r="BU51" s="16"/>
      <c r="BV51" s="16"/>
      <c r="BW51" s="16"/>
      <c r="BX51" s="16"/>
      <c r="BY51" s="54"/>
      <c r="BZ51" s="54"/>
      <c r="CA51" s="16"/>
      <c r="CB51" s="16"/>
      <c r="CC51" s="16"/>
      <c r="CD51" s="16"/>
      <c r="CE51" s="16"/>
      <c r="CF51" s="16"/>
      <c r="CG51" s="54"/>
      <c r="CH51" s="54"/>
      <c r="CI51" s="16"/>
      <c r="CJ51" s="16"/>
      <c r="CK51" s="16"/>
      <c r="CL51" s="54"/>
      <c r="CM51" s="54"/>
      <c r="CN51" s="16"/>
      <c r="CO51" s="195"/>
      <c r="CP51" s="195"/>
      <c r="CQ51" s="19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row>
    <row r="52" spans="2:185" ht="12" customHeight="1" x14ac:dyDescent="0.2">
      <c r="B52" s="155"/>
      <c r="C52" s="960"/>
      <c r="D52" s="960"/>
      <c r="E52" s="960"/>
      <c r="F52" s="960"/>
      <c r="G52" s="960"/>
      <c r="H52" s="960"/>
      <c r="I52" s="960"/>
      <c r="J52" s="960"/>
      <c r="K52" s="960"/>
      <c r="L52" s="960"/>
      <c r="M52" s="960"/>
      <c r="N52" s="960"/>
      <c r="O52" s="960"/>
      <c r="P52" s="960"/>
      <c r="Q52" s="960"/>
      <c r="R52" s="960"/>
      <c r="S52" s="960"/>
      <c r="T52" s="960"/>
      <c r="U52" s="960"/>
      <c r="V52" s="960"/>
      <c r="W52" s="283"/>
      <c r="Y52" s="194"/>
      <c r="Z52" s="114"/>
      <c r="AA52" s="114"/>
      <c r="AB52" s="908"/>
      <c r="AC52" s="908"/>
      <c r="AD52" s="908"/>
      <c r="AE52" s="908"/>
      <c r="AF52" s="908"/>
      <c r="AG52" s="908"/>
      <c r="AH52" s="908"/>
      <c r="AI52" s="908"/>
      <c r="AJ52" s="908"/>
      <c r="AK52" s="908"/>
      <c r="AL52" s="908"/>
      <c r="AM52" s="587"/>
      <c r="AN52" s="110"/>
      <c r="AO52" s="110"/>
      <c r="AP52" s="110"/>
      <c r="AQ52" s="110"/>
      <c r="AR52" s="110"/>
      <c r="AS52" s="110"/>
      <c r="AT52" s="110"/>
      <c r="AU52" s="110"/>
      <c r="AV52" s="110"/>
      <c r="AW52" s="110"/>
      <c r="AX52" s="110"/>
      <c r="AY52" s="110"/>
      <c r="AZ52" s="110"/>
      <c r="BA52" s="587"/>
      <c r="BB52" s="110"/>
      <c r="BC52" s="110"/>
      <c r="BD52" s="114"/>
      <c r="BE52" s="114"/>
      <c r="BF52" s="114"/>
      <c r="BG52" s="114"/>
      <c r="BH52" s="114"/>
      <c r="BI52" s="114"/>
      <c r="BJ52" s="114"/>
      <c r="BK52" s="114"/>
      <c r="BL52" s="114"/>
      <c r="BM52" s="114"/>
      <c r="BN52" s="110"/>
      <c r="BO52" s="198"/>
      <c r="BP52" s="195"/>
      <c r="BQ52" s="54"/>
      <c r="BR52" s="54"/>
      <c r="BS52" s="16"/>
      <c r="BT52" s="16"/>
      <c r="BU52" s="16"/>
      <c r="BV52" s="16"/>
      <c r="BW52" s="16"/>
      <c r="BX52" s="16"/>
      <c r="BY52" s="110"/>
      <c r="BZ52" s="16"/>
      <c r="CA52" s="16"/>
      <c r="CB52" s="16"/>
      <c r="CC52" s="16"/>
      <c r="CD52" s="16"/>
      <c r="CE52" s="16"/>
      <c r="CF52" s="16"/>
      <c r="CG52" s="110"/>
      <c r="CH52" s="16"/>
      <c r="CI52" s="16"/>
      <c r="CJ52" s="16"/>
      <c r="CK52" s="16"/>
      <c r="CL52" s="54"/>
      <c r="CM52" s="54"/>
      <c r="CN52" s="16"/>
      <c r="CO52" s="195"/>
      <c r="CP52" s="195"/>
      <c r="CQ52" s="19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row>
    <row r="53" spans="2:185" ht="12" customHeight="1" x14ac:dyDescent="0.2">
      <c r="B53" s="210"/>
      <c r="C53" s="284"/>
      <c r="D53" s="284"/>
      <c r="E53" s="284"/>
      <c r="F53" s="284"/>
      <c r="G53" s="284"/>
      <c r="H53" s="284"/>
      <c r="I53" s="284"/>
      <c r="J53" s="284"/>
      <c r="K53" s="284"/>
      <c r="L53" s="284"/>
      <c r="M53" s="284"/>
      <c r="N53" s="284"/>
      <c r="O53" s="284"/>
      <c r="P53" s="284"/>
      <c r="Q53" s="284"/>
      <c r="R53" s="284"/>
      <c r="S53" s="284"/>
      <c r="T53" s="284"/>
      <c r="U53" s="284"/>
      <c r="V53" s="284"/>
      <c r="W53" s="285"/>
      <c r="Y53" s="202"/>
      <c r="Z53" s="203"/>
      <c r="AA53" s="203"/>
      <c r="AB53" s="200"/>
      <c r="AC53" s="200"/>
      <c r="AD53" s="200"/>
      <c r="AE53" s="200"/>
      <c r="AF53" s="200"/>
      <c r="AG53" s="200"/>
      <c r="AH53" s="200"/>
      <c r="AI53" s="200"/>
      <c r="AJ53" s="200"/>
      <c r="AK53" s="200"/>
      <c r="AL53" s="200"/>
      <c r="AM53" s="589"/>
      <c r="AN53" s="203"/>
      <c r="AO53" s="203"/>
      <c r="AP53" s="203"/>
      <c r="AQ53" s="203"/>
      <c r="AR53" s="203"/>
      <c r="AS53" s="203"/>
      <c r="AT53" s="203"/>
      <c r="AU53" s="203"/>
      <c r="AV53" s="203"/>
      <c r="AW53" s="203"/>
      <c r="AX53" s="203"/>
      <c r="AY53" s="203"/>
      <c r="AZ53" s="203"/>
      <c r="BA53" s="589"/>
      <c r="BB53" s="203"/>
      <c r="BC53" s="203"/>
      <c r="BD53" s="203"/>
      <c r="BE53" s="203"/>
      <c r="BF53" s="203"/>
      <c r="BG53" s="203"/>
      <c r="BH53" s="203"/>
      <c r="BI53" s="203"/>
      <c r="BJ53" s="203"/>
      <c r="BK53" s="203"/>
      <c r="BL53" s="203"/>
      <c r="BM53" s="203"/>
      <c r="BN53" s="203"/>
      <c r="BO53" s="204"/>
      <c r="BP53" s="205"/>
      <c r="BQ53" s="205"/>
      <c r="BR53" s="205"/>
      <c r="BS53" s="205"/>
      <c r="BT53" s="205"/>
      <c r="BU53" s="205"/>
      <c r="BV53" s="205"/>
      <c r="BW53" s="205"/>
      <c r="BX53" s="205"/>
      <c r="BY53" s="205"/>
      <c r="BZ53" s="205"/>
      <c r="CA53" s="205"/>
      <c r="CB53" s="205"/>
      <c r="CC53" s="204"/>
      <c r="CD53" s="205"/>
      <c r="CE53" s="205"/>
      <c r="CF53" s="205"/>
      <c r="CG53" s="205"/>
      <c r="CH53" s="205"/>
      <c r="CI53" s="205"/>
      <c r="CJ53" s="205"/>
      <c r="CK53" s="205"/>
      <c r="CL53" s="205"/>
      <c r="CM53" s="205"/>
      <c r="CN53" s="205"/>
      <c r="CO53" s="205"/>
      <c r="CP53" s="205"/>
      <c r="CQ53" s="201"/>
    </row>
    <row r="55" spans="2:185" ht="12" customHeight="1" x14ac:dyDescent="0.2">
      <c r="B55" s="112" t="s">
        <v>738</v>
      </c>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90"/>
    </row>
    <row r="56" spans="2:185" ht="12" customHeight="1" x14ac:dyDescent="0.2">
      <c r="B56" s="119"/>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191"/>
    </row>
    <row r="57" spans="2:185" ht="12" customHeight="1" x14ac:dyDescent="0.25">
      <c r="B57" s="526"/>
      <c r="C57" s="377" t="s">
        <v>2086</v>
      </c>
      <c r="D57" s="377"/>
      <c r="E57" s="377"/>
      <c r="F57" s="377"/>
      <c r="G57" s="377"/>
      <c r="H57" s="377"/>
      <c r="I57" s="377"/>
      <c r="J57" s="377"/>
      <c r="K57" s="377"/>
      <c r="L57" s="377"/>
      <c r="M57" s="377"/>
      <c r="N57" s="377"/>
      <c r="O57" s="909" t="s">
        <v>740</v>
      </c>
      <c r="P57" s="909"/>
      <c r="Q57" s="909"/>
      <c r="R57" s="909"/>
      <c r="S57" s="909"/>
      <c r="T57" s="909"/>
      <c r="U57" s="909"/>
      <c r="V57" s="909"/>
      <c r="W57" s="474"/>
      <c r="X57" s="474"/>
      <c r="Y57" s="527"/>
      <c r="Z57" s="528"/>
      <c r="AA57" s="528"/>
      <c r="AB57" s="528"/>
      <c r="AC57" s="528"/>
      <c r="AD57" s="528"/>
      <c r="AE57" s="528"/>
      <c r="AF57" s="528"/>
      <c r="AG57" s="528"/>
      <c r="AH57" s="528"/>
      <c r="AI57" s="528"/>
      <c r="AJ57" s="528"/>
      <c r="AK57" s="528"/>
      <c r="AL57" s="528"/>
      <c r="AM57" s="528"/>
      <c r="AN57" s="528"/>
      <c r="AO57" s="528"/>
      <c r="AP57" s="528"/>
      <c r="AQ57" s="528"/>
      <c r="AR57" s="528"/>
      <c r="AS57" s="528"/>
      <c r="AT57" s="528"/>
      <c r="AU57" s="528"/>
      <c r="AV57" s="528"/>
      <c r="AW57" s="528"/>
      <c r="AX57" s="377" t="s">
        <v>2087</v>
      </c>
      <c r="AY57" s="377"/>
      <c r="AZ57" s="377"/>
      <c r="BA57" s="377"/>
      <c r="BB57" s="377"/>
      <c r="BC57" s="377"/>
      <c r="BD57" s="377"/>
      <c r="BE57" s="377"/>
      <c r="BF57" s="377"/>
      <c r="BG57" s="377"/>
      <c r="BH57" s="377"/>
      <c r="BI57" s="377"/>
      <c r="BJ57" s="909" t="s">
        <v>740</v>
      </c>
      <c r="BK57" s="909"/>
      <c r="BL57" s="909"/>
      <c r="BM57" s="909"/>
      <c r="BN57" s="909"/>
      <c r="BO57" s="909"/>
      <c r="BP57" s="909"/>
      <c r="BQ57" s="909"/>
      <c r="BR57" s="263"/>
      <c r="BS57" s="263"/>
      <c r="BT57" s="529"/>
      <c r="BU57" s="377"/>
      <c r="BV57" s="377"/>
      <c r="BW57" s="377"/>
      <c r="BX57" s="377"/>
      <c r="BY57" s="377"/>
      <c r="BZ57" s="377"/>
      <c r="CA57" s="377"/>
      <c r="CB57" s="377"/>
      <c r="CC57" s="377"/>
      <c r="CD57" s="377"/>
      <c r="CE57" s="377"/>
      <c r="CF57" s="377"/>
      <c r="CG57" s="377"/>
      <c r="CH57" s="377"/>
      <c r="CI57" s="377"/>
      <c r="CJ57" s="377"/>
      <c r="CK57" s="377"/>
      <c r="CL57" s="377"/>
      <c r="CM57" s="377"/>
      <c r="CN57" s="377"/>
      <c r="CO57" s="377"/>
      <c r="CP57" s="377"/>
      <c r="CQ57" s="530"/>
    </row>
    <row r="58" spans="2:185" ht="12" customHeight="1" x14ac:dyDescent="0.25">
      <c r="B58" s="531"/>
      <c r="C58" s="943" t="s">
        <v>171</v>
      </c>
      <c r="D58" s="943"/>
      <c r="E58" s="943"/>
      <c r="F58" s="943"/>
      <c r="G58" s="943"/>
      <c r="H58" s="943"/>
      <c r="I58" s="943"/>
      <c r="J58" s="943"/>
      <c r="K58" s="943"/>
      <c r="L58" s="943"/>
      <c r="M58" s="943"/>
      <c r="N58" s="377"/>
      <c r="O58" s="786" t="str">
        <f>IF(OR($C$58="",$C$58=SelectText),"",VLOOKUP($C$58,Tables!$TK:$UB,17,FALSE))</f>
        <v/>
      </c>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6"/>
      <c r="AO58" s="786"/>
      <c r="AP58" s="786"/>
      <c r="AQ58" s="786"/>
      <c r="AR58" s="786"/>
      <c r="AS58" s="786"/>
      <c r="AT58" s="786"/>
      <c r="AU58" s="786"/>
      <c r="AV58" s="786"/>
      <c r="AW58" s="347"/>
      <c r="AX58" s="943" t="s">
        <v>171</v>
      </c>
      <c r="AY58" s="943"/>
      <c r="AZ58" s="943"/>
      <c r="BA58" s="943"/>
      <c r="BB58" s="943"/>
      <c r="BC58" s="943"/>
      <c r="BD58" s="943"/>
      <c r="BE58" s="943"/>
      <c r="BF58" s="943"/>
      <c r="BG58" s="943"/>
      <c r="BH58" s="943"/>
      <c r="BI58" s="377"/>
      <c r="BJ58" s="786" t="str">
        <f>IF(OR($AX$58="",$AX$58=SelectText),"",VLOOKUP($AX$58,Tables!$TK:$UB,17,FALSE))</f>
        <v/>
      </c>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6"/>
      <c r="CM58" s="786"/>
      <c r="CN58" s="786"/>
      <c r="CO58" s="786"/>
      <c r="CP58" s="786"/>
      <c r="CQ58" s="787"/>
    </row>
    <row r="59" spans="2:185" ht="12" customHeight="1" x14ac:dyDescent="0.25">
      <c r="B59" s="531"/>
      <c r="C59" s="532"/>
      <c r="D59" s="532"/>
      <c r="E59" s="532"/>
      <c r="F59" s="532"/>
      <c r="G59" s="532"/>
      <c r="H59" s="532"/>
      <c r="I59" s="532"/>
      <c r="J59" s="532"/>
      <c r="K59" s="532"/>
      <c r="L59" s="532"/>
      <c r="M59" s="532"/>
      <c r="N59" s="532"/>
      <c r="O59" s="786"/>
      <c r="P59" s="786"/>
      <c r="Q59" s="786"/>
      <c r="R59" s="786"/>
      <c r="S59" s="786"/>
      <c r="T59" s="786"/>
      <c r="U59" s="786"/>
      <c r="V59" s="786"/>
      <c r="W59" s="786"/>
      <c r="X59" s="786"/>
      <c r="Y59" s="786"/>
      <c r="Z59" s="786"/>
      <c r="AA59" s="786"/>
      <c r="AB59" s="786"/>
      <c r="AC59" s="786"/>
      <c r="AD59" s="786"/>
      <c r="AE59" s="786"/>
      <c r="AF59" s="786"/>
      <c r="AG59" s="786"/>
      <c r="AH59" s="786"/>
      <c r="AI59" s="786"/>
      <c r="AJ59" s="786"/>
      <c r="AK59" s="786"/>
      <c r="AL59" s="786"/>
      <c r="AM59" s="786"/>
      <c r="AN59" s="786"/>
      <c r="AO59" s="786"/>
      <c r="AP59" s="786"/>
      <c r="AQ59" s="786"/>
      <c r="AR59" s="786"/>
      <c r="AS59" s="786"/>
      <c r="AT59" s="786"/>
      <c r="AU59" s="786"/>
      <c r="AV59" s="786"/>
      <c r="AW59" s="347"/>
      <c r="AX59" s="532"/>
      <c r="AY59" s="532"/>
      <c r="AZ59" s="532"/>
      <c r="BA59" s="532"/>
      <c r="BB59" s="532"/>
      <c r="BC59" s="532"/>
      <c r="BD59" s="532"/>
      <c r="BE59" s="532"/>
      <c r="BF59" s="532"/>
      <c r="BG59" s="532"/>
      <c r="BH59" s="532"/>
      <c r="BI59" s="532"/>
      <c r="BJ59" s="786"/>
      <c r="BK59" s="786"/>
      <c r="BL59" s="786"/>
      <c r="BM59" s="786"/>
      <c r="BN59" s="786"/>
      <c r="BO59" s="786"/>
      <c r="BP59" s="786"/>
      <c r="BQ59" s="786"/>
      <c r="BR59" s="786"/>
      <c r="BS59" s="786"/>
      <c r="BT59" s="786"/>
      <c r="BU59" s="786"/>
      <c r="BV59" s="786"/>
      <c r="BW59" s="786"/>
      <c r="BX59" s="786"/>
      <c r="BY59" s="786"/>
      <c r="BZ59" s="786"/>
      <c r="CA59" s="786"/>
      <c r="CB59" s="786"/>
      <c r="CC59" s="786"/>
      <c r="CD59" s="786"/>
      <c r="CE59" s="786"/>
      <c r="CF59" s="786"/>
      <c r="CG59" s="786"/>
      <c r="CH59" s="786"/>
      <c r="CI59" s="786"/>
      <c r="CJ59" s="786"/>
      <c r="CK59" s="786"/>
      <c r="CL59" s="786"/>
      <c r="CM59" s="786"/>
      <c r="CN59" s="786"/>
      <c r="CO59" s="786"/>
      <c r="CP59" s="786"/>
      <c r="CQ59" s="787"/>
    </row>
    <row r="60" spans="2:185" ht="12" customHeight="1" x14ac:dyDescent="0.2">
      <c r="B60" s="531"/>
      <c r="C60" s="946" t="s">
        <v>739</v>
      </c>
      <c r="D60" s="946"/>
      <c r="E60" s="946"/>
      <c r="F60" s="946" t="str">
        <f>IF(OR($C$58="",$C$58=SelectText),"",VLOOKUP($C$58,Tables!$TK:$UB,15,FALSE))</f>
        <v/>
      </c>
      <c r="G60" s="946"/>
      <c r="H60" s="946"/>
      <c r="I60" s="946"/>
      <c r="J60" s="946"/>
      <c r="K60" s="946"/>
      <c r="L60" s="474"/>
      <c r="M60" s="474"/>
      <c r="N60" s="474"/>
      <c r="O60" s="786"/>
      <c r="P60" s="786"/>
      <c r="Q60" s="786"/>
      <c r="R60" s="786"/>
      <c r="S60" s="786"/>
      <c r="T60" s="786"/>
      <c r="U60" s="786"/>
      <c r="V60" s="786"/>
      <c r="W60" s="786"/>
      <c r="X60" s="786"/>
      <c r="Y60" s="786"/>
      <c r="Z60" s="786"/>
      <c r="AA60" s="786"/>
      <c r="AB60" s="786"/>
      <c r="AC60" s="786"/>
      <c r="AD60" s="786"/>
      <c r="AE60" s="786"/>
      <c r="AF60" s="786"/>
      <c r="AG60" s="786"/>
      <c r="AH60" s="786"/>
      <c r="AI60" s="786"/>
      <c r="AJ60" s="786"/>
      <c r="AK60" s="786"/>
      <c r="AL60" s="786"/>
      <c r="AM60" s="786"/>
      <c r="AN60" s="786"/>
      <c r="AO60" s="786"/>
      <c r="AP60" s="786"/>
      <c r="AQ60" s="786"/>
      <c r="AR60" s="786"/>
      <c r="AS60" s="786"/>
      <c r="AT60" s="786"/>
      <c r="AU60" s="786"/>
      <c r="AV60" s="786"/>
      <c r="AW60" s="347"/>
      <c r="AX60" s="946" t="s">
        <v>739</v>
      </c>
      <c r="AY60" s="946"/>
      <c r="AZ60" s="946"/>
      <c r="BA60" s="946" t="str">
        <f>IF(OR($AX$58="",$AX$58=SelectText),"",VLOOKUP($AX$58,Tables!$TK:$UB,15,FALSE))</f>
        <v/>
      </c>
      <c r="BB60" s="946"/>
      <c r="BC60" s="946"/>
      <c r="BD60" s="946"/>
      <c r="BE60" s="946"/>
      <c r="BF60" s="946"/>
      <c r="BG60" s="474"/>
      <c r="BH60" s="474"/>
      <c r="BI60" s="474"/>
      <c r="BJ60" s="786"/>
      <c r="BK60" s="786"/>
      <c r="BL60" s="786"/>
      <c r="BM60" s="786"/>
      <c r="BN60" s="786"/>
      <c r="BO60" s="786"/>
      <c r="BP60" s="786"/>
      <c r="BQ60" s="786"/>
      <c r="BR60" s="786"/>
      <c r="BS60" s="786"/>
      <c r="BT60" s="786"/>
      <c r="BU60" s="786"/>
      <c r="BV60" s="786"/>
      <c r="BW60" s="786"/>
      <c r="BX60" s="786"/>
      <c r="BY60" s="786"/>
      <c r="BZ60" s="786"/>
      <c r="CA60" s="786"/>
      <c r="CB60" s="786"/>
      <c r="CC60" s="786"/>
      <c r="CD60" s="786"/>
      <c r="CE60" s="786"/>
      <c r="CF60" s="786"/>
      <c r="CG60" s="786"/>
      <c r="CH60" s="786"/>
      <c r="CI60" s="786"/>
      <c r="CJ60" s="786"/>
      <c r="CK60" s="786"/>
      <c r="CL60" s="786"/>
      <c r="CM60" s="786"/>
      <c r="CN60" s="786"/>
      <c r="CO60" s="786"/>
      <c r="CP60" s="786"/>
      <c r="CQ60" s="787"/>
    </row>
    <row r="61" spans="2:185" ht="12" customHeight="1" x14ac:dyDescent="0.2">
      <c r="B61" s="531"/>
      <c r="C61" s="472"/>
      <c r="D61" s="472"/>
      <c r="E61" s="472"/>
      <c r="F61" s="472"/>
      <c r="G61" s="472"/>
      <c r="H61" s="472"/>
      <c r="I61" s="472"/>
      <c r="J61" s="472"/>
      <c r="K61" s="472"/>
      <c r="L61" s="474"/>
      <c r="M61" s="474"/>
      <c r="N61" s="474"/>
      <c r="O61" s="786"/>
      <c r="P61" s="786"/>
      <c r="Q61" s="786"/>
      <c r="R61" s="786"/>
      <c r="S61" s="786"/>
      <c r="T61" s="786"/>
      <c r="U61" s="786"/>
      <c r="V61" s="786"/>
      <c r="W61" s="786"/>
      <c r="X61" s="786"/>
      <c r="Y61" s="786"/>
      <c r="Z61" s="786"/>
      <c r="AA61" s="786"/>
      <c r="AB61" s="786"/>
      <c r="AC61" s="786"/>
      <c r="AD61" s="786"/>
      <c r="AE61" s="786"/>
      <c r="AF61" s="786"/>
      <c r="AG61" s="786"/>
      <c r="AH61" s="786"/>
      <c r="AI61" s="786"/>
      <c r="AJ61" s="786"/>
      <c r="AK61" s="786"/>
      <c r="AL61" s="786"/>
      <c r="AM61" s="786"/>
      <c r="AN61" s="786"/>
      <c r="AO61" s="786"/>
      <c r="AP61" s="786"/>
      <c r="AQ61" s="786"/>
      <c r="AR61" s="786"/>
      <c r="AS61" s="786"/>
      <c r="AT61" s="786"/>
      <c r="AU61" s="786"/>
      <c r="AV61" s="786"/>
      <c r="AW61" s="347"/>
      <c r="AX61" s="472"/>
      <c r="AY61" s="472"/>
      <c r="AZ61" s="472"/>
      <c r="BA61" s="472"/>
      <c r="BB61" s="472"/>
      <c r="BC61" s="472"/>
      <c r="BD61" s="472"/>
      <c r="BE61" s="472"/>
      <c r="BF61" s="472"/>
      <c r="BG61" s="474"/>
      <c r="BH61" s="474"/>
      <c r="BI61" s="474"/>
      <c r="BJ61" s="786"/>
      <c r="BK61" s="786"/>
      <c r="BL61" s="786"/>
      <c r="BM61" s="786"/>
      <c r="BN61" s="786"/>
      <c r="BO61" s="786"/>
      <c r="BP61" s="786"/>
      <c r="BQ61" s="786"/>
      <c r="BR61" s="786"/>
      <c r="BS61" s="786"/>
      <c r="BT61" s="786"/>
      <c r="BU61" s="786"/>
      <c r="BV61" s="786"/>
      <c r="BW61" s="786"/>
      <c r="BX61" s="786"/>
      <c r="BY61" s="786"/>
      <c r="BZ61" s="786"/>
      <c r="CA61" s="786"/>
      <c r="CB61" s="786"/>
      <c r="CC61" s="786"/>
      <c r="CD61" s="786"/>
      <c r="CE61" s="786"/>
      <c r="CF61" s="786"/>
      <c r="CG61" s="786"/>
      <c r="CH61" s="786"/>
      <c r="CI61" s="786"/>
      <c r="CJ61" s="786"/>
      <c r="CK61" s="786"/>
      <c r="CL61" s="786"/>
      <c r="CM61" s="786"/>
      <c r="CN61" s="786"/>
      <c r="CO61" s="786"/>
      <c r="CP61" s="786"/>
      <c r="CQ61" s="787"/>
    </row>
    <row r="62" spans="2:185" ht="12" customHeight="1" x14ac:dyDescent="0.25">
      <c r="B62" s="531"/>
      <c r="C62" s="947" t="str">
        <f>IF(OR($C$58="",$C$58=SelectText),"LEVEL",VLOOKUP($C$58,Tables!$TK:$UB,2,FALSE))</f>
        <v>LEVEL</v>
      </c>
      <c r="D62" s="947"/>
      <c r="E62" s="947"/>
      <c r="F62" s="947"/>
      <c r="G62" s="947"/>
      <c r="H62" s="472"/>
      <c r="I62" s="260"/>
      <c r="J62" s="260"/>
      <c r="K62" s="260"/>
      <c r="L62" s="377"/>
      <c r="M62" s="377"/>
      <c r="N62" s="377"/>
      <c r="O62" s="786"/>
      <c r="P62" s="786"/>
      <c r="Q62" s="786"/>
      <c r="R62" s="786"/>
      <c r="S62" s="786"/>
      <c r="T62" s="786"/>
      <c r="U62" s="786"/>
      <c r="V62" s="786"/>
      <c r="W62" s="786"/>
      <c r="X62" s="786"/>
      <c r="Y62" s="786"/>
      <c r="Z62" s="786"/>
      <c r="AA62" s="786"/>
      <c r="AB62" s="786"/>
      <c r="AC62" s="786"/>
      <c r="AD62" s="786"/>
      <c r="AE62" s="786"/>
      <c r="AF62" s="786"/>
      <c r="AG62" s="786"/>
      <c r="AH62" s="786"/>
      <c r="AI62" s="786"/>
      <c r="AJ62" s="786"/>
      <c r="AK62" s="786"/>
      <c r="AL62" s="786"/>
      <c r="AM62" s="786"/>
      <c r="AN62" s="786"/>
      <c r="AO62" s="786"/>
      <c r="AP62" s="786"/>
      <c r="AQ62" s="786"/>
      <c r="AR62" s="786"/>
      <c r="AS62" s="786"/>
      <c r="AT62" s="786"/>
      <c r="AU62" s="786"/>
      <c r="AV62" s="786"/>
      <c r="AW62" s="347"/>
      <c r="AX62" s="947" t="str">
        <f>IF(OR($AX$58="",$AX$58=SelectText),"LEVEL",VLOOKUP($AX$58,Tables!$TK:$UB,2,FALSE))</f>
        <v>LEVEL</v>
      </c>
      <c r="AY62" s="947"/>
      <c r="AZ62" s="947"/>
      <c r="BA62" s="947"/>
      <c r="BB62" s="947"/>
      <c r="BC62" s="472"/>
      <c r="BD62" s="260"/>
      <c r="BE62" s="260"/>
      <c r="BF62" s="260"/>
      <c r="BG62" s="377"/>
      <c r="BH62" s="377"/>
      <c r="BI62" s="377"/>
      <c r="BJ62" s="786"/>
      <c r="BK62" s="786"/>
      <c r="BL62" s="786"/>
      <c r="BM62" s="786"/>
      <c r="BN62" s="786"/>
      <c r="BO62" s="786"/>
      <c r="BP62" s="786"/>
      <c r="BQ62" s="786"/>
      <c r="BR62" s="786"/>
      <c r="BS62" s="786"/>
      <c r="BT62" s="786"/>
      <c r="BU62" s="786"/>
      <c r="BV62" s="786"/>
      <c r="BW62" s="786"/>
      <c r="BX62" s="786"/>
      <c r="BY62" s="786"/>
      <c r="BZ62" s="786"/>
      <c r="CA62" s="786"/>
      <c r="CB62" s="786"/>
      <c r="CC62" s="786"/>
      <c r="CD62" s="786"/>
      <c r="CE62" s="786"/>
      <c r="CF62" s="786"/>
      <c r="CG62" s="786"/>
      <c r="CH62" s="786"/>
      <c r="CI62" s="786"/>
      <c r="CJ62" s="786"/>
      <c r="CK62" s="786"/>
      <c r="CL62" s="786"/>
      <c r="CM62" s="786"/>
      <c r="CN62" s="786"/>
      <c r="CO62" s="786"/>
      <c r="CP62" s="786"/>
      <c r="CQ62" s="787"/>
    </row>
    <row r="63" spans="2:185" ht="12" customHeight="1" x14ac:dyDescent="0.2">
      <c r="B63" s="531"/>
      <c r="C63" s="472"/>
      <c r="D63" s="472"/>
      <c r="E63" s="472"/>
      <c r="F63" s="472"/>
      <c r="G63" s="472"/>
      <c r="H63" s="472"/>
      <c r="I63" s="472"/>
      <c r="J63" s="472"/>
      <c r="K63" s="472"/>
      <c r="L63" s="474"/>
      <c r="M63" s="474"/>
      <c r="N63" s="474"/>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c r="AT63" s="786"/>
      <c r="AU63" s="786"/>
      <c r="AV63" s="786"/>
      <c r="AW63" s="347"/>
      <c r="AX63" s="472"/>
      <c r="AY63" s="472"/>
      <c r="AZ63" s="472"/>
      <c r="BA63" s="472"/>
      <c r="BB63" s="472"/>
      <c r="BC63" s="472"/>
      <c r="BD63" s="472"/>
      <c r="BE63" s="472"/>
      <c r="BF63" s="472"/>
      <c r="BG63" s="474"/>
      <c r="BH63" s="474"/>
      <c r="BI63" s="474"/>
      <c r="BJ63" s="786"/>
      <c r="BK63" s="786"/>
      <c r="BL63" s="786"/>
      <c r="BM63" s="786"/>
      <c r="BN63" s="786"/>
      <c r="BO63" s="786"/>
      <c r="BP63" s="786"/>
      <c r="BQ63" s="786"/>
      <c r="BR63" s="786"/>
      <c r="BS63" s="786"/>
      <c r="BT63" s="786"/>
      <c r="BU63" s="786"/>
      <c r="BV63" s="786"/>
      <c r="BW63" s="786"/>
      <c r="BX63" s="786"/>
      <c r="BY63" s="786"/>
      <c r="BZ63" s="786"/>
      <c r="CA63" s="786"/>
      <c r="CB63" s="786"/>
      <c r="CC63" s="786"/>
      <c r="CD63" s="786"/>
      <c r="CE63" s="786"/>
      <c r="CF63" s="786"/>
      <c r="CG63" s="786"/>
      <c r="CH63" s="786"/>
      <c r="CI63" s="786"/>
      <c r="CJ63" s="786"/>
      <c r="CK63" s="786"/>
      <c r="CL63" s="786"/>
      <c r="CM63" s="786"/>
      <c r="CN63" s="786"/>
      <c r="CO63" s="786"/>
      <c r="CP63" s="786"/>
      <c r="CQ63" s="787"/>
    </row>
    <row r="64" spans="2:185" ht="12" customHeight="1" x14ac:dyDescent="0.2">
      <c r="B64" s="531"/>
      <c r="C64" s="946" t="s">
        <v>452</v>
      </c>
      <c r="D64" s="946"/>
      <c r="E64" s="946"/>
      <c r="F64" s="946"/>
      <c r="G64" s="946"/>
      <c r="H64" s="946" t="str">
        <f>IF(OR($C$58="",$C$58=SelectText),"",VLOOKUP($C$58,Tables!$TK:$UB,10,FALSE))</f>
        <v/>
      </c>
      <c r="I64" s="946"/>
      <c r="J64" s="946"/>
      <c r="K64" s="946"/>
      <c r="L64" s="474"/>
      <c r="M64" s="474"/>
      <c r="N64" s="474"/>
      <c r="O64" s="786"/>
      <c r="P64" s="786"/>
      <c r="Q64" s="786"/>
      <c r="R64" s="786"/>
      <c r="S64" s="786"/>
      <c r="T64" s="786"/>
      <c r="U64" s="786"/>
      <c r="V64" s="786"/>
      <c r="W64" s="786"/>
      <c r="X64" s="786"/>
      <c r="Y64" s="786"/>
      <c r="Z64" s="786"/>
      <c r="AA64" s="786"/>
      <c r="AB64" s="786"/>
      <c r="AC64" s="786"/>
      <c r="AD64" s="786"/>
      <c r="AE64" s="786"/>
      <c r="AF64" s="786"/>
      <c r="AG64" s="786"/>
      <c r="AH64" s="786"/>
      <c r="AI64" s="786"/>
      <c r="AJ64" s="786"/>
      <c r="AK64" s="786"/>
      <c r="AL64" s="786"/>
      <c r="AM64" s="786"/>
      <c r="AN64" s="786"/>
      <c r="AO64" s="786"/>
      <c r="AP64" s="786"/>
      <c r="AQ64" s="786"/>
      <c r="AR64" s="786"/>
      <c r="AS64" s="786"/>
      <c r="AT64" s="786"/>
      <c r="AU64" s="786"/>
      <c r="AV64" s="786"/>
      <c r="AW64" s="347"/>
      <c r="AX64" s="946" t="s">
        <v>452</v>
      </c>
      <c r="AY64" s="946"/>
      <c r="AZ64" s="946"/>
      <c r="BA64" s="946"/>
      <c r="BB64" s="946"/>
      <c r="BC64" s="946" t="str">
        <f>IF(OR($AX$58="",$AX$58=SelectText),"",VLOOKUP($AX$58,Tables!$TK:$UB,10,FALSE))</f>
        <v/>
      </c>
      <c r="BD64" s="946"/>
      <c r="BE64" s="946"/>
      <c r="BF64" s="946"/>
      <c r="BG64" s="474"/>
      <c r="BH64" s="474"/>
      <c r="BI64" s="474"/>
      <c r="BJ64" s="786"/>
      <c r="BK64" s="786"/>
      <c r="BL64" s="786"/>
      <c r="BM64" s="786"/>
      <c r="BN64" s="786"/>
      <c r="BO64" s="786"/>
      <c r="BP64" s="786"/>
      <c r="BQ64" s="786"/>
      <c r="BR64" s="786"/>
      <c r="BS64" s="786"/>
      <c r="BT64" s="786"/>
      <c r="BU64" s="786"/>
      <c r="BV64" s="786"/>
      <c r="BW64" s="786"/>
      <c r="BX64" s="786"/>
      <c r="BY64" s="786"/>
      <c r="BZ64" s="786"/>
      <c r="CA64" s="786"/>
      <c r="CB64" s="786"/>
      <c r="CC64" s="786"/>
      <c r="CD64" s="786"/>
      <c r="CE64" s="786"/>
      <c r="CF64" s="786"/>
      <c r="CG64" s="786"/>
      <c r="CH64" s="786"/>
      <c r="CI64" s="786"/>
      <c r="CJ64" s="786"/>
      <c r="CK64" s="786"/>
      <c r="CL64" s="786"/>
      <c r="CM64" s="786"/>
      <c r="CN64" s="786"/>
      <c r="CO64" s="786"/>
      <c r="CP64" s="786"/>
      <c r="CQ64" s="787"/>
    </row>
    <row r="65" spans="2:95" ht="12" customHeight="1" x14ac:dyDescent="0.2">
      <c r="B65" s="531"/>
      <c r="C65" s="472"/>
      <c r="D65" s="472"/>
      <c r="E65" s="472"/>
      <c r="F65" s="472"/>
      <c r="G65" s="472"/>
      <c r="H65" s="472"/>
      <c r="I65" s="472"/>
      <c r="J65" s="472"/>
      <c r="K65" s="472"/>
      <c r="L65" s="474"/>
      <c r="M65" s="474"/>
      <c r="N65" s="474"/>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c r="AT65" s="786"/>
      <c r="AU65" s="786"/>
      <c r="AV65" s="786"/>
      <c r="AW65" s="347"/>
      <c r="AX65" s="472"/>
      <c r="AY65" s="472"/>
      <c r="AZ65" s="472"/>
      <c r="BA65" s="472"/>
      <c r="BB65" s="472"/>
      <c r="BC65" s="472"/>
      <c r="BD65" s="472"/>
      <c r="BE65" s="472"/>
      <c r="BF65" s="472"/>
      <c r="BG65" s="474"/>
      <c r="BH65" s="474"/>
      <c r="BI65" s="474"/>
      <c r="BJ65" s="786"/>
      <c r="BK65" s="786"/>
      <c r="BL65" s="786"/>
      <c r="BM65" s="786"/>
      <c r="BN65" s="786"/>
      <c r="BO65" s="786"/>
      <c r="BP65" s="786"/>
      <c r="BQ65" s="786"/>
      <c r="BR65" s="786"/>
      <c r="BS65" s="786"/>
      <c r="BT65" s="786"/>
      <c r="BU65" s="786"/>
      <c r="BV65" s="786"/>
      <c r="BW65" s="786"/>
      <c r="BX65" s="786"/>
      <c r="BY65" s="786"/>
      <c r="BZ65" s="786"/>
      <c r="CA65" s="786"/>
      <c r="CB65" s="786"/>
      <c r="CC65" s="786"/>
      <c r="CD65" s="786"/>
      <c r="CE65" s="786"/>
      <c r="CF65" s="786"/>
      <c r="CG65" s="786"/>
      <c r="CH65" s="786"/>
      <c r="CI65" s="786"/>
      <c r="CJ65" s="786"/>
      <c r="CK65" s="786"/>
      <c r="CL65" s="786"/>
      <c r="CM65" s="786"/>
      <c r="CN65" s="786"/>
      <c r="CO65" s="786"/>
      <c r="CP65" s="786"/>
      <c r="CQ65" s="787"/>
    </row>
    <row r="66" spans="2:95" ht="12" customHeight="1" x14ac:dyDescent="0.2">
      <c r="B66" s="531"/>
      <c r="C66" s="946" t="s">
        <v>48</v>
      </c>
      <c r="D66" s="946"/>
      <c r="E66" s="946"/>
      <c r="F66" s="946" t="str">
        <f>IF(OR($C$58="",$C$58=SelectText),"",VLOOKUP($C$58,Tables!$TK:$UB,11,FALSE))</f>
        <v/>
      </c>
      <c r="G66" s="946"/>
      <c r="H66" s="946"/>
      <c r="I66" s="946"/>
      <c r="J66" s="472"/>
      <c r="K66" s="472"/>
      <c r="L66" s="474"/>
      <c r="M66" s="474"/>
      <c r="N66" s="474"/>
      <c r="O66" s="786"/>
      <c r="P66" s="786"/>
      <c r="Q66" s="786"/>
      <c r="R66" s="786"/>
      <c r="S66" s="786"/>
      <c r="T66" s="786"/>
      <c r="U66" s="786"/>
      <c r="V66" s="786"/>
      <c r="W66" s="786"/>
      <c r="X66" s="786"/>
      <c r="Y66" s="786"/>
      <c r="Z66" s="786"/>
      <c r="AA66" s="786"/>
      <c r="AB66" s="786"/>
      <c r="AC66" s="786"/>
      <c r="AD66" s="786"/>
      <c r="AE66" s="786"/>
      <c r="AF66" s="786"/>
      <c r="AG66" s="786"/>
      <c r="AH66" s="786"/>
      <c r="AI66" s="786"/>
      <c r="AJ66" s="786"/>
      <c r="AK66" s="786"/>
      <c r="AL66" s="786"/>
      <c r="AM66" s="786"/>
      <c r="AN66" s="786"/>
      <c r="AO66" s="786"/>
      <c r="AP66" s="786"/>
      <c r="AQ66" s="786"/>
      <c r="AR66" s="786"/>
      <c r="AS66" s="786"/>
      <c r="AT66" s="786"/>
      <c r="AU66" s="786"/>
      <c r="AV66" s="786"/>
      <c r="AW66" s="347"/>
      <c r="AX66" s="946" t="s">
        <v>48</v>
      </c>
      <c r="AY66" s="946"/>
      <c r="AZ66" s="946"/>
      <c r="BA66" s="946" t="str">
        <f>IF(OR($AX$58="",$AX$58=SelectText),"",VLOOKUP($AX$58,Tables!$TK:$UB,11,FALSE))</f>
        <v/>
      </c>
      <c r="BB66" s="946"/>
      <c r="BC66" s="946"/>
      <c r="BD66" s="946"/>
      <c r="BE66" s="472"/>
      <c r="BF66" s="472"/>
      <c r="BG66" s="474"/>
      <c r="BH66" s="474"/>
      <c r="BI66" s="474"/>
      <c r="BJ66" s="786"/>
      <c r="BK66" s="786"/>
      <c r="BL66" s="786"/>
      <c r="BM66" s="786"/>
      <c r="BN66" s="786"/>
      <c r="BO66" s="786"/>
      <c r="BP66" s="786"/>
      <c r="BQ66" s="786"/>
      <c r="BR66" s="786"/>
      <c r="BS66" s="786"/>
      <c r="BT66" s="786"/>
      <c r="BU66" s="786"/>
      <c r="BV66" s="786"/>
      <c r="BW66" s="786"/>
      <c r="BX66" s="786"/>
      <c r="BY66" s="786"/>
      <c r="BZ66" s="786"/>
      <c r="CA66" s="786"/>
      <c r="CB66" s="786"/>
      <c r="CC66" s="786"/>
      <c r="CD66" s="786"/>
      <c r="CE66" s="786"/>
      <c r="CF66" s="786"/>
      <c r="CG66" s="786"/>
      <c r="CH66" s="786"/>
      <c r="CI66" s="786"/>
      <c r="CJ66" s="786"/>
      <c r="CK66" s="786"/>
      <c r="CL66" s="786"/>
      <c r="CM66" s="786"/>
      <c r="CN66" s="786"/>
      <c r="CO66" s="786"/>
      <c r="CP66" s="786"/>
      <c r="CQ66" s="787"/>
    </row>
    <row r="67" spans="2:95" ht="12" customHeight="1" x14ac:dyDescent="0.2">
      <c r="B67" s="531"/>
      <c r="C67" s="472"/>
      <c r="D67" s="472"/>
      <c r="E67" s="472"/>
      <c r="F67" s="472"/>
      <c r="G67" s="472"/>
      <c r="H67" s="472"/>
      <c r="I67" s="472"/>
      <c r="J67" s="472"/>
      <c r="K67" s="472"/>
      <c r="L67" s="474"/>
      <c r="M67" s="474"/>
      <c r="N67" s="474"/>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c r="AT67" s="786"/>
      <c r="AU67" s="786"/>
      <c r="AV67" s="786"/>
      <c r="AW67" s="347"/>
      <c r="AX67" s="472"/>
      <c r="AY67" s="472"/>
      <c r="AZ67" s="472"/>
      <c r="BA67" s="472"/>
      <c r="BB67" s="472"/>
      <c r="BC67" s="472"/>
      <c r="BD67" s="472"/>
      <c r="BE67" s="472"/>
      <c r="BF67" s="472"/>
      <c r="BG67" s="474"/>
      <c r="BH67" s="474"/>
      <c r="BI67" s="474"/>
      <c r="BJ67" s="786"/>
      <c r="BK67" s="786"/>
      <c r="BL67" s="786"/>
      <c r="BM67" s="786"/>
      <c r="BN67" s="786"/>
      <c r="BO67" s="786"/>
      <c r="BP67" s="786"/>
      <c r="BQ67" s="786"/>
      <c r="BR67" s="786"/>
      <c r="BS67" s="786"/>
      <c r="BT67" s="786"/>
      <c r="BU67" s="786"/>
      <c r="BV67" s="786"/>
      <c r="BW67" s="786"/>
      <c r="BX67" s="786"/>
      <c r="BY67" s="786"/>
      <c r="BZ67" s="786"/>
      <c r="CA67" s="786"/>
      <c r="CB67" s="786"/>
      <c r="CC67" s="786"/>
      <c r="CD67" s="786"/>
      <c r="CE67" s="786"/>
      <c r="CF67" s="786"/>
      <c r="CG67" s="786"/>
      <c r="CH67" s="786"/>
      <c r="CI67" s="786"/>
      <c r="CJ67" s="786"/>
      <c r="CK67" s="786"/>
      <c r="CL67" s="786"/>
      <c r="CM67" s="786"/>
      <c r="CN67" s="786"/>
      <c r="CO67" s="786"/>
      <c r="CP67" s="786"/>
      <c r="CQ67" s="787"/>
    </row>
    <row r="68" spans="2:95" ht="12" customHeight="1" x14ac:dyDescent="0.2">
      <c r="B68" s="531"/>
      <c r="C68" s="946" t="s">
        <v>453</v>
      </c>
      <c r="D68" s="946"/>
      <c r="E68" s="946"/>
      <c r="F68" s="946"/>
      <c r="G68" s="946" t="str">
        <f>IF(OR($C$58="",$C$58=SelectText),"",VLOOKUP($C$58,Tables!$TK:$UB,12,FALSE))</f>
        <v/>
      </c>
      <c r="H68" s="946"/>
      <c r="I68" s="946"/>
      <c r="J68" s="946"/>
      <c r="K68" s="472"/>
      <c r="L68" s="474"/>
      <c r="M68" s="474"/>
      <c r="N68" s="474"/>
      <c r="O68" s="786"/>
      <c r="P68" s="786"/>
      <c r="Q68" s="786"/>
      <c r="R68" s="786"/>
      <c r="S68" s="786"/>
      <c r="T68" s="786"/>
      <c r="U68" s="786"/>
      <c r="V68" s="786"/>
      <c r="W68" s="786"/>
      <c r="X68" s="786"/>
      <c r="Y68" s="786"/>
      <c r="Z68" s="786"/>
      <c r="AA68" s="786"/>
      <c r="AB68" s="786"/>
      <c r="AC68" s="786"/>
      <c r="AD68" s="786"/>
      <c r="AE68" s="786"/>
      <c r="AF68" s="786"/>
      <c r="AG68" s="786"/>
      <c r="AH68" s="786"/>
      <c r="AI68" s="786"/>
      <c r="AJ68" s="786"/>
      <c r="AK68" s="786"/>
      <c r="AL68" s="786"/>
      <c r="AM68" s="786"/>
      <c r="AN68" s="786"/>
      <c r="AO68" s="786"/>
      <c r="AP68" s="786"/>
      <c r="AQ68" s="786"/>
      <c r="AR68" s="786"/>
      <c r="AS68" s="786"/>
      <c r="AT68" s="786"/>
      <c r="AU68" s="786"/>
      <c r="AV68" s="786"/>
      <c r="AW68" s="347"/>
      <c r="AX68" s="946" t="s">
        <v>453</v>
      </c>
      <c r="AY68" s="946"/>
      <c r="AZ68" s="946"/>
      <c r="BA68" s="946"/>
      <c r="BB68" s="946" t="str">
        <f>IF(OR($AX$58="",$AX$58=SelectText),"",VLOOKUP($AX$58,Tables!$TK:$UB,12,FALSE))</f>
        <v/>
      </c>
      <c r="BC68" s="946"/>
      <c r="BD68" s="946"/>
      <c r="BE68" s="946"/>
      <c r="BF68" s="472"/>
      <c r="BG68" s="474"/>
      <c r="BH68" s="474"/>
      <c r="BI68" s="474"/>
      <c r="BJ68" s="786"/>
      <c r="BK68" s="786"/>
      <c r="BL68" s="786"/>
      <c r="BM68" s="786"/>
      <c r="BN68" s="786"/>
      <c r="BO68" s="786"/>
      <c r="BP68" s="786"/>
      <c r="BQ68" s="786"/>
      <c r="BR68" s="786"/>
      <c r="BS68" s="786"/>
      <c r="BT68" s="786"/>
      <c r="BU68" s="786"/>
      <c r="BV68" s="786"/>
      <c r="BW68" s="786"/>
      <c r="BX68" s="786"/>
      <c r="BY68" s="786"/>
      <c r="BZ68" s="786"/>
      <c r="CA68" s="786"/>
      <c r="CB68" s="786"/>
      <c r="CC68" s="786"/>
      <c r="CD68" s="786"/>
      <c r="CE68" s="786"/>
      <c r="CF68" s="786"/>
      <c r="CG68" s="786"/>
      <c r="CH68" s="786"/>
      <c r="CI68" s="786"/>
      <c r="CJ68" s="786"/>
      <c r="CK68" s="786"/>
      <c r="CL68" s="786"/>
      <c r="CM68" s="786"/>
      <c r="CN68" s="786"/>
      <c r="CO68" s="786"/>
      <c r="CP68" s="786"/>
      <c r="CQ68" s="787"/>
    </row>
    <row r="69" spans="2:95" ht="12" customHeight="1" x14ac:dyDescent="0.2">
      <c r="B69" s="531"/>
      <c r="C69" s="472"/>
      <c r="D69" s="472"/>
      <c r="E69" s="472"/>
      <c r="F69" s="472"/>
      <c r="G69" s="472"/>
      <c r="H69" s="472"/>
      <c r="I69" s="472"/>
      <c r="J69" s="472"/>
      <c r="K69" s="472"/>
      <c r="L69" s="474"/>
      <c r="M69" s="474"/>
      <c r="N69" s="474"/>
      <c r="O69" s="786"/>
      <c r="P69" s="786"/>
      <c r="Q69" s="786"/>
      <c r="R69" s="786"/>
      <c r="S69" s="786"/>
      <c r="T69" s="786"/>
      <c r="U69" s="786"/>
      <c r="V69" s="786"/>
      <c r="W69" s="786"/>
      <c r="X69" s="786"/>
      <c r="Y69" s="786"/>
      <c r="Z69" s="786"/>
      <c r="AA69" s="786"/>
      <c r="AB69" s="786"/>
      <c r="AC69" s="786"/>
      <c r="AD69" s="786"/>
      <c r="AE69" s="786"/>
      <c r="AF69" s="786"/>
      <c r="AG69" s="786"/>
      <c r="AH69" s="786"/>
      <c r="AI69" s="786"/>
      <c r="AJ69" s="786"/>
      <c r="AK69" s="786"/>
      <c r="AL69" s="786"/>
      <c r="AM69" s="786"/>
      <c r="AN69" s="786"/>
      <c r="AO69" s="786"/>
      <c r="AP69" s="786"/>
      <c r="AQ69" s="786"/>
      <c r="AR69" s="786"/>
      <c r="AS69" s="786"/>
      <c r="AT69" s="786"/>
      <c r="AU69" s="786"/>
      <c r="AV69" s="786"/>
      <c r="AW69" s="347"/>
      <c r="AX69" s="472"/>
      <c r="AY69" s="472"/>
      <c r="AZ69" s="472"/>
      <c r="BA69" s="472"/>
      <c r="BB69" s="472"/>
      <c r="BC69" s="472"/>
      <c r="BD69" s="472"/>
      <c r="BE69" s="472"/>
      <c r="BF69" s="472"/>
      <c r="BG69" s="474"/>
      <c r="BH69" s="474"/>
      <c r="BI69" s="474"/>
      <c r="BJ69" s="786"/>
      <c r="BK69" s="786"/>
      <c r="BL69" s="786"/>
      <c r="BM69" s="786"/>
      <c r="BN69" s="786"/>
      <c r="BO69" s="786"/>
      <c r="BP69" s="786"/>
      <c r="BQ69" s="786"/>
      <c r="BR69" s="786"/>
      <c r="BS69" s="786"/>
      <c r="BT69" s="786"/>
      <c r="BU69" s="786"/>
      <c r="BV69" s="786"/>
      <c r="BW69" s="786"/>
      <c r="BX69" s="786"/>
      <c r="BY69" s="786"/>
      <c r="BZ69" s="786"/>
      <c r="CA69" s="786"/>
      <c r="CB69" s="786"/>
      <c r="CC69" s="786"/>
      <c r="CD69" s="786"/>
      <c r="CE69" s="786"/>
      <c r="CF69" s="786"/>
      <c r="CG69" s="786"/>
      <c r="CH69" s="786"/>
      <c r="CI69" s="786"/>
      <c r="CJ69" s="786"/>
      <c r="CK69" s="786"/>
      <c r="CL69" s="786"/>
      <c r="CM69" s="786"/>
      <c r="CN69" s="786"/>
      <c r="CO69" s="786"/>
      <c r="CP69" s="786"/>
      <c r="CQ69" s="787"/>
    </row>
    <row r="70" spans="2:95" ht="12" customHeight="1" x14ac:dyDescent="0.2">
      <c r="B70" s="531"/>
      <c r="C70" s="946" t="s">
        <v>454</v>
      </c>
      <c r="D70" s="946"/>
      <c r="E70" s="946"/>
      <c r="F70" s="946"/>
      <c r="G70" s="946"/>
      <c r="H70" s="946" t="str">
        <f>IF(OR($C$58="",$C$58=SelectText),"",VLOOKUP($C$58,Tables!$TK:$UB,13,FALSE))</f>
        <v/>
      </c>
      <c r="I70" s="946"/>
      <c r="J70" s="946"/>
      <c r="K70" s="946"/>
      <c r="L70" s="474"/>
      <c r="M70" s="474"/>
      <c r="N70" s="474"/>
      <c r="O70" s="786"/>
      <c r="P70" s="786"/>
      <c r="Q70" s="786"/>
      <c r="R70" s="786"/>
      <c r="S70" s="786"/>
      <c r="T70" s="786"/>
      <c r="U70" s="786"/>
      <c r="V70" s="786"/>
      <c r="W70" s="786"/>
      <c r="X70" s="786"/>
      <c r="Y70" s="786"/>
      <c r="Z70" s="786"/>
      <c r="AA70" s="786"/>
      <c r="AB70" s="786"/>
      <c r="AC70" s="786"/>
      <c r="AD70" s="786"/>
      <c r="AE70" s="786"/>
      <c r="AF70" s="786"/>
      <c r="AG70" s="786"/>
      <c r="AH70" s="786"/>
      <c r="AI70" s="786"/>
      <c r="AJ70" s="786"/>
      <c r="AK70" s="786"/>
      <c r="AL70" s="786"/>
      <c r="AM70" s="786"/>
      <c r="AN70" s="786"/>
      <c r="AO70" s="786"/>
      <c r="AP70" s="786"/>
      <c r="AQ70" s="786"/>
      <c r="AR70" s="786"/>
      <c r="AS70" s="786"/>
      <c r="AT70" s="786"/>
      <c r="AU70" s="786"/>
      <c r="AV70" s="786"/>
      <c r="AW70" s="347"/>
      <c r="AX70" s="946" t="s">
        <v>454</v>
      </c>
      <c r="AY70" s="946"/>
      <c r="AZ70" s="946"/>
      <c r="BA70" s="946"/>
      <c r="BB70" s="946"/>
      <c r="BC70" s="946" t="str">
        <f>IF(OR($AX$58="",$AX$58=SelectText),"",VLOOKUP($AX$58,Tables!$TK:$UB,13,FALSE))</f>
        <v/>
      </c>
      <c r="BD70" s="946"/>
      <c r="BE70" s="946"/>
      <c r="BF70" s="946"/>
      <c r="BG70" s="474"/>
      <c r="BH70" s="474"/>
      <c r="BI70" s="474"/>
      <c r="BJ70" s="786"/>
      <c r="BK70" s="786"/>
      <c r="BL70" s="786"/>
      <c r="BM70" s="786"/>
      <c r="BN70" s="786"/>
      <c r="BO70" s="786"/>
      <c r="BP70" s="786"/>
      <c r="BQ70" s="786"/>
      <c r="BR70" s="786"/>
      <c r="BS70" s="786"/>
      <c r="BT70" s="786"/>
      <c r="BU70" s="786"/>
      <c r="BV70" s="786"/>
      <c r="BW70" s="786"/>
      <c r="BX70" s="786"/>
      <c r="BY70" s="786"/>
      <c r="BZ70" s="786"/>
      <c r="CA70" s="786"/>
      <c r="CB70" s="786"/>
      <c r="CC70" s="786"/>
      <c r="CD70" s="786"/>
      <c r="CE70" s="786"/>
      <c r="CF70" s="786"/>
      <c r="CG70" s="786"/>
      <c r="CH70" s="786"/>
      <c r="CI70" s="786"/>
      <c r="CJ70" s="786"/>
      <c r="CK70" s="786"/>
      <c r="CL70" s="786"/>
      <c r="CM70" s="786"/>
      <c r="CN70" s="786"/>
      <c r="CO70" s="786"/>
      <c r="CP70" s="786"/>
      <c r="CQ70" s="787"/>
    </row>
    <row r="71" spans="2:95" ht="12" customHeight="1" x14ac:dyDescent="0.2">
      <c r="B71" s="531"/>
      <c r="C71" s="795" t="str">
        <f>IF(OR($C$58="",$C$58=SelectText),"",VLOOKUP($C$58,Tables!$TK:$UB,14,FALSE))</f>
        <v/>
      </c>
      <c r="D71" s="795"/>
      <c r="E71" s="795"/>
      <c r="F71" s="795"/>
      <c r="G71" s="795"/>
      <c r="H71" s="795"/>
      <c r="I71" s="795"/>
      <c r="J71" s="795"/>
      <c r="K71" s="795"/>
      <c r="L71" s="795"/>
      <c r="M71" s="795"/>
      <c r="N71" s="795"/>
      <c r="O71" s="786"/>
      <c r="P71" s="786"/>
      <c r="Q71" s="786"/>
      <c r="R71" s="786"/>
      <c r="S71" s="786"/>
      <c r="T71" s="786"/>
      <c r="U71" s="786"/>
      <c r="V71" s="786"/>
      <c r="W71" s="786"/>
      <c r="X71" s="786"/>
      <c r="Y71" s="786"/>
      <c r="Z71" s="786"/>
      <c r="AA71" s="786"/>
      <c r="AB71" s="786"/>
      <c r="AC71" s="786"/>
      <c r="AD71" s="786"/>
      <c r="AE71" s="786"/>
      <c r="AF71" s="786"/>
      <c r="AG71" s="786"/>
      <c r="AH71" s="786"/>
      <c r="AI71" s="786"/>
      <c r="AJ71" s="786"/>
      <c r="AK71" s="786"/>
      <c r="AL71" s="786"/>
      <c r="AM71" s="786"/>
      <c r="AN71" s="786"/>
      <c r="AO71" s="786"/>
      <c r="AP71" s="786"/>
      <c r="AQ71" s="786"/>
      <c r="AR71" s="786"/>
      <c r="AS71" s="786"/>
      <c r="AT71" s="786"/>
      <c r="AU71" s="786"/>
      <c r="AV71" s="786"/>
      <c r="AW71" s="347"/>
      <c r="AX71" s="795" t="str">
        <f>IF(OR($AX$58="",$AX$58=SelectText),"",VLOOKUP($AX$58,Tables!$TK:$UB,14,FALSE))</f>
        <v/>
      </c>
      <c r="AY71" s="795"/>
      <c r="AZ71" s="795"/>
      <c r="BA71" s="795"/>
      <c r="BB71" s="795"/>
      <c r="BC71" s="795"/>
      <c r="BD71" s="795"/>
      <c r="BE71" s="795"/>
      <c r="BF71" s="795"/>
      <c r="BG71" s="795"/>
      <c r="BH71" s="795"/>
      <c r="BI71" s="795"/>
      <c r="BJ71" s="786"/>
      <c r="BK71" s="786"/>
      <c r="BL71" s="786"/>
      <c r="BM71" s="786"/>
      <c r="BN71" s="786"/>
      <c r="BO71" s="786"/>
      <c r="BP71" s="786"/>
      <c r="BQ71" s="786"/>
      <c r="BR71" s="786"/>
      <c r="BS71" s="786"/>
      <c r="BT71" s="786"/>
      <c r="BU71" s="786"/>
      <c r="BV71" s="786"/>
      <c r="BW71" s="786"/>
      <c r="BX71" s="786"/>
      <c r="BY71" s="786"/>
      <c r="BZ71" s="786"/>
      <c r="CA71" s="786"/>
      <c r="CB71" s="786"/>
      <c r="CC71" s="786"/>
      <c r="CD71" s="786"/>
      <c r="CE71" s="786"/>
      <c r="CF71" s="786"/>
      <c r="CG71" s="786"/>
      <c r="CH71" s="786"/>
      <c r="CI71" s="786"/>
      <c r="CJ71" s="786"/>
      <c r="CK71" s="786"/>
      <c r="CL71" s="786"/>
      <c r="CM71" s="786"/>
      <c r="CN71" s="786"/>
      <c r="CO71" s="786"/>
      <c r="CP71" s="786"/>
      <c r="CQ71" s="787"/>
    </row>
    <row r="72" spans="2:95" ht="12" customHeight="1" x14ac:dyDescent="0.2">
      <c r="B72" s="531"/>
      <c r="C72" s="795"/>
      <c r="D72" s="795"/>
      <c r="E72" s="795"/>
      <c r="F72" s="795"/>
      <c r="G72" s="795"/>
      <c r="H72" s="795"/>
      <c r="I72" s="795"/>
      <c r="J72" s="795"/>
      <c r="K72" s="795"/>
      <c r="L72" s="795"/>
      <c r="M72" s="795"/>
      <c r="N72" s="795"/>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786"/>
      <c r="AT72" s="786"/>
      <c r="AU72" s="786"/>
      <c r="AV72" s="786"/>
      <c r="AW72" s="347"/>
      <c r="AX72" s="795"/>
      <c r="AY72" s="795"/>
      <c r="AZ72" s="795"/>
      <c r="BA72" s="795"/>
      <c r="BB72" s="795"/>
      <c r="BC72" s="795"/>
      <c r="BD72" s="795"/>
      <c r="BE72" s="795"/>
      <c r="BF72" s="795"/>
      <c r="BG72" s="795"/>
      <c r="BH72" s="795"/>
      <c r="BI72" s="795"/>
      <c r="BJ72" s="786"/>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7"/>
    </row>
    <row r="73" spans="2:95" ht="12" customHeight="1" x14ac:dyDescent="0.2">
      <c r="B73" s="531"/>
      <c r="C73" s="795"/>
      <c r="D73" s="795"/>
      <c r="E73" s="795"/>
      <c r="F73" s="795"/>
      <c r="G73" s="795"/>
      <c r="H73" s="795"/>
      <c r="I73" s="795"/>
      <c r="J73" s="795"/>
      <c r="K73" s="795"/>
      <c r="L73" s="795"/>
      <c r="M73" s="795"/>
      <c r="N73" s="795"/>
      <c r="O73" s="786"/>
      <c r="P73" s="786"/>
      <c r="Q73" s="786"/>
      <c r="R73" s="786"/>
      <c r="S73" s="786"/>
      <c r="T73" s="786"/>
      <c r="U73" s="786"/>
      <c r="V73" s="786"/>
      <c r="W73" s="786"/>
      <c r="X73" s="786"/>
      <c r="Y73" s="786"/>
      <c r="Z73" s="786"/>
      <c r="AA73" s="786"/>
      <c r="AB73" s="786"/>
      <c r="AC73" s="786"/>
      <c r="AD73" s="786"/>
      <c r="AE73" s="786"/>
      <c r="AF73" s="786"/>
      <c r="AG73" s="786"/>
      <c r="AH73" s="786"/>
      <c r="AI73" s="786"/>
      <c r="AJ73" s="786"/>
      <c r="AK73" s="786"/>
      <c r="AL73" s="786"/>
      <c r="AM73" s="786"/>
      <c r="AN73" s="786"/>
      <c r="AO73" s="786"/>
      <c r="AP73" s="786"/>
      <c r="AQ73" s="786"/>
      <c r="AR73" s="786"/>
      <c r="AS73" s="786"/>
      <c r="AT73" s="786"/>
      <c r="AU73" s="786"/>
      <c r="AV73" s="786"/>
      <c r="AW73" s="347"/>
      <c r="AX73" s="795"/>
      <c r="AY73" s="795"/>
      <c r="AZ73" s="795"/>
      <c r="BA73" s="795"/>
      <c r="BB73" s="795"/>
      <c r="BC73" s="795"/>
      <c r="BD73" s="795"/>
      <c r="BE73" s="795"/>
      <c r="BF73" s="795"/>
      <c r="BG73" s="795"/>
      <c r="BH73" s="795"/>
      <c r="BI73" s="795"/>
      <c r="BJ73" s="786"/>
      <c r="BK73" s="786"/>
      <c r="BL73" s="786"/>
      <c r="BM73" s="786"/>
      <c r="BN73" s="786"/>
      <c r="BO73" s="786"/>
      <c r="BP73" s="786"/>
      <c r="BQ73" s="786"/>
      <c r="BR73" s="786"/>
      <c r="BS73" s="786"/>
      <c r="BT73" s="786"/>
      <c r="BU73" s="786"/>
      <c r="BV73" s="786"/>
      <c r="BW73" s="786"/>
      <c r="BX73" s="786"/>
      <c r="BY73" s="786"/>
      <c r="BZ73" s="786"/>
      <c r="CA73" s="786"/>
      <c r="CB73" s="786"/>
      <c r="CC73" s="786"/>
      <c r="CD73" s="786"/>
      <c r="CE73" s="786"/>
      <c r="CF73" s="786"/>
      <c r="CG73" s="786"/>
      <c r="CH73" s="786"/>
      <c r="CI73" s="786"/>
      <c r="CJ73" s="786"/>
      <c r="CK73" s="786"/>
      <c r="CL73" s="786"/>
      <c r="CM73" s="786"/>
      <c r="CN73" s="786"/>
      <c r="CO73" s="786"/>
      <c r="CP73" s="786"/>
      <c r="CQ73" s="787"/>
    </row>
    <row r="74" spans="2:95" ht="12" customHeight="1" x14ac:dyDescent="0.2">
      <c r="B74" s="531"/>
      <c r="C74" s="795"/>
      <c r="D74" s="795"/>
      <c r="E74" s="795"/>
      <c r="F74" s="795"/>
      <c r="G74" s="795"/>
      <c r="H74" s="795"/>
      <c r="I74" s="795"/>
      <c r="J74" s="795"/>
      <c r="K74" s="795"/>
      <c r="L74" s="795"/>
      <c r="M74" s="795"/>
      <c r="N74" s="795"/>
      <c r="O74" s="786"/>
      <c r="P74" s="786"/>
      <c r="Q74" s="786"/>
      <c r="R74" s="786"/>
      <c r="S74" s="786"/>
      <c r="T74" s="786"/>
      <c r="U74" s="786"/>
      <c r="V74" s="786"/>
      <c r="W74" s="786"/>
      <c r="X74" s="786"/>
      <c r="Y74" s="786"/>
      <c r="Z74" s="786"/>
      <c r="AA74" s="786"/>
      <c r="AB74" s="786"/>
      <c r="AC74" s="786"/>
      <c r="AD74" s="786"/>
      <c r="AE74" s="786"/>
      <c r="AF74" s="786"/>
      <c r="AG74" s="786"/>
      <c r="AH74" s="786"/>
      <c r="AI74" s="786"/>
      <c r="AJ74" s="786"/>
      <c r="AK74" s="786"/>
      <c r="AL74" s="786"/>
      <c r="AM74" s="786"/>
      <c r="AN74" s="786"/>
      <c r="AO74" s="786"/>
      <c r="AP74" s="786"/>
      <c r="AQ74" s="786"/>
      <c r="AR74" s="786"/>
      <c r="AS74" s="786"/>
      <c r="AT74" s="786"/>
      <c r="AU74" s="786"/>
      <c r="AV74" s="786"/>
      <c r="AW74" s="347"/>
      <c r="AX74" s="795"/>
      <c r="AY74" s="795"/>
      <c r="AZ74" s="795"/>
      <c r="BA74" s="795"/>
      <c r="BB74" s="795"/>
      <c r="BC74" s="795"/>
      <c r="BD74" s="795"/>
      <c r="BE74" s="795"/>
      <c r="BF74" s="795"/>
      <c r="BG74" s="795"/>
      <c r="BH74" s="795"/>
      <c r="BI74" s="795"/>
      <c r="BJ74" s="786"/>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7"/>
    </row>
    <row r="75" spans="2:95" ht="12" customHeight="1" x14ac:dyDescent="0.2">
      <c r="B75" s="531"/>
      <c r="C75" s="795"/>
      <c r="D75" s="795"/>
      <c r="E75" s="795"/>
      <c r="F75" s="795"/>
      <c r="G75" s="795"/>
      <c r="H75" s="795"/>
      <c r="I75" s="795"/>
      <c r="J75" s="795"/>
      <c r="K75" s="795"/>
      <c r="L75" s="795"/>
      <c r="M75" s="795"/>
      <c r="N75" s="795"/>
      <c r="O75" s="786"/>
      <c r="P75" s="786"/>
      <c r="Q75" s="786"/>
      <c r="R75" s="786"/>
      <c r="S75" s="786"/>
      <c r="T75" s="786"/>
      <c r="U75" s="786"/>
      <c r="V75" s="786"/>
      <c r="W75" s="786"/>
      <c r="X75" s="786"/>
      <c r="Y75" s="786"/>
      <c r="Z75" s="786"/>
      <c r="AA75" s="786"/>
      <c r="AB75" s="786"/>
      <c r="AC75" s="786"/>
      <c r="AD75" s="786"/>
      <c r="AE75" s="786"/>
      <c r="AF75" s="786"/>
      <c r="AG75" s="786"/>
      <c r="AH75" s="786"/>
      <c r="AI75" s="786"/>
      <c r="AJ75" s="786"/>
      <c r="AK75" s="786"/>
      <c r="AL75" s="786"/>
      <c r="AM75" s="786"/>
      <c r="AN75" s="786"/>
      <c r="AO75" s="786"/>
      <c r="AP75" s="786"/>
      <c r="AQ75" s="786"/>
      <c r="AR75" s="786"/>
      <c r="AS75" s="786"/>
      <c r="AT75" s="786"/>
      <c r="AU75" s="786"/>
      <c r="AV75" s="786"/>
      <c r="AW75" s="347"/>
      <c r="AX75" s="795"/>
      <c r="AY75" s="795"/>
      <c r="AZ75" s="795"/>
      <c r="BA75" s="795"/>
      <c r="BB75" s="795"/>
      <c r="BC75" s="795"/>
      <c r="BD75" s="795"/>
      <c r="BE75" s="795"/>
      <c r="BF75" s="795"/>
      <c r="BG75" s="795"/>
      <c r="BH75" s="795"/>
      <c r="BI75" s="795"/>
      <c r="BJ75" s="786"/>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7"/>
    </row>
    <row r="76" spans="2:95" ht="12" customHeight="1" x14ac:dyDescent="0.2">
      <c r="B76" s="531"/>
      <c r="C76" s="795"/>
      <c r="D76" s="795"/>
      <c r="E76" s="795"/>
      <c r="F76" s="795"/>
      <c r="G76" s="795"/>
      <c r="H76" s="795"/>
      <c r="I76" s="795"/>
      <c r="J76" s="795"/>
      <c r="K76" s="795"/>
      <c r="L76" s="795"/>
      <c r="M76" s="795"/>
      <c r="N76" s="795"/>
      <c r="O76" s="786"/>
      <c r="P76" s="786"/>
      <c r="Q76" s="786"/>
      <c r="R76" s="786"/>
      <c r="S76" s="786"/>
      <c r="T76" s="786"/>
      <c r="U76" s="786"/>
      <c r="V76" s="786"/>
      <c r="W76" s="786"/>
      <c r="X76" s="786"/>
      <c r="Y76" s="786"/>
      <c r="Z76" s="786"/>
      <c r="AA76" s="786"/>
      <c r="AB76" s="786"/>
      <c r="AC76" s="786"/>
      <c r="AD76" s="786"/>
      <c r="AE76" s="786"/>
      <c r="AF76" s="786"/>
      <c r="AG76" s="786"/>
      <c r="AH76" s="786"/>
      <c r="AI76" s="786"/>
      <c r="AJ76" s="786"/>
      <c r="AK76" s="786"/>
      <c r="AL76" s="786"/>
      <c r="AM76" s="786"/>
      <c r="AN76" s="786"/>
      <c r="AO76" s="786"/>
      <c r="AP76" s="786"/>
      <c r="AQ76" s="786"/>
      <c r="AR76" s="786"/>
      <c r="AS76" s="786"/>
      <c r="AT76" s="786"/>
      <c r="AU76" s="786"/>
      <c r="AV76" s="786"/>
      <c r="AW76" s="347"/>
      <c r="AX76" s="795"/>
      <c r="AY76" s="795"/>
      <c r="AZ76" s="795"/>
      <c r="BA76" s="795"/>
      <c r="BB76" s="795"/>
      <c r="BC76" s="795"/>
      <c r="BD76" s="795"/>
      <c r="BE76" s="795"/>
      <c r="BF76" s="795"/>
      <c r="BG76" s="795"/>
      <c r="BH76" s="795"/>
      <c r="BI76" s="795"/>
      <c r="BJ76" s="786"/>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7"/>
    </row>
    <row r="77" spans="2:95" ht="12" customHeight="1" x14ac:dyDescent="0.2">
      <c r="B77" s="531"/>
      <c r="C77" s="795"/>
      <c r="D77" s="795"/>
      <c r="E77" s="795"/>
      <c r="F77" s="795"/>
      <c r="G77" s="795"/>
      <c r="H77" s="795"/>
      <c r="I77" s="795"/>
      <c r="J77" s="795"/>
      <c r="K77" s="795"/>
      <c r="L77" s="795"/>
      <c r="M77" s="795"/>
      <c r="N77" s="795"/>
      <c r="O77" s="786"/>
      <c r="P77" s="786"/>
      <c r="Q77" s="786"/>
      <c r="R77" s="786"/>
      <c r="S77" s="786"/>
      <c r="T77" s="786"/>
      <c r="U77" s="786"/>
      <c r="V77" s="786"/>
      <c r="W77" s="786"/>
      <c r="X77" s="786"/>
      <c r="Y77" s="786"/>
      <c r="Z77" s="786"/>
      <c r="AA77" s="786"/>
      <c r="AB77" s="786"/>
      <c r="AC77" s="786"/>
      <c r="AD77" s="786"/>
      <c r="AE77" s="786"/>
      <c r="AF77" s="786"/>
      <c r="AG77" s="786"/>
      <c r="AH77" s="786"/>
      <c r="AI77" s="786"/>
      <c r="AJ77" s="786"/>
      <c r="AK77" s="786"/>
      <c r="AL77" s="786"/>
      <c r="AM77" s="786"/>
      <c r="AN77" s="786"/>
      <c r="AO77" s="786"/>
      <c r="AP77" s="786"/>
      <c r="AQ77" s="786"/>
      <c r="AR77" s="786"/>
      <c r="AS77" s="786"/>
      <c r="AT77" s="786"/>
      <c r="AU77" s="786"/>
      <c r="AV77" s="786"/>
      <c r="AW77" s="347"/>
      <c r="AX77" s="795"/>
      <c r="AY77" s="795"/>
      <c r="AZ77" s="795"/>
      <c r="BA77" s="795"/>
      <c r="BB77" s="795"/>
      <c r="BC77" s="795"/>
      <c r="BD77" s="795"/>
      <c r="BE77" s="795"/>
      <c r="BF77" s="795"/>
      <c r="BG77" s="795"/>
      <c r="BH77" s="795"/>
      <c r="BI77" s="795"/>
      <c r="BJ77" s="786"/>
      <c r="BK77" s="786"/>
      <c r="BL77" s="786"/>
      <c r="BM77" s="786"/>
      <c r="BN77" s="786"/>
      <c r="BO77" s="786"/>
      <c r="BP77" s="786"/>
      <c r="BQ77" s="786"/>
      <c r="BR77" s="786"/>
      <c r="BS77" s="786"/>
      <c r="BT77" s="786"/>
      <c r="BU77" s="786"/>
      <c r="BV77" s="786"/>
      <c r="BW77" s="786"/>
      <c r="BX77" s="786"/>
      <c r="BY77" s="786"/>
      <c r="BZ77" s="786"/>
      <c r="CA77" s="786"/>
      <c r="CB77" s="786"/>
      <c r="CC77" s="786"/>
      <c r="CD77" s="786"/>
      <c r="CE77" s="786"/>
      <c r="CF77" s="786"/>
      <c r="CG77" s="786"/>
      <c r="CH77" s="786"/>
      <c r="CI77" s="786"/>
      <c r="CJ77" s="786"/>
      <c r="CK77" s="786"/>
      <c r="CL77" s="786"/>
      <c r="CM77" s="786"/>
      <c r="CN77" s="786"/>
      <c r="CO77" s="786"/>
      <c r="CP77" s="786"/>
      <c r="CQ77" s="787"/>
    </row>
    <row r="78" spans="2:95" ht="12" customHeight="1" x14ac:dyDescent="0.2">
      <c r="B78" s="531"/>
      <c r="C78" s="795"/>
      <c r="D78" s="795"/>
      <c r="E78" s="795"/>
      <c r="F78" s="795"/>
      <c r="G78" s="795"/>
      <c r="H78" s="795"/>
      <c r="I78" s="795"/>
      <c r="J78" s="795"/>
      <c r="K78" s="795"/>
      <c r="L78" s="795"/>
      <c r="M78" s="795"/>
      <c r="N78" s="795"/>
      <c r="O78" s="786"/>
      <c r="P78" s="786"/>
      <c r="Q78" s="786"/>
      <c r="R78" s="786"/>
      <c r="S78" s="786"/>
      <c r="T78" s="786"/>
      <c r="U78" s="786"/>
      <c r="V78" s="786"/>
      <c r="W78" s="786"/>
      <c r="X78" s="786"/>
      <c r="Y78" s="786"/>
      <c r="Z78" s="786"/>
      <c r="AA78" s="786"/>
      <c r="AB78" s="786"/>
      <c r="AC78" s="786"/>
      <c r="AD78" s="786"/>
      <c r="AE78" s="786"/>
      <c r="AF78" s="786"/>
      <c r="AG78" s="786"/>
      <c r="AH78" s="786"/>
      <c r="AI78" s="786"/>
      <c r="AJ78" s="786"/>
      <c r="AK78" s="786"/>
      <c r="AL78" s="786"/>
      <c r="AM78" s="786"/>
      <c r="AN78" s="786"/>
      <c r="AO78" s="786"/>
      <c r="AP78" s="786"/>
      <c r="AQ78" s="786"/>
      <c r="AR78" s="786"/>
      <c r="AS78" s="786"/>
      <c r="AT78" s="786"/>
      <c r="AU78" s="786"/>
      <c r="AV78" s="786"/>
      <c r="AW78" s="347"/>
      <c r="AX78" s="795"/>
      <c r="AY78" s="795"/>
      <c r="AZ78" s="795"/>
      <c r="BA78" s="795"/>
      <c r="BB78" s="795"/>
      <c r="BC78" s="795"/>
      <c r="BD78" s="795"/>
      <c r="BE78" s="795"/>
      <c r="BF78" s="795"/>
      <c r="BG78" s="795"/>
      <c r="BH78" s="795"/>
      <c r="BI78" s="795"/>
      <c r="BJ78" s="786"/>
      <c r="BK78" s="786"/>
      <c r="BL78" s="786"/>
      <c r="BM78" s="786"/>
      <c r="BN78" s="786"/>
      <c r="BO78" s="786"/>
      <c r="BP78" s="786"/>
      <c r="BQ78" s="786"/>
      <c r="BR78" s="786"/>
      <c r="BS78" s="786"/>
      <c r="BT78" s="786"/>
      <c r="BU78" s="786"/>
      <c r="BV78" s="786"/>
      <c r="BW78" s="786"/>
      <c r="BX78" s="786"/>
      <c r="BY78" s="786"/>
      <c r="BZ78" s="786"/>
      <c r="CA78" s="786"/>
      <c r="CB78" s="786"/>
      <c r="CC78" s="786"/>
      <c r="CD78" s="786"/>
      <c r="CE78" s="786"/>
      <c r="CF78" s="786"/>
      <c r="CG78" s="786"/>
      <c r="CH78" s="786"/>
      <c r="CI78" s="786"/>
      <c r="CJ78" s="786"/>
      <c r="CK78" s="786"/>
      <c r="CL78" s="786"/>
      <c r="CM78" s="786"/>
      <c r="CN78" s="786"/>
      <c r="CO78" s="786"/>
      <c r="CP78" s="786"/>
      <c r="CQ78" s="787"/>
    </row>
    <row r="79" spans="2:95" ht="12" customHeight="1" x14ac:dyDescent="0.2">
      <c r="B79" s="531"/>
      <c r="C79" s="795"/>
      <c r="D79" s="795"/>
      <c r="E79" s="795"/>
      <c r="F79" s="795"/>
      <c r="G79" s="795"/>
      <c r="H79" s="795"/>
      <c r="I79" s="795"/>
      <c r="J79" s="795"/>
      <c r="K79" s="795"/>
      <c r="L79" s="795"/>
      <c r="M79" s="795"/>
      <c r="N79" s="795"/>
      <c r="O79" s="786"/>
      <c r="P79" s="786"/>
      <c r="Q79" s="786"/>
      <c r="R79" s="786"/>
      <c r="S79" s="786"/>
      <c r="T79" s="786"/>
      <c r="U79" s="786"/>
      <c r="V79" s="786"/>
      <c r="W79" s="786"/>
      <c r="X79" s="786"/>
      <c r="Y79" s="786"/>
      <c r="Z79" s="786"/>
      <c r="AA79" s="786"/>
      <c r="AB79" s="786"/>
      <c r="AC79" s="786"/>
      <c r="AD79" s="786"/>
      <c r="AE79" s="786"/>
      <c r="AF79" s="786"/>
      <c r="AG79" s="786"/>
      <c r="AH79" s="786"/>
      <c r="AI79" s="786"/>
      <c r="AJ79" s="786"/>
      <c r="AK79" s="786"/>
      <c r="AL79" s="786"/>
      <c r="AM79" s="786"/>
      <c r="AN79" s="786"/>
      <c r="AO79" s="786"/>
      <c r="AP79" s="786"/>
      <c r="AQ79" s="786"/>
      <c r="AR79" s="786"/>
      <c r="AS79" s="786"/>
      <c r="AT79" s="786"/>
      <c r="AU79" s="786"/>
      <c r="AV79" s="786"/>
      <c r="AW79" s="347"/>
      <c r="AX79" s="795"/>
      <c r="AY79" s="795"/>
      <c r="AZ79" s="795"/>
      <c r="BA79" s="795"/>
      <c r="BB79" s="795"/>
      <c r="BC79" s="795"/>
      <c r="BD79" s="795"/>
      <c r="BE79" s="795"/>
      <c r="BF79" s="795"/>
      <c r="BG79" s="795"/>
      <c r="BH79" s="795"/>
      <c r="BI79" s="795"/>
      <c r="BJ79" s="786"/>
      <c r="BK79" s="786"/>
      <c r="BL79" s="786"/>
      <c r="BM79" s="786"/>
      <c r="BN79" s="786"/>
      <c r="BO79" s="786"/>
      <c r="BP79" s="786"/>
      <c r="BQ79" s="786"/>
      <c r="BR79" s="786"/>
      <c r="BS79" s="786"/>
      <c r="BT79" s="786"/>
      <c r="BU79" s="786"/>
      <c r="BV79" s="786"/>
      <c r="BW79" s="786"/>
      <c r="BX79" s="786"/>
      <c r="BY79" s="786"/>
      <c r="BZ79" s="786"/>
      <c r="CA79" s="786"/>
      <c r="CB79" s="786"/>
      <c r="CC79" s="786"/>
      <c r="CD79" s="786"/>
      <c r="CE79" s="786"/>
      <c r="CF79" s="786"/>
      <c r="CG79" s="786"/>
      <c r="CH79" s="786"/>
      <c r="CI79" s="786"/>
      <c r="CJ79" s="786"/>
      <c r="CK79" s="786"/>
      <c r="CL79" s="786"/>
      <c r="CM79" s="786"/>
      <c r="CN79" s="786"/>
      <c r="CO79" s="786"/>
      <c r="CP79" s="786"/>
      <c r="CQ79" s="787"/>
    </row>
    <row r="80" spans="2:95" ht="12" customHeight="1" x14ac:dyDescent="0.2">
      <c r="B80" s="531"/>
      <c r="C80" s="795"/>
      <c r="D80" s="795"/>
      <c r="E80" s="795"/>
      <c r="F80" s="795"/>
      <c r="G80" s="795"/>
      <c r="H80" s="795"/>
      <c r="I80" s="795"/>
      <c r="J80" s="795"/>
      <c r="K80" s="795"/>
      <c r="L80" s="795"/>
      <c r="M80" s="795"/>
      <c r="N80" s="795"/>
      <c r="O80" s="786"/>
      <c r="P80" s="786"/>
      <c r="Q80" s="786"/>
      <c r="R80" s="786"/>
      <c r="S80" s="786"/>
      <c r="T80" s="786"/>
      <c r="U80" s="786"/>
      <c r="V80" s="786"/>
      <c r="W80" s="786"/>
      <c r="X80" s="786"/>
      <c r="Y80" s="786"/>
      <c r="Z80" s="786"/>
      <c r="AA80" s="786"/>
      <c r="AB80" s="786"/>
      <c r="AC80" s="786"/>
      <c r="AD80" s="786"/>
      <c r="AE80" s="786"/>
      <c r="AF80" s="786"/>
      <c r="AG80" s="786"/>
      <c r="AH80" s="786"/>
      <c r="AI80" s="786"/>
      <c r="AJ80" s="786"/>
      <c r="AK80" s="786"/>
      <c r="AL80" s="786"/>
      <c r="AM80" s="786"/>
      <c r="AN80" s="786"/>
      <c r="AO80" s="786"/>
      <c r="AP80" s="786"/>
      <c r="AQ80" s="786"/>
      <c r="AR80" s="786"/>
      <c r="AS80" s="786"/>
      <c r="AT80" s="786"/>
      <c r="AU80" s="786"/>
      <c r="AV80" s="786"/>
      <c r="AW80" s="347"/>
      <c r="AX80" s="795"/>
      <c r="AY80" s="795"/>
      <c r="AZ80" s="795"/>
      <c r="BA80" s="795"/>
      <c r="BB80" s="795"/>
      <c r="BC80" s="795"/>
      <c r="BD80" s="795"/>
      <c r="BE80" s="795"/>
      <c r="BF80" s="795"/>
      <c r="BG80" s="795"/>
      <c r="BH80" s="795"/>
      <c r="BI80" s="795"/>
      <c r="BJ80" s="786"/>
      <c r="BK80" s="786"/>
      <c r="BL80" s="786"/>
      <c r="BM80" s="786"/>
      <c r="BN80" s="786"/>
      <c r="BO80" s="786"/>
      <c r="BP80" s="786"/>
      <c r="BQ80" s="786"/>
      <c r="BR80" s="786"/>
      <c r="BS80" s="786"/>
      <c r="BT80" s="786"/>
      <c r="BU80" s="786"/>
      <c r="BV80" s="786"/>
      <c r="BW80" s="786"/>
      <c r="BX80" s="786"/>
      <c r="BY80" s="786"/>
      <c r="BZ80" s="786"/>
      <c r="CA80" s="786"/>
      <c r="CB80" s="786"/>
      <c r="CC80" s="786"/>
      <c r="CD80" s="786"/>
      <c r="CE80" s="786"/>
      <c r="CF80" s="786"/>
      <c r="CG80" s="786"/>
      <c r="CH80" s="786"/>
      <c r="CI80" s="786"/>
      <c r="CJ80" s="786"/>
      <c r="CK80" s="786"/>
      <c r="CL80" s="786"/>
      <c r="CM80" s="786"/>
      <c r="CN80" s="786"/>
      <c r="CO80" s="786"/>
      <c r="CP80" s="786"/>
      <c r="CQ80" s="787"/>
    </row>
    <row r="81" spans="2:95" ht="12" customHeight="1" x14ac:dyDescent="0.2">
      <c r="B81" s="531"/>
      <c r="C81" s="795"/>
      <c r="D81" s="795"/>
      <c r="E81" s="795"/>
      <c r="F81" s="795"/>
      <c r="G81" s="795"/>
      <c r="H81" s="795"/>
      <c r="I81" s="795"/>
      <c r="J81" s="795"/>
      <c r="K81" s="795"/>
      <c r="L81" s="795"/>
      <c r="M81" s="795"/>
      <c r="N81" s="795"/>
      <c r="O81" s="786"/>
      <c r="P81" s="786"/>
      <c r="Q81" s="786"/>
      <c r="R81" s="786"/>
      <c r="S81" s="786"/>
      <c r="T81" s="786"/>
      <c r="U81" s="786"/>
      <c r="V81" s="786"/>
      <c r="W81" s="786"/>
      <c r="X81" s="786"/>
      <c r="Y81" s="786"/>
      <c r="Z81" s="786"/>
      <c r="AA81" s="786"/>
      <c r="AB81" s="786"/>
      <c r="AC81" s="786"/>
      <c r="AD81" s="786"/>
      <c r="AE81" s="786"/>
      <c r="AF81" s="786"/>
      <c r="AG81" s="786"/>
      <c r="AH81" s="786"/>
      <c r="AI81" s="786"/>
      <c r="AJ81" s="786"/>
      <c r="AK81" s="786"/>
      <c r="AL81" s="786"/>
      <c r="AM81" s="786"/>
      <c r="AN81" s="786"/>
      <c r="AO81" s="786"/>
      <c r="AP81" s="786"/>
      <c r="AQ81" s="786"/>
      <c r="AR81" s="786"/>
      <c r="AS81" s="786"/>
      <c r="AT81" s="786"/>
      <c r="AU81" s="786"/>
      <c r="AV81" s="786"/>
      <c r="AW81" s="347"/>
      <c r="AX81" s="795"/>
      <c r="AY81" s="795"/>
      <c r="AZ81" s="795"/>
      <c r="BA81" s="795"/>
      <c r="BB81" s="795"/>
      <c r="BC81" s="795"/>
      <c r="BD81" s="795"/>
      <c r="BE81" s="795"/>
      <c r="BF81" s="795"/>
      <c r="BG81" s="795"/>
      <c r="BH81" s="795"/>
      <c r="BI81" s="795"/>
      <c r="BJ81" s="786"/>
      <c r="BK81" s="786"/>
      <c r="BL81" s="786"/>
      <c r="BM81" s="786"/>
      <c r="BN81" s="786"/>
      <c r="BO81" s="786"/>
      <c r="BP81" s="786"/>
      <c r="BQ81" s="786"/>
      <c r="BR81" s="786"/>
      <c r="BS81" s="786"/>
      <c r="BT81" s="786"/>
      <c r="BU81" s="786"/>
      <c r="BV81" s="786"/>
      <c r="BW81" s="786"/>
      <c r="BX81" s="786"/>
      <c r="BY81" s="786"/>
      <c r="BZ81" s="786"/>
      <c r="CA81" s="786"/>
      <c r="CB81" s="786"/>
      <c r="CC81" s="786"/>
      <c r="CD81" s="786"/>
      <c r="CE81" s="786"/>
      <c r="CF81" s="786"/>
      <c r="CG81" s="786"/>
      <c r="CH81" s="786"/>
      <c r="CI81" s="786"/>
      <c r="CJ81" s="786"/>
      <c r="CK81" s="786"/>
      <c r="CL81" s="786"/>
      <c r="CM81" s="786"/>
      <c r="CN81" s="786"/>
      <c r="CO81" s="786"/>
      <c r="CP81" s="786"/>
      <c r="CQ81" s="787"/>
    </row>
    <row r="82" spans="2:95" ht="12" customHeight="1" x14ac:dyDescent="0.2">
      <c r="B82" s="531"/>
      <c r="C82" s="795"/>
      <c r="D82" s="795"/>
      <c r="E82" s="795"/>
      <c r="F82" s="795"/>
      <c r="G82" s="795"/>
      <c r="H82" s="795"/>
      <c r="I82" s="795"/>
      <c r="J82" s="795"/>
      <c r="K82" s="795"/>
      <c r="L82" s="795"/>
      <c r="M82" s="795"/>
      <c r="N82" s="795"/>
      <c r="O82" s="786"/>
      <c r="P82" s="786"/>
      <c r="Q82" s="786"/>
      <c r="R82" s="786"/>
      <c r="S82" s="786"/>
      <c r="T82" s="786"/>
      <c r="U82" s="786"/>
      <c r="V82" s="786"/>
      <c r="W82" s="786"/>
      <c r="X82" s="786"/>
      <c r="Y82" s="786"/>
      <c r="Z82" s="786"/>
      <c r="AA82" s="786"/>
      <c r="AB82" s="786"/>
      <c r="AC82" s="786"/>
      <c r="AD82" s="786"/>
      <c r="AE82" s="786"/>
      <c r="AF82" s="786"/>
      <c r="AG82" s="786"/>
      <c r="AH82" s="786"/>
      <c r="AI82" s="786"/>
      <c r="AJ82" s="786"/>
      <c r="AK82" s="786"/>
      <c r="AL82" s="786"/>
      <c r="AM82" s="786"/>
      <c r="AN82" s="786"/>
      <c r="AO82" s="786"/>
      <c r="AP82" s="786"/>
      <c r="AQ82" s="786"/>
      <c r="AR82" s="786"/>
      <c r="AS82" s="786"/>
      <c r="AT82" s="786"/>
      <c r="AU82" s="786"/>
      <c r="AV82" s="786"/>
      <c r="AW82" s="347"/>
      <c r="AX82" s="795"/>
      <c r="AY82" s="795"/>
      <c r="AZ82" s="795"/>
      <c r="BA82" s="795"/>
      <c r="BB82" s="795"/>
      <c r="BC82" s="795"/>
      <c r="BD82" s="795"/>
      <c r="BE82" s="795"/>
      <c r="BF82" s="795"/>
      <c r="BG82" s="795"/>
      <c r="BH82" s="795"/>
      <c r="BI82" s="795"/>
      <c r="BJ82" s="786"/>
      <c r="BK82" s="786"/>
      <c r="BL82" s="786"/>
      <c r="BM82" s="786"/>
      <c r="BN82" s="786"/>
      <c r="BO82" s="786"/>
      <c r="BP82" s="786"/>
      <c r="BQ82" s="786"/>
      <c r="BR82" s="786"/>
      <c r="BS82" s="786"/>
      <c r="BT82" s="786"/>
      <c r="BU82" s="786"/>
      <c r="BV82" s="786"/>
      <c r="BW82" s="786"/>
      <c r="BX82" s="786"/>
      <c r="BY82" s="786"/>
      <c r="BZ82" s="786"/>
      <c r="CA82" s="786"/>
      <c r="CB82" s="786"/>
      <c r="CC82" s="786"/>
      <c r="CD82" s="786"/>
      <c r="CE82" s="786"/>
      <c r="CF82" s="786"/>
      <c r="CG82" s="786"/>
      <c r="CH82" s="786"/>
      <c r="CI82" s="786"/>
      <c r="CJ82" s="786"/>
      <c r="CK82" s="786"/>
      <c r="CL82" s="786"/>
      <c r="CM82" s="786"/>
      <c r="CN82" s="786"/>
      <c r="CO82" s="786"/>
      <c r="CP82" s="786"/>
      <c r="CQ82" s="787"/>
    </row>
    <row r="83" spans="2:95" ht="12" customHeight="1" x14ac:dyDescent="0.2">
      <c r="B83" s="531"/>
      <c r="C83" s="795"/>
      <c r="D83" s="795"/>
      <c r="E83" s="795"/>
      <c r="F83" s="795"/>
      <c r="G83" s="795"/>
      <c r="H83" s="795"/>
      <c r="I83" s="795"/>
      <c r="J83" s="795"/>
      <c r="K83" s="795"/>
      <c r="L83" s="795"/>
      <c r="M83" s="795"/>
      <c r="N83" s="795"/>
      <c r="O83" s="786"/>
      <c r="P83" s="786"/>
      <c r="Q83" s="786"/>
      <c r="R83" s="786"/>
      <c r="S83" s="786"/>
      <c r="T83" s="786"/>
      <c r="U83" s="786"/>
      <c r="V83" s="786"/>
      <c r="W83" s="786"/>
      <c r="X83" s="786"/>
      <c r="Y83" s="786"/>
      <c r="Z83" s="786"/>
      <c r="AA83" s="786"/>
      <c r="AB83" s="786"/>
      <c r="AC83" s="786"/>
      <c r="AD83" s="786"/>
      <c r="AE83" s="786"/>
      <c r="AF83" s="786"/>
      <c r="AG83" s="786"/>
      <c r="AH83" s="786"/>
      <c r="AI83" s="786"/>
      <c r="AJ83" s="786"/>
      <c r="AK83" s="786"/>
      <c r="AL83" s="786"/>
      <c r="AM83" s="786"/>
      <c r="AN83" s="786"/>
      <c r="AO83" s="786"/>
      <c r="AP83" s="786"/>
      <c r="AQ83" s="786"/>
      <c r="AR83" s="786"/>
      <c r="AS83" s="786"/>
      <c r="AT83" s="786"/>
      <c r="AU83" s="786"/>
      <c r="AV83" s="786"/>
      <c r="AW83" s="347"/>
      <c r="AX83" s="795"/>
      <c r="AY83" s="795"/>
      <c r="AZ83" s="795"/>
      <c r="BA83" s="795"/>
      <c r="BB83" s="795"/>
      <c r="BC83" s="795"/>
      <c r="BD83" s="795"/>
      <c r="BE83" s="795"/>
      <c r="BF83" s="795"/>
      <c r="BG83" s="795"/>
      <c r="BH83" s="795"/>
      <c r="BI83" s="795"/>
      <c r="BJ83" s="786"/>
      <c r="BK83" s="786"/>
      <c r="BL83" s="786"/>
      <c r="BM83" s="786"/>
      <c r="BN83" s="786"/>
      <c r="BO83" s="786"/>
      <c r="BP83" s="786"/>
      <c r="BQ83" s="786"/>
      <c r="BR83" s="786"/>
      <c r="BS83" s="786"/>
      <c r="BT83" s="786"/>
      <c r="BU83" s="786"/>
      <c r="BV83" s="786"/>
      <c r="BW83" s="786"/>
      <c r="BX83" s="786"/>
      <c r="BY83" s="786"/>
      <c r="BZ83" s="786"/>
      <c r="CA83" s="786"/>
      <c r="CB83" s="786"/>
      <c r="CC83" s="786"/>
      <c r="CD83" s="786"/>
      <c r="CE83" s="786"/>
      <c r="CF83" s="786"/>
      <c r="CG83" s="786"/>
      <c r="CH83" s="786"/>
      <c r="CI83" s="786"/>
      <c r="CJ83" s="786"/>
      <c r="CK83" s="786"/>
      <c r="CL83" s="786"/>
      <c r="CM83" s="786"/>
      <c r="CN83" s="786"/>
      <c r="CO83" s="786"/>
      <c r="CP83" s="786"/>
      <c r="CQ83" s="787"/>
    </row>
    <row r="84" spans="2:95" ht="12" customHeight="1" x14ac:dyDescent="0.2">
      <c r="B84" s="531"/>
      <c r="C84" s="795"/>
      <c r="D84" s="795"/>
      <c r="E84" s="795"/>
      <c r="F84" s="795"/>
      <c r="G84" s="795"/>
      <c r="H84" s="795"/>
      <c r="I84" s="795"/>
      <c r="J84" s="795"/>
      <c r="K84" s="795"/>
      <c r="L84" s="795"/>
      <c r="M84" s="795"/>
      <c r="N84" s="795"/>
      <c r="O84" s="786"/>
      <c r="P84" s="786"/>
      <c r="Q84" s="786"/>
      <c r="R84" s="786"/>
      <c r="S84" s="786"/>
      <c r="T84" s="786"/>
      <c r="U84" s="786"/>
      <c r="V84" s="786"/>
      <c r="W84" s="786"/>
      <c r="X84" s="786"/>
      <c r="Y84" s="786"/>
      <c r="Z84" s="786"/>
      <c r="AA84" s="786"/>
      <c r="AB84" s="786"/>
      <c r="AC84" s="786"/>
      <c r="AD84" s="786"/>
      <c r="AE84" s="786"/>
      <c r="AF84" s="786"/>
      <c r="AG84" s="786"/>
      <c r="AH84" s="786"/>
      <c r="AI84" s="786"/>
      <c r="AJ84" s="786"/>
      <c r="AK84" s="786"/>
      <c r="AL84" s="786"/>
      <c r="AM84" s="786"/>
      <c r="AN84" s="786"/>
      <c r="AO84" s="786"/>
      <c r="AP84" s="786"/>
      <c r="AQ84" s="786"/>
      <c r="AR84" s="786"/>
      <c r="AS84" s="786"/>
      <c r="AT84" s="786"/>
      <c r="AU84" s="786"/>
      <c r="AV84" s="786"/>
      <c r="AW84" s="347"/>
      <c r="AX84" s="795"/>
      <c r="AY84" s="795"/>
      <c r="AZ84" s="795"/>
      <c r="BA84" s="795"/>
      <c r="BB84" s="795"/>
      <c r="BC84" s="795"/>
      <c r="BD84" s="795"/>
      <c r="BE84" s="795"/>
      <c r="BF84" s="795"/>
      <c r="BG84" s="795"/>
      <c r="BH84" s="795"/>
      <c r="BI84" s="795"/>
      <c r="BJ84" s="786"/>
      <c r="BK84" s="786"/>
      <c r="BL84" s="786"/>
      <c r="BM84" s="786"/>
      <c r="BN84" s="786"/>
      <c r="BO84" s="786"/>
      <c r="BP84" s="786"/>
      <c r="BQ84" s="786"/>
      <c r="BR84" s="786"/>
      <c r="BS84" s="786"/>
      <c r="BT84" s="786"/>
      <c r="BU84" s="786"/>
      <c r="BV84" s="786"/>
      <c r="BW84" s="786"/>
      <c r="BX84" s="786"/>
      <c r="BY84" s="786"/>
      <c r="BZ84" s="786"/>
      <c r="CA84" s="786"/>
      <c r="CB84" s="786"/>
      <c r="CC84" s="786"/>
      <c r="CD84" s="786"/>
      <c r="CE84" s="786"/>
      <c r="CF84" s="786"/>
      <c r="CG84" s="786"/>
      <c r="CH84" s="786"/>
      <c r="CI84" s="786"/>
      <c r="CJ84" s="786"/>
      <c r="CK84" s="786"/>
      <c r="CL84" s="786"/>
      <c r="CM84" s="786"/>
      <c r="CN84" s="786"/>
      <c r="CO84" s="786"/>
      <c r="CP84" s="786"/>
      <c r="CQ84" s="787"/>
    </row>
    <row r="85" spans="2:95" ht="12" customHeight="1" x14ac:dyDescent="0.2">
      <c r="B85" s="531"/>
      <c r="C85" s="795"/>
      <c r="D85" s="795"/>
      <c r="E85" s="795"/>
      <c r="F85" s="795"/>
      <c r="G85" s="795"/>
      <c r="H85" s="795"/>
      <c r="I85" s="795"/>
      <c r="J85" s="795"/>
      <c r="K85" s="795"/>
      <c r="L85" s="795"/>
      <c r="M85" s="795"/>
      <c r="N85" s="795"/>
      <c r="O85" s="786"/>
      <c r="P85" s="786"/>
      <c r="Q85" s="786"/>
      <c r="R85" s="786"/>
      <c r="S85" s="786"/>
      <c r="T85" s="786"/>
      <c r="U85" s="786"/>
      <c r="V85" s="786"/>
      <c r="W85" s="786"/>
      <c r="X85" s="786"/>
      <c r="Y85" s="786"/>
      <c r="Z85" s="786"/>
      <c r="AA85" s="786"/>
      <c r="AB85" s="786"/>
      <c r="AC85" s="786"/>
      <c r="AD85" s="786"/>
      <c r="AE85" s="786"/>
      <c r="AF85" s="786"/>
      <c r="AG85" s="786"/>
      <c r="AH85" s="786"/>
      <c r="AI85" s="786"/>
      <c r="AJ85" s="786"/>
      <c r="AK85" s="786"/>
      <c r="AL85" s="786"/>
      <c r="AM85" s="786"/>
      <c r="AN85" s="786"/>
      <c r="AO85" s="786"/>
      <c r="AP85" s="786"/>
      <c r="AQ85" s="786"/>
      <c r="AR85" s="786"/>
      <c r="AS85" s="786"/>
      <c r="AT85" s="786"/>
      <c r="AU85" s="786"/>
      <c r="AV85" s="786"/>
      <c r="AW85" s="347"/>
      <c r="AX85" s="795"/>
      <c r="AY85" s="795"/>
      <c r="AZ85" s="795"/>
      <c r="BA85" s="795"/>
      <c r="BB85" s="795"/>
      <c r="BC85" s="795"/>
      <c r="BD85" s="795"/>
      <c r="BE85" s="795"/>
      <c r="BF85" s="795"/>
      <c r="BG85" s="795"/>
      <c r="BH85" s="795"/>
      <c r="BI85" s="795"/>
      <c r="BJ85" s="786"/>
      <c r="BK85" s="786"/>
      <c r="BL85" s="786"/>
      <c r="BM85" s="786"/>
      <c r="BN85" s="786"/>
      <c r="BO85" s="786"/>
      <c r="BP85" s="786"/>
      <c r="BQ85" s="786"/>
      <c r="BR85" s="786"/>
      <c r="BS85" s="786"/>
      <c r="BT85" s="786"/>
      <c r="BU85" s="786"/>
      <c r="BV85" s="786"/>
      <c r="BW85" s="786"/>
      <c r="BX85" s="786"/>
      <c r="BY85" s="786"/>
      <c r="BZ85" s="786"/>
      <c r="CA85" s="786"/>
      <c r="CB85" s="786"/>
      <c r="CC85" s="786"/>
      <c r="CD85" s="786"/>
      <c r="CE85" s="786"/>
      <c r="CF85" s="786"/>
      <c r="CG85" s="786"/>
      <c r="CH85" s="786"/>
      <c r="CI85" s="786"/>
      <c r="CJ85" s="786"/>
      <c r="CK85" s="786"/>
      <c r="CL85" s="786"/>
      <c r="CM85" s="786"/>
      <c r="CN85" s="786"/>
      <c r="CO85" s="786"/>
      <c r="CP85" s="786"/>
      <c r="CQ85" s="787"/>
    </row>
    <row r="86" spans="2:95" ht="12" customHeight="1" x14ac:dyDescent="0.2">
      <c r="B86" s="531"/>
      <c r="C86" s="795"/>
      <c r="D86" s="795"/>
      <c r="E86" s="795"/>
      <c r="F86" s="795"/>
      <c r="G86" s="795"/>
      <c r="H86" s="795"/>
      <c r="I86" s="795"/>
      <c r="J86" s="795"/>
      <c r="K86" s="795"/>
      <c r="L86" s="795"/>
      <c r="M86" s="795"/>
      <c r="N86" s="795"/>
      <c r="O86" s="786"/>
      <c r="P86" s="786"/>
      <c r="Q86" s="786"/>
      <c r="R86" s="786"/>
      <c r="S86" s="786"/>
      <c r="T86" s="786"/>
      <c r="U86" s="786"/>
      <c r="V86" s="786"/>
      <c r="W86" s="786"/>
      <c r="X86" s="786"/>
      <c r="Y86" s="786"/>
      <c r="Z86" s="786"/>
      <c r="AA86" s="786"/>
      <c r="AB86" s="786"/>
      <c r="AC86" s="786"/>
      <c r="AD86" s="786"/>
      <c r="AE86" s="786"/>
      <c r="AF86" s="786"/>
      <c r="AG86" s="786"/>
      <c r="AH86" s="786"/>
      <c r="AI86" s="786"/>
      <c r="AJ86" s="786"/>
      <c r="AK86" s="786"/>
      <c r="AL86" s="786"/>
      <c r="AM86" s="786"/>
      <c r="AN86" s="786"/>
      <c r="AO86" s="786"/>
      <c r="AP86" s="786"/>
      <c r="AQ86" s="786"/>
      <c r="AR86" s="786"/>
      <c r="AS86" s="786"/>
      <c r="AT86" s="786"/>
      <c r="AU86" s="786"/>
      <c r="AV86" s="786"/>
      <c r="AW86" s="347"/>
      <c r="AX86" s="795"/>
      <c r="AY86" s="795"/>
      <c r="AZ86" s="795"/>
      <c r="BA86" s="795"/>
      <c r="BB86" s="795"/>
      <c r="BC86" s="795"/>
      <c r="BD86" s="795"/>
      <c r="BE86" s="795"/>
      <c r="BF86" s="795"/>
      <c r="BG86" s="795"/>
      <c r="BH86" s="795"/>
      <c r="BI86" s="795"/>
      <c r="BJ86" s="786"/>
      <c r="BK86" s="786"/>
      <c r="BL86" s="786"/>
      <c r="BM86" s="786"/>
      <c r="BN86" s="786"/>
      <c r="BO86" s="786"/>
      <c r="BP86" s="786"/>
      <c r="BQ86" s="786"/>
      <c r="BR86" s="786"/>
      <c r="BS86" s="786"/>
      <c r="BT86" s="786"/>
      <c r="BU86" s="786"/>
      <c r="BV86" s="786"/>
      <c r="BW86" s="786"/>
      <c r="BX86" s="786"/>
      <c r="BY86" s="786"/>
      <c r="BZ86" s="786"/>
      <c r="CA86" s="786"/>
      <c r="CB86" s="786"/>
      <c r="CC86" s="786"/>
      <c r="CD86" s="786"/>
      <c r="CE86" s="786"/>
      <c r="CF86" s="786"/>
      <c r="CG86" s="786"/>
      <c r="CH86" s="786"/>
      <c r="CI86" s="786"/>
      <c r="CJ86" s="786"/>
      <c r="CK86" s="786"/>
      <c r="CL86" s="786"/>
      <c r="CM86" s="786"/>
      <c r="CN86" s="786"/>
      <c r="CO86" s="786"/>
      <c r="CP86" s="786"/>
      <c r="CQ86" s="787"/>
    </row>
    <row r="87" spans="2:95" ht="12" customHeight="1" x14ac:dyDescent="0.2">
      <c r="B87" s="531"/>
      <c r="C87" s="795"/>
      <c r="D87" s="795"/>
      <c r="E87" s="795"/>
      <c r="F87" s="795"/>
      <c r="G87" s="795"/>
      <c r="H87" s="795"/>
      <c r="I87" s="795"/>
      <c r="J87" s="795"/>
      <c r="K87" s="795"/>
      <c r="L87" s="795"/>
      <c r="M87" s="795"/>
      <c r="N87" s="795"/>
      <c r="O87" s="786"/>
      <c r="P87" s="786"/>
      <c r="Q87" s="786"/>
      <c r="R87" s="786"/>
      <c r="S87" s="786"/>
      <c r="T87" s="786"/>
      <c r="U87" s="786"/>
      <c r="V87" s="786"/>
      <c r="W87" s="786"/>
      <c r="X87" s="786"/>
      <c r="Y87" s="786"/>
      <c r="Z87" s="786"/>
      <c r="AA87" s="786"/>
      <c r="AB87" s="786"/>
      <c r="AC87" s="786"/>
      <c r="AD87" s="786"/>
      <c r="AE87" s="786"/>
      <c r="AF87" s="786"/>
      <c r="AG87" s="786"/>
      <c r="AH87" s="786"/>
      <c r="AI87" s="786"/>
      <c r="AJ87" s="786"/>
      <c r="AK87" s="786"/>
      <c r="AL87" s="786"/>
      <c r="AM87" s="786"/>
      <c r="AN87" s="786"/>
      <c r="AO87" s="786"/>
      <c r="AP87" s="786"/>
      <c r="AQ87" s="786"/>
      <c r="AR87" s="786"/>
      <c r="AS87" s="786"/>
      <c r="AT87" s="786"/>
      <c r="AU87" s="786"/>
      <c r="AV87" s="786"/>
      <c r="AW87" s="347"/>
      <c r="AX87" s="795"/>
      <c r="AY87" s="795"/>
      <c r="AZ87" s="795"/>
      <c r="BA87" s="795"/>
      <c r="BB87" s="795"/>
      <c r="BC87" s="795"/>
      <c r="BD87" s="795"/>
      <c r="BE87" s="795"/>
      <c r="BF87" s="795"/>
      <c r="BG87" s="795"/>
      <c r="BH87" s="795"/>
      <c r="BI87" s="795"/>
      <c r="BJ87" s="786"/>
      <c r="BK87" s="786"/>
      <c r="BL87" s="786"/>
      <c r="BM87" s="786"/>
      <c r="BN87" s="786"/>
      <c r="BO87" s="786"/>
      <c r="BP87" s="786"/>
      <c r="BQ87" s="786"/>
      <c r="BR87" s="786"/>
      <c r="BS87" s="786"/>
      <c r="BT87" s="786"/>
      <c r="BU87" s="786"/>
      <c r="BV87" s="786"/>
      <c r="BW87" s="786"/>
      <c r="BX87" s="786"/>
      <c r="BY87" s="786"/>
      <c r="BZ87" s="786"/>
      <c r="CA87" s="786"/>
      <c r="CB87" s="786"/>
      <c r="CC87" s="786"/>
      <c r="CD87" s="786"/>
      <c r="CE87" s="786"/>
      <c r="CF87" s="786"/>
      <c r="CG87" s="786"/>
      <c r="CH87" s="786"/>
      <c r="CI87" s="786"/>
      <c r="CJ87" s="786"/>
      <c r="CK87" s="786"/>
      <c r="CL87" s="786"/>
      <c r="CM87" s="786"/>
      <c r="CN87" s="786"/>
      <c r="CO87" s="786"/>
      <c r="CP87" s="786"/>
      <c r="CQ87" s="787"/>
    </row>
    <row r="88" spans="2:95" ht="12" customHeight="1" x14ac:dyDescent="0.2">
      <c r="B88" s="531"/>
      <c r="C88" s="795"/>
      <c r="D88" s="795"/>
      <c r="E88" s="795"/>
      <c r="F88" s="795"/>
      <c r="G88" s="795"/>
      <c r="H88" s="795"/>
      <c r="I88" s="795"/>
      <c r="J88" s="795"/>
      <c r="K88" s="795"/>
      <c r="L88" s="795"/>
      <c r="M88" s="795"/>
      <c r="N88" s="795"/>
      <c r="O88" s="786"/>
      <c r="P88" s="786"/>
      <c r="Q88" s="786"/>
      <c r="R88" s="786"/>
      <c r="S88" s="786"/>
      <c r="T88" s="786"/>
      <c r="U88" s="786"/>
      <c r="V88" s="786"/>
      <c r="W88" s="786"/>
      <c r="X88" s="786"/>
      <c r="Y88" s="786"/>
      <c r="Z88" s="786"/>
      <c r="AA88" s="786"/>
      <c r="AB88" s="786"/>
      <c r="AC88" s="786"/>
      <c r="AD88" s="786"/>
      <c r="AE88" s="786"/>
      <c r="AF88" s="786"/>
      <c r="AG88" s="786"/>
      <c r="AH88" s="786"/>
      <c r="AI88" s="786"/>
      <c r="AJ88" s="786"/>
      <c r="AK88" s="786"/>
      <c r="AL88" s="786"/>
      <c r="AM88" s="786"/>
      <c r="AN88" s="786"/>
      <c r="AO88" s="786"/>
      <c r="AP88" s="786"/>
      <c r="AQ88" s="786"/>
      <c r="AR88" s="786"/>
      <c r="AS88" s="786"/>
      <c r="AT88" s="786"/>
      <c r="AU88" s="786"/>
      <c r="AV88" s="786"/>
      <c r="AW88" s="347"/>
      <c r="AX88" s="795"/>
      <c r="AY88" s="795"/>
      <c r="AZ88" s="795"/>
      <c r="BA88" s="795"/>
      <c r="BB88" s="795"/>
      <c r="BC88" s="795"/>
      <c r="BD88" s="795"/>
      <c r="BE88" s="795"/>
      <c r="BF88" s="795"/>
      <c r="BG88" s="795"/>
      <c r="BH88" s="795"/>
      <c r="BI88" s="795"/>
      <c r="BJ88" s="786"/>
      <c r="BK88" s="786"/>
      <c r="BL88" s="786"/>
      <c r="BM88" s="786"/>
      <c r="BN88" s="786"/>
      <c r="BO88" s="786"/>
      <c r="BP88" s="786"/>
      <c r="BQ88" s="786"/>
      <c r="BR88" s="786"/>
      <c r="BS88" s="786"/>
      <c r="BT88" s="786"/>
      <c r="BU88" s="786"/>
      <c r="BV88" s="786"/>
      <c r="BW88" s="786"/>
      <c r="BX88" s="786"/>
      <c r="BY88" s="786"/>
      <c r="BZ88" s="786"/>
      <c r="CA88" s="786"/>
      <c r="CB88" s="786"/>
      <c r="CC88" s="786"/>
      <c r="CD88" s="786"/>
      <c r="CE88" s="786"/>
      <c r="CF88" s="786"/>
      <c r="CG88" s="786"/>
      <c r="CH88" s="786"/>
      <c r="CI88" s="786"/>
      <c r="CJ88" s="786"/>
      <c r="CK88" s="786"/>
      <c r="CL88" s="786"/>
      <c r="CM88" s="786"/>
      <c r="CN88" s="786"/>
      <c r="CO88" s="786"/>
      <c r="CP88" s="786"/>
      <c r="CQ88" s="787"/>
    </row>
    <row r="89" spans="2:95" ht="12" customHeight="1" x14ac:dyDescent="0.2">
      <c r="B89" s="531"/>
      <c r="C89" s="795"/>
      <c r="D89" s="795"/>
      <c r="E89" s="795"/>
      <c r="F89" s="795"/>
      <c r="G89" s="795"/>
      <c r="H89" s="795"/>
      <c r="I89" s="795"/>
      <c r="J89" s="795"/>
      <c r="K89" s="795"/>
      <c r="L89" s="795"/>
      <c r="M89" s="795"/>
      <c r="N89" s="795"/>
      <c r="O89" s="786"/>
      <c r="P89" s="786"/>
      <c r="Q89" s="786"/>
      <c r="R89" s="786"/>
      <c r="S89" s="786"/>
      <c r="T89" s="786"/>
      <c r="U89" s="786"/>
      <c r="V89" s="786"/>
      <c r="W89" s="786"/>
      <c r="X89" s="786"/>
      <c r="Y89" s="786"/>
      <c r="Z89" s="786"/>
      <c r="AA89" s="786"/>
      <c r="AB89" s="786"/>
      <c r="AC89" s="786"/>
      <c r="AD89" s="786"/>
      <c r="AE89" s="786"/>
      <c r="AF89" s="786"/>
      <c r="AG89" s="786"/>
      <c r="AH89" s="786"/>
      <c r="AI89" s="786"/>
      <c r="AJ89" s="786"/>
      <c r="AK89" s="786"/>
      <c r="AL89" s="786"/>
      <c r="AM89" s="786"/>
      <c r="AN89" s="786"/>
      <c r="AO89" s="786"/>
      <c r="AP89" s="786"/>
      <c r="AQ89" s="786"/>
      <c r="AR89" s="786"/>
      <c r="AS89" s="786"/>
      <c r="AT89" s="786"/>
      <c r="AU89" s="786"/>
      <c r="AV89" s="786"/>
      <c r="AW89" s="347"/>
      <c r="AX89" s="795"/>
      <c r="AY89" s="795"/>
      <c r="AZ89" s="795"/>
      <c r="BA89" s="795"/>
      <c r="BB89" s="795"/>
      <c r="BC89" s="795"/>
      <c r="BD89" s="795"/>
      <c r="BE89" s="795"/>
      <c r="BF89" s="795"/>
      <c r="BG89" s="795"/>
      <c r="BH89" s="795"/>
      <c r="BI89" s="795"/>
      <c r="BJ89" s="786"/>
      <c r="BK89" s="786"/>
      <c r="BL89" s="786"/>
      <c r="BM89" s="786"/>
      <c r="BN89" s="786"/>
      <c r="BO89" s="786"/>
      <c r="BP89" s="786"/>
      <c r="BQ89" s="786"/>
      <c r="BR89" s="786"/>
      <c r="BS89" s="786"/>
      <c r="BT89" s="786"/>
      <c r="BU89" s="786"/>
      <c r="BV89" s="786"/>
      <c r="BW89" s="786"/>
      <c r="BX89" s="786"/>
      <c r="BY89" s="786"/>
      <c r="BZ89" s="786"/>
      <c r="CA89" s="786"/>
      <c r="CB89" s="786"/>
      <c r="CC89" s="786"/>
      <c r="CD89" s="786"/>
      <c r="CE89" s="786"/>
      <c r="CF89" s="786"/>
      <c r="CG89" s="786"/>
      <c r="CH89" s="786"/>
      <c r="CI89" s="786"/>
      <c r="CJ89" s="786"/>
      <c r="CK89" s="786"/>
      <c r="CL89" s="786"/>
      <c r="CM89" s="786"/>
      <c r="CN89" s="786"/>
      <c r="CO89" s="786"/>
      <c r="CP89" s="786"/>
      <c r="CQ89" s="787"/>
    </row>
    <row r="90" spans="2:95" ht="12" customHeight="1" x14ac:dyDescent="0.2">
      <c r="B90" s="531"/>
      <c r="C90" s="795"/>
      <c r="D90" s="795"/>
      <c r="E90" s="795"/>
      <c r="F90" s="795"/>
      <c r="G90" s="795"/>
      <c r="H90" s="795"/>
      <c r="I90" s="795"/>
      <c r="J90" s="795"/>
      <c r="K90" s="795"/>
      <c r="L90" s="795"/>
      <c r="M90" s="795"/>
      <c r="N90" s="795"/>
      <c r="O90" s="786"/>
      <c r="P90" s="786"/>
      <c r="Q90" s="786"/>
      <c r="R90" s="786"/>
      <c r="S90" s="786"/>
      <c r="T90" s="786"/>
      <c r="U90" s="786"/>
      <c r="V90" s="786"/>
      <c r="W90" s="786"/>
      <c r="X90" s="786"/>
      <c r="Y90" s="786"/>
      <c r="Z90" s="786"/>
      <c r="AA90" s="786"/>
      <c r="AB90" s="786"/>
      <c r="AC90" s="786"/>
      <c r="AD90" s="786"/>
      <c r="AE90" s="786"/>
      <c r="AF90" s="786"/>
      <c r="AG90" s="786"/>
      <c r="AH90" s="786"/>
      <c r="AI90" s="786"/>
      <c r="AJ90" s="786"/>
      <c r="AK90" s="786"/>
      <c r="AL90" s="786"/>
      <c r="AM90" s="786"/>
      <c r="AN90" s="786"/>
      <c r="AO90" s="786"/>
      <c r="AP90" s="786"/>
      <c r="AQ90" s="786"/>
      <c r="AR90" s="786"/>
      <c r="AS90" s="786"/>
      <c r="AT90" s="786"/>
      <c r="AU90" s="786"/>
      <c r="AV90" s="786"/>
      <c r="AW90" s="347"/>
      <c r="AX90" s="795"/>
      <c r="AY90" s="795"/>
      <c r="AZ90" s="795"/>
      <c r="BA90" s="795"/>
      <c r="BB90" s="795"/>
      <c r="BC90" s="795"/>
      <c r="BD90" s="795"/>
      <c r="BE90" s="795"/>
      <c r="BF90" s="795"/>
      <c r="BG90" s="795"/>
      <c r="BH90" s="795"/>
      <c r="BI90" s="795"/>
      <c r="BJ90" s="786"/>
      <c r="BK90" s="786"/>
      <c r="BL90" s="786"/>
      <c r="BM90" s="786"/>
      <c r="BN90" s="786"/>
      <c r="BO90" s="786"/>
      <c r="BP90" s="786"/>
      <c r="BQ90" s="786"/>
      <c r="BR90" s="786"/>
      <c r="BS90" s="786"/>
      <c r="BT90" s="786"/>
      <c r="BU90" s="786"/>
      <c r="BV90" s="786"/>
      <c r="BW90" s="786"/>
      <c r="BX90" s="786"/>
      <c r="BY90" s="786"/>
      <c r="BZ90" s="786"/>
      <c r="CA90" s="786"/>
      <c r="CB90" s="786"/>
      <c r="CC90" s="786"/>
      <c r="CD90" s="786"/>
      <c r="CE90" s="786"/>
      <c r="CF90" s="786"/>
      <c r="CG90" s="786"/>
      <c r="CH90" s="786"/>
      <c r="CI90" s="786"/>
      <c r="CJ90" s="786"/>
      <c r="CK90" s="786"/>
      <c r="CL90" s="786"/>
      <c r="CM90" s="786"/>
      <c r="CN90" s="786"/>
      <c r="CO90" s="786"/>
      <c r="CP90" s="786"/>
      <c r="CQ90" s="787"/>
    </row>
    <row r="91" spans="2:95" ht="12" customHeight="1" x14ac:dyDescent="0.2">
      <c r="B91" s="531"/>
      <c r="C91" s="795"/>
      <c r="D91" s="795"/>
      <c r="E91" s="795"/>
      <c r="F91" s="795"/>
      <c r="G91" s="795"/>
      <c r="H91" s="795"/>
      <c r="I91" s="795"/>
      <c r="J91" s="795"/>
      <c r="K91" s="795"/>
      <c r="L91" s="795"/>
      <c r="M91" s="795"/>
      <c r="N91" s="795"/>
      <c r="O91" s="786"/>
      <c r="P91" s="786"/>
      <c r="Q91" s="786"/>
      <c r="R91" s="786"/>
      <c r="S91" s="786"/>
      <c r="T91" s="786"/>
      <c r="U91" s="786"/>
      <c r="V91" s="786"/>
      <c r="W91" s="786"/>
      <c r="X91" s="786"/>
      <c r="Y91" s="786"/>
      <c r="Z91" s="786"/>
      <c r="AA91" s="786"/>
      <c r="AB91" s="786"/>
      <c r="AC91" s="786"/>
      <c r="AD91" s="786"/>
      <c r="AE91" s="786"/>
      <c r="AF91" s="786"/>
      <c r="AG91" s="786"/>
      <c r="AH91" s="786"/>
      <c r="AI91" s="786"/>
      <c r="AJ91" s="786"/>
      <c r="AK91" s="786"/>
      <c r="AL91" s="786"/>
      <c r="AM91" s="786"/>
      <c r="AN91" s="786"/>
      <c r="AO91" s="786"/>
      <c r="AP91" s="786"/>
      <c r="AQ91" s="786"/>
      <c r="AR91" s="786"/>
      <c r="AS91" s="786"/>
      <c r="AT91" s="786"/>
      <c r="AU91" s="786"/>
      <c r="AV91" s="786"/>
      <c r="AW91" s="347"/>
      <c r="AX91" s="795"/>
      <c r="AY91" s="795"/>
      <c r="AZ91" s="795"/>
      <c r="BA91" s="795"/>
      <c r="BB91" s="795"/>
      <c r="BC91" s="795"/>
      <c r="BD91" s="795"/>
      <c r="BE91" s="795"/>
      <c r="BF91" s="795"/>
      <c r="BG91" s="795"/>
      <c r="BH91" s="795"/>
      <c r="BI91" s="795"/>
      <c r="BJ91" s="786"/>
      <c r="BK91" s="786"/>
      <c r="BL91" s="786"/>
      <c r="BM91" s="786"/>
      <c r="BN91" s="786"/>
      <c r="BO91" s="786"/>
      <c r="BP91" s="786"/>
      <c r="BQ91" s="786"/>
      <c r="BR91" s="786"/>
      <c r="BS91" s="786"/>
      <c r="BT91" s="786"/>
      <c r="BU91" s="786"/>
      <c r="BV91" s="786"/>
      <c r="BW91" s="786"/>
      <c r="BX91" s="786"/>
      <c r="BY91" s="786"/>
      <c r="BZ91" s="786"/>
      <c r="CA91" s="786"/>
      <c r="CB91" s="786"/>
      <c r="CC91" s="786"/>
      <c r="CD91" s="786"/>
      <c r="CE91" s="786"/>
      <c r="CF91" s="786"/>
      <c r="CG91" s="786"/>
      <c r="CH91" s="786"/>
      <c r="CI91" s="786"/>
      <c r="CJ91" s="786"/>
      <c r="CK91" s="786"/>
      <c r="CL91" s="786"/>
      <c r="CM91" s="786"/>
      <c r="CN91" s="786"/>
      <c r="CO91" s="786"/>
      <c r="CP91" s="786"/>
      <c r="CQ91" s="787"/>
    </row>
    <row r="92" spans="2:95" ht="12" customHeight="1" x14ac:dyDescent="0.2">
      <c r="B92" s="531"/>
      <c r="C92" s="795"/>
      <c r="D92" s="795"/>
      <c r="E92" s="795"/>
      <c r="F92" s="795"/>
      <c r="G92" s="795"/>
      <c r="H92" s="795"/>
      <c r="I92" s="795"/>
      <c r="J92" s="795"/>
      <c r="K92" s="795"/>
      <c r="L92" s="795"/>
      <c r="M92" s="795"/>
      <c r="N92" s="795"/>
      <c r="O92" s="786"/>
      <c r="P92" s="786"/>
      <c r="Q92" s="786"/>
      <c r="R92" s="786"/>
      <c r="S92" s="786"/>
      <c r="T92" s="786"/>
      <c r="U92" s="786"/>
      <c r="V92" s="786"/>
      <c r="W92" s="786"/>
      <c r="X92" s="786"/>
      <c r="Y92" s="786"/>
      <c r="Z92" s="786"/>
      <c r="AA92" s="786"/>
      <c r="AB92" s="786"/>
      <c r="AC92" s="786"/>
      <c r="AD92" s="786"/>
      <c r="AE92" s="786"/>
      <c r="AF92" s="786"/>
      <c r="AG92" s="786"/>
      <c r="AH92" s="786"/>
      <c r="AI92" s="786"/>
      <c r="AJ92" s="786"/>
      <c r="AK92" s="786"/>
      <c r="AL92" s="786"/>
      <c r="AM92" s="786"/>
      <c r="AN92" s="786"/>
      <c r="AO92" s="786"/>
      <c r="AP92" s="786"/>
      <c r="AQ92" s="786"/>
      <c r="AR92" s="786"/>
      <c r="AS92" s="786"/>
      <c r="AT92" s="786"/>
      <c r="AU92" s="786"/>
      <c r="AV92" s="786"/>
      <c r="AW92" s="347"/>
      <c r="AX92" s="795"/>
      <c r="AY92" s="795"/>
      <c r="AZ92" s="795"/>
      <c r="BA92" s="795"/>
      <c r="BB92" s="795"/>
      <c r="BC92" s="795"/>
      <c r="BD92" s="795"/>
      <c r="BE92" s="795"/>
      <c r="BF92" s="795"/>
      <c r="BG92" s="795"/>
      <c r="BH92" s="795"/>
      <c r="BI92" s="795"/>
      <c r="BJ92" s="786"/>
      <c r="BK92" s="786"/>
      <c r="BL92" s="786"/>
      <c r="BM92" s="786"/>
      <c r="BN92" s="786"/>
      <c r="BO92" s="786"/>
      <c r="BP92" s="786"/>
      <c r="BQ92" s="786"/>
      <c r="BR92" s="786"/>
      <c r="BS92" s="786"/>
      <c r="BT92" s="786"/>
      <c r="BU92" s="786"/>
      <c r="BV92" s="786"/>
      <c r="BW92" s="786"/>
      <c r="BX92" s="786"/>
      <c r="BY92" s="786"/>
      <c r="BZ92" s="786"/>
      <c r="CA92" s="786"/>
      <c r="CB92" s="786"/>
      <c r="CC92" s="786"/>
      <c r="CD92" s="786"/>
      <c r="CE92" s="786"/>
      <c r="CF92" s="786"/>
      <c r="CG92" s="786"/>
      <c r="CH92" s="786"/>
      <c r="CI92" s="786"/>
      <c r="CJ92" s="786"/>
      <c r="CK92" s="786"/>
      <c r="CL92" s="786"/>
      <c r="CM92" s="786"/>
      <c r="CN92" s="786"/>
      <c r="CO92" s="786"/>
      <c r="CP92" s="786"/>
      <c r="CQ92" s="787"/>
    </row>
    <row r="93" spans="2:95" ht="12" customHeight="1" x14ac:dyDescent="0.2">
      <c r="B93" s="531"/>
      <c r="C93" s="795"/>
      <c r="D93" s="795"/>
      <c r="E93" s="795"/>
      <c r="F93" s="795"/>
      <c r="G93" s="795"/>
      <c r="H93" s="795"/>
      <c r="I93" s="795"/>
      <c r="J93" s="795"/>
      <c r="K93" s="795"/>
      <c r="L93" s="795"/>
      <c r="M93" s="795"/>
      <c r="N93" s="795"/>
      <c r="O93" s="786"/>
      <c r="P93" s="786"/>
      <c r="Q93" s="786"/>
      <c r="R93" s="786"/>
      <c r="S93" s="786"/>
      <c r="T93" s="786"/>
      <c r="U93" s="786"/>
      <c r="V93" s="786"/>
      <c r="W93" s="786"/>
      <c r="X93" s="786"/>
      <c r="Y93" s="786"/>
      <c r="Z93" s="786"/>
      <c r="AA93" s="786"/>
      <c r="AB93" s="786"/>
      <c r="AC93" s="786"/>
      <c r="AD93" s="786"/>
      <c r="AE93" s="786"/>
      <c r="AF93" s="786"/>
      <c r="AG93" s="786"/>
      <c r="AH93" s="786"/>
      <c r="AI93" s="786"/>
      <c r="AJ93" s="786"/>
      <c r="AK93" s="786"/>
      <c r="AL93" s="786"/>
      <c r="AM93" s="786"/>
      <c r="AN93" s="786"/>
      <c r="AO93" s="786"/>
      <c r="AP93" s="786"/>
      <c r="AQ93" s="786"/>
      <c r="AR93" s="786"/>
      <c r="AS93" s="786"/>
      <c r="AT93" s="786"/>
      <c r="AU93" s="786"/>
      <c r="AV93" s="786"/>
      <c r="AW93" s="347"/>
      <c r="AX93" s="795"/>
      <c r="AY93" s="795"/>
      <c r="AZ93" s="795"/>
      <c r="BA93" s="795"/>
      <c r="BB93" s="795"/>
      <c r="BC93" s="795"/>
      <c r="BD93" s="795"/>
      <c r="BE93" s="795"/>
      <c r="BF93" s="795"/>
      <c r="BG93" s="795"/>
      <c r="BH93" s="795"/>
      <c r="BI93" s="795"/>
      <c r="BJ93" s="786"/>
      <c r="BK93" s="786"/>
      <c r="BL93" s="786"/>
      <c r="BM93" s="786"/>
      <c r="BN93" s="786"/>
      <c r="BO93" s="786"/>
      <c r="BP93" s="786"/>
      <c r="BQ93" s="786"/>
      <c r="BR93" s="786"/>
      <c r="BS93" s="786"/>
      <c r="BT93" s="786"/>
      <c r="BU93" s="786"/>
      <c r="BV93" s="786"/>
      <c r="BW93" s="786"/>
      <c r="BX93" s="786"/>
      <c r="BY93" s="786"/>
      <c r="BZ93" s="786"/>
      <c r="CA93" s="786"/>
      <c r="CB93" s="786"/>
      <c r="CC93" s="786"/>
      <c r="CD93" s="786"/>
      <c r="CE93" s="786"/>
      <c r="CF93" s="786"/>
      <c r="CG93" s="786"/>
      <c r="CH93" s="786"/>
      <c r="CI93" s="786"/>
      <c r="CJ93" s="786"/>
      <c r="CK93" s="786"/>
      <c r="CL93" s="786"/>
      <c r="CM93" s="786"/>
      <c r="CN93" s="786"/>
      <c r="CO93" s="786"/>
      <c r="CP93" s="786"/>
      <c r="CQ93" s="787"/>
    </row>
    <row r="94" spans="2:95" ht="12" customHeight="1" x14ac:dyDescent="0.2">
      <c r="B94" s="531"/>
      <c r="C94" s="795"/>
      <c r="D94" s="795"/>
      <c r="E94" s="795"/>
      <c r="F94" s="795"/>
      <c r="G94" s="795"/>
      <c r="H94" s="795"/>
      <c r="I94" s="795"/>
      <c r="J94" s="795"/>
      <c r="K94" s="795"/>
      <c r="L94" s="795"/>
      <c r="M94" s="795"/>
      <c r="N94" s="795"/>
      <c r="O94" s="786"/>
      <c r="P94" s="786"/>
      <c r="Q94" s="786"/>
      <c r="R94" s="786"/>
      <c r="S94" s="786"/>
      <c r="T94" s="786"/>
      <c r="U94" s="786"/>
      <c r="V94" s="786"/>
      <c r="W94" s="786"/>
      <c r="X94" s="786"/>
      <c r="Y94" s="786"/>
      <c r="Z94" s="786"/>
      <c r="AA94" s="786"/>
      <c r="AB94" s="786"/>
      <c r="AC94" s="786"/>
      <c r="AD94" s="786"/>
      <c r="AE94" s="786"/>
      <c r="AF94" s="786"/>
      <c r="AG94" s="786"/>
      <c r="AH94" s="786"/>
      <c r="AI94" s="786"/>
      <c r="AJ94" s="786"/>
      <c r="AK94" s="786"/>
      <c r="AL94" s="786"/>
      <c r="AM94" s="786"/>
      <c r="AN94" s="786"/>
      <c r="AO94" s="786"/>
      <c r="AP94" s="786"/>
      <c r="AQ94" s="786"/>
      <c r="AR94" s="786"/>
      <c r="AS94" s="786"/>
      <c r="AT94" s="786"/>
      <c r="AU94" s="786"/>
      <c r="AV94" s="786"/>
      <c r="AW94" s="347"/>
      <c r="AX94" s="795"/>
      <c r="AY94" s="795"/>
      <c r="AZ94" s="795"/>
      <c r="BA94" s="795"/>
      <c r="BB94" s="795"/>
      <c r="BC94" s="795"/>
      <c r="BD94" s="795"/>
      <c r="BE94" s="795"/>
      <c r="BF94" s="795"/>
      <c r="BG94" s="795"/>
      <c r="BH94" s="795"/>
      <c r="BI94" s="795"/>
      <c r="BJ94" s="786"/>
      <c r="BK94" s="786"/>
      <c r="BL94" s="786"/>
      <c r="BM94" s="786"/>
      <c r="BN94" s="786"/>
      <c r="BO94" s="786"/>
      <c r="BP94" s="786"/>
      <c r="BQ94" s="786"/>
      <c r="BR94" s="786"/>
      <c r="BS94" s="786"/>
      <c r="BT94" s="786"/>
      <c r="BU94" s="786"/>
      <c r="BV94" s="786"/>
      <c r="BW94" s="786"/>
      <c r="BX94" s="786"/>
      <c r="BY94" s="786"/>
      <c r="BZ94" s="786"/>
      <c r="CA94" s="786"/>
      <c r="CB94" s="786"/>
      <c r="CC94" s="786"/>
      <c r="CD94" s="786"/>
      <c r="CE94" s="786"/>
      <c r="CF94" s="786"/>
      <c r="CG94" s="786"/>
      <c r="CH94" s="786"/>
      <c r="CI94" s="786"/>
      <c r="CJ94" s="786"/>
      <c r="CK94" s="786"/>
      <c r="CL94" s="786"/>
      <c r="CM94" s="786"/>
      <c r="CN94" s="786"/>
      <c r="CO94" s="786"/>
      <c r="CP94" s="786"/>
      <c r="CQ94" s="787"/>
    </row>
    <row r="95" spans="2:95" ht="12" customHeight="1" x14ac:dyDescent="0.2">
      <c r="B95" s="531"/>
      <c r="C95" s="795"/>
      <c r="D95" s="795"/>
      <c r="E95" s="795"/>
      <c r="F95" s="795"/>
      <c r="G95" s="795"/>
      <c r="H95" s="795"/>
      <c r="I95" s="795"/>
      <c r="J95" s="795"/>
      <c r="K95" s="795"/>
      <c r="L95" s="795"/>
      <c r="M95" s="795"/>
      <c r="N95" s="795"/>
      <c r="O95" s="786"/>
      <c r="P95" s="786"/>
      <c r="Q95" s="786"/>
      <c r="R95" s="786"/>
      <c r="S95" s="786"/>
      <c r="T95" s="786"/>
      <c r="U95" s="786"/>
      <c r="V95" s="786"/>
      <c r="W95" s="786"/>
      <c r="X95" s="786"/>
      <c r="Y95" s="786"/>
      <c r="Z95" s="786"/>
      <c r="AA95" s="786"/>
      <c r="AB95" s="786"/>
      <c r="AC95" s="786"/>
      <c r="AD95" s="786"/>
      <c r="AE95" s="786"/>
      <c r="AF95" s="786"/>
      <c r="AG95" s="786"/>
      <c r="AH95" s="786"/>
      <c r="AI95" s="786"/>
      <c r="AJ95" s="786"/>
      <c r="AK95" s="786"/>
      <c r="AL95" s="786"/>
      <c r="AM95" s="786"/>
      <c r="AN95" s="786"/>
      <c r="AO95" s="786"/>
      <c r="AP95" s="786"/>
      <c r="AQ95" s="786"/>
      <c r="AR95" s="786"/>
      <c r="AS95" s="786"/>
      <c r="AT95" s="786"/>
      <c r="AU95" s="786"/>
      <c r="AV95" s="786"/>
      <c r="AW95" s="347"/>
      <c r="AX95" s="795"/>
      <c r="AY95" s="795"/>
      <c r="AZ95" s="795"/>
      <c r="BA95" s="795"/>
      <c r="BB95" s="795"/>
      <c r="BC95" s="795"/>
      <c r="BD95" s="795"/>
      <c r="BE95" s="795"/>
      <c r="BF95" s="795"/>
      <c r="BG95" s="795"/>
      <c r="BH95" s="795"/>
      <c r="BI95" s="795"/>
      <c r="BJ95" s="786"/>
      <c r="BK95" s="786"/>
      <c r="BL95" s="786"/>
      <c r="BM95" s="786"/>
      <c r="BN95" s="786"/>
      <c r="BO95" s="786"/>
      <c r="BP95" s="786"/>
      <c r="BQ95" s="786"/>
      <c r="BR95" s="786"/>
      <c r="BS95" s="786"/>
      <c r="BT95" s="786"/>
      <c r="BU95" s="786"/>
      <c r="BV95" s="786"/>
      <c r="BW95" s="786"/>
      <c r="BX95" s="786"/>
      <c r="BY95" s="786"/>
      <c r="BZ95" s="786"/>
      <c r="CA95" s="786"/>
      <c r="CB95" s="786"/>
      <c r="CC95" s="786"/>
      <c r="CD95" s="786"/>
      <c r="CE95" s="786"/>
      <c r="CF95" s="786"/>
      <c r="CG95" s="786"/>
      <c r="CH95" s="786"/>
      <c r="CI95" s="786"/>
      <c r="CJ95" s="786"/>
      <c r="CK95" s="786"/>
      <c r="CL95" s="786"/>
      <c r="CM95" s="786"/>
      <c r="CN95" s="786"/>
      <c r="CO95" s="786"/>
      <c r="CP95" s="786"/>
      <c r="CQ95" s="787"/>
    </row>
    <row r="96" spans="2:95" ht="12" customHeight="1" x14ac:dyDescent="0.2">
      <c r="B96" s="531"/>
      <c r="C96" s="795"/>
      <c r="D96" s="795"/>
      <c r="E96" s="795"/>
      <c r="F96" s="795"/>
      <c r="G96" s="795"/>
      <c r="H96" s="795"/>
      <c r="I96" s="795"/>
      <c r="J96" s="795"/>
      <c r="K96" s="795"/>
      <c r="L96" s="795"/>
      <c r="M96" s="795"/>
      <c r="N96" s="795"/>
      <c r="O96" s="786"/>
      <c r="P96" s="786"/>
      <c r="Q96" s="786"/>
      <c r="R96" s="786"/>
      <c r="S96" s="786"/>
      <c r="T96" s="786"/>
      <c r="U96" s="786"/>
      <c r="V96" s="786"/>
      <c r="W96" s="786"/>
      <c r="X96" s="786"/>
      <c r="Y96" s="786"/>
      <c r="Z96" s="786"/>
      <c r="AA96" s="786"/>
      <c r="AB96" s="786"/>
      <c r="AC96" s="786"/>
      <c r="AD96" s="786"/>
      <c r="AE96" s="786"/>
      <c r="AF96" s="786"/>
      <c r="AG96" s="786"/>
      <c r="AH96" s="786"/>
      <c r="AI96" s="786"/>
      <c r="AJ96" s="786"/>
      <c r="AK96" s="786"/>
      <c r="AL96" s="786"/>
      <c r="AM96" s="786"/>
      <c r="AN96" s="786"/>
      <c r="AO96" s="786"/>
      <c r="AP96" s="786"/>
      <c r="AQ96" s="786"/>
      <c r="AR96" s="786"/>
      <c r="AS96" s="786"/>
      <c r="AT96" s="786"/>
      <c r="AU96" s="786"/>
      <c r="AV96" s="786"/>
      <c r="AW96" s="347"/>
      <c r="AX96" s="795"/>
      <c r="AY96" s="795"/>
      <c r="AZ96" s="795"/>
      <c r="BA96" s="795"/>
      <c r="BB96" s="795"/>
      <c r="BC96" s="795"/>
      <c r="BD96" s="795"/>
      <c r="BE96" s="795"/>
      <c r="BF96" s="795"/>
      <c r="BG96" s="795"/>
      <c r="BH96" s="795"/>
      <c r="BI96" s="795"/>
      <c r="BJ96" s="786"/>
      <c r="BK96" s="786"/>
      <c r="BL96" s="786"/>
      <c r="BM96" s="786"/>
      <c r="BN96" s="786"/>
      <c r="BO96" s="786"/>
      <c r="BP96" s="786"/>
      <c r="BQ96" s="786"/>
      <c r="BR96" s="786"/>
      <c r="BS96" s="786"/>
      <c r="BT96" s="786"/>
      <c r="BU96" s="786"/>
      <c r="BV96" s="786"/>
      <c r="BW96" s="786"/>
      <c r="BX96" s="786"/>
      <c r="BY96" s="786"/>
      <c r="BZ96" s="786"/>
      <c r="CA96" s="786"/>
      <c r="CB96" s="786"/>
      <c r="CC96" s="786"/>
      <c r="CD96" s="786"/>
      <c r="CE96" s="786"/>
      <c r="CF96" s="786"/>
      <c r="CG96" s="786"/>
      <c r="CH96" s="786"/>
      <c r="CI96" s="786"/>
      <c r="CJ96" s="786"/>
      <c r="CK96" s="786"/>
      <c r="CL96" s="786"/>
      <c r="CM96" s="786"/>
      <c r="CN96" s="786"/>
      <c r="CO96" s="786"/>
      <c r="CP96" s="786"/>
      <c r="CQ96" s="787"/>
    </row>
    <row r="97" spans="2:186" ht="12" customHeight="1" x14ac:dyDescent="0.2">
      <c r="B97" s="531"/>
      <c r="C97" s="795"/>
      <c r="D97" s="795"/>
      <c r="E97" s="795"/>
      <c r="F97" s="795"/>
      <c r="G97" s="795"/>
      <c r="H97" s="795"/>
      <c r="I97" s="795"/>
      <c r="J97" s="795"/>
      <c r="K97" s="795"/>
      <c r="L97" s="795"/>
      <c r="M97" s="795"/>
      <c r="N97" s="795"/>
      <c r="O97" s="786"/>
      <c r="P97" s="786"/>
      <c r="Q97" s="786"/>
      <c r="R97" s="786"/>
      <c r="S97" s="786"/>
      <c r="T97" s="786"/>
      <c r="U97" s="786"/>
      <c r="V97" s="786"/>
      <c r="W97" s="786"/>
      <c r="X97" s="786"/>
      <c r="Y97" s="786"/>
      <c r="Z97" s="786"/>
      <c r="AA97" s="786"/>
      <c r="AB97" s="786"/>
      <c r="AC97" s="786"/>
      <c r="AD97" s="786"/>
      <c r="AE97" s="786"/>
      <c r="AF97" s="786"/>
      <c r="AG97" s="786"/>
      <c r="AH97" s="786"/>
      <c r="AI97" s="786"/>
      <c r="AJ97" s="786"/>
      <c r="AK97" s="786"/>
      <c r="AL97" s="786"/>
      <c r="AM97" s="786"/>
      <c r="AN97" s="786"/>
      <c r="AO97" s="786"/>
      <c r="AP97" s="786"/>
      <c r="AQ97" s="786"/>
      <c r="AR97" s="786"/>
      <c r="AS97" s="786"/>
      <c r="AT97" s="786"/>
      <c r="AU97" s="786"/>
      <c r="AV97" s="786"/>
      <c r="AW97" s="347"/>
      <c r="AX97" s="795"/>
      <c r="AY97" s="795"/>
      <c r="AZ97" s="795"/>
      <c r="BA97" s="795"/>
      <c r="BB97" s="795"/>
      <c r="BC97" s="795"/>
      <c r="BD97" s="795"/>
      <c r="BE97" s="795"/>
      <c r="BF97" s="795"/>
      <c r="BG97" s="795"/>
      <c r="BH97" s="795"/>
      <c r="BI97" s="795"/>
      <c r="BJ97" s="786"/>
      <c r="BK97" s="786"/>
      <c r="BL97" s="786"/>
      <c r="BM97" s="786"/>
      <c r="BN97" s="786"/>
      <c r="BO97" s="786"/>
      <c r="BP97" s="786"/>
      <c r="BQ97" s="786"/>
      <c r="BR97" s="786"/>
      <c r="BS97" s="786"/>
      <c r="BT97" s="786"/>
      <c r="BU97" s="786"/>
      <c r="BV97" s="786"/>
      <c r="BW97" s="786"/>
      <c r="BX97" s="786"/>
      <c r="BY97" s="786"/>
      <c r="BZ97" s="786"/>
      <c r="CA97" s="786"/>
      <c r="CB97" s="786"/>
      <c r="CC97" s="786"/>
      <c r="CD97" s="786"/>
      <c r="CE97" s="786"/>
      <c r="CF97" s="786"/>
      <c r="CG97" s="786"/>
      <c r="CH97" s="786"/>
      <c r="CI97" s="786"/>
      <c r="CJ97" s="786"/>
      <c r="CK97" s="786"/>
      <c r="CL97" s="786"/>
      <c r="CM97" s="786"/>
      <c r="CN97" s="786"/>
      <c r="CO97" s="786"/>
      <c r="CP97" s="786"/>
      <c r="CQ97" s="787"/>
    </row>
    <row r="98" spans="2:186" ht="12" customHeight="1" x14ac:dyDescent="0.25">
      <c r="B98" s="533"/>
      <c r="C98" s="946" t="s">
        <v>472</v>
      </c>
      <c r="D98" s="946"/>
      <c r="E98" s="497" t="s">
        <v>471</v>
      </c>
      <c r="F98" s="478"/>
      <c r="G98" s="474"/>
      <c r="H98" s="474"/>
      <c r="I98" s="474"/>
      <c r="J98" s="474"/>
      <c r="K98" s="474"/>
      <c r="L98" s="474"/>
      <c r="M98" s="474"/>
      <c r="N98" s="474"/>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S98" s="786"/>
      <c r="AT98" s="786"/>
      <c r="AU98" s="786"/>
      <c r="AV98" s="786"/>
      <c r="AW98" s="347"/>
      <c r="AX98" s="260"/>
      <c r="AY98" s="260"/>
      <c r="AZ98" s="497"/>
      <c r="BA98" s="478"/>
      <c r="BB98" s="474"/>
      <c r="BC98" s="474"/>
      <c r="BD98" s="474"/>
      <c r="BE98" s="474"/>
      <c r="BF98" s="474"/>
      <c r="BG98" s="474"/>
      <c r="BH98" s="474"/>
      <c r="BI98" s="474"/>
      <c r="BJ98" s="786"/>
      <c r="BK98" s="786"/>
      <c r="BL98" s="786"/>
      <c r="BM98" s="786"/>
      <c r="BN98" s="786"/>
      <c r="BO98" s="786"/>
      <c r="BP98" s="786"/>
      <c r="BQ98" s="786"/>
      <c r="BR98" s="786"/>
      <c r="BS98" s="786"/>
      <c r="BT98" s="786"/>
      <c r="BU98" s="786"/>
      <c r="BV98" s="786"/>
      <c r="BW98" s="786"/>
      <c r="BX98" s="786"/>
      <c r="BY98" s="786"/>
      <c r="BZ98" s="786"/>
      <c r="CA98" s="786"/>
      <c r="CB98" s="786"/>
      <c r="CC98" s="786"/>
      <c r="CD98" s="786"/>
      <c r="CE98" s="786"/>
      <c r="CF98" s="786"/>
      <c r="CG98" s="786"/>
      <c r="CH98" s="786"/>
      <c r="CI98" s="786"/>
      <c r="CJ98" s="786"/>
      <c r="CK98" s="786"/>
      <c r="CL98" s="786"/>
      <c r="CM98" s="786"/>
      <c r="CN98" s="786"/>
      <c r="CO98" s="786"/>
      <c r="CP98" s="786"/>
      <c r="CQ98" s="787"/>
      <c r="FP98" s="121"/>
      <c r="FQ98" s="121"/>
      <c r="FR98" s="121"/>
      <c r="FS98" s="121"/>
      <c r="FT98" s="121"/>
      <c r="FU98" s="121"/>
      <c r="FV98" s="121"/>
      <c r="FW98" s="121"/>
      <c r="FX98" s="121"/>
      <c r="FY98" s="121"/>
      <c r="FZ98" s="121"/>
      <c r="GA98" s="121"/>
      <c r="GB98" s="121"/>
      <c r="GC98" s="121"/>
      <c r="GD98" s="121"/>
    </row>
    <row r="99" spans="2:186" ht="12" customHeight="1" x14ac:dyDescent="0.2">
      <c r="B99" s="533"/>
      <c r="C99" s="946" t="s">
        <v>473</v>
      </c>
      <c r="D99" s="946"/>
      <c r="E99" s="497" t="s">
        <v>474</v>
      </c>
      <c r="F99" s="534"/>
      <c r="G99" s="474"/>
      <c r="H99" s="474"/>
      <c r="I99" s="474"/>
      <c r="J99" s="474"/>
      <c r="K99" s="474"/>
      <c r="L99" s="474"/>
      <c r="M99" s="474"/>
      <c r="N99" s="474"/>
      <c r="O99" s="786"/>
      <c r="P99" s="786"/>
      <c r="Q99" s="786"/>
      <c r="R99" s="786"/>
      <c r="S99" s="786"/>
      <c r="T99" s="786"/>
      <c r="U99" s="786"/>
      <c r="V99" s="786"/>
      <c r="W99" s="786"/>
      <c r="X99" s="786"/>
      <c r="Y99" s="786"/>
      <c r="Z99" s="786"/>
      <c r="AA99" s="786"/>
      <c r="AB99" s="786"/>
      <c r="AC99" s="786"/>
      <c r="AD99" s="786"/>
      <c r="AE99" s="786"/>
      <c r="AF99" s="786"/>
      <c r="AG99" s="786"/>
      <c r="AH99" s="786"/>
      <c r="AI99" s="786"/>
      <c r="AJ99" s="786"/>
      <c r="AK99" s="786"/>
      <c r="AL99" s="786"/>
      <c r="AM99" s="786"/>
      <c r="AN99" s="786"/>
      <c r="AO99" s="786"/>
      <c r="AP99" s="786"/>
      <c r="AQ99" s="786"/>
      <c r="AR99" s="786"/>
      <c r="AS99" s="786"/>
      <c r="AT99" s="786"/>
      <c r="AU99" s="786"/>
      <c r="AV99" s="786"/>
      <c r="AW99" s="347"/>
      <c r="AX99" s="260"/>
      <c r="AY99" s="260"/>
      <c r="AZ99" s="497"/>
      <c r="BA99" s="534"/>
      <c r="BB99" s="474"/>
      <c r="BC99" s="474"/>
      <c r="BD99" s="474"/>
      <c r="BE99" s="474"/>
      <c r="BF99" s="474"/>
      <c r="BG99" s="474"/>
      <c r="BH99" s="474"/>
      <c r="BI99" s="474"/>
      <c r="BJ99" s="786"/>
      <c r="BK99" s="786"/>
      <c r="BL99" s="786"/>
      <c r="BM99" s="786"/>
      <c r="BN99" s="786"/>
      <c r="BO99" s="786"/>
      <c r="BP99" s="786"/>
      <c r="BQ99" s="786"/>
      <c r="BR99" s="786"/>
      <c r="BS99" s="786"/>
      <c r="BT99" s="786"/>
      <c r="BU99" s="786"/>
      <c r="BV99" s="786"/>
      <c r="BW99" s="786"/>
      <c r="BX99" s="786"/>
      <c r="BY99" s="786"/>
      <c r="BZ99" s="786"/>
      <c r="CA99" s="786"/>
      <c r="CB99" s="786"/>
      <c r="CC99" s="786"/>
      <c r="CD99" s="786"/>
      <c r="CE99" s="786"/>
      <c r="CF99" s="786"/>
      <c r="CG99" s="786"/>
      <c r="CH99" s="786"/>
      <c r="CI99" s="786"/>
      <c r="CJ99" s="786"/>
      <c r="CK99" s="786"/>
      <c r="CL99" s="786"/>
      <c r="CM99" s="786"/>
      <c r="CN99" s="786"/>
      <c r="CO99" s="786"/>
      <c r="CP99" s="786"/>
      <c r="CQ99" s="787"/>
      <c r="FP99" s="121"/>
      <c r="FQ99" s="121"/>
      <c r="FR99" s="121"/>
      <c r="FS99" s="121"/>
      <c r="FT99" s="121"/>
      <c r="FU99" s="121"/>
      <c r="FV99" s="121"/>
      <c r="FW99" s="121"/>
      <c r="FX99" s="121"/>
      <c r="FY99" s="121"/>
      <c r="FZ99" s="121"/>
      <c r="GA99" s="121"/>
      <c r="GB99" s="121"/>
      <c r="GC99" s="121"/>
      <c r="GD99" s="121"/>
    </row>
    <row r="100" spans="2:186" ht="12" customHeight="1" x14ac:dyDescent="0.2">
      <c r="B100" s="199"/>
      <c r="C100" s="200"/>
      <c r="D100" s="200"/>
      <c r="E100" s="200"/>
      <c r="F100" s="200"/>
      <c r="G100" s="200"/>
      <c r="H100" s="200"/>
      <c r="I100" s="200"/>
      <c r="J100" s="200"/>
      <c r="K100" s="200"/>
      <c r="L100" s="200"/>
      <c r="M100" s="200"/>
      <c r="N100" s="200"/>
      <c r="O100" s="865"/>
      <c r="P100" s="865"/>
      <c r="Q100" s="865"/>
      <c r="R100" s="865"/>
      <c r="S100" s="865"/>
      <c r="T100" s="865"/>
      <c r="U100" s="865"/>
      <c r="V100" s="865"/>
      <c r="W100" s="865"/>
      <c r="X100" s="865"/>
      <c r="Y100" s="865"/>
      <c r="Z100" s="865"/>
      <c r="AA100" s="865"/>
      <c r="AB100" s="865"/>
      <c r="AC100" s="865"/>
      <c r="AD100" s="865"/>
      <c r="AE100" s="865"/>
      <c r="AF100" s="865"/>
      <c r="AG100" s="865"/>
      <c r="AH100" s="865"/>
      <c r="AI100" s="865"/>
      <c r="AJ100" s="865"/>
      <c r="AK100" s="865"/>
      <c r="AL100" s="865"/>
      <c r="AM100" s="865"/>
      <c r="AN100" s="865"/>
      <c r="AO100" s="865"/>
      <c r="AP100" s="865"/>
      <c r="AQ100" s="865"/>
      <c r="AR100" s="865"/>
      <c r="AS100" s="865"/>
      <c r="AT100" s="865"/>
      <c r="AU100" s="865"/>
      <c r="AV100" s="865"/>
      <c r="AW100" s="123"/>
      <c r="AX100" s="123"/>
      <c r="AY100" s="123"/>
      <c r="AZ100" s="123"/>
      <c r="BA100" s="123"/>
      <c r="BB100" s="123"/>
      <c r="BC100" s="123"/>
      <c r="BD100" s="123"/>
      <c r="BE100" s="123"/>
      <c r="BF100" s="123"/>
      <c r="BG100" s="123"/>
      <c r="BH100" s="123"/>
      <c r="BI100" s="123"/>
      <c r="BJ100" s="865"/>
      <c r="BK100" s="865"/>
      <c r="BL100" s="865"/>
      <c r="BM100" s="865"/>
      <c r="BN100" s="865"/>
      <c r="BO100" s="865"/>
      <c r="BP100" s="865"/>
      <c r="BQ100" s="865"/>
      <c r="BR100" s="865"/>
      <c r="BS100" s="865"/>
      <c r="BT100" s="865"/>
      <c r="BU100" s="865"/>
      <c r="BV100" s="865"/>
      <c r="BW100" s="865"/>
      <c r="BX100" s="865"/>
      <c r="BY100" s="865"/>
      <c r="BZ100" s="865"/>
      <c r="CA100" s="865"/>
      <c r="CB100" s="865"/>
      <c r="CC100" s="865"/>
      <c r="CD100" s="865"/>
      <c r="CE100" s="865"/>
      <c r="CF100" s="865"/>
      <c r="CG100" s="865"/>
      <c r="CH100" s="865"/>
      <c r="CI100" s="865"/>
      <c r="CJ100" s="865"/>
      <c r="CK100" s="865"/>
      <c r="CL100" s="865"/>
      <c r="CM100" s="865"/>
      <c r="CN100" s="865"/>
      <c r="CO100" s="865"/>
      <c r="CP100" s="865"/>
      <c r="CQ100" s="866"/>
      <c r="FP100" s="121"/>
      <c r="FQ100" s="121"/>
      <c r="FR100" s="121"/>
      <c r="FS100" s="121"/>
      <c r="FT100" s="121"/>
      <c r="FU100" s="121"/>
      <c r="FV100" s="121"/>
      <c r="FW100" s="121"/>
      <c r="FX100" s="121"/>
      <c r="FY100" s="121"/>
      <c r="FZ100" s="121"/>
      <c r="GA100" s="121"/>
      <c r="GB100" s="121"/>
      <c r="GC100" s="121"/>
      <c r="GD100" s="121"/>
    </row>
    <row r="101" spans="2:186" ht="12" customHeight="1" x14ac:dyDescent="0.2">
      <c r="FP101" s="121"/>
      <c r="FQ101" s="121"/>
      <c r="FR101" s="121"/>
      <c r="FS101" s="121"/>
      <c r="FT101" s="121"/>
      <c r="FU101" s="121"/>
      <c r="FV101" s="121"/>
      <c r="FW101" s="121"/>
      <c r="FX101" s="121"/>
      <c r="FY101" s="121"/>
      <c r="FZ101" s="121"/>
      <c r="GA101" s="121"/>
      <c r="GB101" s="121"/>
      <c r="GC101" s="121"/>
      <c r="GD101" s="121"/>
    </row>
    <row r="102" spans="2:186" ht="12" customHeight="1" x14ac:dyDescent="0.2">
      <c r="FP102" s="121"/>
      <c r="FQ102" s="121"/>
      <c r="FR102" s="121"/>
      <c r="FS102" s="121"/>
      <c r="FT102" s="121"/>
      <c r="FU102" s="121"/>
      <c r="FV102" s="121"/>
      <c r="FW102" s="121"/>
      <c r="FX102" s="121"/>
      <c r="FY102" s="121"/>
      <c r="FZ102" s="121"/>
      <c r="GA102" s="121"/>
      <c r="GB102" s="121"/>
      <c r="GC102" s="121"/>
      <c r="GD102" s="121"/>
    </row>
    <row r="103" spans="2:186" ht="12" customHeight="1" x14ac:dyDescent="0.2">
      <c r="FP103" s="121"/>
      <c r="FQ103" s="121"/>
      <c r="FR103" s="121"/>
      <c r="FS103" s="121"/>
      <c r="FT103" s="121"/>
      <c r="FU103" s="121"/>
      <c r="FV103" s="121"/>
      <c r="FW103" s="121"/>
      <c r="FX103" s="121"/>
      <c r="FY103" s="121"/>
      <c r="FZ103" s="121"/>
      <c r="GA103" s="121"/>
      <c r="GB103" s="121"/>
      <c r="GC103" s="121"/>
      <c r="GD103" s="121"/>
    </row>
    <row r="104" spans="2:186" ht="12" customHeight="1" x14ac:dyDescent="0.2">
      <c r="FP104" s="121"/>
      <c r="FQ104" s="121"/>
      <c r="FR104" s="121"/>
      <c r="FS104" s="121"/>
      <c r="FT104" s="121"/>
      <c r="FU104" s="121"/>
      <c r="FV104" s="121"/>
      <c r="FW104" s="121"/>
      <c r="FX104" s="121"/>
      <c r="FY104" s="121"/>
      <c r="FZ104" s="121"/>
      <c r="GA104" s="121"/>
      <c r="GB104" s="121"/>
      <c r="GC104" s="121"/>
      <c r="GD104" s="121"/>
    </row>
    <row r="115" spans="28:34" ht="12" customHeight="1" x14ac:dyDescent="0.2">
      <c r="AB115" s="53"/>
      <c r="AC115" s="53"/>
      <c r="AD115" s="53"/>
      <c r="AE115" s="53"/>
      <c r="AF115" s="53"/>
      <c r="AG115" s="53"/>
      <c r="AH115" s="53"/>
    </row>
    <row r="116" spans="28:34" ht="12" customHeight="1" x14ac:dyDescent="0.2">
      <c r="AB116" s="53"/>
      <c r="AC116" s="53"/>
      <c r="AD116" s="53"/>
      <c r="AE116" s="53"/>
      <c r="AF116" s="53"/>
      <c r="AG116" s="53"/>
      <c r="AH116" s="53"/>
    </row>
  </sheetData>
  <sheetProtection password="DEEC" sheet="1" objects="1" scenarios="1" selectLockedCells="1"/>
  <mergeCells count="458">
    <mergeCell ref="BC5:BD5"/>
    <mergeCell ref="AA32:AB32"/>
    <mergeCell ref="AO32:AP32"/>
    <mergeCell ref="BC32:BD32"/>
    <mergeCell ref="BQ5:BR5"/>
    <mergeCell ref="CE5:CF5"/>
    <mergeCell ref="CE32:CF32"/>
    <mergeCell ref="BQ32:BR32"/>
    <mergeCell ref="BC6:BD6"/>
    <mergeCell ref="Y6:AA6"/>
    <mergeCell ref="BE23:BN23"/>
    <mergeCell ref="BC24:BD24"/>
    <mergeCell ref="BE24:BN24"/>
    <mergeCell ref="BC25:BD25"/>
    <mergeCell ref="BE25:BN25"/>
    <mergeCell ref="BS5:CB5"/>
    <mergeCell ref="BQ6:BR6"/>
    <mergeCell ref="BS6:CB6"/>
    <mergeCell ref="BQ7:BR7"/>
    <mergeCell ref="BS7:CB7"/>
    <mergeCell ref="BQ8:BR8"/>
    <mergeCell ref="BC15:BD15"/>
    <mergeCell ref="AQ5:AZ5"/>
    <mergeCell ref="AC21:AL21"/>
    <mergeCell ref="C98:D98"/>
    <mergeCell ref="C70:G70"/>
    <mergeCell ref="C66:E66"/>
    <mergeCell ref="H6:J6"/>
    <mergeCell ref="H7:J7"/>
    <mergeCell ref="H8:J8"/>
    <mergeCell ref="AC8:AL8"/>
    <mergeCell ref="AC10:AL10"/>
    <mergeCell ref="AC11:AL11"/>
    <mergeCell ref="AC12:AL12"/>
    <mergeCell ref="U18:V19"/>
    <mergeCell ref="O18:T19"/>
    <mergeCell ref="AC20:AL20"/>
    <mergeCell ref="F41:J41"/>
    <mergeCell ref="K18:L19"/>
    <mergeCell ref="AC32:AL32"/>
    <mergeCell ref="AC15:AL15"/>
    <mergeCell ref="Q17:R17"/>
    <mergeCell ref="C44:E44"/>
    <mergeCell ref="AA44:AB44"/>
    <mergeCell ref="F66:I66"/>
    <mergeCell ref="C62:G62"/>
    <mergeCell ref="C68:F68"/>
    <mergeCell ref="C49:V52"/>
    <mergeCell ref="G68:J68"/>
    <mergeCell ref="AC43:AL43"/>
    <mergeCell ref="BJ58:CQ100"/>
    <mergeCell ref="F60:K60"/>
    <mergeCell ref="C34:W37"/>
    <mergeCell ref="F31:V32"/>
    <mergeCell ref="C31:E32"/>
    <mergeCell ref="F46:V47"/>
    <mergeCell ref="C46:E47"/>
    <mergeCell ref="AX58:BH58"/>
    <mergeCell ref="C71:N97"/>
    <mergeCell ref="AX71:BI97"/>
    <mergeCell ref="BJ57:BQ57"/>
    <mergeCell ref="AX60:AZ60"/>
    <mergeCell ref="BA60:BF60"/>
    <mergeCell ref="AX62:BB62"/>
    <mergeCell ref="AX64:BB64"/>
    <mergeCell ref="BC64:BF64"/>
    <mergeCell ref="C58:M58"/>
    <mergeCell ref="AA33:AB33"/>
    <mergeCell ref="AC33:AL33"/>
    <mergeCell ref="AX68:BA68"/>
    <mergeCell ref="AA46:AB46"/>
    <mergeCell ref="AC46:AL46"/>
    <mergeCell ref="BB68:BE68"/>
    <mergeCell ref="BC23:BD23"/>
    <mergeCell ref="BC21:BD21"/>
    <mergeCell ref="BC7:BD7"/>
    <mergeCell ref="BC8:BD8"/>
    <mergeCell ref="BC9:BD9"/>
    <mergeCell ref="BC10:BD10"/>
    <mergeCell ref="BC16:BD16"/>
    <mergeCell ref="AO19:AP19"/>
    <mergeCell ref="AQ19:AZ19"/>
    <mergeCell ref="AQ20:AZ20"/>
    <mergeCell ref="AO20:AP20"/>
    <mergeCell ref="AQ14:AZ14"/>
    <mergeCell ref="AQ16:AZ16"/>
    <mergeCell ref="AQ17:AZ17"/>
    <mergeCell ref="AQ18:AZ18"/>
    <mergeCell ref="BA66:BD66"/>
    <mergeCell ref="BC33:BD33"/>
    <mergeCell ref="BE43:BN43"/>
    <mergeCell ref="BE10:BN10"/>
    <mergeCell ref="BE38:BN38"/>
    <mergeCell ref="BC39:BD39"/>
    <mergeCell ref="AX66:AZ66"/>
    <mergeCell ref="BC20:BD20"/>
    <mergeCell ref="AX70:BB70"/>
    <mergeCell ref="O58:AV100"/>
    <mergeCell ref="AC38:AL38"/>
    <mergeCell ref="BC44:BD44"/>
    <mergeCell ref="C48:E48"/>
    <mergeCell ref="F44:V44"/>
    <mergeCell ref="C45:E45"/>
    <mergeCell ref="F43:V43"/>
    <mergeCell ref="AA47:AB47"/>
    <mergeCell ref="AQ43:AZ43"/>
    <mergeCell ref="AQ42:AZ42"/>
    <mergeCell ref="AC42:AL42"/>
    <mergeCell ref="AA40:AB40"/>
    <mergeCell ref="AC40:AL40"/>
    <mergeCell ref="AA41:AB41"/>
    <mergeCell ref="AA43:AB43"/>
    <mergeCell ref="BC42:BD42"/>
    <mergeCell ref="AC44:AL44"/>
    <mergeCell ref="AO43:AP43"/>
    <mergeCell ref="AO44:AP44"/>
    <mergeCell ref="AQ44:AZ44"/>
    <mergeCell ref="AA45:AB45"/>
    <mergeCell ref="AC45:AL45"/>
    <mergeCell ref="AA42:AB42"/>
    <mergeCell ref="BC70:BF70"/>
    <mergeCell ref="C99:D99"/>
    <mergeCell ref="BE33:BN33"/>
    <mergeCell ref="F45:V45"/>
    <mergeCell ref="C40:D40"/>
    <mergeCell ref="F40:G40"/>
    <mergeCell ref="C39:D39"/>
    <mergeCell ref="AC48:AL48"/>
    <mergeCell ref="AQ36:AZ36"/>
    <mergeCell ref="BC37:BD37"/>
    <mergeCell ref="BE37:BN37"/>
    <mergeCell ref="O57:V57"/>
    <mergeCell ref="H70:K70"/>
    <mergeCell ref="H64:K64"/>
    <mergeCell ref="C64:G64"/>
    <mergeCell ref="C60:E60"/>
    <mergeCell ref="AA34:AB34"/>
    <mergeCell ref="AC34:AL34"/>
    <mergeCell ref="BC38:BD38"/>
    <mergeCell ref="BE36:BN36"/>
    <mergeCell ref="AO42:AP42"/>
    <mergeCell ref="BC43:BD43"/>
    <mergeCell ref="BE44:BN44"/>
    <mergeCell ref="AC41:AL41"/>
    <mergeCell ref="AC24:AL24"/>
    <mergeCell ref="O16:P16"/>
    <mergeCell ref="S16:T16"/>
    <mergeCell ref="Q16:R16"/>
    <mergeCell ref="O17:P17"/>
    <mergeCell ref="S24:T24"/>
    <mergeCell ref="AA35:AB35"/>
    <mergeCell ref="AC7:AL7"/>
    <mergeCell ref="AC13:AL13"/>
    <mergeCell ref="AC14:AL14"/>
    <mergeCell ref="AC35:AL35"/>
    <mergeCell ref="N23:V23"/>
    <mergeCell ref="AC9:AL9"/>
    <mergeCell ref="O24:P24"/>
    <mergeCell ref="Q24:R24"/>
    <mergeCell ref="C26:E26"/>
    <mergeCell ref="F30:V30"/>
    <mergeCell ref="F29:V29"/>
    <mergeCell ref="C18:J19"/>
    <mergeCell ref="C28:E28"/>
    <mergeCell ref="C29:E29"/>
    <mergeCell ref="C25:D25"/>
    <mergeCell ref="F25:G25"/>
    <mergeCell ref="C30:E30"/>
    <mergeCell ref="BE39:BN39"/>
    <mergeCell ref="BC19:BD19"/>
    <mergeCell ref="BC17:BD17"/>
    <mergeCell ref="BC22:BD22"/>
    <mergeCell ref="BC18:BD18"/>
    <mergeCell ref="BE22:BN22"/>
    <mergeCell ref="C16:D16"/>
    <mergeCell ref="E16:F16"/>
    <mergeCell ref="E17:F17"/>
    <mergeCell ref="M17:N17"/>
    <mergeCell ref="S17:T17"/>
    <mergeCell ref="G16:H16"/>
    <mergeCell ref="C33:E33"/>
    <mergeCell ref="I16:J16"/>
    <mergeCell ref="C17:D17"/>
    <mergeCell ref="L23:M23"/>
    <mergeCell ref="C23:E23"/>
    <mergeCell ref="F26:H26"/>
    <mergeCell ref="F27:H27"/>
    <mergeCell ref="BE18:BN18"/>
    <mergeCell ref="AO34:AP34"/>
    <mergeCell ref="C27:E27"/>
    <mergeCell ref="F23:J23"/>
    <mergeCell ref="AQ34:AZ34"/>
    <mergeCell ref="BC40:BD40"/>
    <mergeCell ref="BE40:BN40"/>
    <mergeCell ref="F42:J42"/>
    <mergeCell ref="C41:E41"/>
    <mergeCell ref="C42:E42"/>
    <mergeCell ref="I40:J40"/>
    <mergeCell ref="K40:L40"/>
    <mergeCell ref="M40:N40"/>
    <mergeCell ref="O40:P40"/>
    <mergeCell ref="Q40:R40"/>
    <mergeCell ref="S40:T40"/>
    <mergeCell ref="AO40:AP40"/>
    <mergeCell ref="BQ19:BR19"/>
    <mergeCell ref="BE20:BN20"/>
    <mergeCell ref="BE19:BN19"/>
    <mergeCell ref="BE16:BN16"/>
    <mergeCell ref="AO18:AP18"/>
    <mergeCell ref="CG6:CP6"/>
    <mergeCell ref="CG13:CP13"/>
    <mergeCell ref="CG14:CP14"/>
    <mergeCell ref="CG15:CP15"/>
    <mergeCell ref="BS15:CB15"/>
    <mergeCell ref="CE19:CF19"/>
    <mergeCell ref="BS19:CB19"/>
    <mergeCell ref="CE6:CF6"/>
    <mergeCell ref="CE12:CF12"/>
    <mergeCell ref="CG12:CP12"/>
    <mergeCell ref="BS10:CB10"/>
    <mergeCell ref="BS13:CB13"/>
    <mergeCell ref="BS9:CB9"/>
    <mergeCell ref="CG16:CP16"/>
    <mergeCell ref="CE17:CF17"/>
    <mergeCell ref="CG17:CP17"/>
    <mergeCell ref="CE18:CF18"/>
    <mergeCell ref="CG18:CP18"/>
    <mergeCell ref="CG19:CP19"/>
    <mergeCell ref="CE20:CF20"/>
    <mergeCell ref="CG20:CP20"/>
    <mergeCell ref="CE21:CF21"/>
    <mergeCell ref="CG21:CP21"/>
    <mergeCell ref="CE16:CF16"/>
    <mergeCell ref="BC36:BD36"/>
    <mergeCell ref="BE6:BN6"/>
    <mergeCell ref="BE5:BN5"/>
    <mergeCell ref="BQ13:BR13"/>
    <mergeCell ref="BS8:CB8"/>
    <mergeCell ref="BQ9:BR9"/>
    <mergeCell ref="BQ21:BR21"/>
    <mergeCell ref="BS21:CB21"/>
    <mergeCell ref="BQ16:BR16"/>
    <mergeCell ref="BS16:CB16"/>
    <mergeCell ref="BQ17:BR17"/>
    <mergeCell ref="BS17:CB17"/>
    <mergeCell ref="BQ18:BR18"/>
    <mergeCell ref="BS18:CB18"/>
    <mergeCell ref="BE21:BN21"/>
    <mergeCell ref="BQ20:BR20"/>
    <mergeCell ref="BS20:CB20"/>
    <mergeCell ref="BE17:BN17"/>
    <mergeCell ref="CG26:CP26"/>
    <mergeCell ref="AO35:AP35"/>
    <mergeCell ref="AO33:AP33"/>
    <mergeCell ref="AO23:AP23"/>
    <mergeCell ref="AO24:AP24"/>
    <mergeCell ref="AO36:AP36"/>
    <mergeCell ref="BC34:BD34"/>
    <mergeCell ref="BE34:BN34"/>
    <mergeCell ref="BC35:BD35"/>
    <mergeCell ref="BE35:BN35"/>
    <mergeCell ref="BD27:BN30"/>
    <mergeCell ref="CG40:CP40"/>
    <mergeCell ref="CG39:CP39"/>
    <mergeCell ref="CE40:CF40"/>
    <mergeCell ref="BQ39:BR39"/>
    <mergeCell ref="BS40:CB40"/>
    <mergeCell ref="BS41:CB41"/>
    <mergeCell ref="CG35:CP35"/>
    <mergeCell ref="CG36:CP36"/>
    <mergeCell ref="CE35:CF35"/>
    <mergeCell ref="BQ35:BR35"/>
    <mergeCell ref="BS35:CB35"/>
    <mergeCell ref="BS36:CB36"/>
    <mergeCell ref="BQ40:BR40"/>
    <mergeCell ref="CE39:CF39"/>
    <mergeCell ref="BS37:CB37"/>
    <mergeCell ref="BS38:CB38"/>
    <mergeCell ref="BS39:CB39"/>
    <mergeCell ref="BQ38:BR38"/>
    <mergeCell ref="CE25:CF25"/>
    <mergeCell ref="CG25:CP25"/>
    <mergeCell ref="BS32:CB32"/>
    <mergeCell ref="BS33:CB33"/>
    <mergeCell ref="BQ25:BR25"/>
    <mergeCell ref="BS25:CB25"/>
    <mergeCell ref="CE38:CF38"/>
    <mergeCell ref="CG32:CP32"/>
    <mergeCell ref="CE33:CF33"/>
    <mergeCell ref="CG33:CP33"/>
    <mergeCell ref="BQ33:BR33"/>
    <mergeCell ref="BQ36:BR36"/>
    <mergeCell ref="CE36:CF36"/>
    <mergeCell ref="CG34:CP34"/>
    <mergeCell ref="CG38:CP38"/>
    <mergeCell ref="BQ37:BR37"/>
    <mergeCell ref="CG37:CP37"/>
    <mergeCell ref="CE37:CF37"/>
    <mergeCell ref="CE23:CF23"/>
    <mergeCell ref="CG23:CP23"/>
    <mergeCell ref="CE24:CF24"/>
    <mergeCell ref="CG24:CP24"/>
    <mergeCell ref="BQ22:BR22"/>
    <mergeCell ref="BS22:CB22"/>
    <mergeCell ref="BQ23:BR23"/>
    <mergeCell ref="BS23:CB23"/>
    <mergeCell ref="BQ24:BR24"/>
    <mergeCell ref="BS24:CB24"/>
    <mergeCell ref="CG22:CP22"/>
    <mergeCell ref="CE22:CF22"/>
    <mergeCell ref="CG8:CP8"/>
    <mergeCell ref="CE9:CF9"/>
    <mergeCell ref="CG9:CP9"/>
    <mergeCell ref="CE10:CF10"/>
    <mergeCell ref="CG10:CP10"/>
    <mergeCell ref="CG11:CP11"/>
    <mergeCell ref="CE11:CF11"/>
    <mergeCell ref="AC5:AH5"/>
    <mergeCell ref="AO15:AP15"/>
    <mergeCell ref="AC6:AL6"/>
    <mergeCell ref="AO5:AP5"/>
    <mergeCell ref="CG5:CP5"/>
    <mergeCell ref="BE7:BN7"/>
    <mergeCell ref="BE8:BN8"/>
    <mergeCell ref="BE9:BN9"/>
    <mergeCell ref="CG7:CP7"/>
    <mergeCell ref="CE8:CF8"/>
    <mergeCell ref="BC13:BD13"/>
    <mergeCell ref="BC11:BD11"/>
    <mergeCell ref="BE11:BN11"/>
    <mergeCell ref="BC12:BD12"/>
    <mergeCell ref="BE13:BN13"/>
    <mergeCell ref="BC14:BD14"/>
    <mergeCell ref="BE14:BN14"/>
    <mergeCell ref="CE7:CF7"/>
    <mergeCell ref="CE13:CF13"/>
    <mergeCell ref="CE14:CF14"/>
    <mergeCell ref="BQ15:BR15"/>
    <mergeCell ref="AO16:AP16"/>
    <mergeCell ref="AO17:AP17"/>
    <mergeCell ref="AQ15:AZ15"/>
    <mergeCell ref="AQ6:AZ6"/>
    <mergeCell ref="AQ7:AZ7"/>
    <mergeCell ref="AQ8:AZ8"/>
    <mergeCell ref="AQ9:AZ9"/>
    <mergeCell ref="AQ10:AZ10"/>
    <mergeCell ref="AQ11:AZ11"/>
    <mergeCell ref="AQ12:AZ12"/>
    <mergeCell ref="AQ13:AZ13"/>
    <mergeCell ref="AO6:AP6"/>
    <mergeCell ref="AO7:AP7"/>
    <mergeCell ref="AO8:AP8"/>
    <mergeCell ref="AO9:AP9"/>
    <mergeCell ref="AO10:AP10"/>
    <mergeCell ref="AO11:AP11"/>
    <mergeCell ref="AO12:AP12"/>
    <mergeCell ref="AO13:AP13"/>
    <mergeCell ref="AO14:AP14"/>
    <mergeCell ref="CE15:CF15"/>
    <mergeCell ref="BQ10:BR10"/>
    <mergeCell ref="BE15:BN15"/>
    <mergeCell ref="BQ14:BR14"/>
    <mergeCell ref="BS14:CB14"/>
    <mergeCell ref="BS12:CB12"/>
    <mergeCell ref="BQ11:BR11"/>
    <mergeCell ref="BS11:CB11"/>
    <mergeCell ref="BQ12:BR12"/>
    <mergeCell ref="BE12:BN12"/>
    <mergeCell ref="R4:S4"/>
    <mergeCell ref="G17:H17"/>
    <mergeCell ref="I17:J17"/>
    <mergeCell ref="K17:L17"/>
    <mergeCell ref="I24:J24"/>
    <mergeCell ref="K24:L24"/>
    <mergeCell ref="M24:N24"/>
    <mergeCell ref="J4:K4"/>
    <mergeCell ref="C15:K15"/>
    <mergeCell ref="G11:H11"/>
    <mergeCell ref="I12:J12"/>
    <mergeCell ref="I13:J13"/>
    <mergeCell ref="D11:F11"/>
    <mergeCell ref="I11:J11"/>
    <mergeCell ref="D13:F13"/>
    <mergeCell ref="G13:H13"/>
    <mergeCell ref="D12:F12"/>
    <mergeCell ref="G12:H12"/>
    <mergeCell ref="D8:F8"/>
    <mergeCell ref="D7:F7"/>
    <mergeCell ref="D6:F6"/>
    <mergeCell ref="C24:D24"/>
    <mergeCell ref="K16:L16"/>
    <mergeCell ref="M16:N16"/>
    <mergeCell ref="AB49:AL52"/>
    <mergeCell ref="AC26:AL26"/>
    <mergeCell ref="AC47:AL47"/>
    <mergeCell ref="I39:J39"/>
    <mergeCell ref="K39:L39"/>
    <mergeCell ref="M39:N39"/>
    <mergeCell ref="O39:P39"/>
    <mergeCell ref="Q39:R39"/>
    <mergeCell ref="S39:T39"/>
    <mergeCell ref="F28:V28"/>
    <mergeCell ref="AA37:AB37"/>
    <mergeCell ref="AC36:AL36"/>
    <mergeCell ref="AA38:AB38"/>
    <mergeCell ref="AA36:AB36"/>
    <mergeCell ref="F39:G39"/>
    <mergeCell ref="AC37:AL37"/>
    <mergeCell ref="AA39:AB39"/>
    <mergeCell ref="AC39:AL39"/>
    <mergeCell ref="C43:E43"/>
    <mergeCell ref="F24:G24"/>
    <mergeCell ref="AQ26:AZ26"/>
    <mergeCell ref="BE26:BN26"/>
    <mergeCell ref="BS26:CB26"/>
    <mergeCell ref="AO41:AP41"/>
    <mergeCell ref="AO39:AP39"/>
    <mergeCell ref="CE42:CF42"/>
    <mergeCell ref="BQ34:BR34"/>
    <mergeCell ref="CE41:CF41"/>
    <mergeCell ref="CE34:CF34"/>
    <mergeCell ref="BS34:CB34"/>
    <mergeCell ref="BE42:BN42"/>
    <mergeCell ref="AQ40:AZ40"/>
    <mergeCell ref="AQ41:AZ41"/>
    <mergeCell ref="BE41:BN41"/>
    <mergeCell ref="BC41:BD41"/>
    <mergeCell ref="AO38:AP38"/>
    <mergeCell ref="AQ38:AZ38"/>
    <mergeCell ref="AQ35:AZ35"/>
    <mergeCell ref="AO37:AP37"/>
    <mergeCell ref="AQ37:AZ37"/>
    <mergeCell ref="AQ39:AZ39"/>
    <mergeCell ref="BQ41:BR41"/>
    <mergeCell ref="CG42:CP42"/>
    <mergeCell ref="BQ42:BR42"/>
    <mergeCell ref="BS42:CB42"/>
    <mergeCell ref="BE32:BN32"/>
    <mergeCell ref="CG41:CP41"/>
    <mergeCell ref="AC18:AL18"/>
    <mergeCell ref="AC19:AL19"/>
    <mergeCell ref="AB17:AL17"/>
    <mergeCell ref="AC27:AL27"/>
    <mergeCell ref="AB23:AL23"/>
    <mergeCell ref="AP27:AZ30"/>
    <mergeCell ref="BR27:CB30"/>
    <mergeCell ref="CF27:CP30"/>
    <mergeCell ref="AC25:AL25"/>
    <mergeCell ref="AQ21:AZ21"/>
    <mergeCell ref="AO21:AP21"/>
    <mergeCell ref="AO22:AP22"/>
    <mergeCell ref="AQ22:AZ22"/>
    <mergeCell ref="AO25:AP25"/>
    <mergeCell ref="AQ24:AZ24"/>
    <mergeCell ref="AQ25:AZ25"/>
    <mergeCell ref="AQ23:AZ23"/>
    <mergeCell ref="AQ32:AZ32"/>
    <mergeCell ref="AQ33:AZ33"/>
  </mergeCells>
  <conditionalFormatting sqref="AB6:AB15">
    <cfRule type="expression" dxfId="43" priority="456">
      <formula>IF(AB6&lt;=$AK$5,TRUE,FALSE)</formula>
    </cfRule>
  </conditionalFormatting>
  <conditionalFormatting sqref="AC6:AL15">
    <cfRule type="expression" dxfId="42" priority="457">
      <formula>IF(AB6&lt;=$AK$5,TRUE,FALSE)</formula>
    </cfRule>
  </conditionalFormatting>
  <conditionalFormatting sqref="AI5">
    <cfRule type="expression" dxfId="41" priority="21">
      <formula>IF($AI$5&gt;$AK$5,TRUE,FALSE)</formula>
    </cfRule>
  </conditionalFormatting>
  <conditionalFormatting sqref="AH4:AI4 AW4:AX4">
    <cfRule type="expression" dxfId="40" priority="590">
      <formula>IF($AW$3&lt;$AU$3,TRUE,FALSE)</formula>
    </cfRule>
  </conditionalFormatting>
  <conditionalFormatting sqref="AU3">
    <cfRule type="expression" dxfId="39" priority="592">
      <formula>IF($AU$3&gt;$AW$3,TRUE,FALSE)</formula>
    </cfRule>
  </conditionalFormatting>
  <conditionalFormatting sqref="AF109:AH111">
    <cfRule type="expression" dxfId="38" priority="19">
      <formula>IF($AB109="TRUE",TRUE,FALSE)</formula>
    </cfRule>
  </conditionalFormatting>
  <conditionalFormatting sqref="AD112">
    <cfRule type="expression" dxfId="37" priority="7">
      <formula>IF($AB112="TRUE",TRUE,FALSE)</formula>
    </cfRule>
  </conditionalFormatting>
  <conditionalFormatting sqref="AB17">
    <cfRule type="expression" dxfId="36" priority="1242">
      <formula>IF($AA$18="TRUE",TRUE,FALSE)</formula>
    </cfRule>
  </conditionalFormatting>
  <conditionalFormatting sqref="AC18:AL21">
    <cfRule type="expression" dxfId="35" priority="1243">
      <formula>IF($AA18="TRUE",TRUE,FALSE)</formula>
    </cfRule>
  </conditionalFormatting>
  <conditionalFormatting sqref="AB18:AB21">
    <cfRule type="expression" dxfId="34" priority="1244">
      <formula>IF($AA18="TRUE",TRUE,FALSE)</formula>
    </cfRule>
  </conditionalFormatting>
  <dataValidations count="20">
    <dataValidation type="list" allowBlank="1" showInputMessage="1" showErrorMessage="1" sqref="AQ6:AZ25">
      <formula1>SpellListLevel1</formula1>
    </dataValidation>
    <dataValidation type="list" allowBlank="1" showInputMessage="1" showErrorMessage="1" sqref="AC7:AC15">
      <formula1>SpellListCantrips</formula1>
    </dataValidation>
    <dataValidation type="list" allowBlank="1" showInputMessage="1" showErrorMessage="1" sqref="BE6:BN25">
      <formula1>SpellListLevel2</formula1>
    </dataValidation>
    <dataValidation type="list" allowBlank="1" showInputMessage="1" showErrorMessage="1" sqref="BS6:CB25">
      <formula1>SpellListLevel3</formula1>
    </dataValidation>
    <dataValidation type="list" allowBlank="1" showInputMessage="1" showErrorMessage="1" sqref="CG6:CP25">
      <formula1>SpellListLevel4</formula1>
    </dataValidation>
    <dataValidation type="list" allowBlank="1" showInputMessage="1" showErrorMessage="1" sqref="C58 AX58">
      <formula1>SpellListComplete</formula1>
    </dataValidation>
    <dataValidation type="list" allowBlank="1" showInputMessage="1" showErrorMessage="1" sqref="F23">
      <formula1>FamiliarList</formula1>
    </dataValidation>
    <dataValidation type="list" allowBlank="1" showInputMessage="1" showErrorMessage="1" sqref="F41">
      <formula1>FamiliarTypeList</formula1>
    </dataValidation>
    <dataValidation type="list" allowBlank="1" showInputMessage="1" showErrorMessage="1" sqref="AC33:AL47">
      <formula1>SpellListLevel5</formula1>
    </dataValidation>
    <dataValidation type="list" allowBlank="1" showInputMessage="1" showErrorMessage="1" sqref="AQ33:AZ44">
      <formula1>SpellListLevel6</formula1>
    </dataValidation>
    <dataValidation type="list" allowBlank="1" showInputMessage="1" showErrorMessage="1" sqref="BE33:BN44">
      <formula1>SpellListLevel7</formula1>
    </dataValidation>
    <dataValidation type="list" allowBlank="1" showInputMessage="1" showErrorMessage="1" sqref="BS33:CB42">
      <formula1>SpellListLevel8</formula1>
    </dataValidation>
    <dataValidation type="list" allowBlank="1" showInputMessage="1" showErrorMessage="1" sqref="CG33:CP42">
      <formula1>SpellListLevel9</formula1>
    </dataValidation>
    <dataValidation type="list" allowBlank="1" showInputMessage="1" showErrorMessage="1" sqref="AC6:AL6">
      <formula1>SpellListCantripsHighElf</formula1>
    </dataValidation>
    <dataValidation type="list" allowBlank="1" showInputMessage="1" showErrorMessage="1" sqref="AC20:AC21">
      <formula1>WizardSignatureSpellList</formula1>
    </dataValidation>
    <dataValidation type="list" allowBlank="1" showInputMessage="1" showErrorMessage="1" sqref="AC18">
      <formula1>WizardSpellMastery1List</formula1>
    </dataValidation>
    <dataValidation type="list" allowBlank="1" showInputMessage="1" showErrorMessage="1" sqref="AC19">
      <formula1>WizardSpellMastery2List</formula1>
    </dataValidation>
    <dataValidation type="list" allowBlank="1" showInputMessage="1" showErrorMessage="1" sqref="AC24:AC27">
      <formula1>SorcererMetamagicList</formula1>
    </dataValidation>
    <dataValidation type="list" allowBlank="1" showInputMessage="1" showErrorMessage="1" sqref="F42:J42">
      <formula1>FamiliarSizeList</formula1>
    </dataValidation>
    <dataValidation type="list" allowBlank="1" showInputMessage="1" showErrorMessage="1" sqref="CE33:CE42 BC6:BC25 BQ6:BQ25 CE6:CE25 AA33:AA47 AO33:AO44 BC33:BC44 BQ33:BQ42 AO6:AO25">
      <formula1>"•"</formula1>
    </dataValidation>
  </dataValidations>
  <printOptions horizontalCentered="1"/>
  <pageMargins left="0.19685039370078741" right="0.19685039370078741" top="0.19685039370078741" bottom="0.19685039370078741" header="0" footer="0"/>
  <pageSetup scale="48" orientation="portrait" r:id="rId1"/>
  <extLst>
    <ext xmlns:x14="http://schemas.microsoft.com/office/spreadsheetml/2009/9/main" uri="{78C0D931-6437-407d-A8EE-F0AAD7539E65}">
      <x14:conditionalFormattings>
        <x14:conditionalFormatting xmlns:xm="http://schemas.microsoft.com/office/excel/2006/main">
          <x14:cfRule type="expression" priority="979" id="{C8D6B99A-E537-4261-B5D3-F30B2710FFBC}">
            <xm:f>IF(Tables!$ID4="",FALSE,TRUE)</xm:f>
            <x14:dxf>
              <font>
                <color theme="1"/>
              </font>
            </x14:dxf>
          </x14:cfRule>
          <xm:sqref>Z22:Z25</xm:sqref>
        </x14:conditionalFormatting>
        <x14:conditionalFormatting xmlns:xm="http://schemas.microsoft.com/office/excel/2006/main">
          <x14:cfRule type="expression" priority="980" id="{68E81C9E-CA8A-408F-A793-ABFC4DD495BC}">
            <xm:f>IF(Tables!$ID4="",FALSE,TRUE)</xm:f>
            <x14:dxf>
              <font>
                <color theme="1"/>
              </font>
              <fill>
                <patternFill>
                  <bgColor rgb="FFFFFFCC"/>
                </patternFill>
              </fill>
            </x14:dxf>
          </x14:cfRule>
          <xm:sqref>AC24:AC27</xm:sqref>
        </x14:conditionalFormatting>
        <x14:conditionalFormatting xmlns:xm="http://schemas.microsoft.com/office/excel/2006/main">
          <x14:cfRule type="expression" priority="1000" id="{C8D6B99A-E537-4261-B5D3-F30B2710FFBC}">
            <xm:f>IF(Tables!$ID4="",FALSE,TRUE)</xm:f>
            <x14:dxf>
              <font>
                <color theme="1"/>
              </font>
            </x14:dxf>
          </x14:cfRule>
          <xm:sqref>AB24:AB27</xm:sqref>
        </x14:conditionalFormatting>
        <x14:conditionalFormatting xmlns:xm="http://schemas.microsoft.com/office/excel/2006/main">
          <x14:cfRule type="expression" priority="1002" id="{68E81C9E-CA8A-408F-A793-ABFC4DD495BC}">
            <xm:f>IF(Tables!$ID4="",FALSE,TRUE)</xm:f>
            <x14:dxf>
              <font>
                <color theme="1"/>
              </font>
              <fill>
                <patternFill>
                  <bgColor rgb="FFFFFFCC"/>
                </patternFill>
              </fill>
            </x14:dxf>
          </x14:cfRule>
          <xm:sqref>AM22:AM25</xm:sqref>
        </x14:conditionalFormatting>
        <x14:conditionalFormatting xmlns:xm="http://schemas.microsoft.com/office/excel/2006/main">
          <x14:cfRule type="expression" priority="1" id="{A528C73C-7800-4A0F-8E41-CA45721E18AA}">
            <xm:f>IF(Tables!$ID$4=TRUE,TRUE,FALSE)</xm:f>
            <x14:dxf>
              <font>
                <color theme="1"/>
              </font>
            </x14:dxf>
          </x14:cfRule>
          <xm:sqref>AB23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P452"/>
  <sheetViews>
    <sheetView topLeftCell="AC1" zoomScaleNormal="100" zoomScaleSheetLayoutView="100" workbookViewId="0">
      <selection activeCell="AN2" sqref="AN2:AN8"/>
    </sheetView>
  </sheetViews>
  <sheetFormatPr defaultColWidth="8.7109375" defaultRowHeight="9.9499999999999993" customHeight="1" outlineLevelCol="1" x14ac:dyDescent="0.2"/>
  <cols>
    <col min="1" max="1" width="8.42578125" style="58" bestFit="1" customWidth="1"/>
    <col min="2" max="3" width="5.85546875" style="58" customWidth="1" outlineLevel="1"/>
    <col min="4" max="4" width="11.42578125" style="58" customWidth="1" outlineLevel="1"/>
    <col min="5" max="6" width="20" style="58" customWidth="1" outlineLevel="1"/>
    <col min="7" max="7" width="1.5703125" style="58" customWidth="1" outlineLevel="1"/>
    <col min="8" max="8" width="10.28515625" style="58" customWidth="1" outlineLevel="1"/>
    <col min="9" max="9" width="1.5703125" style="58" customWidth="1" outlineLevel="1"/>
    <col min="10" max="10" width="10.7109375" style="58" customWidth="1" outlineLevel="1"/>
    <col min="11" max="11" width="1.5703125" style="58" customWidth="1" outlineLevel="1"/>
    <col min="12" max="17" width="4.28515625" style="18" customWidth="1" outlineLevel="1"/>
    <col min="18" max="18" width="7.5703125" style="18" customWidth="1" outlineLevel="1"/>
    <col min="19" max="19" width="10" style="18" bestFit="1" customWidth="1" outlineLevel="1"/>
    <col min="20" max="20" width="9.85546875" style="18" bestFit="1" customWidth="1" outlineLevel="1"/>
    <col min="21" max="21" width="8.140625" style="58" bestFit="1" customWidth="1"/>
    <col min="22" max="22" width="14.28515625" style="58" customWidth="1" outlineLevel="1"/>
    <col min="23" max="23" width="10.5703125" style="58" customWidth="1" outlineLevel="1"/>
    <col min="24" max="24" width="2.7109375" style="58" bestFit="1" customWidth="1" outlineLevel="1"/>
    <col min="25" max="25" width="8.7109375" style="58" customWidth="1" outlineLevel="1"/>
    <col min="26" max="26" width="2.7109375" style="58" bestFit="1" customWidth="1" outlineLevel="1"/>
    <col min="27" max="27" width="8.7109375" style="58" customWidth="1" outlineLevel="1"/>
    <col min="28" max="28" width="8.7109375" style="58"/>
    <col min="29" max="29" width="16.140625" style="58" bestFit="1" customWidth="1"/>
    <col min="30" max="30" width="5.7109375" style="58" bestFit="1" customWidth="1"/>
    <col min="31" max="31" width="11.5703125" style="58" bestFit="1" customWidth="1"/>
    <col min="32" max="32" width="16.7109375" style="58" customWidth="1" outlineLevel="1"/>
    <col min="33" max="33" width="19" style="58" customWidth="1" outlineLevel="1"/>
    <col min="34" max="34" width="18.5703125" style="58" bestFit="1" customWidth="1" outlineLevel="1"/>
    <col min="35" max="35" width="1.85546875" style="58" bestFit="1" customWidth="1" outlineLevel="1"/>
    <col min="36" max="36" width="31.28515625" style="58" bestFit="1" customWidth="1" outlineLevel="1"/>
    <col min="37" max="37" width="1.85546875" style="58" bestFit="1" customWidth="1" outlineLevel="1"/>
    <col min="38" max="38" width="14.7109375" style="58" bestFit="1" customWidth="1" outlineLevel="1"/>
    <col min="39" max="39" width="1.85546875" style="58" bestFit="1" customWidth="1" outlineLevel="1"/>
    <col min="40" max="40" width="11.5703125" style="58" customWidth="1" outlineLevel="1"/>
    <col min="41" max="41" width="2.42578125" style="58" bestFit="1" customWidth="1" outlineLevel="1"/>
    <col min="42" max="56" width="11.5703125" style="58" customWidth="1" outlineLevel="1"/>
    <col min="57" max="57" width="3.140625" style="58" customWidth="1" outlineLevel="1"/>
    <col min="58" max="59" width="7.5703125" style="58" customWidth="1"/>
    <col min="60" max="60" width="8.7109375" style="58" customWidth="1"/>
    <col min="61" max="61" width="7.85546875" style="58" bestFit="1" customWidth="1"/>
    <col min="62" max="62" width="7.5703125" style="58" customWidth="1" outlineLevel="1"/>
    <col min="63" max="63" width="1.5703125" style="58" customWidth="1" outlineLevel="1"/>
    <col min="64" max="64" width="2.7109375" style="18" customWidth="1" outlineLevel="1"/>
    <col min="65" max="65" width="1.5703125" style="58" customWidth="1" outlineLevel="1"/>
    <col min="66" max="66" width="10.7109375" style="58" customWidth="1" outlineLevel="1"/>
    <col min="67" max="67" width="8.5703125" style="58" customWidth="1" outlineLevel="1"/>
    <col min="68" max="68" width="8.85546875" style="58" customWidth="1" outlineLevel="1"/>
    <col min="69" max="69" width="14.42578125" style="58" bestFit="1" customWidth="1" outlineLevel="1"/>
    <col min="70" max="72" width="9.42578125" style="58" customWidth="1" outlineLevel="1"/>
    <col min="73" max="73" width="9.5703125" style="58" customWidth="1" outlineLevel="1"/>
    <col min="74" max="74" width="4.42578125" style="58" bestFit="1" customWidth="1" outlineLevel="1"/>
    <col min="75" max="75" width="9.42578125" style="58" bestFit="1" customWidth="1" outlineLevel="1"/>
    <col min="76" max="76" width="9.42578125" style="58" customWidth="1" outlineLevel="1"/>
    <col min="77" max="77" width="10.28515625" style="58" customWidth="1" outlineLevel="1"/>
    <col min="78" max="79" width="30.42578125" style="58" bestFit="1" customWidth="1" outlineLevel="1"/>
    <col min="80" max="80" width="52.140625" style="58" bestFit="1" customWidth="1" outlineLevel="1"/>
    <col min="81" max="81" width="22.28515625" style="58" bestFit="1" customWidth="1" outlineLevel="1"/>
    <col min="82" max="82" width="11" style="58" customWidth="1" outlineLevel="1"/>
    <col min="83" max="83" width="2.42578125" style="58" customWidth="1" outlineLevel="1"/>
    <col min="84" max="84" width="10.140625" style="58" customWidth="1" outlineLevel="1"/>
    <col min="85" max="85" width="2.85546875" style="58" customWidth="1" outlineLevel="1"/>
    <col min="86" max="86" width="16.42578125" style="58" bestFit="1" customWidth="1" outlineLevel="1"/>
    <col min="87" max="87" width="10.85546875" style="58" customWidth="1" outlineLevel="1"/>
    <col min="88" max="88" width="2.7109375" style="58" customWidth="1" outlineLevel="1"/>
    <col min="89" max="89" width="10.5703125" style="58" customWidth="1" outlineLevel="1"/>
    <col min="90" max="90" width="2.7109375" style="58" customWidth="1" outlineLevel="1"/>
    <col min="91" max="110" width="2.7109375" style="18" customWidth="1" outlineLevel="1"/>
    <col min="111" max="114" width="4.42578125" style="59" customWidth="1" outlineLevel="1"/>
    <col min="115" max="115" width="8.5703125" style="59" customWidth="1" outlineLevel="1"/>
    <col min="116" max="116" width="19" style="59" bestFit="1" customWidth="1"/>
    <col min="117" max="117" width="9.5703125" style="18" bestFit="1" customWidth="1"/>
    <col min="118" max="118" width="9.5703125" style="18" customWidth="1"/>
    <col min="119" max="138" width="2.7109375" style="58" customWidth="1"/>
    <col min="139" max="140" width="14.28515625" style="443" customWidth="1"/>
    <col min="141" max="141" width="2.7109375" style="443" bestFit="1" customWidth="1"/>
    <col min="142" max="142" width="14.28515625" style="443" customWidth="1"/>
    <col min="143" max="143" width="2.7109375" style="443" bestFit="1" customWidth="1"/>
    <col min="144" max="144" width="14.28515625" style="443" customWidth="1"/>
    <col min="145" max="145" width="2.7109375" style="443" bestFit="1" customWidth="1"/>
    <col min="146" max="146" width="14.28515625" style="443" customWidth="1"/>
    <col min="147" max="147" width="2.7109375" style="443" bestFit="1" customWidth="1"/>
    <col min="148" max="148" width="14.28515625" style="443" customWidth="1"/>
    <col min="149" max="149" width="2.7109375" style="443" bestFit="1" customWidth="1"/>
    <col min="150" max="150" width="6.28515625" style="58" customWidth="1"/>
    <col min="151" max="151" width="2.7109375" style="18" bestFit="1" customWidth="1"/>
    <col min="152" max="152" width="6.42578125" style="58" bestFit="1" customWidth="1"/>
    <col min="153" max="153" width="2.7109375" style="18" bestFit="1" customWidth="1"/>
    <col min="154" max="154" width="11.28515625" style="58" customWidth="1"/>
    <col min="155" max="155" width="2.7109375" style="18" bestFit="1" customWidth="1"/>
    <col min="156" max="156" width="8.7109375" style="58" customWidth="1"/>
    <col min="157" max="157" width="5.42578125" style="18" customWidth="1"/>
    <col min="158" max="158" width="10.140625" style="58" bestFit="1" customWidth="1"/>
    <col min="159" max="159" width="2.42578125" style="58" bestFit="1" customWidth="1"/>
    <col min="160" max="160" width="9.140625" style="58" customWidth="1"/>
    <col min="161" max="161" width="5.42578125" style="18" customWidth="1"/>
    <col min="162" max="162" width="10.140625" style="58" bestFit="1" customWidth="1"/>
    <col min="163" max="163" width="2.42578125" style="58" bestFit="1" customWidth="1"/>
    <col min="164" max="164" width="9.140625" style="58" customWidth="1"/>
    <col min="165" max="165" width="5.42578125" style="18" customWidth="1"/>
    <col min="166" max="166" width="10.140625" style="58" customWidth="1"/>
    <col min="167" max="167" width="2.42578125" style="58" bestFit="1" customWidth="1"/>
    <col min="168" max="168" width="9.140625" style="58" customWidth="1"/>
    <col min="169" max="169" width="14.5703125" style="58" bestFit="1" customWidth="1"/>
    <col min="170" max="170" width="1.85546875" style="58" bestFit="1" customWidth="1"/>
    <col min="171" max="171" width="2.7109375" style="58" customWidth="1"/>
    <col min="172" max="172" width="12" style="58" bestFit="1" customWidth="1"/>
    <col min="173" max="173" width="2.7109375" style="58" customWidth="1"/>
    <col min="174" max="174" width="12" style="58" bestFit="1" customWidth="1"/>
    <col min="175" max="175" width="4.7109375" style="58" bestFit="1" customWidth="1"/>
    <col min="176" max="176" width="9.85546875" style="58" bestFit="1" customWidth="1"/>
    <col min="177" max="177" width="2.7109375" style="58" customWidth="1"/>
    <col min="178" max="178" width="1.85546875" style="58" bestFit="1" customWidth="1"/>
    <col min="179" max="179" width="3.28515625" style="18" customWidth="1"/>
    <col min="180" max="180" width="16.85546875" style="59" customWidth="1"/>
    <col min="181" max="181" width="6.140625" style="59" customWidth="1"/>
    <col min="182" max="182" width="14.42578125" style="59" customWidth="1"/>
    <col min="183" max="183" width="16.85546875" style="59" bestFit="1" customWidth="1"/>
    <col min="184" max="184" width="16.85546875" style="59" customWidth="1"/>
    <col min="185" max="185" width="19.28515625" style="59" customWidth="1"/>
    <col min="186" max="186" width="2.7109375" style="59" bestFit="1" customWidth="1"/>
    <col min="187" max="187" width="16.5703125" style="59" bestFit="1" customWidth="1"/>
    <col min="188" max="188" width="4.7109375" style="59" bestFit="1" customWidth="1"/>
    <col min="189" max="189" width="16.5703125" style="59" bestFit="1" customWidth="1"/>
    <col min="190" max="192" width="16.85546875" style="59" customWidth="1"/>
    <col min="193" max="193" width="10.42578125" style="58" bestFit="1" customWidth="1"/>
    <col min="194" max="194" width="5.7109375" style="58" bestFit="1" customWidth="1"/>
    <col min="195" max="195" width="1.85546875" style="58" bestFit="1" customWidth="1"/>
    <col min="196" max="196" width="6.85546875" style="58" bestFit="1" customWidth="1"/>
    <col min="197" max="197" width="3.140625" style="58" customWidth="1"/>
    <col min="198" max="198" width="6.85546875" style="58" bestFit="1" customWidth="1"/>
    <col min="199" max="199" width="20.140625" style="58" bestFit="1" customWidth="1"/>
    <col min="200" max="200" width="28.85546875" style="58" customWidth="1"/>
    <col min="201" max="201" width="2.7109375" style="18" bestFit="1" customWidth="1"/>
    <col min="202" max="202" width="3.5703125" style="18" bestFit="1" customWidth="1"/>
    <col min="203" max="203" width="3.5703125" style="18" customWidth="1"/>
    <col min="204" max="204" width="18.42578125" style="18" bestFit="1" customWidth="1"/>
    <col min="205" max="205" width="3.5703125" style="18" customWidth="1"/>
    <col min="206" max="206" width="18.42578125" style="18" bestFit="1" customWidth="1"/>
    <col min="207" max="207" width="7" style="18" customWidth="1"/>
    <col min="208" max="208" width="18.42578125" style="58" bestFit="1" customWidth="1"/>
    <col min="209" max="210" width="18.42578125" style="58" customWidth="1"/>
    <col min="211" max="211" width="12.7109375" style="58" bestFit="1" customWidth="1"/>
    <col min="212" max="214" width="17.28515625" style="58" customWidth="1"/>
    <col min="215" max="215" width="7.5703125" style="58" customWidth="1"/>
    <col min="216" max="216" width="11.85546875" style="58" bestFit="1" customWidth="1"/>
    <col min="217" max="217" width="6.85546875" style="58" bestFit="1" customWidth="1"/>
    <col min="218" max="218" width="18.42578125" style="58" customWidth="1"/>
    <col min="219" max="219" width="11.42578125" style="58" customWidth="1"/>
    <col min="220" max="220" width="7.5703125" style="58" bestFit="1" customWidth="1"/>
    <col min="221" max="221" width="11.42578125" style="58" customWidth="1"/>
    <col min="222" max="222" width="8.140625" style="58" customWidth="1"/>
    <col min="223" max="223" width="15" style="58" bestFit="1" customWidth="1"/>
    <col min="224" max="224" width="11.85546875" style="58" customWidth="1"/>
    <col min="225" max="225" width="7.5703125" style="58" bestFit="1" customWidth="1"/>
    <col min="226" max="231" width="11.85546875" style="58" customWidth="1"/>
    <col min="232" max="232" width="16.7109375" style="58" bestFit="1" customWidth="1"/>
    <col min="233" max="233" width="4.7109375" style="58" bestFit="1" customWidth="1"/>
    <col min="234" max="234" width="13.5703125" style="58" bestFit="1" customWidth="1"/>
    <col min="235" max="235" width="16.7109375" style="58" bestFit="1" customWidth="1"/>
    <col min="236" max="236" width="13.140625" style="58" bestFit="1" customWidth="1"/>
    <col min="237" max="237" width="18" style="58" customWidth="1"/>
    <col min="238" max="238" width="6.42578125" style="58" customWidth="1"/>
    <col min="239" max="239" width="4" style="58" bestFit="1" customWidth="1"/>
    <col min="240" max="240" width="13.7109375" style="58" customWidth="1"/>
    <col min="241" max="241" width="13" style="58" customWidth="1"/>
    <col min="242" max="242" width="2.7109375" style="58" customWidth="1"/>
    <col min="243" max="243" width="19.140625" style="58" bestFit="1" customWidth="1"/>
    <col min="244" max="244" width="1.85546875" style="58" bestFit="1" customWidth="1"/>
    <col min="245" max="245" width="19" style="58" customWidth="1"/>
    <col min="246" max="246" width="2.7109375" style="58" bestFit="1" customWidth="1"/>
    <col min="247" max="247" width="18.5703125" style="58" bestFit="1" customWidth="1"/>
    <col min="248" max="248" width="1.85546875" style="58" bestFit="1" customWidth="1"/>
    <col min="249" max="249" width="4.7109375" style="58" bestFit="1" customWidth="1"/>
    <col min="250" max="250" width="18.5703125" style="58" customWidth="1"/>
    <col min="251" max="251" width="22.140625" style="58" customWidth="1"/>
    <col min="252" max="252" width="18.5703125" style="58" customWidth="1"/>
    <col min="253" max="253" width="12.7109375" style="58" bestFit="1" customWidth="1"/>
    <col min="254" max="254" width="18.5703125" style="58" customWidth="1"/>
    <col min="255" max="255" width="3.140625" style="58" bestFit="1" customWidth="1"/>
    <col min="256" max="256" width="10.5703125" style="58" bestFit="1" customWidth="1"/>
    <col min="257" max="257" width="10.85546875" style="58" customWidth="1"/>
    <col min="258" max="258" width="23" style="58" customWidth="1"/>
    <col min="259" max="259" width="30.140625" style="58" bestFit="1" customWidth="1"/>
    <col min="260" max="260" width="11.42578125" style="58" bestFit="1" customWidth="1"/>
    <col min="261" max="261" width="15.42578125" style="58" bestFit="1" customWidth="1"/>
    <col min="262" max="262" width="57.42578125" style="58" bestFit="1" customWidth="1"/>
    <col min="263" max="263" width="2.42578125" style="18" bestFit="1" customWidth="1"/>
    <col min="264" max="264" width="10.85546875" style="58" bestFit="1" customWidth="1"/>
    <col min="265" max="265" width="10.85546875" style="58" customWidth="1"/>
    <col min="266" max="266" width="2.42578125" style="58" bestFit="1" customWidth="1"/>
    <col min="267" max="267" width="10.85546875" style="58" bestFit="1" customWidth="1"/>
    <col min="268" max="268" width="5.5703125" style="58" bestFit="1" customWidth="1"/>
    <col min="269" max="269" width="6.5703125" style="58" bestFit="1" customWidth="1"/>
    <col min="270" max="270" width="5.5703125" style="58" bestFit="1" customWidth="1"/>
    <col min="271" max="271" width="16.5703125" style="58" bestFit="1" customWidth="1"/>
    <col min="272" max="272" width="2.7109375" style="58" bestFit="1" customWidth="1"/>
    <col min="273" max="273" width="8" style="58" customWidth="1"/>
    <col min="274" max="282" width="3.5703125" style="58" customWidth="1"/>
    <col min="283" max="283" width="7.5703125" style="58" bestFit="1" customWidth="1"/>
    <col min="284" max="284" width="13.42578125" style="58" bestFit="1" customWidth="1"/>
    <col min="285" max="285" width="12.5703125" style="58" bestFit="1" customWidth="1"/>
    <col min="286" max="286" width="6.42578125" style="58" bestFit="1" customWidth="1"/>
    <col min="287" max="287" width="10" style="58" customWidth="1"/>
    <col min="288" max="288" width="4.42578125" style="58" bestFit="1" customWidth="1"/>
    <col min="289" max="289" width="1.85546875" style="58" bestFit="1" customWidth="1"/>
    <col min="290" max="290" width="8.7109375" style="58" customWidth="1"/>
    <col min="291" max="291" width="5.85546875" style="58" bestFit="1" customWidth="1"/>
    <col min="292" max="292" width="4.5703125" style="58" bestFit="1" customWidth="1"/>
    <col min="293" max="294" width="6.7109375" style="58" bestFit="1" customWidth="1"/>
    <col min="295" max="295" width="8.5703125" style="58" bestFit="1" customWidth="1"/>
    <col min="296" max="296" width="7.5703125" style="58" bestFit="1" customWidth="1"/>
    <col min="297" max="297" width="8.7109375" style="58" bestFit="1" customWidth="1"/>
    <col min="298" max="298" width="6" style="58" bestFit="1" customWidth="1"/>
    <col min="299" max="299" width="5.85546875" style="58" bestFit="1" customWidth="1"/>
    <col min="300" max="300" width="6.7109375" style="58" bestFit="1" customWidth="1"/>
    <col min="301" max="301" width="5.85546875" style="58" bestFit="1" customWidth="1"/>
    <col min="302" max="302" width="5" style="58" bestFit="1" customWidth="1"/>
    <col min="303" max="303" width="8.5703125" style="58" bestFit="1" customWidth="1"/>
    <col min="304" max="304" width="7.5703125" style="58" bestFit="1" customWidth="1"/>
    <col min="305" max="305" width="7.5703125" style="59" bestFit="1" customWidth="1"/>
    <col min="306" max="306" width="23.5703125" style="58" bestFit="1" customWidth="1"/>
    <col min="307" max="307" width="3.140625" style="18" bestFit="1" customWidth="1"/>
    <col min="308" max="308" width="11.140625" style="58" bestFit="1" customWidth="1"/>
    <col min="309" max="436" width="2" style="18" customWidth="1"/>
    <col min="437" max="440" width="2" style="58" customWidth="1"/>
    <col min="441" max="441" width="3.140625" style="58" customWidth="1"/>
    <col min="442" max="442" width="18.5703125" style="58" bestFit="1" customWidth="1"/>
    <col min="443" max="443" width="11.140625" style="58" bestFit="1" customWidth="1"/>
    <col min="444" max="444" width="10" style="18" bestFit="1" customWidth="1"/>
    <col min="445" max="445" width="7.28515625" style="59" bestFit="1" customWidth="1"/>
    <col min="446" max="446" width="9.28515625" style="58" bestFit="1" customWidth="1"/>
    <col min="447" max="447" width="6.5703125" style="18" bestFit="1" customWidth="1"/>
    <col min="448" max="448" width="6.42578125" style="18" bestFit="1" customWidth="1"/>
    <col min="449" max="449" width="10.42578125" style="18" bestFit="1" customWidth="1"/>
    <col min="450" max="450" width="7" style="18" bestFit="1" customWidth="1"/>
    <col min="451" max="451" width="5.5703125" style="18" bestFit="1" customWidth="1"/>
    <col min="452" max="452" width="4.42578125" style="18" bestFit="1" customWidth="1"/>
    <col min="453" max="453" width="6.7109375" style="18" bestFit="1" customWidth="1"/>
    <col min="454" max="454" width="6.5703125" style="18" bestFit="1" customWidth="1"/>
    <col min="455" max="455" width="5.42578125" style="18" bestFit="1" customWidth="1"/>
    <col min="456" max="456" width="6.7109375" style="18" bestFit="1" customWidth="1"/>
    <col min="457" max="457" width="10.42578125" style="18" bestFit="1" customWidth="1"/>
    <col min="458" max="458" width="11.85546875" style="18" bestFit="1" customWidth="1"/>
    <col min="459" max="459" width="5.7109375" style="18" bestFit="1" customWidth="1"/>
    <col min="460" max="460" width="9.85546875" style="18" bestFit="1" customWidth="1"/>
    <col min="461" max="461" width="11.5703125" style="58" bestFit="1" customWidth="1"/>
    <col min="462" max="511" width="2.28515625" style="58" customWidth="1"/>
    <col min="512" max="512" width="11.85546875" style="58" bestFit="1" customWidth="1"/>
    <col min="513" max="513" width="6.140625" style="58" bestFit="1" customWidth="1"/>
    <col min="514" max="514" width="21.140625" style="58" bestFit="1" customWidth="1"/>
    <col min="515" max="515" width="3.28515625" style="58" bestFit="1" customWidth="1"/>
    <col min="516" max="517" width="7.85546875" style="58" bestFit="1" customWidth="1"/>
    <col min="518" max="518" width="10.42578125" style="58" bestFit="1" customWidth="1"/>
    <col min="519" max="519" width="6.42578125" style="58" bestFit="1" customWidth="1"/>
    <col min="520" max="520" width="38.140625" style="58" bestFit="1" customWidth="1"/>
    <col min="521" max="521" width="6.85546875" style="58" bestFit="1" customWidth="1"/>
    <col min="522" max="522" width="5.7109375" style="58" bestFit="1" customWidth="1"/>
    <col min="523" max="523" width="21.140625" style="58" bestFit="1" customWidth="1"/>
    <col min="524" max="524" width="3.28515625" style="58" bestFit="1" customWidth="1"/>
    <col min="525" max="526" width="7.85546875" style="58" bestFit="1" customWidth="1"/>
    <col min="527" max="528" width="6.42578125" style="58" bestFit="1" customWidth="1"/>
    <col min="529" max="529" width="21.140625" style="58" bestFit="1" customWidth="1"/>
    <col min="530" max="530" width="3.42578125" style="18" customWidth="1"/>
    <col min="531" max="531" width="26.7109375" style="58" bestFit="1" customWidth="1"/>
    <col min="532" max="532" width="7" style="58" bestFit="1" customWidth="1"/>
    <col min="533" max="533" width="3.5703125" style="18" bestFit="1" customWidth="1"/>
    <col min="534" max="534" width="26.7109375" style="18" bestFit="1" customWidth="1"/>
    <col min="535" max="535" width="8.42578125" style="18" bestFit="1" customWidth="1"/>
    <col min="536" max="536" width="9.140625" style="18" bestFit="1" customWidth="1"/>
    <col min="537" max="537" width="9.85546875" style="18" bestFit="1" customWidth="1"/>
    <col min="538" max="538" width="10.85546875" style="18" bestFit="1" customWidth="1"/>
    <col min="539" max="539" width="7.28515625" style="18" bestFit="1" customWidth="1"/>
    <col min="540" max="540" width="13" style="18" bestFit="1" customWidth="1"/>
    <col min="541" max="541" width="7.85546875" style="18" bestFit="1" customWidth="1"/>
    <col min="542" max="542" width="9.85546875" style="18" bestFit="1" customWidth="1"/>
    <col min="543" max="543" width="13.28515625" style="18" bestFit="1" customWidth="1"/>
    <col min="544" max="544" width="9.42578125" style="59" customWidth="1"/>
    <col min="545" max="545" width="10.28515625" style="18" bestFit="1" customWidth="1"/>
    <col min="546" max="546" width="8.28515625" style="18" customWidth="1"/>
    <col min="547" max="547" width="11.7109375" style="59" customWidth="1"/>
    <col min="548" max="548" width="38.85546875" style="319" customWidth="1"/>
    <col min="549" max="553" width="4.42578125" style="18" customWidth="1"/>
    <col min="554" max="597" width="4.5703125" style="18" customWidth="1"/>
    <col min="598" max="601" width="4.42578125" style="85" customWidth="1"/>
    <col min="602" max="623" width="2.7109375" style="58" customWidth="1"/>
    <col min="624" max="624" width="2.85546875" style="58" bestFit="1" customWidth="1"/>
    <col min="625" max="626" width="8.7109375" style="58"/>
    <col min="627" max="627" width="8.7109375" style="58" customWidth="1"/>
    <col min="628" max="635" width="8.7109375" style="58"/>
    <col min="636" max="636" width="8.42578125" style="58" bestFit="1" customWidth="1"/>
    <col min="637" max="637" width="2.7109375" style="58" bestFit="1" customWidth="1"/>
    <col min="638" max="638" width="11" style="58" bestFit="1" customWidth="1"/>
    <col min="639" max="639" width="5" style="58" bestFit="1" customWidth="1"/>
    <col min="640" max="640" width="6" style="58" customWidth="1"/>
    <col min="641" max="641" width="3.5703125" style="18" customWidth="1"/>
    <col min="642" max="642" width="3.5703125" style="58" customWidth="1"/>
    <col min="643" max="643" width="12.28515625" style="58" bestFit="1" customWidth="1"/>
    <col min="644" max="649" width="3.5703125" style="58" customWidth="1"/>
    <col min="650" max="650" width="18.42578125" style="58" bestFit="1" customWidth="1"/>
    <col min="651" max="651" width="20.140625" customWidth="1"/>
    <col min="652" max="653" width="17.5703125" style="58" customWidth="1"/>
    <col min="654" max="654" width="1.85546875" style="58" customWidth="1"/>
    <col min="655" max="655" width="4.7109375" style="58" bestFit="1" customWidth="1"/>
    <col min="656" max="656" width="1.85546875" style="58" bestFit="1" customWidth="1"/>
    <col min="657" max="657" width="17.42578125" style="58" bestFit="1" customWidth="1"/>
    <col min="658" max="658" width="15.7109375" style="58" customWidth="1"/>
    <col min="659" max="659" width="12.7109375" style="58" customWidth="1"/>
    <col min="660" max="660" width="20.28515625" style="58" customWidth="1"/>
    <col min="661" max="661" width="10.28515625" style="58" bestFit="1" customWidth="1"/>
    <col min="662" max="662" width="2.7109375" style="18" bestFit="1" customWidth="1"/>
    <col min="663" max="663" width="7.85546875" style="18" bestFit="1" customWidth="1"/>
    <col min="664" max="664" width="2.7109375" style="58" bestFit="1" customWidth="1"/>
    <col min="665" max="665" width="5.28515625" style="58" customWidth="1"/>
    <col min="666" max="666" width="2.7109375" style="58" bestFit="1" customWidth="1"/>
    <col min="667" max="667" width="5.28515625" style="58" customWidth="1"/>
    <col min="668" max="668" width="2.7109375" style="58" bestFit="1" customWidth="1"/>
    <col min="669" max="669" width="2.7109375" style="58" customWidth="1"/>
    <col min="670" max="670" width="8.7109375" style="58"/>
    <col min="671" max="671" width="8.85546875" style="18" bestFit="1" customWidth="1"/>
    <col min="672" max="672" width="2.42578125" style="18" customWidth="1"/>
    <col min="673" max="673" width="1.85546875" style="58" bestFit="1" customWidth="1"/>
    <col min="674" max="674" width="14.28515625" style="58" bestFit="1" customWidth="1"/>
    <col min="675" max="675" width="2.42578125" style="18" bestFit="1" customWidth="1"/>
    <col min="676" max="676" width="5.28515625" style="18" bestFit="1" customWidth="1"/>
    <col min="677" max="677" width="1.85546875" style="18" bestFit="1" customWidth="1"/>
    <col min="678" max="678" width="13.28515625" style="18" bestFit="1" customWidth="1"/>
    <col min="679" max="679" width="11.28515625" style="18" customWidth="1"/>
    <col min="680" max="691" width="10.7109375" style="18" customWidth="1"/>
    <col min="692" max="692" width="5.28515625" style="18" bestFit="1" customWidth="1"/>
    <col min="693" max="693" width="8.7109375" style="58"/>
    <col min="694" max="694" width="1.85546875" style="58" bestFit="1" customWidth="1"/>
    <col min="695" max="695" width="19.140625" style="58" bestFit="1" customWidth="1"/>
    <col min="696" max="696" width="8.7109375" style="58"/>
    <col min="697" max="697" width="12.42578125" style="58" bestFit="1" customWidth="1"/>
    <col min="698" max="717" width="3.140625" style="18" customWidth="1"/>
    <col min="718" max="718" width="3.140625" style="58" customWidth="1"/>
    <col min="719" max="16384" width="8.7109375" style="58"/>
  </cols>
  <sheetData>
    <row r="1" spans="1:718" ht="9.9499999999999993" customHeight="1" thickBot="1" x14ac:dyDescent="0.25">
      <c r="A1" s="55" t="s">
        <v>3</v>
      </c>
      <c r="B1" s="37" t="s">
        <v>8</v>
      </c>
      <c r="C1" s="37" t="s">
        <v>18</v>
      </c>
      <c r="D1" s="37" t="s">
        <v>228</v>
      </c>
      <c r="E1" s="83" t="s">
        <v>323</v>
      </c>
      <c r="F1" s="83" t="s">
        <v>361</v>
      </c>
      <c r="G1" s="289"/>
      <c r="H1" s="289" t="s">
        <v>33</v>
      </c>
      <c r="I1" s="289"/>
      <c r="J1" s="289" t="s">
        <v>79</v>
      </c>
      <c r="K1" s="268"/>
      <c r="L1" s="219" t="s">
        <v>19</v>
      </c>
      <c r="M1" s="219" t="s">
        <v>23</v>
      </c>
      <c r="N1" s="219" t="s">
        <v>31</v>
      </c>
      <c r="O1" s="219" t="s">
        <v>34</v>
      </c>
      <c r="P1" s="219" t="s">
        <v>39</v>
      </c>
      <c r="Q1" s="219" t="s">
        <v>42</v>
      </c>
      <c r="R1" s="221" t="s">
        <v>10</v>
      </c>
      <c r="S1" s="221" t="s">
        <v>11</v>
      </c>
      <c r="T1" s="221" t="s">
        <v>12</v>
      </c>
      <c r="U1" s="55" t="s">
        <v>57</v>
      </c>
      <c r="V1" s="37" t="s">
        <v>323</v>
      </c>
      <c r="W1" s="405"/>
      <c r="X1" s="52"/>
      <c r="Y1" s="52"/>
      <c r="Z1" s="52"/>
      <c r="AA1" s="52"/>
      <c r="AB1" s="55" t="s">
        <v>4</v>
      </c>
      <c r="AC1" s="557" t="s">
        <v>3124</v>
      </c>
      <c r="AD1" s="564"/>
      <c r="AE1" s="74" t="s">
        <v>302</v>
      </c>
      <c r="AF1" s="76" t="s">
        <v>827</v>
      </c>
      <c r="AG1" s="253"/>
      <c r="AH1" s="76" t="s">
        <v>33</v>
      </c>
      <c r="AI1" s="289"/>
      <c r="AJ1" s="76" t="s">
        <v>79</v>
      </c>
      <c r="AK1" s="268"/>
      <c r="AL1" s="292" t="s">
        <v>55</v>
      </c>
      <c r="AM1" s="75"/>
      <c r="AN1" s="268" t="s">
        <v>2978</v>
      </c>
      <c r="AO1" s="253"/>
      <c r="AP1" s="253" t="s">
        <v>3686</v>
      </c>
      <c r="AQ1" s="271"/>
      <c r="AR1" s="253"/>
      <c r="AS1" s="384"/>
      <c r="AT1" s="253"/>
      <c r="AU1" s="384"/>
      <c r="AV1" s="253"/>
      <c r="AW1" s="384"/>
      <c r="AX1" s="384"/>
      <c r="AY1" s="253"/>
      <c r="AZ1" s="384"/>
      <c r="BA1" s="253"/>
      <c r="BB1" s="384"/>
      <c r="BC1" s="253"/>
      <c r="BD1" s="253"/>
      <c r="BE1" s="253"/>
      <c r="BF1" s="974" t="s">
        <v>331</v>
      </c>
      <c r="BG1" s="975"/>
      <c r="BH1" s="976"/>
      <c r="BI1" s="736" t="s">
        <v>2</v>
      </c>
      <c r="BJ1" s="737" t="s">
        <v>222</v>
      </c>
      <c r="BK1" s="737"/>
      <c r="BL1" s="737" t="s">
        <v>316</v>
      </c>
      <c r="BM1" s="737"/>
      <c r="BN1" s="737"/>
      <c r="BO1" s="737"/>
      <c r="BP1" s="737"/>
      <c r="BQ1" s="737" t="s">
        <v>366</v>
      </c>
      <c r="BR1" s="83"/>
      <c r="BS1" s="462"/>
      <c r="BT1" s="462"/>
      <c r="BU1" s="158"/>
      <c r="BV1" s="439" t="s">
        <v>24</v>
      </c>
      <c r="BW1" s="439" t="s">
        <v>2796</v>
      </c>
      <c r="BX1" s="462" t="s">
        <v>2975</v>
      </c>
      <c r="BY1" s="462"/>
      <c r="BZ1" s="83" t="s">
        <v>247</v>
      </c>
      <c r="CA1" s="336" t="s">
        <v>1930</v>
      </c>
      <c r="CB1" s="83" t="s">
        <v>332</v>
      </c>
      <c r="CC1" s="336" t="s">
        <v>1931</v>
      </c>
      <c r="CD1" s="83" t="s">
        <v>333</v>
      </c>
      <c r="CE1" s="292">
        <f>SUM(CE3:CE5)</f>
        <v>0</v>
      </c>
      <c r="CF1" s="336" t="s">
        <v>1932</v>
      </c>
      <c r="CG1" s="336"/>
      <c r="CH1" s="83" t="s">
        <v>375</v>
      </c>
      <c r="CI1" s="83" t="s">
        <v>343</v>
      </c>
      <c r="CJ1" s="289">
        <f>SUM(CJ3:CJ5)</f>
        <v>0</v>
      </c>
      <c r="CK1" s="336" t="s">
        <v>1900</v>
      </c>
      <c r="CL1" s="336"/>
      <c r="CM1" s="82" t="s">
        <v>374</v>
      </c>
      <c r="CN1" s="83"/>
      <c r="CO1" s="83"/>
      <c r="CP1" s="83"/>
      <c r="CQ1" s="83"/>
      <c r="CR1" s="83"/>
      <c r="CS1" s="83"/>
      <c r="CT1" s="83"/>
      <c r="CU1" s="83"/>
      <c r="CV1" s="83"/>
      <c r="CW1" s="83"/>
      <c r="CX1" s="83"/>
      <c r="CY1" s="83"/>
      <c r="CZ1" s="83"/>
      <c r="DA1" s="83"/>
      <c r="DB1" s="83"/>
      <c r="DC1" s="83"/>
      <c r="DD1" s="83"/>
      <c r="DE1" s="83"/>
      <c r="DF1" s="83"/>
      <c r="DG1" s="82"/>
      <c r="DH1" s="82"/>
      <c r="DI1" s="82"/>
      <c r="DJ1" s="82"/>
      <c r="DK1" s="82" t="s">
        <v>730</v>
      </c>
      <c r="DL1" s="81" t="s">
        <v>62</v>
      </c>
      <c r="DM1" s="52"/>
      <c r="DN1" s="52"/>
      <c r="DO1" s="82" t="s">
        <v>418</v>
      </c>
      <c r="DP1" s="97"/>
      <c r="DQ1" s="97"/>
      <c r="DR1" s="97"/>
      <c r="DS1" s="97"/>
      <c r="DT1" s="97"/>
      <c r="DU1" s="97"/>
      <c r="DV1" s="97"/>
      <c r="DW1" s="97"/>
      <c r="DX1" s="97"/>
      <c r="DY1" s="97"/>
      <c r="DZ1" s="97"/>
      <c r="EA1" s="97"/>
      <c r="EB1" s="97"/>
      <c r="EC1" s="97"/>
      <c r="ED1" s="97"/>
      <c r="EE1" s="97"/>
      <c r="EF1" s="97"/>
      <c r="EG1" s="97"/>
      <c r="EH1" s="97"/>
      <c r="EI1" s="441" t="s">
        <v>317</v>
      </c>
      <c r="EJ1" s="441" t="s">
        <v>2787</v>
      </c>
      <c r="EK1" s="441" t="s">
        <v>1832</v>
      </c>
      <c r="EL1" s="441" t="s">
        <v>2788</v>
      </c>
      <c r="EM1" s="441" t="s">
        <v>1832</v>
      </c>
      <c r="EN1" s="441" t="s">
        <v>2789</v>
      </c>
      <c r="EO1" s="441" t="s">
        <v>1832</v>
      </c>
      <c r="EP1" s="441" t="s">
        <v>2790</v>
      </c>
      <c r="EQ1" s="441" t="s">
        <v>1832</v>
      </c>
      <c r="ER1" s="441" t="s">
        <v>2791</v>
      </c>
      <c r="ES1" s="441" t="s">
        <v>1832</v>
      </c>
      <c r="ET1" s="82" t="s">
        <v>79</v>
      </c>
      <c r="EU1" s="336" t="s">
        <v>1832</v>
      </c>
      <c r="EV1" s="290" t="s">
        <v>33</v>
      </c>
      <c r="EW1" s="336" t="s">
        <v>1832</v>
      </c>
      <c r="EX1" s="293" t="s">
        <v>55</v>
      </c>
      <c r="EY1" s="336" t="s">
        <v>1832</v>
      </c>
      <c r="EZ1" s="82" t="s">
        <v>3522</v>
      </c>
      <c r="FA1" s="52"/>
      <c r="FB1" s="52"/>
      <c r="FC1" s="52"/>
      <c r="FD1" s="52"/>
      <c r="FE1" s="52"/>
      <c r="FF1" s="52"/>
      <c r="FG1" s="82"/>
      <c r="FH1" s="52"/>
      <c r="FI1" s="82"/>
      <c r="FJ1" s="52"/>
      <c r="FK1" s="82"/>
      <c r="FL1" s="52"/>
      <c r="FM1" s="82" t="s">
        <v>1880</v>
      </c>
      <c r="FN1" s="82"/>
      <c r="FO1" s="82"/>
      <c r="FP1" s="82"/>
      <c r="FQ1" s="82"/>
      <c r="FR1" s="82" t="s">
        <v>1882</v>
      </c>
      <c r="FS1" s="82"/>
      <c r="FT1" s="82"/>
      <c r="FU1" s="82"/>
      <c r="FV1" s="82"/>
      <c r="FW1" s="336"/>
      <c r="FX1" s="82" t="s">
        <v>408</v>
      </c>
      <c r="FY1" s="82"/>
      <c r="FZ1" s="82"/>
      <c r="GA1" s="82"/>
      <c r="GB1" s="730" t="s">
        <v>3414</v>
      </c>
      <c r="GC1" s="730"/>
      <c r="GD1" s="738"/>
      <c r="GE1" s="730"/>
      <c r="GF1" s="730"/>
      <c r="GG1" s="730"/>
      <c r="GH1" s="730"/>
      <c r="GI1" s="730"/>
      <c r="GJ1" s="730"/>
      <c r="GK1" s="82" t="s">
        <v>1933</v>
      </c>
      <c r="GL1" s="82"/>
      <c r="GM1" s="82"/>
      <c r="GN1" s="82"/>
      <c r="GO1" s="82"/>
      <c r="GP1" s="82"/>
      <c r="GQ1" s="82" t="s">
        <v>2801</v>
      </c>
      <c r="GR1" s="734"/>
      <c r="GS1" s="439"/>
      <c r="GT1" s="439" t="s">
        <v>2818</v>
      </c>
      <c r="GU1" s="439"/>
      <c r="GV1" s="439"/>
      <c r="GW1" s="439"/>
      <c r="GX1" s="439"/>
      <c r="GY1" s="439"/>
      <c r="GZ1" s="440"/>
      <c r="HA1" s="734"/>
      <c r="HB1" s="734"/>
      <c r="HC1" s="440" t="s">
        <v>2824</v>
      </c>
      <c r="HD1" s="440"/>
      <c r="HE1" s="440"/>
      <c r="HF1" s="440"/>
      <c r="HG1" s="440"/>
      <c r="HH1" s="440"/>
      <c r="HI1" s="440"/>
      <c r="HJ1" s="440"/>
      <c r="HK1" s="463" t="s">
        <v>2891</v>
      </c>
      <c r="HL1" s="463"/>
      <c r="HM1" s="463"/>
      <c r="HN1" s="463"/>
      <c r="HO1" s="463"/>
      <c r="HP1" s="463"/>
      <c r="HQ1" s="463"/>
      <c r="HR1" s="463"/>
      <c r="HS1" s="463"/>
      <c r="HT1" s="463" t="s">
        <v>2955</v>
      </c>
      <c r="HU1" s="463"/>
      <c r="HV1" s="463"/>
      <c r="HW1" s="463"/>
      <c r="HX1" s="463" t="s">
        <v>2965</v>
      </c>
      <c r="HY1" s="463"/>
      <c r="HZ1" s="463"/>
      <c r="IA1" s="463"/>
      <c r="IB1" s="558" t="s">
        <v>3114</v>
      </c>
      <c r="IC1" s="558"/>
      <c r="ID1" s="558"/>
      <c r="IE1" s="558"/>
      <c r="IF1" s="558"/>
      <c r="IG1" s="558"/>
      <c r="IH1" s="586" t="s">
        <v>3292</v>
      </c>
      <c r="II1" s="586"/>
      <c r="IJ1" s="586"/>
      <c r="IK1" s="586"/>
      <c r="IL1" s="586"/>
      <c r="IM1" s="586"/>
      <c r="IN1" s="595"/>
      <c r="IO1" s="595"/>
      <c r="IP1" s="595"/>
      <c r="IQ1" s="595"/>
      <c r="IR1" s="595"/>
      <c r="IS1" s="586" t="s">
        <v>3326</v>
      </c>
      <c r="IT1" s="586"/>
      <c r="IU1" s="980" t="s">
        <v>5</v>
      </c>
      <c r="IV1" s="981"/>
      <c r="IW1" s="982"/>
      <c r="IX1" s="974" t="s">
        <v>6</v>
      </c>
      <c r="IY1" s="975"/>
      <c r="IZ1" s="975"/>
      <c r="JA1" s="975"/>
      <c r="JB1" s="976"/>
      <c r="JC1" s="977" t="s">
        <v>55</v>
      </c>
      <c r="JD1" s="978"/>
      <c r="JE1" s="978"/>
      <c r="JF1" s="978"/>
      <c r="JG1" s="979"/>
      <c r="JH1" s="55" t="s">
        <v>7</v>
      </c>
      <c r="JI1" s="55" t="s">
        <v>414</v>
      </c>
      <c r="JJ1" s="55" t="s">
        <v>7</v>
      </c>
      <c r="JK1" s="461" t="s">
        <v>76</v>
      </c>
      <c r="JL1" s="482">
        <f>IF(CharacterLevel="","",VLOOKUP(CharacterLevel,Tables!JJ1:JK23,2,FALSE))</f>
        <v>2</v>
      </c>
      <c r="JM1" s="288" t="s">
        <v>317</v>
      </c>
      <c r="JN1" s="52"/>
      <c r="JO1" s="52"/>
      <c r="JP1" s="52"/>
      <c r="JQ1" s="52"/>
      <c r="JR1" s="52"/>
      <c r="JS1" s="52"/>
      <c r="JT1" s="52"/>
      <c r="JU1" s="52"/>
      <c r="JV1" s="52"/>
      <c r="JW1" s="52"/>
      <c r="JX1" s="52"/>
      <c r="JY1" s="975" t="s">
        <v>3285</v>
      </c>
      <c r="JZ1" s="975"/>
      <c r="KA1" s="975"/>
      <c r="KB1" s="975"/>
      <c r="KC1" s="572"/>
      <c r="KD1" s="52" t="s">
        <v>3276</v>
      </c>
      <c r="KE1" s="571">
        <v>2</v>
      </c>
      <c r="KF1" s="571">
        <f t="shared" ref="KF1" si="0">KE1+1</f>
        <v>3</v>
      </c>
      <c r="KG1" s="571">
        <f t="shared" ref="KG1" si="1">KF1+1</f>
        <v>4</v>
      </c>
      <c r="KH1" s="571">
        <f t="shared" ref="KH1" si="2">KG1+1</f>
        <v>5</v>
      </c>
      <c r="KI1" s="571">
        <f t="shared" ref="KI1" si="3">KH1+1</f>
        <v>6</v>
      </c>
      <c r="KJ1" s="571">
        <f t="shared" ref="KJ1" si="4">KI1+1</f>
        <v>7</v>
      </c>
      <c r="KK1" s="52" t="s">
        <v>447</v>
      </c>
      <c r="KL1" s="331">
        <v>2</v>
      </c>
      <c r="KM1" s="331">
        <f t="shared" ref="KM1:KR1" si="5">KL1+1</f>
        <v>3</v>
      </c>
      <c r="KN1" s="553">
        <f t="shared" si="5"/>
        <v>4</v>
      </c>
      <c r="KO1" s="553">
        <f t="shared" si="5"/>
        <v>5</v>
      </c>
      <c r="KP1" s="553">
        <f t="shared" si="5"/>
        <v>6</v>
      </c>
      <c r="KQ1" s="553">
        <f t="shared" si="5"/>
        <v>7</v>
      </c>
      <c r="KR1" s="569">
        <f t="shared" si="5"/>
        <v>8</v>
      </c>
      <c r="KS1" s="337"/>
      <c r="KT1" s="77" t="s">
        <v>75</v>
      </c>
      <c r="KU1" s="83"/>
      <c r="KV1" s="78"/>
      <c r="KW1" s="317">
        <f t="shared" ref="KW1:LD1" si="6">IF(Race=KW5,1,0)</f>
        <v>0</v>
      </c>
      <c r="KX1" s="317">
        <f t="shared" si="6"/>
        <v>0</v>
      </c>
      <c r="KY1" s="317">
        <f t="shared" si="6"/>
        <v>0</v>
      </c>
      <c r="KZ1" s="317">
        <f>IF(Race=KZ5,1,0)</f>
        <v>0</v>
      </c>
      <c r="LA1" s="317">
        <f>IF(Race=LA5,1,0)</f>
        <v>0</v>
      </c>
      <c r="LB1" s="317">
        <f>IF(Race=LB5,1,0)</f>
        <v>0</v>
      </c>
      <c r="LC1" s="317">
        <f>IF(Race=LC5,1,0)</f>
        <v>0</v>
      </c>
      <c r="LD1" s="317">
        <f t="shared" si="6"/>
        <v>0</v>
      </c>
      <c r="LE1" s="317">
        <f>IF(Race=LE5,1,0)</f>
        <v>0</v>
      </c>
      <c r="LF1" s="317">
        <f>IF(Race=LF5,1,0)</f>
        <v>0</v>
      </c>
      <c r="LG1" s="317"/>
      <c r="LH1" s="317">
        <f t="shared" ref="LH1:LQ1" si="7">IF(LH5=Subrace,1,0)</f>
        <v>0</v>
      </c>
      <c r="LI1" s="317">
        <f t="shared" si="7"/>
        <v>0</v>
      </c>
      <c r="LJ1" s="317">
        <f t="shared" si="7"/>
        <v>0</v>
      </c>
      <c r="LK1" s="317">
        <f t="shared" si="7"/>
        <v>0</v>
      </c>
      <c r="LL1" s="317">
        <f t="shared" si="7"/>
        <v>0</v>
      </c>
      <c r="LM1" s="317">
        <f t="shared" ref="LM1" si="8">IF(LM5=Subrace,1,0)</f>
        <v>0</v>
      </c>
      <c r="LN1" s="317">
        <f t="shared" si="7"/>
        <v>0</v>
      </c>
      <c r="LO1" s="317">
        <f t="shared" si="7"/>
        <v>0</v>
      </c>
      <c r="LP1" s="317">
        <f t="shared" si="7"/>
        <v>0</v>
      </c>
      <c r="LQ1" s="317">
        <f t="shared" si="7"/>
        <v>0</v>
      </c>
      <c r="LR1" s="317"/>
      <c r="LS1" s="317">
        <f>IF(CharacterBackground=Tables!LS5,1,0)</f>
        <v>0</v>
      </c>
      <c r="LT1" s="317">
        <f>IF(CharacterBackground=Tables!LT5,1,0)</f>
        <v>0</v>
      </c>
      <c r="LU1" s="317">
        <f>IF(CharacterBackground=Tables!LU5,1,0)</f>
        <v>0</v>
      </c>
      <c r="LV1" s="317">
        <f>IF(CharacterBackground=Tables!LV5,1,0)</f>
        <v>0</v>
      </c>
      <c r="LW1" s="317">
        <f>IF(CharacterBackground=Tables!LW5,1,0)</f>
        <v>0</v>
      </c>
      <c r="LX1" s="317">
        <f>IF(CharacterBackground=Tables!LX5,1,0)</f>
        <v>0</v>
      </c>
      <c r="LY1" s="317"/>
      <c r="LZ1" s="317">
        <f t="shared" ref="LZ1:MI1" ca="1" si="9">INDIRECT(LZ5&amp;TEXT("LEVEL",0))</f>
        <v>0</v>
      </c>
      <c r="MA1" s="317">
        <f t="shared" ca="1" si="9"/>
        <v>0</v>
      </c>
      <c r="MB1" s="317">
        <f t="shared" ca="1" si="9"/>
        <v>0</v>
      </c>
      <c r="MC1" s="317">
        <f t="shared" ca="1" si="9"/>
        <v>0</v>
      </c>
      <c r="MD1" s="317">
        <f t="shared" ca="1" si="9"/>
        <v>0</v>
      </c>
      <c r="ME1" s="317">
        <f t="shared" ca="1" si="9"/>
        <v>0</v>
      </c>
      <c r="MF1" s="317">
        <f t="shared" ca="1" si="9"/>
        <v>0</v>
      </c>
      <c r="MG1" s="317">
        <f t="shared" ca="1" si="9"/>
        <v>0</v>
      </c>
      <c r="MH1" s="317">
        <f t="shared" ca="1" si="9"/>
        <v>0</v>
      </c>
      <c r="MI1" s="317">
        <f t="shared" ca="1" si="9"/>
        <v>0</v>
      </c>
      <c r="MJ1" s="317">
        <f t="shared" ref="MJ1:MK1" ca="1" si="10">INDIRECT(MJ5&amp;TEXT("LEVEL",0))</f>
        <v>0</v>
      </c>
      <c r="MK1" s="317">
        <f t="shared" ca="1" si="10"/>
        <v>0</v>
      </c>
      <c r="ML1" s="317"/>
      <c r="MM1" s="317">
        <f t="shared" ref="MM1:NU1" ca="1" si="11">INDIRECT(MM2&amp;MM5&amp;TEXT("LEVEL",0))</f>
        <v>0</v>
      </c>
      <c r="MN1" s="317">
        <f t="shared" ca="1" si="11"/>
        <v>0</v>
      </c>
      <c r="MO1" s="317">
        <f t="shared" ca="1" si="11"/>
        <v>0</v>
      </c>
      <c r="MP1" s="317">
        <f t="shared" ca="1" si="11"/>
        <v>0</v>
      </c>
      <c r="MQ1" s="317">
        <f t="shared" ca="1" si="11"/>
        <v>0</v>
      </c>
      <c r="MR1" s="317">
        <f t="shared" ca="1" si="11"/>
        <v>0</v>
      </c>
      <c r="MS1" s="317">
        <f t="shared" ca="1" si="11"/>
        <v>0</v>
      </c>
      <c r="MT1" s="317">
        <f t="shared" ca="1" si="11"/>
        <v>0</v>
      </c>
      <c r="MU1" s="317">
        <f t="shared" ca="1" si="11"/>
        <v>0</v>
      </c>
      <c r="MV1" s="317">
        <f t="shared" ca="1" si="11"/>
        <v>0</v>
      </c>
      <c r="MW1" s="317">
        <f ca="1">INDIRECT(MW2&amp;MW5&amp;TEXT("LEVEL",0))</f>
        <v>0</v>
      </c>
      <c r="MX1" s="317">
        <f t="shared" ca="1" si="11"/>
        <v>0</v>
      </c>
      <c r="MY1" s="317">
        <f t="shared" ca="1" si="11"/>
        <v>0</v>
      </c>
      <c r="MZ1" s="317">
        <f t="shared" ca="1" si="11"/>
        <v>0</v>
      </c>
      <c r="NA1" s="317">
        <f t="shared" ca="1" si="11"/>
        <v>0</v>
      </c>
      <c r="NB1" s="317">
        <f t="shared" ca="1" si="11"/>
        <v>0</v>
      </c>
      <c r="NC1" s="317">
        <f t="shared" ca="1" si="11"/>
        <v>0</v>
      </c>
      <c r="ND1" s="317">
        <f t="shared" ca="1" si="11"/>
        <v>0</v>
      </c>
      <c r="NE1" s="317">
        <f t="shared" ca="1" si="11"/>
        <v>0</v>
      </c>
      <c r="NF1" s="317">
        <f t="shared" ca="1" si="11"/>
        <v>0</v>
      </c>
      <c r="NG1" s="317">
        <f t="shared" ca="1" si="11"/>
        <v>0</v>
      </c>
      <c r="NH1" s="317">
        <f t="shared" ca="1" si="11"/>
        <v>0</v>
      </c>
      <c r="NI1" s="317">
        <f t="shared" ca="1" si="11"/>
        <v>0</v>
      </c>
      <c r="NJ1" s="317">
        <f ca="1">INDIRECT(NJ2&amp;NJ5&amp;TEXT("LEVEL",0))</f>
        <v>0</v>
      </c>
      <c r="NK1" s="317">
        <f t="shared" ca="1" si="11"/>
        <v>0</v>
      </c>
      <c r="NL1" s="317">
        <f t="shared" ca="1" si="11"/>
        <v>0</v>
      </c>
      <c r="NM1" s="317">
        <f t="shared" ca="1" si="11"/>
        <v>0</v>
      </c>
      <c r="NN1" s="317">
        <f t="shared" ca="1" si="11"/>
        <v>0</v>
      </c>
      <c r="NO1" s="317">
        <f t="shared" ca="1" si="11"/>
        <v>0</v>
      </c>
      <c r="NP1" s="317">
        <f ca="1">INDIRECT(NP2&amp;NP5&amp;TEXT("LEVEL",0))</f>
        <v>0</v>
      </c>
      <c r="NQ1" s="317">
        <f t="shared" ca="1" si="11"/>
        <v>0</v>
      </c>
      <c r="NR1" s="317">
        <f ca="1">INDIRECT(NR2&amp;NR5&amp;TEXT("LEVEL",0))</f>
        <v>0</v>
      </c>
      <c r="NS1" s="317">
        <f t="shared" ca="1" si="11"/>
        <v>0</v>
      </c>
      <c r="NT1" s="317">
        <f t="shared" ca="1" si="11"/>
        <v>0</v>
      </c>
      <c r="NU1" s="317">
        <f t="shared" ca="1" si="11"/>
        <v>0</v>
      </c>
      <c r="NV1" s="317">
        <f t="shared" ref="NV1:NW1" ca="1" si="12">INDIRECT(NV2&amp;NV5&amp;TEXT("LEVEL",0))</f>
        <v>0</v>
      </c>
      <c r="NW1" s="317">
        <f t="shared" ca="1" si="12"/>
        <v>0</v>
      </c>
      <c r="NX1" s="317">
        <f t="shared" ref="NX1:NZ1" ca="1" si="13">INDIRECT(NX2&amp;NX5&amp;TEXT("LEVEL",0))</f>
        <v>0</v>
      </c>
      <c r="NY1" s="317">
        <f t="shared" ca="1" si="13"/>
        <v>0</v>
      </c>
      <c r="NZ1" s="317">
        <f t="shared" ca="1" si="13"/>
        <v>0</v>
      </c>
      <c r="OA1" s="317"/>
      <c r="OB1" s="317">
        <f t="shared" ref="OB1:PQ1" si="14">IF(COUNTIF($YH$3:$YH$10,OB5)&gt;0,1,0)</f>
        <v>0</v>
      </c>
      <c r="OC1" s="317">
        <f t="shared" si="14"/>
        <v>0</v>
      </c>
      <c r="OD1" s="317">
        <f t="shared" si="14"/>
        <v>0</v>
      </c>
      <c r="OE1" s="317">
        <f t="shared" si="14"/>
        <v>0</v>
      </c>
      <c r="OF1" s="317">
        <f t="shared" si="14"/>
        <v>0</v>
      </c>
      <c r="OG1" s="317">
        <f t="shared" si="14"/>
        <v>0</v>
      </c>
      <c r="OH1" s="317">
        <f t="shared" si="14"/>
        <v>0</v>
      </c>
      <c r="OI1" s="317">
        <f t="shared" si="14"/>
        <v>0</v>
      </c>
      <c r="OJ1" s="317">
        <f t="shared" si="14"/>
        <v>0</v>
      </c>
      <c r="OK1" s="317">
        <f t="shared" si="14"/>
        <v>0</v>
      </c>
      <c r="OL1" s="317">
        <f t="shared" si="14"/>
        <v>0</v>
      </c>
      <c r="OM1" s="317">
        <f t="shared" si="14"/>
        <v>0</v>
      </c>
      <c r="ON1" s="317">
        <f t="shared" si="14"/>
        <v>0</v>
      </c>
      <c r="OO1" s="317">
        <f t="shared" si="14"/>
        <v>0</v>
      </c>
      <c r="OP1" s="317">
        <f t="shared" si="14"/>
        <v>0</v>
      </c>
      <c r="OQ1" s="317">
        <f t="shared" si="14"/>
        <v>0</v>
      </c>
      <c r="OR1" s="317">
        <f t="shared" si="14"/>
        <v>0</v>
      </c>
      <c r="OS1" s="317">
        <f t="shared" si="14"/>
        <v>0</v>
      </c>
      <c r="OT1" s="317">
        <f t="shared" si="14"/>
        <v>0</v>
      </c>
      <c r="OU1" s="317">
        <f t="shared" si="14"/>
        <v>0</v>
      </c>
      <c r="OV1" s="317">
        <f t="shared" si="14"/>
        <v>0</v>
      </c>
      <c r="OW1" s="317">
        <f t="shared" si="14"/>
        <v>0</v>
      </c>
      <c r="OX1" s="317">
        <f t="shared" si="14"/>
        <v>0</v>
      </c>
      <c r="OY1" s="317">
        <f t="shared" si="14"/>
        <v>0</v>
      </c>
      <c r="OZ1" s="317">
        <f t="shared" si="14"/>
        <v>0</v>
      </c>
      <c r="PA1" s="317">
        <f t="shared" si="14"/>
        <v>0</v>
      </c>
      <c r="PB1" s="317">
        <f t="shared" si="14"/>
        <v>0</v>
      </c>
      <c r="PC1" s="317">
        <f t="shared" si="14"/>
        <v>0</v>
      </c>
      <c r="PD1" s="317">
        <f t="shared" si="14"/>
        <v>0</v>
      </c>
      <c r="PE1" s="317">
        <f t="shared" si="14"/>
        <v>0</v>
      </c>
      <c r="PF1" s="317">
        <f t="shared" si="14"/>
        <v>0</v>
      </c>
      <c r="PG1" s="317">
        <f t="shared" si="14"/>
        <v>0</v>
      </c>
      <c r="PH1" s="317">
        <f t="shared" si="14"/>
        <v>0</v>
      </c>
      <c r="PI1" s="317">
        <f t="shared" si="14"/>
        <v>0</v>
      </c>
      <c r="PJ1" s="317">
        <f t="shared" si="14"/>
        <v>0</v>
      </c>
      <c r="PK1" s="317">
        <f t="shared" si="14"/>
        <v>0</v>
      </c>
      <c r="PL1" s="317">
        <f t="shared" si="14"/>
        <v>0</v>
      </c>
      <c r="PM1" s="317">
        <f t="shared" si="14"/>
        <v>0</v>
      </c>
      <c r="PN1" s="317">
        <f t="shared" si="14"/>
        <v>0</v>
      </c>
      <c r="PO1" s="317">
        <f t="shared" si="14"/>
        <v>0</v>
      </c>
      <c r="PP1" s="317">
        <f t="shared" si="14"/>
        <v>0</v>
      </c>
      <c r="PQ1" s="317">
        <f t="shared" si="14"/>
        <v>0</v>
      </c>
      <c r="PR1" s="317">
        <f>SUM(OB1:PQ1)</f>
        <v>0</v>
      </c>
      <c r="PS1" s="317"/>
      <c r="PT1" s="317"/>
      <c r="PU1" s="318"/>
      <c r="PV1" s="318"/>
      <c r="PW1" s="318"/>
      <c r="PX1" s="318"/>
      <c r="PY1" s="52"/>
      <c r="PZ1" s="74" t="s">
        <v>46</v>
      </c>
      <c r="QA1" s="83"/>
      <c r="QB1" s="79"/>
      <c r="QC1" s="83"/>
      <c r="QD1" s="83"/>
      <c r="QE1" s="79"/>
      <c r="QF1" s="83"/>
      <c r="QG1" s="79" t="s">
        <v>111</v>
      </c>
      <c r="QH1" s="79"/>
      <c r="QI1" s="79"/>
      <c r="QJ1" s="79"/>
      <c r="QK1" s="79"/>
      <c r="QL1" s="79"/>
      <c r="QM1" s="79"/>
      <c r="QN1" s="79"/>
      <c r="QO1" s="79"/>
      <c r="QP1" s="79"/>
      <c r="QQ1" s="79"/>
      <c r="QR1" s="79"/>
      <c r="QS1" s="75" t="s">
        <v>325</v>
      </c>
      <c r="QT1" s="739" t="s">
        <v>3676</v>
      </c>
      <c r="QU1" s="464"/>
      <c r="QV1" s="464"/>
      <c r="QW1" s="464"/>
      <c r="QX1" s="464"/>
      <c r="QY1" s="464"/>
      <c r="QZ1" s="464"/>
      <c r="RA1" s="464"/>
      <c r="RB1" s="464"/>
      <c r="RC1" s="464"/>
      <c r="RD1" s="464"/>
      <c r="RE1" s="464"/>
      <c r="RF1" s="464"/>
      <c r="RG1" s="464"/>
      <c r="RH1" s="464"/>
      <c r="RI1" s="464"/>
      <c r="RJ1" s="464"/>
      <c r="RK1" s="464"/>
      <c r="RL1" s="464"/>
      <c r="RM1" s="464"/>
      <c r="RN1" s="464"/>
      <c r="RO1" s="464"/>
      <c r="RP1" s="464"/>
      <c r="RQ1" s="464"/>
      <c r="RR1" s="464"/>
      <c r="RS1" s="464"/>
      <c r="RT1" s="464"/>
      <c r="RU1" s="464"/>
      <c r="RV1" s="464"/>
      <c r="RW1" s="464"/>
      <c r="RX1" s="464"/>
      <c r="RY1" s="464"/>
      <c r="RZ1" s="464"/>
      <c r="SA1" s="464"/>
      <c r="SB1" s="464"/>
      <c r="SC1" s="464"/>
      <c r="SD1" s="464"/>
      <c r="SE1" s="464"/>
      <c r="SF1" s="464"/>
      <c r="SG1" s="464"/>
      <c r="SH1" s="464"/>
      <c r="SI1" s="464"/>
      <c r="SJ1" s="464"/>
      <c r="SK1" s="464"/>
      <c r="SL1" s="464"/>
      <c r="SM1" s="464"/>
      <c r="SN1" s="464"/>
      <c r="SO1" s="464"/>
      <c r="SP1" s="464"/>
      <c r="SQ1" s="464"/>
      <c r="SR1" s="969" t="s">
        <v>78</v>
      </c>
      <c r="SS1" s="970"/>
      <c r="ST1" s="970"/>
      <c r="SU1" s="970"/>
      <c r="SV1" s="970"/>
      <c r="SW1" s="970"/>
      <c r="SX1" s="970"/>
      <c r="SY1" s="970"/>
      <c r="SZ1" s="160"/>
      <c r="TA1" s="969" t="s">
        <v>246</v>
      </c>
      <c r="TB1" s="970"/>
      <c r="TC1" s="970"/>
      <c r="TD1" s="970"/>
      <c r="TE1" s="970"/>
      <c r="TF1" s="970"/>
      <c r="TG1" s="970"/>
      <c r="TH1" s="970"/>
      <c r="TI1" s="167"/>
      <c r="TJ1" s="176" t="s">
        <v>469</v>
      </c>
      <c r="TK1" s="175"/>
      <c r="TL1" s="430">
        <f>2</f>
        <v>2</v>
      </c>
      <c r="TM1" s="430">
        <f t="shared" ref="TM1:TS1" si="15">TL1+1</f>
        <v>3</v>
      </c>
      <c r="TN1" s="430">
        <f t="shared" si="15"/>
        <v>4</v>
      </c>
      <c r="TO1" s="430">
        <f t="shared" si="15"/>
        <v>5</v>
      </c>
      <c r="TP1" s="430">
        <f t="shared" si="15"/>
        <v>6</v>
      </c>
      <c r="TQ1" s="464">
        <f t="shared" si="15"/>
        <v>7</v>
      </c>
      <c r="TR1" s="464">
        <f t="shared" si="15"/>
        <v>8</v>
      </c>
      <c r="TS1" s="464">
        <f t="shared" si="15"/>
        <v>9</v>
      </c>
      <c r="TT1" s="430">
        <f t="shared" ref="TT1:UB1" si="16">TS1+1</f>
        <v>10</v>
      </c>
      <c r="TU1" s="430">
        <f t="shared" si="16"/>
        <v>11</v>
      </c>
      <c r="TV1" s="430">
        <f t="shared" si="16"/>
        <v>12</v>
      </c>
      <c r="TW1" s="436">
        <f t="shared" si="16"/>
        <v>13</v>
      </c>
      <c r="TX1" s="436">
        <f t="shared" si="16"/>
        <v>14</v>
      </c>
      <c r="TY1" s="436">
        <f t="shared" si="16"/>
        <v>15</v>
      </c>
      <c r="TZ1" s="436">
        <f t="shared" si="16"/>
        <v>16</v>
      </c>
      <c r="UA1" s="436">
        <f t="shared" si="16"/>
        <v>17</v>
      </c>
      <c r="UB1" s="536">
        <f t="shared" si="16"/>
        <v>18</v>
      </c>
      <c r="UC1" s="435">
        <f ca="1">IF(ISERROR(VLOOKUP(INDIRECT(TEXT(UC2&amp;"Level",0)),$JM$33:$JW$52,$JV$2+2,FALSE)),0,VLOOKUP(INDIRECT(TEXT(UC2&amp;"Level",0)),$JM$33:$JW$52,$JV$2+2,FALSE))</f>
        <v>0</v>
      </c>
      <c r="UD1" s="430">
        <f ca="1">IF(ISERROR(VLOOKUP(INDIRECT(TEXT(UD2&amp;"Level",0)),$JM$79:$JW$98,$JV$2+2,FALSE)),0,VLOOKUP(INDIRECT(TEXT(UD2&amp;"Level",0)),$JM$79:$JW$98,$JV$2+2,FALSE))</f>
        <v>0</v>
      </c>
      <c r="UE1" s="435">
        <f ca="1">IF(ISERROR(VLOOKUP(INDIRECT(TEXT(UE2&amp;"Level",0)),$JM$79:$JW$98,$JV$2+2,FALSE)),0,VLOOKUP(INDIRECT(TEXT(UE2&amp;"Level",0)),$JM$79:$JW$98,$JV$2+2,FALSE))</f>
        <v>0</v>
      </c>
      <c r="UF1" s="464">
        <f ca="1">IF(ISERROR(VLOOKUP(INDIRECT(TEXT(UF2&amp;"Level",0)),$JM$33:$JW$52,$JV$2+2,FALSE)),0,VLOOKUP(INDIRECT(TEXT(UF2&amp;"Level",0)),$JM$33:$JW$52,$JV$2+2,FALSE))</f>
        <v>0</v>
      </c>
      <c r="UG1" s="464">
        <f ca="1">IF(ISERROR(VLOOKUP(INDIRECT(TEXT(UG2&amp;"Level",0)),$JM$102:$JW$121,$JV$2+2,FALSE)),0,VLOOKUP(INDIRECT(TEXT(UG2&amp;"Level",0)),$JM$102:$JW$121,$JV$2+2,FALSE))</f>
        <v>0</v>
      </c>
      <c r="UH1" s="430">
        <f ca="1">IF(ISERROR(VLOOKUP(INDIRECT(TEXT(UH2&amp;"Level",0)),$JM$33:$JW$52,$JV$2+2,FALSE)),0,VLOOKUP(INDIRECT(TEXT(UH2&amp;"Level",0)),$JM$33:$JW$52,$JV$2+2,FALSE))</f>
        <v>0</v>
      </c>
      <c r="UI1" s="435">
        <f ca="1">IF(ISERROR(VLOOKUP(INDIRECT(TEXT(UI2&amp;"Level",0)),$JM$33:$JW$52,$JV$2+2,FALSE)),0,VLOOKUP(INDIRECT(TEXT(UI2&amp;"Level",0)),$JM$33:$JW$52,$JV$2+2,FALSE))</f>
        <v>0</v>
      </c>
      <c r="UJ1" s="430">
        <f ca="1">IF(ISERROR(VLOOKUP(INDIRECT(TEXT(UJ2&amp;"Level",0)),$JM$56:$JW$75,$JV$2+2,FALSE)),0,VLOOKUP(INDIRECT(TEXT(UJ2&amp;"Level",0)),$JM$56:$JW$75,$JV$2+2,FALSE))</f>
        <v>0</v>
      </c>
      <c r="UK1" s="435">
        <f ca="1">IF(ISERROR(VLOOKUP(INDIRECT(TEXT(UK2&amp;"Level",0)),$JM$56:$JW$75,$JV$2+2,FALSE)),0,VLOOKUP(INDIRECT(TEXT(UK2&amp;"Level",0)),$JM$56:$JW$75,$JV$2+2,FALSE))</f>
        <v>0</v>
      </c>
      <c r="UL1" s="435">
        <f ca="1">IF(ISERROR(VLOOKUP(INDIRECT(TEXT(UL2&amp;"Level",0)),$JM$33:$JW$52,$JV$2+2,FALSE)),0,VLOOKUP(INDIRECT(TEXT(UL2&amp;"Level",0)),$JM$33:$JW$52,$JV$2+2,FALSE))</f>
        <v>0</v>
      </c>
      <c r="UM1" s="430">
        <f>IF(OR(SubClass1=UM2,SubClass2=UM2,SubClass3=UM2),$UC$1,0)</f>
        <v>0</v>
      </c>
      <c r="UN1" s="430">
        <f>IF(OR(SubClass1=UN2,SubClass2=UN2,SubClass3=UN2),$UC$1,0)</f>
        <v>0</v>
      </c>
      <c r="UO1" s="464">
        <f>IF(OR(SubClass1=UO2,SubClass2=UO2,SubClass3=UO2),$UD$1,0)</f>
        <v>0</v>
      </c>
      <c r="UP1" s="430">
        <f>IF(OR(SubClass1=UP2,SubClass2=UP2,SubClass3=UP2),$UD$1,0)</f>
        <v>0</v>
      </c>
      <c r="UQ1" s="435">
        <f>IF(OR(SubClass1=UQ2,SubClass2=UQ2,SubClass3=UQ2),$UD$1,0)</f>
        <v>0</v>
      </c>
      <c r="UR1" s="430">
        <f>IF(OR(SubClass1=UR2,SubClass2=UR2,SubClass3=UR2),$UE$1,0)</f>
        <v>0</v>
      </c>
      <c r="US1" s="430">
        <f>IF(OR(SubClass1=US2,SubClass2=US2,SubClass3=US2),$UE$1,0)</f>
        <v>0</v>
      </c>
      <c r="UT1" s="464">
        <f>IF(OR(SubClass1=UT2,SubClass2=UT2,SubClass3=UT2),$UF$1,0)</f>
        <v>0</v>
      </c>
      <c r="UU1" s="464">
        <f>IF(OR(SubClass1=UU2,SubClass2=UU2,SubClass3=UU2),$UF$1,0)</f>
        <v>0</v>
      </c>
      <c r="UV1" s="464">
        <f>IF(OR(SubClass1=UV2,SubClass2=UV2,SubClass3=UV2),$UG$1,0)</f>
        <v>0</v>
      </c>
      <c r="UW1" s="464">
        <f>IF(OR(SubClass1=UW2,SubClass2=UW2,SubClass3=UW2),$UG$1,0)</f>
        <v>0</v>
      </c>
      <c r="UX1" s="464">
        <f>IF(OR(SubClass1=UX2,SubClass2=UX2,SubClass3=UX2),$UG$1,0)</f>
        <v>0</v>
      </c>
      <c r="UY1" s="430">
        <f t="shared" ref="UY1:VE1" si="17">IF(OR(SubClass1=UY2,SubClass2=UY2,SubClass3=UY2),$UH$1,0)</f>
        <v>0</v>
      </c>
      <c r="UZ1" s="430">
        <f t="shared" si="17"/>
        <v>0</v>
      </c>
      <c r="VA1" s="430">
        <f t="shared" si="17"/>
        <v>0</v>
      </c>
      <c r="VB1" s="464">
        <f t="shared" si="17"/>
        <v>0</v>
      </c>
      <c r="VC1" s="430">
        <f t="shared" si="17"/>
        <v>0</v>
      </c>
      <c r="VD1" s="430">
        <f t="shared" si="17"/>
        <v>0</v>
      </c>
      <c r="VE1" s="464">
        <f t="shared" si="17"/>
        <v>0</v>
      </c>
      <c r="VF1" s="430">
        <f>IF(OR(SubClass1=VF2,SubClass2=VF2,SubClass3=VF2),$UI$1,0)</f>
        <v>0</v>
      </c>
      <c r="VG1" s="434">
        <f t="shared" ref="VG1:VN1" si="18">IF(DruidLandOrigin=VG2,$VF$1,0)</f>
        <v>0</v>
      </c>
      <c r="VH1" s="464">
        <f t="shared" si="18"/>
        <v>0</v>
      </c>
      <c r="VI1" s="464">
        <f t="shared" si="18"/>
        <v>0</v>
      </c>
      <c r="VJ1" s="464">
        <f t="shared" si="18"/>
        <v>0</v>
      </c>
      <c r="VK1" s="464">
        <f t="shared" si="18"/>
        <v>0</v>
      </c>
      <c r="VL1" s="464">
        <f t="shared" si="18"/>
        <v>0</v>
      </c>
      <c r="VM1" s="464">
        <f t="shared" si="18"/>
        <v>0</v>
      </c>
      <c r="VN1" s="464">
        <f t="shared" si="18"/>
        <v>0</v>
      </c>
      <c r="VO1" s="464">
        <f>IF(OR(SubClass1=VO2,SubClass2=VO2,SubClass3=VO2),$UI$1,0)</f>
        <v>0</v>
      </c>
      <c r="VP1" s="430">
        <f>IF(OR(SubClass1=VP2,SubClass2=VP2,SubClass3=VP2),$UJ$1,0)</f>
        <v>0</v>
      </c>
      <c r="VQ1" s="430">
        <f>IF(OR(SubClass1=VQ2,SubClass2=VQ2,SubClass3=VQ2),$UK$1,0)</f>
        <v>0</v>
      </c>
      <c r="VR1" s="430">
        <f t="shared" ref="VR1:VY1" si="19">IF(OR(SubClass1=VR2,SubClass2=VR2,SubClass3=VR2),$UL$1,0)</f>
        <v>0</v>
      </c>
      <c r="VS1" s="430">
        <f t="shared" si="19"/>
        <v>0</v>
      </c>
      <c r="VT1" s="430">
        <f t="shared" si="19"/>
        <v>0</v>
      </c>
      <c r="VU1" s="430">
        <f t="shared" si="19"/>
        <v>0</v>
      </c>
      <c r="VV1" s="430">
        <f t="shared" ca="1" si="19"/>
        <v>0</v>
      </c>
      <c r="VW1" s="430">
        <f t="shared" si="19"/>
        <v>0</v>
      </c>
      <c r="VX1" s="430">
        <f t="shared" si="19"/>
        <v>0</v>
      </c>
      <c r="VY1" s="430">
        <f t="shared" si="19"/>
        <v>0</v>
      </c>
      <c r="VZ1" s="430">
        <f>IF(Race=VZ2,1,0)</f>
        <v>0</v>
      </c>
      <c r="WA1" s="464">
        <f>IF(Race=WA2,1,0)</f>
        <v>0</v>
      </c>
      <c r="WB1" s="430">
        <f>IF(Subrace=WB2,1,0)</f>
        <v>0</v>
      </c>
      <c r="WC1" s="430">
        <f>IF(Subrace=WC2,1,0)</f>
        <v>0</v>
      </c>
      <c r="WE1" s="18">
        <v>0.5</v>
      </c>
      <c r="WG1" s="18">
        <v>0.5</v>
      </c>
      <c r="WI1" s="18">
        <v>1</v>
      </c>
      <c r="WK1" s="18">
        <v>2</v>
      </c>
      <c r="WM1" s="18">
        <v>3</v>
      </c>
      <c r="WO1" s="18">
        <v>4</v>
      </c>
      <c r="WQ1" s="18">
        <v>5</v>
      </c>
      <c r="WS1" s="18">
        <v>6</v>
      </c>
      <c r="WU1" s="18">
        <v>7</v>
      </c>
      <c r="WW1" s="18">
        <v>8</v>
      </c>
      <c r="WY1" s="18">
        <v>9</v>
      </c>
      <c r="WZ1" s="18"/>
      <c r="XA1" s="18" t="s">
        <v>2835</v>
      </c>
      <c r="XB1" s="18" t="s">
        <v>728</v>
      </c>
      <c r="XC1" s="18">
        <v>1</v>
      </c>
      <c r="XD1" s="18">
        <v>2</v>
      </c>
      <c r="XE1" s="18">
        <v>3</v>
      </c>
      <c r="XF1" s="18">
        <v>4</v>
      </c>
      <c r="XG1" s="18">
        <v>5</v>
      </c>
      <c r="XH1" s="18">
        <v>6</v>
      </c>
      <c r="XI1" s="18">
        <v>7</v>
      </c>
      <c r="XJ1" s="18">
        <v>8</v>
      </c>
      <c r="XK1" s="18">
        <v>9</v>
      </c>
      <c r="XL1" s="464" t="s">
        <v>743</v>
      </c>
      <c r="XM1" s="464"/>
      <c r="XN1" s="464"/>
      <c r="XO1" s="182" t="s">
        <v>9</v>
      </c>
      <c r="XP1" s="464" t="s">
        <v>8</v>
      </c>
      <c r="XQ1" s="294" t="s">
        <v>24</v>
      </c>
      <c r="XR1" s="182" t="s">
        <v>20</v>
      </c>
      <c r="XS1" s="182" t="s">
        <v>18</v>
      </c>
      <c r="XT1" s="182" t="s">
        <v>19</v>
      </c>
      <c r="XU1" s="182" t="s">
        <v>23</v>
      </c>
      <c r="XV1" s="182" t="s">
        <v>31</v>
      </c>
      <c r="XW1" s="182" t="s">
        <v>34</v>
      </c>
      <c r="XX1" s="182" t="s">
        <v>39</v>
      </c>
      <c r="XY1" s="182" t="s">
        <v>42</v>
      </c>
      <c r="XZ1" s="281" t="s">
        <v>33</v>
      </c>
      <c r="YA1" s="281" t="s">
        <v>1738</v>
      </c>
      <c r="YB1" s="457" t="s">
        <v>248</v>
      </c>
      <c r="YC1" s="182" t="s">
        <v>323</v>
      </c>
      <c r="YD1" s="549"/>
      <c r="YE1" s="282" t="s">
        <v>3081</v>
      </c>
      <c r="YF1" s="545" t="s">
        <v>225</v>
      </c>
      <c r="YG1" s="545"/>
      <c r="YH1" s="282"/>
      <c r="YI1" s="282"/>
      <c r="YJ1" s="545" t="str">
        <f>YJ3&amp;YJ4&amp;YJ5&amp;YJ6&amp;YJ7&amp;YJ8&amp;YJ9&amp;YJ10</f>
        <v/>
      </c>
      <c r="YK1" s="282" t="s">
        <v>2348</v>
      </c>
      <c r="YL1" s="464" t="s">
        <v>3085</v>
      </c>
      <c r="YM1" s="549" t="s">
        <v>3084</v>
      </c>
      <c r="YN1" s="545" t="s">
        <v>3085</v>
      </c>
      <c r="YO1" s="282" t="s">
        <v>3078</v>
      </c>
      <c r="YP1" s="464" t="s">
        <v>3085</v>
      </c>
      <c r="YQ1" s="464" t="s">
        <v>3079</v>
      </c>
      <c r="YR1" s="545" t="s">
        <v>3085</v>
      </c>
      <c r="YS1" s="549"/>
      <c r="YT1" s="282" t="s">
        <v>1899</v>
      </c>
      <c r="YU1" s="282" t="s">
        <v>2979</v>
      </c>
      <c r="YV1" s="464"/>
      <c r="YW1" s="282"/>
      <c r="YX1" s="282" t="s">
        <v>3080</v>
      </c>
      <c r="YY1" s="464"/>
      <c r="YZ1" s="464"/>
      <c r="ZA1" s="464"/>
      <c r="ZB1" s="464"/>
      <c r="ZC1" s="464"/>
      <c r="ZD1" s="464">
        <f t="shared" ref="ZD1:ZN1" si="20">ZE1+1</f>
        <v>13</v>
      </c>
      <c r="ZE1" s="464">
        <f t="shared" si="20"/>
        <v>12</v>
      </c>
      <c r="ZF1" s="464">
        <f t="shared" si="20"/>
        <v>11</v>
      </c>
      <c r="ZG1" s="464">
        <f t="shared" si="20"/>
        <v>10</v>
      </c>
      <c r="ZH1" s="464">
        <f t="shared" si="20"/>
        <v>9</v>
      </c>
      <c r="ZI1" s="464">
        <f t="shared" si="20"/>
        <v>8</v>
      </c>
      <c r="ZJ1" s="464">
        <f t="shared" si="20"/>
        <v>7</v>
      </c>
      <c r="ZK1" s="464">
        <f t="shared" si="20"/>
        <v>6</v>
      </c>
      <c r="ZL1" s="464">
        <f t="shared" si="20"/>
        <v>5</v>
      </c>
      <c r="ZM1" s="464">
        <f t="shared" si="20"/>
        <v>4</v>
      </c>
      <c r="ZN1" s="464">
        <f t="shared" si="20"/>
        <v>3</v>
      </c>
      <c r="ZO1" s="464">
        <f>ZP1+1</f>
        <v>2</v>
      </c>
      <c r="ZP1" s="464">
        <v>1</v>
      </c>
      <c r="ZQ1" s="464"/>
      <c r="ZR1" s="464"/>
      <c r="ZS1" s="464"/>
      <c r="ZT1" s="464"/>
      <c r="ZU1" s="464" t="s">
        <v>3094</v>
      </c>
      <c r="ZV1" s="464"/>
      <c r="ZW1" s="464"/>
      <c r="ZX1" s="464"/>
      <c r="ZY1" s="464"/>
      <c r="ZZ1" s="464"/>
      <c r="AAA1" s="464"/>
      <c r="AAB1" s="464"/>
      <c r="AAC1" s="464"/>
      <c r="AAD1" s="464"/>
      <c r="AAE1" s="464"/>
      <c r="AAF1" s="464"/>
      <c r="AAG1" s="464"/>
      <c r="AAH1" s="464"/>
      <c r="AAI1" s="464"/>
      <c r="AAJ1" s="464"/>
      <c r="AAK1" s="464"/>
      <c r="AAL1" s="464"/>
      <c r="AAM1" s="464"/>
      <c r="AAN1" s="464"/>
      <c r="AAO1" s="464"/>
      <c r="AAP1" s="464"/>
    </row>
    <row r="2" spans="1:718" s="59" customFormat="1" ht="9.9499999999999993" customHeight="1" x14ac:dyDescent="0.25">
      <c r="A2" s="18"/>
      <c r="B2" s="18">
        <v>2</v>
      </c>
      <c r="C2" s="18">
        <f>B2+1</f>
        <v>3</v>
      </c>
      <c r="D2" s="18">
        <f t="shared" ref="D2:T2" si="21">C2+1</f>
        <v>4</v>
      </c>
      <c r="E2" s="18">
        <f t="shared" si="21"/>
        <v>5</v>
      </c>
      <c r="F2" s="18">
        <f t="shared" si="21"/>
        <v>6</v>
      </c>
      <c r="G2" s="18">
        <f t="shared" si="21"/>
        <v>7</v>
      </c>
      <c r="H2" s="18">
        <f t="shared" si="21"/>
        <v>8</v>
      </c>
      <c r="I2" s="18">
        <f t="shared" si="21"/>
        <v>9</v>
      </c>
      <c r="J2" s="18">
        <f t="shared" si="21"/>
        <v>10</v>
      </c>
      <c r="K2" s="18">
        <f t="shared" si="21"/>
        <v>11</v>
      </c>
      <c r="L2" s="18">
        <f t="shared" si="21"/>
        <v>12</v>
      </c>
      <c r="M2" s="18">
        <f t="shared" si="21"/>
        <v>13</v>
      </c>
      <c r="N2" s="18">
        <f t="shared" si="21"/>
        <v>14</v>
      </c>
      <c r="O2" s="18">
        <f t="shared" si="21"/>
        <v>15</v>
      </c>
      <c r="P2" s="18">
        <f t="shared" si="21"/>
        <v>16</v>
      </c>
      <c r="Q2" s="18">
        <f t="shared" si="21"/>
        <v>17</v>
      </c>
      <c r="R2" s="18">
        <f t="shared" si="21"/>
        <v>18</v>
      </c>
      <c r="S2" s="18">
        <f t="shared" si="21"/>
        <v>19</v>
      </c>
      <c r="T2" s="18">
        <f t="shared" si="21"/>
        <v>20</v>
      </c>
      <c r="U2" s="59" t="str">
        <f>Subrace</f>
        <v>Select…</v>
      </c>
      <c r="V2" s="59" t="str">
        <f>VLOOKUP(U2,U3:V25,2,FALSE)</f>
        <v/>
      </c>
      <c r="AB2" s="59" t="str">
        <f>Gender</f>
        <v>Select…</v>
      </c>
      <c r="AC2" s="59" t="str">
        <f>IF(Race=A9,Subrace,IF(COUNTIF(Tables!BN3:BN5,Tables!BI17)&gt;0,Start!AJ53,SelectText))</f>
        <v>Select…</v>
      </c>
      <c r="AD2" s="18"/>
      <c r="AE2" s="18"/>
      <c r="AF2" s="18">
        <v>2</v>
      </c>
      <c r="AG2" s="18">
        <f t="shared" ref="AG2:AM2" si="22">AF2+1</f>
        <v>3</v>
      </c>
      <c r="AH2" s="18">
        <f t="shared" si="22"/>
        <v>4</v>
      </c>
      <c r="AI2" s="18">
        <f t="shared" si="22"/>
        <v>5</v>
      </c>
      <c r="AJ2" s="18">
        <f t="shared" si="22"/>
        <v>6</v>
      </c>
      <c r="AK2" s="18">
        <f t="shared" si="22"/>
        <v>7</v>
      </c>
      <c r="AL2" s="18">
        <f t="shared" si="22"/>
        <v>8</v>
      </c>
      <c r="AM2" s="18">
        <f t="shared" si="22"/>
        <v>9</v>
      </c>
      <c r="AN2" s="18"/>
      <c r="AO2" s="18"/>
      <c r="AP2" s="18"/>
      <c r="AQ2" s="18" t="str">
        <f>SelectText</f>
        <v>Select…</v>
      </c>
      <c r="AR2" s="18" t="s">
        <v>818</v>
      </c>
      <c r="AS2" s="18" t="s">
        <v>2395</v>
      </c>
      <c r="AT2" s="18" t="s">
        <v>820</v>
      </c>
      <c r="AU2" s="18" t="s">
        <v>2396</v>
      </c>
      <c r="AV2" s="18" t="s">
        <v>823</v>
      </c>
      <c r="AW2" s="18" t="s">
        <v>2397</v>
      </c>
      <c r="AX2" s="18" t="s">
        <v>2398</v>
      </c>
      <c r="AY2" s="18" t="s">
        <v>303</v>
      </c>
      <c r="AZ2" s="18" t="s">
        <v>2399</v>
      </c>
      <c r="BA2" s="18" t="s">
        <v>304</v>
      </c>
      <c r="BB2" s="18" t="s">
        <v>2400</v>
      </c>
      <c r="BC2" s="18" t="s">
        <v>305</v>
      </c>
      <c r="BD2" s="18" t="s">
        <v>2365</v>
      </c>
      <c r="BE2" s="18"/>
      <c r="BF2" s="109" t="str">
        <f ca="1">Tables!BH3&amp;Tables!BH4&amp;Tables!BH5&amp;Tables!BH6&amp;Tables!BH7&amp;Tables!BH8</f>
        <v/>
      </c>
      <c r="BG2" s="15"/>
      <c r="BH2" s="14"/>
      <c r="BI2" s="58" t="str">
        <f>BI3&amp;BI4&amp;BI5</f>
        <v/>
      </c>
      <c r="BJ2" s="18" t="b">
        <f>IF(AND(BN2="SINGLE",OR(Class1=BI12,Class1=BI15,Class1=BI9)),TRUE,FALSE)</f>
        <v>0</v>
      </c>
      <c r="BM2" s="18" t="str">
        <f>""</f>
        <v/>
      </c>
      <c r="BN2" s="59" t="str">
        <f>IF(AND(Class2="",Class3=""),"SINGLE","MULTI")</f>
        <v>SINGLE</v>
      </c>
      <c r="BO2" s="59" t="str">
        <f ca="1">BU3&amp;BU4&amp;BU5</f>
        <v/>
      </c>
      <c r="BQ2" s="58" t="str">
        <f ca="1">BR3&amp;BR4&amp;BR5</f>
        <v/>
      </c>
      <c r="BT2" s="488" t="str">
        <f>Tables!BT3&amp;Tables!BT4&amp;Tables!BT5</f>
        <v/>
      </c>
      <c r="BV2" s="18">
        <f>MAX(BV3:BV5)</f>
        <v>0</v>
      </c>
      <c r="BW2" s="18">
        <f>SUM(BW3:BW5)</f>
        <v>0</v>
      </c>
      <c r="BX2" s="18">
        <f>SUM(BX3:BX5)</f>
        <v>0</v>
      </c>
      <c r="BY2" s="18" t="str">
        <f>IF(AND(BY3="",BY4="",BY5=""),"none",BY3&amp;BY4&amp;BY5)</f>
        <v>none</v>
      </c>
      <c r="BZ2" s="18">
        <v>18</v>
      </c>
      <c r="CA2" s="18">
        <f>BZ2+1</f>
        <v>19</v>
      </c>
      <c r="CB2" s="18">
        <f t="shared" ref="CB2:CN2" si="23">CA2+1</f>
        <v>20</v>
      </c>
      <c r="CC2" s="18">
        <f t="shared" si="23"/>
        <v>21</v>
      </c>
      <c r="CD2" s="18">
        <f t="shared" si="23"/>
        <v>22</v>
      </c>
      <c r="CE2" s="18">
        <f t="shared" si="23"/>
        <v>23</v>
      </c>
      <c r="CF2" s="18">
        <f t="shared" si="23"/>
        <v>24</v>
      </c>
      <c r="CG2" s="18">
        <f t="shared" si="23"/>
        <v>25</v>
      </c>
      <c r="CH2" s="18">
        <f t="shared" si="23"/>
        <v>26</v>
      </c>
      <c r="CI2" s="18">
        <f t="shared" si="23"/>
        <v>27</v>
      </c>
      <c r="CJ2" s="18">
        <f t="shared" si="23"/>
        <v>28</v>
      </c>
      <c r="CK2" s="18">
        <f t="shared" si="23"/>
        <v>29</v>
      </c>
      <c r="CL2" s="18">
        <f t="shared" si="23"/>
        <v>30</v>
      </c>
      <c r="CM2" s="18">
        <f t="shared" si="23"/>
        <v>31</v>
      </c>
      <c r="CN2" s="18">
        <f t="shared" si="23"/>
        <v>32</v>
      </c>
      <c r="CO2" s="18">
        <f t="shared" ref="CO2:DF2" si="24">CN2+1</f>
        <v>33</v>
      </c>
      <c r="CP2" s="18">
        <f t="shared" si="24"/>
        <v>34</v>
      </c>
      <c r="CQ2" s="18">
        <f t="shared" si="24"/>
        <v>35</v>
      </c>
      <c r="CR2" s="18">
        <f t="shared" si="24"/>
        <v>36</v>
      </c>
      <c r="CS2" s="18">
        <f t="shared" si="24"/>
        <v>37</v>
      </c>
      <c r="CT2" s="18">
        <f t="shared" si="24"/>
        <v>38</v>
      </c>
      <c r="CU2" s="18">
        <f t="shared" si="24"/>
        <v>39</v>
      </c>
      <c r="CV2" s="18">
        <f t="shared" si="24"/>
        <v>40</v>
      </c>
      <c r="CW2" s="18">
        <f t="shared" si="24"/>
        <v>41</v>
      </c>
      <c r="CX2" s="18">
        <f t="shared" si="24"/>
        <v>42</v>
      </c>
      <c r="CY2" s="18">
        <f t="shared" si="24"/>
        <v>43</v>
      </c>
      <c r="CZ2" s="18">
        <f t="shared" si="24"/>
        <v>44</v>
      </c>
      <c r="DA2" s="18">
        <f t="shared" si="24"/>
        <v>45</v>
      </c>
      <c r="DB2" s="18">
        <f t="shared" si="24"/>
        <v>46</v>
      </c>
      <c r="DC2" s="18">
        <f t="shared" si="24"/>
        <v>47</v>
      </c>
      <c r="DD2" s="18">
        <f t="shared" si="24"/>
        <v>48</v>
      </c>
      <c r="DE2" s="18">
        <f t="shared" si="24"/>
        <v>49</v>
      </c>
      <c r="DF2" s="18">
        <f t="shared" si="24"/>
        <v>50</v>
      </c>
      <c r="DH2" s="59" t="str">
        <f>IF(AND(DH3="",DH4="",DH5=""),"none",DH3&amp;DH4&amp;DH5&amp;IF(COUNTIF(IQ4:IQ11,II7)=0,"","• Beguiling Influence: You gain proficiency in Deception and Persuation skills
"))</f>
        <v>none</v>
      </c>
      <c r="DJ2" s="59" t="str">
        <f>DJ3&amp;DJ4&amp;DJ5</f>
        <v/>
      </c>
      <c r="DK2" s="59" t="s">
        <v>171</v>
      </c>
      <c r="DL2" s="59" t="str">
        <f>SubClass</f>
        <v/>
      </c>
      <c r="DO2" s="18">
        <f>4</f>
        <v>4</v>
      </c>
      <c r="DP2" s="18">
        <f>DO2+1</f>
        <v>5</v>
      </c>
      <c r="DQ2" s="18">
        <f t="shared" ref="DQ2:EY2" si="25">DP2+1</f>
        <v>6</v>
      </c>
      <c r="DR2" s="18">
        <f t="shared" si="25"/>
        <v>7</v>
      </c>
      <c r="DS2" s="18">
        <f t="shared" si="25"/>
        <v>8</v>
      </c>
      <c r="DT2" s="18">
        <f t="shared" si="25"/>
        <v>9</v>
      </c>
      <c r="DU2" s="18">
        <f t="shared" si="25"/>
        <v>10</v>
      </c>
      <c r="DV2" s="18">
        <f t="shared" si="25"/>
        <v>11</v>
      </c>
      <c r="DW2" s="18">
        <f t="shared" si="25"/>
        <v>12</v>
      </c>
      <c r="DX2" s="18">
        <f t="shared" si="25"/>
        <v>13</v>
      </c>
      <c r="DY2" s="18">
        <f t="shared" si="25"/>
        <v>14</v>
      </c>
      <c r="DZ2" s="18">
        <f t="shared" si="25"/>
        <v>15</v>
      </c>
      <c r="EA2" s="18">
        <f t="shared" si="25"/>
        <v>16</v>
      </c>
      <c r="EB2" s="18">
        <f t="shared" si="25"/>
        <v>17</v>
      </c>
      <c r="EC2" s="18">
        <f t="shared" si="25"/>
        <v>18</v>
      </c>
      <c r="ED2" s="18">
        <f t="shared" si="25"/>
        <v>19</v>
      </c>
      <c r="EE2" s="18">
        <f t="shared" si="25"/>
        <v>20</v>
      </c>
      <c r="EF2" s="18">
        <f t="shared" si="25"/>
        <v>21</v>
      </c>
      <c r="EG2" s="18">
        <f t="shared" si="25"/>
        <v>22</v>
      </c>
      <c r="EH2" s="18">
        <f t="shared" si="25"/>
        <v>23</v>
      </c>
      <c r="EI2" s="273">
        <f t="shared" si="25"/>
        <v>24</v>
      </c>
      <c r="EJ2" s="273">
        <f t="shared" ref="EJ2:EW2" si="26">EI2+1</f>
        <v>25</v>
      </c>
      <c r="EK2" s="273">
        <f t="shared" si="26"/>
        <v>26</v>
      </c>
      <c r="EL2" s="273">
        <f t="shared" si="26"/>
        <v>27</v>
      </c>
      <c r="EM2" s="273">
        <f t="shared" si="26"/>
        <v>28</v>
      </c>
      <c r="EN2" s="273">
        <f t="shared" si="26"/>
        <v>29</v>
      </c>
      <c r="EO2" s="273">
        <f t="shared" si="26"/>
        <v>30</v>
      </c>
      <c r="EP2" s="273">
        <f t="shared" si="26"/>
        <v>31</v>
      </c>
      <c r="EQ2" s="273">
        <f t="shared" si="26"/>
        <v>32</v>
      </c>
      <c r="ER2" s="273">
        <f t="shared" si="26"/>
        <v>33</v>
      </c>
      <c r="ES2" s="273">
        <f t="shared" si="26"/>
        <v>34</v>
      </c>
      <c r="ET2" s="273">
        <f t="shared" si="26"/>
        <v>35</v>
      </c>
      <c r="EU2" s="18">
        <f t="shared" si="26"/>
        <v>36</v>
      </c>
      <c r="EV2" s="18">
        <f t="shared" si="26"/>
        <v>37</v>
      </c>
      <c r="EW2" s="18">
        <f t="shared" si="26"/>
        <v>38</v>
      </c>
      <c r="EX2" s="18">
        <f t="shared" si="25"/>
        <v>39</v>
      </c>
      <c r="EY2" s="18">
        <f t="shared" si="25"/>
        <v>40</v>
      </c>
      <c r="FB2" s="58"/>
      <c r="FC2" s="18"/>
      <c r="FD2" s="58"/>
      <c r="FE2" s="18"/>
      <c r="FF2" s="58"/>
      <c r="FG2" s="18"/>
      <c r="FH2" s="58"/>
      <c r="FI2" s="18"/>
      <c r="FJ2" s="58"/>
      <c r="FK2" s="18"/>
      <c r="FL2" s="58"/>
      <c r="FM2" s="18"/>
      <c r="FN2" s="18"/>
      <c r="FO2" s="18"/>
      <c r="FP2" s="18"/>
      <c r="FQ2" s="18"/>
      <c r="FR2" s="18"/>
      <c r="FS2" s="18"/>
      <c r="FT2" s="18"/>
      <c r="FU2" s="18"/>
      <c r="FV2" s="18"/>
      <c r="FW2" s="18" t="str">
        <f>IF(FX2="","",MAX($FW$1:FW1)+1)</f>
        <v/>
      </c>
      <c r="FX2" s="59" t="str">
        <f>IF(OR(AND(Class1=$BI$8,FighterLevel&gt;=1),AND(Class1=$BI$15,PaladinLevel&gt;=2),AND(Class1=$BI$16,RangerLevel&gt;=2)),Class1,"")</f>
        <v/>
      </c>
      <c r="FY2" s="85">
        <v>1</v>
      </c>
      <c r="FZ2" s="59" t="str">
        <f ca="1">IF(ISERROR(VLOOKUP($FY2,$FW$2:$FX$5,2,FALSE)),"",VLOOKUP($FY2,$FW$2:$FX$5,2,FALSE))</f>
        <v/>
      </c>
      <c r="GA2" s="59" t="str">
        <f>FightingStyle1</f>
        <v>Select…</v>
      </c>
      <c r="GB2" s="59" t="str">
        <f>SelectText</f>
        <v>Select…</v>
      </c>
      <c r="GC2" s="142" t="str">
        <f>""</f>
        <v/>
      </c>
      <c r="GD2" s="142"/>
      <c r="GJ2" s="99" t="str">
        <f>GJ3&amp;GJ4&amp;GJ5&amp;GJ6&amp;GJ7&amp;GJ8&amp;GJ9&amp;GJ10&amp;GJ11&amp;GJ12&amp;GJ13</f>
        <v/>
      </c>
      <c r="GK2" s="18" t="str">
        <f>""</f>
        <v/>
      </c>
      <c r="GM2" s="18"/>
      <c r="GN2" s="18"/>
      <c r="GO2" s="18"/>
      <c r="GP2" s="18"/>
      <c r="GQ2" s="59" t="s">
        <v>3502</v>
      </c>
      <c r="GR2" s="142" t="s">
        <v>3487</v>
      </c>
      <c r="GS2" s="18"/>
      <c r="GT2" s="18"/>
      <c r="GU2" s="18"/>
      <c r="GV2" s="18"/>
      <c r="GW2" s="18"/>
      <c r="GX2" s="18"/>
      <c r="GY2" s="18"/>
      <c r="GZ2" s="18"/>
      <c r="HA2" s="18"/>
      <c r="HB2" s="18"/>
      <c r="HC2" s="18"/>
      <c r="HD2" s="18">
        <v>2</v>
      </c>
      <c r="HE2" s="18">
        <v>3</v>
      </c>
      <c r="HF2" s="18">
        <v>4</v>
      </c>
      <c r="HG2" s="18"/>
      <c r="HH2" s="18"/>
      <c r="HI2" s="18"/>
      <c r="HJ2" s="18"/>
      <c r="HK2" s="18"/>
      <c r="HL2" s="18"/>
      <c r="HM2" s="18"/>
      <c r="HN2" s="18"/>
      <c r="HO2" s="18"/>
      <c r="HP2" s="18"/>
      <c r="HQ2" s="18"/>
      <c r="HR2" s="18"/>
      <c r="HS2" s="18"/>
      <c r="HT2" s="18"/>
      <c r="HU2" s="18"/>
      <c r="HV2" s="18"/>
      <c r="HW2" s="18"/>
      <c r="HX2" s="59" t="s">
        <v>2958</v>
      </c>
      <c r="IB2" s="18"/>
      <c r="IC2" s="18"/>
      <c r="ID2" s="18"/>
      <c r="IE2" s="18"/>
      <c r="IG2" s="59" t="str">
        <f>IG4&amp;IG5&amp;IG6&amp;IG7</f>
        <v/>
      </c>
      <c r="IH2" s="18"/>
      <c r="IM2" s="59" t="str">
        <f>SelectText</f>
        <v>Select…</v>
      </c>
      <c r="IQ2" s="142"/>
      <c r="IR2" s="142" t="str">
        <f>IR4&amp;IR5&amp;IR6&amp;IR7&amp;IR8&amp;IR9&amp;IR10&amp;IR11</f>
        <v/>
      </c>
      <c r="IS2" s="59" t="str">
        <f>SelectText</f>
        <v>Select…</v>
      </c>
      <c r="IT2" s="59" t="str">
        <f>""</f>
        <v/>
      </c>
      <c r="IV2" s="59" t="str">
        <f>Alignment</f>
        <v>Select…</v>
      </c>
      <c r="IW2" s="18" t="str">
        <f>Deity</f>
        <v>Select…</v>
      </c>
      <c r="IX2" s="59" t="str">
        <f>Deity</f>
        <v>Select…</v>
      </c>
      <c r="IY2" s="59" t="s">
        <v>881</v>
      </c>
      <c r="IZ2" s="59" t="s">
        <v>879</v>
      </c>
      <c r="JA2" s="59" t="s">
        <v>880</v>
      </c>
      <c r="JB2" s="59" t="s">
        <v>882</v>
      </c>
      <c r="JC2" s="18">
        <f>IF(JD2="","",MAX($JC$1:JC1)+1)</f>
        <v>1</v>
      </c>
      <c r="JD2" s="59" t="s">
        <v>171</v>
      </c>
      <c r="JE2" s="59" t="s">
        <v>2667</v>
      </c>
      <c r="JF2" s="18">
        <v>1</v>
      </c>
      <c r="JG2" s="59" t="str">
        <f t="shared" ref="JG2:JG21" si="27">IF(ISERROR(VLOOKUP(JF2,$JC$2:$JD$50,2,FALSE)),"",VLOOKUP(JF2,$JC$2:$JD$50,2,FALSE))</f>
        <v>Select…</v>
      </c>
      <c r="JH2" s="18">
        <v>1</v>
      </c>
      <c r="JI2" s="60">
        <v>0</v>
      </c>
      <c r="JJ2" s="18">
        <v>1</v>
      </c>
      <c r="JK2" s="18">
        <v>2</v>
      </c>
      <c r="JL2" s="18"/>
      <c r="JM2" s="309" t="s">
        <v>7</v>
      </c>
      <c r="JN2" s="310">
        <v>1</v>
      </c>
      <c r="JO2" s="311">
        <v>2</v>
      </c>
      <c r="JP2" s="312">
        <v>3</v>
      </c>
      <c r="JQ2" s="313">
        <v>4</v>
      </c>
      <c r="JR2" s="313">
        <v>5</v>
      </c>
      <c r="JS2" s="313">
        <v>6</v>
      </c>
      <c r="JT2" s="313">
        <v>7</v>
      </c>
      <c r="JU2" s="313">
        <v>8</v>
      </c>
      <c r="JV2" s="313">
        <v>9</v>
      </c>
      <c r="JW2" s="18">
        <v>10</v>
      </c>
      <c r="JX2" s="18" t="s">
        <v>3281</v>
      </c>
      <c r="JY2" s="314" t="s">
        <v>1899</v>
      </c>
      <c r="JZ2" s="314" t="s">
        <v>3275</v>
      </c>
      <c r="KA2" s="314"/>
      <c r="KB2" s="314"/>
      <c r="KC2" s="314"/>
      <c r="KD2" s="574" t="s">
        <v>7</v>
      </c>
      <c r="KE2" s="575" t="s">
        <v>1870</v>
      </c>
      <c r="KF2" s="575" t="s">
        <v>3277</v>
      </c>
      <c r="KG2" s="575" t="s">
        <v>1869</v>
      </c>
      <c r="KH2" s="575" t="s">
        <v>3278</v>
      </c>
      <c r="KI2" s="575" t="s">
        <v>3101</v>
      </c>
      <c r="KJ2" s="575" t="s">
        <v>3206</v>
      </c>
      <c r="KK2" s="574" t="s">
        <v>7</v>
      </c>
      <c r="KL2" s="575" t="s">
        <v>1867</v>
      </c>
      <c r="KM2" s="575" t="s">
        <v>1868</v>
      </c>
      <c r="KN2" s="575" t="s">
        <v>1869</v>
      </c>
      <c r="KO2" s="575" t="s">
        <v>1870</v>
      </c>
      <c r="KP2" s="575" t="s">
        <v>2989</v>
      </c>
      <c r="KQ2" s="575" t="s">
        <v>3101</v>
      </c>
      <c r="KR2" s="575" t="s">
        <v>3206</v>
      </c>
      <c r="KS2" s="307"/>
      <c r="KT2" s="308" t="s">
        <v>79</v>
      </c>
      <c r="KV2" s="85" t="s">
        <v>332</v>
      </c>
      <c r="KW2" s="480" t="str">
        <f ca="1">PV80&amp;PV81&amp;PV86&amp;PV87&amp;PV88&amp;PV89&amp;PV90&amp;PV91&amp;PV92&amp;PV93&amp;PV94&amp;PV95&amp;PV96&amp;PV97&amp;PV98&amp;PV99&amp;PV100&amp;PV101&amp;PV102&amp;PV103&amp;PV104&amp;PV105&amp;PV106&amp;PV107&amp;PV108&amp;PV109&amp;PV110&amp;PV111&amp;PV112&amp;PV113&amp;PV114&amp;PV116&amp;PV117&amp;PV118&amp;PV119&amp;PV120&amp;PV121&amp;PV122&amp;PV123&amp;PV124&amp;PV129</f>
        <v/>
      </c>
      <c r="KX2" s="319"/>
      <c r="KY2" s="319"/>
      <c r="KZ2" s="319"/>
      <c r="LA2" s="319"/>
      <c r="LB2" s="319"/>
      <c r="LC2" s="319"/>
      <c r="LD2" s="319"/>
      <c r="LE2" s="319"/>
      <c r="LF2" s="319"/>
      <c r="LG2" s="319"/>
      <c r="LH2" s="319"/>
      <c r="LI2" s="319"/>
      <c r="LJ2" s="319"/>
      <c r="LK2" s="319"/>
      <c r="LL2" s="319"/>
      <c r="LM2" s="319"/>
      <c r="LN2" s="319"/>
      <c r="LO2" s="319"/>
      <c r="LP2" s="319"/>
      <c r="LQ2" s="319"/>
      <c r="LR2" s="319"/>
      <c r="LS2" s="319"/>
      <c r="LT2" s="319"/>
      <c r="LU2" s="319"/>
      <c r="LV2" s="319"/>
      <c r="LW2" s="319"/>
      <c r="LX2" s="319"/>
      <c r="LY2" s="319"/>
      <c r="LZ2" s="320"/>
      <c r="MA2" s="320"/>
      <c r="MB2" s="320"/>
      <c r="MC2" s="320"/>
      <c r="MD2" s="321"/>
      <c r="ME2" s="320"/>
      <c r="MF2" s="320"/>
      <c r="MG2" s="320"/>
      <c r="MH2" s="320"/>
      <c r="MI2" s="320"/>
      <c r="MJ2" s="320"/>
      <c r="MK2" s="320"/>
      <c r="ML2" s="320"/>
      <c r="MM2" s="973" t="s">
        <v>226</v>
      </c>
      <c r="MN2" s="973" t="s">
        <v>226</v>
      </c>
      <c r="MO2" s="973" t="s">
        <v>226</v>
      </c>
      <c r="MP2" s="973" t="s">
        <v>226</v>
      </c>
      <c r="MQ2" s="973" t="s">
        <v>226</v>
      </c>
      <c r="MR2" s="973" t="s">
        <v>226</v>
      </c>
      <c r="MS2" s="973" t="s">
        <v>226</v>
      </c>
      <c r="MT2" s="973" t="s">
        <v>288</v>
      </c>
      <c r="MU2" s="973" t="s">
        <v>288</v>
      </c>
      <c r="MV2" s="973" t="s">
        <v>288</v>
      </c>
      <c r="MW2" s="973" t="s">
        <v>315</v>
      </c>
      <c r="MX2" s="973" t="s">
        <v>315</v>
      </c>
      <c r="MY2" s="973" t="s">
        <v>315</v>
      </c>
      <c r="MZ2" s="973" t="s">
        <v>801</v>
      </c>
      <c r="NA2" s="973" t="s">
        <v>801</v>
      </c>
      <c r="NB2" s="973" t="s">
        <v>801</v>
      </c>
      <c r="NC2" s="973" t="s">
        <v>801</v>
      </c>
      <c r="ND2" s="973" t="s">
        <v>801</v>
      </c>
      <c r="NE2" s="973" t="s">
        <v>801</v>
      </c>
      <c r="NF2" s="973" t="s">
        <v>801</v>
      </c>
      <c r="NG2" s="973" t="s">
        <v>801</v>
      </c>
      <c r="NH2" s="972" t="s">
        <v>276</v>
      </c>
      <c r="NI2" s="972" t="s">
        <v>276</v>
      </c>
      <c r="NJ2" s="972" t="s">
        <v>279</v>
      </c>
      <c r="NK2" s="972" t="s">
        <v>279</v>
      </c>
      <c r="NL2" s="972" t="s">
        <v>287</v>
      </c>
      <c r="NM2" s="972" t="s">
        <v>287</v>
      </c>
      <c r="NN2" s="972" t="s">
        <v>308</v>
      </c>
      <c r="NO2" s="972" t="s">
        <v>308</v>
      </c>
      <c r="NP2" s="972" t="s">
        <v>308</v>
      </c>
      <c r="NQ2" s="972" t="s">
        <v>309</v>
      </c>
      <c r="NR2" s="972" t="s">
        <v>309</v>
      </c>
      <c r="NS2" s="972" t="s">
        <v>309</v>
      </c>
      <c r="NT2" s="972" t="s">
        <v>312</v>
      </c>
      <c r="NU2" s="972" t="s">
        <v>312</v>
      </c>
      <c r="NV2" s="972" t="s">
        <v>2698</v>
      </c>
      <c r="NW2" s="972" t="s">
        <v>2698</v>
      </c>
      <c r="NX2" s="972" t="s">
        <v>2641</v>
      </c>
      <c r="NY2" s="972" t="s">
        <v>2641</v>
      </c>
      <c r="NZ2" s="972" t="s">
        <v>2641</v>
      </c>
      <c r="OA2" s="320"/>
      <c r="OB2" s="320"/>
      <c r="OC2" s="320"/>
      <c r="OD2" s="320"/>
      <c r="OE2" s="320"/>
      <c r="OF2" s="320"/>
      <c r="OG2" s="320"/>
      <c r="OH2" s="320"/>
      <c r="OI2" s="320"/>
      <c r="OJ2" s="320"/>
      <c r="OK2" s="320"/>
      <c r="OL2" s="320"/>
      <c r="OM2" s="320"/>
      <c r="ON2" s="320"/>
      <c r="OO2" s="320"/>
      <c r="OP2" s="320"/>
      <c r="OQ2" s="320"/>
      <c r="OR2" s="320"/>
      <c r="OS2" s="320"/>
      <c r="OT2" s="320"/>
      <c r="OU2" s="320"/>
      <c r="OV2" s="320"/>
      <c r="OW2" s="320"/>
      <c r="OX2" s="320"/>
      <c r="OY2" s="320"/>
      <c r="OZ2" s="320"/>
      <c r="PA2" s="320"/>
      <c r="PB2" s="320"/>
      <c r="PC2" s="320"/>
      <c r="PD2" s="320"/>
      <c r="PE2" s="320"/>
      <c r="PF2" s="320"/>
      <c r="PG2" s="320"/>
      <c r="PH2" s="320"/>
      <c r="PI2" s="320"/>
      <c r="PJ2" s="320"/>
      <c r="PK2" s="320"/>
      <c r="PL2" s="320"/>
      <c r="PM2" s="320"/>
      <c r="PN2" s="320"/>
      <c r="PO2" s="320"/>
      <c r="PP2" s="320"/>
      <c r="PQ2" s="320"/>
      <c r="PR2" s="320"/>
      <c r="PS2" s="320"/>
      <c r="PT2" s="320"/>
      <c r="PU2" s="320"/>
      <c r="PV2" s="320"/>
      <c r="PW2" s="320"/>
      <c r="PX2" s="320"/>
      <c r="PY2" s="18"/>
      <c r="PZ2" s="21" t="s">
        <v>148</v>
      </c>
      <c r="QA2" s="21" t="s">
        <v>152</v>
      </c>
      <c r="QB2" s="23" t="s">
        <v>362</v>
      </c>
      <c r="QC2" s="21" t="s">
        <v>150</v>
      </c>
      <c r="QD2" s="21" t="s">
        <v>149</v>
      </c>
      <c r="QE2" s="21" t="s">
        <v>143</v>
      </c>
      <c r="QF2" s="22" t="s">
        <v>151</v>
      </c>
      <c r="QG2" s="21" t="s">
        <v>135</v>
      </c>
      <c r="QH2" s="21" t="s">
        <v>136</v>
      </c>
      <c r="QI2" s="21" t="s">
        <v>137</v>
      </c>
      <c r="QJ2" s="21" t="s">
        <v>138</v>
      </c>
      <c r="QK2" s="21" t="s">
        <v>139</v>
      </c>
      <c r="QL2" s="21" t="s">
        <v>841</v>
      </c>
      <c r="QM2" s="21" t="s">
        <v>144</v>
      </c>
      <c r="QN2" s="21" t="s">
        <v>146</v>
      </c>
      <c r="QO2" s="21" t="s">
        <v>147</v>
      </c>
      <c r="QP2" s="21" t="s">
        <v>145</v>
      </c>
      <c r="QQ2" s="23" t="str">
        <f>""</f>
        <v/>
      </c>
      <c r="QR2" s="23" t="s">
        <v>777</v>
      </c>
      <c r="QT2" s="722">
        <v>2</v>
      </c>
      <c r="QU2" s="727"/>
      <c r="QV2" s="727"/>
      <c r="QW2" s="727"/>
      <c r="QX2" s="528"/>
      <c r="QY2" s="634"/>
      <c r="QZ2" s="634"/>
      <c r="RA2" s="726"/>
      <c r="RB2" s="634"/>
      <c r="RC2" s="634"/>
      <c r="RD2" s="528"/>
      <c r="RE2" s="528"/>
      <c r="RF2" s="528"/>
      <c r="RG2" s="528"/>
      <c r="RH2" s="634"/>
      <c r="RI2" s="634"/>
      <c r="RJ2" s="634"/>
      <c r="RK2" s="634"/>
      <c r="RL2" s="634"/>
      <c r="RM2" s="634"/>
      <c r="RN2" s="634"/>
      <c r="RO2" s="634"/>
      <c r="RP2" s="634"/>
      <c r="RQ2" s="634"/>
      <c r="RR2" s="634"/>
      <c r="RS2" s="634"/>
      <c r="RT2" s="634"/>
      <c r="RU2" s="634"/>
      <c r="RV2" s="634"/>
      <c r="RW2" s="634"/>
      <c r="RX2" s="634"/>
      <c r="RY2" s="634"/>
      <c r="RZ2" s="634"/>
      <c r="SA2" s="634"/>
      <c r="SB2" s="634"/>
      <c r="SC2" s="634"/>
      <c r="SD2" s="634"/>
      <c r="SE2" s="634"/>
      <c r="SF2" s="634"/>
      <c r="SG2" s="634"/>
      <c r="SH2" s="634"/>
      <c r="SI2" s="634"/>
      <c r="SJ2" s="634"/>
      <c r="SK2" s="634"/>
      <c r="SL2" s="634"/>
      <c r="SM2" s="634"/>
      <c r="SN2" s="634"/>
      <c r="SO2" s="634"/>
      <c r="SP2" s="634"/>
      <c r="SQ2" s="729"/>
      <c r="SR2" s="21" t="s">
        <v>148</v>
      </c>
      <c r="SS2" s="21" t="s">
        <v>152</v>
      </c>
      <c r="ST2" s="23" t="s">
        <v>362</v>
      </c>
      <c r="SU2" s="21" t="s">
        <v>24</v>
      </c>
      <c r="SV2" s="21" t="s">
        <v>240</v>
      </c>
      <c r="SW2" s="21" t="s">
        <v>837</v>
      </c>
      <c r="SX2" s="21" t="s">
        <v>241</v>
      </c>
      <c r="SY2" s="23" t="s">
        <v>151</v>
      </c>
      <c r="SZ2" s="21" t="s">
        <v>470</v>
      </c>
      <c r="TA2" s="21" t="s">
        <v>148</v>
      </c>
      <c r="TB2" s="21" t="s">
        <v>152</v>
      </c>
      <c r="TC2" s="23" t="s">
        <v>362</v>
      </c>
      <c r="TD2" s="21" t="s">
        <v>24</v>
      </c>
      <c r="TE2" s="21" t="s">
        <v>240</v>
      </c>
      <c r="TF2" s="21" t="s">
        <v>837</v>
      </c>
      <c r="TG2" s="21" t="s">
        <v>241</v>
      </c>
      <c r="TH2" s="23" t="s">
        <v>151</v>
      </c>
      <c r="TI2" s="23" t="s">
        <v>470</v>
      </c>
      <c r="TJ2" s="22">
        <f>SUBTOTAL(2,TJ3:TJ1000)</f>
        <v>362</v>
      </c>
      <c r="TK2" s="21" t="str">
        <f>SelectText</f>
        <v>Select…</v>
      </c>
      <c r="TL2" s="21" t="s">
        <v>7</v>
      </c>
      <c r="TM2" s="21"/>
      <c r="TN2" s="21" t="s">
        <v>148</v>
      </c>
      <c r="TO2" s="21" t="s">
        <v>3071</v>
      </c>
      <c r="TP2" s="21" t="s">
        <v>2341</v>
      </c>
      <c r="TQ2" s="21" t="s">
        <v>3072</v>
      </c>
      <c r="TR2" s="21" t="s">
        <v>3073</v>
      </c>
      <c r="TS2" s="21" t="s">
        <v>477</v>
      </c>
      <c r="TT2" s="21" t="s">
        <v>478</v>
      </c>
      <c r="TU2" s="23" t="s">
        <v>143</v>
      </c>
      <c r="TV2" s="23" t="s">
        <v>479</v>
      </c>
      <c r="TW2" s="23" t="s">
        <v>480</v>
      </c>
      <c r="TX2" s="23" t="s">
        <v>852</v>
      </c>
      <c r="TY2" s="23" t="s">
        <v>481</v>
      </c>
      <c r="TZ2" s="23" t="s">
        <v>1952</v>
      </c>
      <c r="UA2" s="23" t="s">
        <v>482</v>
      </c>
      <c r="UB2" s="23" t="s">
        <v>741</v>
      </c>
      <c r="UC2" s="400" t="s">
        <v>279</v>
      </c>
      <c r="UD2" s="431" t="s">
        <v>309</v>
      </c>
      <c r="UE2" s="432" t="s">
        <v>312</v>
      </c>
      <c r="UF2" s="568" t="s">
        <v>2698</v>
      </c>
      <c r="UG2" s="573" t="s">
        <v>2641</v>
      </c>
      <c r="UH2" s="257" t="s">
        <v>226</v>
      </c>
      <c r="UI2" s="401" t="s">
        <v>287</v>
      </c>
      <c r="UJ2" s="303" t="s">
        <v>288</v>
      </c>
      <c r="UK2" s="304" t="s">
        <v>315</v>
      </c>
      <c r="UL2" s="256" t="s">
        <v>801</v>
      </c>
      <c r="UM2" s="400" t="s">
        <v>2648</v>
      </c>
      <c r="UN2" s="400" t="s">
        <v>280</v>
      </c>
      <c r="UO2" s="431" t="s">
        <v>310</v>
      </c>
      <c r="UP2" s="431" t="s">
        <v>2730</v>
      </c>
      <c r="UQ2" s="431" t="s">
        <v>311</v>
      </c>
      <c r="UR2" s="432" t="s">
        <v>313</v>
      </c>
      <c r="US2" s="432" t="s">
        <v>314</v>
      </c>
      <c r="UT2" s="568" t="s">
        <v>3098</v>
      </c>
      <c r="UU2" s="568" t="s">
        <v>3099</v>
      </c>
      <c r="UV2" s="573" t="s">
        <v>3204</v>
      </c>
      <c r="UW2" s="573" t="s">
        <v>3069</v>
      </c>
      <c r="UX2" s="573" t="s">
        <v>3205</v>
      </c>
      <c r="UY2" s="257" t="s">
        <v>281</v>
      </c>
      <c r="UZ2" s="257" t="s">
        <v>282</v>
      </c>
      <c r="VA2" s="257" t="s">
        <v>91</v>
      </c>
      <c r="VB2" s="257" t="s">
        <v>283</v>
      </c>
      <c r="VC2" s="257" t="s">
        <v>922</v>
      </c>
      <c r="VD2" s="257" t="s">
        <v>888</v>
      </c>
      <c r="VE2" s="257" t="s">
        <v>284</v>
      </c>
      <c r="VF2" s="401" t="s">
        <v>286</v>
      </c>
      <c r="VG2" s="401" t="s">
        <v>2663</v>
      </c>
      <c r="VH2" s="401" t="s">
        <v>731</v>
      </c>
      <c r="VI2" s="401" t="s">
        <v>732</v>
      </c>
      <c r="VJ2" s="401" t="s">
        <v>234</v>
      </c>
      <c r="VK2" s="401" t="s">
        <v>733</v>
      </c>
      <c r="VL2" s="401" t="s">
        <v>230</v>
      </c>
      <c r="VM2" s="401" t="s">
        <v>734</v>
      </c>
      <c r="VN2" s="401" t="s">
        <v>2664</v>
      </c>
      <c r="VO2" s="401" t="s">
        <v>285</v>
      </c>
      <c r="VP2" s="303" t="s">
        <v>1515</v>
      </c>
      <c r="VQ2" s="304" t="s">
        <v>1513</v>
      </c>
      <c r="VR2" s="256" t="s">
        <v>289</v>
      </c>
      <c r="VS2" s="256" t="s">
        <v>290</v>
      </c>
      <c r="VT2" s="256" t="s">
        <v>291</v>
      </c>
      <c r="VU2" s="256" t="s">
        <v>292</v>
      </c>
      <c r="VV2" s="256" t="s">
        <v>293</v>
      </c>
      <c r="VW2" s="256" t="s">
        <v>294</v>
      </c>
      <c r="VX2" s="256" t="s">
        <v>295</v>
      </c>
      <c r="VY2" s="256" t="s">
        <v>296</v>
      </c>
      <c r="VZ2" s="433" t="s">
        <v>217</v>
      </c>
      <c r="WA2" s="433" t="s">
        <v>3678</v>
      </c>
      <c r="WB2" s="433" t="s">
        <v>192</v>
      </c>
      <c r="WC2" s="433" t="s">
        <v>234</v>
      </c>
      <c r="WD2" s="18">
        <v>1</v>
      </c>
      <c r="WE2" s="59" t="str">
        <f>""</f>
        <v/>
      </c>
      <c r="WF2" s="18">
        <v>1</v>
      </c>
      <c r="WG2" s="59" t="str">
        <f>""</f>
        <v/>
      </c>
      <c r="WH2" s="18">
        <v>1</v>
      </c>
      <c r="WI2" s="59" t="str">
        <f>""</f>
        <v/>
      </c>
      <c r="WJ2" s="18">
        <v>1</v>
      </c>
      <c r="WK2" s="59" t="str">
        <f>""</f>
        <v/>
      </c>
      <c r="WL2" s="18">
        <v>1</v>
      </c>
      <c r="WM2" s="59" t="str">
        <f>""</f>
        <v/>
      </c>
      <c r="WN2" s="18">
        <v>1</v>
      </c>
      <c r="WO2" s="59" t="str">
        <f>""</f>
        <v/>
      </c>
      <c r="WP2" s="18">
        <v>1</v>
      </c>
      <c r="WQ2" s="59" t="str">
        <f>""</f>
        <v/>
      </c>
      <c r="WR2" s="18">
        <v>1</v>
      </c>
      <c r="WS2" s="59" t="str">
        <f>""</f>
        <v/>
      </c>
      <c r="WT2" s="18">
        <v>1</v>
      </c>
      <c r="WU2" s="59" t="str">
        <f>""</f>
        <v/>
      </c>
      <c r="WV2" s="18">
        <v>1</v>
      </c>
      <c r="WW2" s="59" t="str">
        <f>""</f>
        <v/>
      </c>
      <c r="WX2" s="18">
        <v>1</v>
      </c>
      <c r="WY2" s="59" t="str">
        <f>""</f>
        <v/>
      </c>
      <c r="WZ2" s="18">
        <v>1</v>
      </c>
      <c r="XB2" s="59" t="str">
        <f t="shared" ref="XB2:XB33" si="28">IF(ISERROR(VLOOKUP($WZ2,$WF$1:$WG$5013,2,FALSE)),"",VLOOKUP($WZ2,$WF$1:$WG$5013,2,FALSE))</f>
        <v/>
      </c>
      <c r="XC2" s="59" t="str">
        <f t="shared" ref="XC2:XC33" si="29">IF(ISERROR(VLOOKUP($WZ2,$WH$1:$WI$5013,2,FALSE)),"",VLOOKUP($WZ2,$WH$1:$WI$5013,2,FALSE))</f>
        <v/>
      </c>
      <c r="XL2" s="59" t="str">
        <f>SelectText</f>
        <v>Select…</v>
      </c>
      <c r="XN2" s="142" t="str">
        <f>Spellcasting!F23</f>
        <v>Select…</v>
      </c>
      <c r="XO2" s="142" t="str">
        <f>VLOOKUP(Spellcasting!$F$23,Tables!$XN$27:$YC$58,XO3,FALSE)</f>
        <v/>
      </c>
      <c r="XP2" s="249" t="str">
        <f>VLOOKUP(Spellcasting!$F$23,Tables!$XN$27:$YC$58,XP3,FALSE)</f>
        <v/>
      </c>
      <c r="XQ2" s="249" t="str">
        <f>VLOOKUP(Spellcasting!$F$23,Tables!$XN$27:$YC$58,XQ3,FALSE)</f>
        <v/>
      </c>
      <c r="XR2" s="249" t="str">
        <f>VLOOKUP(Spellcasting!$F$23,Tables!$XN$27:$YC$58,XR3,FALSE)</f>
        <v/>
      </c>
      <c r="XS2" s="142" t="str">
        <f>VLOOKUP(Spellcasting!$F$23,Tables!$XN$27:$YC$58,XS3,FALSE)</f>
        <v/>
      </c>
      <c r="XT2" s="249" t="str">
        <f>VLOOKUP(Spellcasting!$F$23,Tables!$XN$27:$YC$58,XT3,FALSE)</f>
        <v/>
      </c>
      <c r="XU2" s="249" t="str">
        <f>VLOOKUP(Spellcasting!$F$23,Tables!$XN$27:$YC$58,XU3,FALSE)</f>
        <v/>
      </c>
      <c r="XV2" s="249" t="str">
        <f>VLOOKUP(Spellcasting!$F$23,Tables!$XN$27:$YC$58,XV3,FALSE)</f>
        <v/>
      </c>
      <c r="XW2" s="249" t="str">
        <f>VLOOKUP(Spellcasting!$F$23,Tables!$XN$27:$YC$58,XW3,FALSE)</f>
        <v/>
      </c>
      <c r="XX2" s="249" t="str">
        <f>VLOOKUP(Spellcasting!$F$23,Tables!$XN$27:$YC$58,XX3,FALSE)</f>
        <v/>
      </c>
      <c r="XY2" s="249" t="str">
        <f>VLOOKUP(Spellcasting!$F$23,Tables!$XN$27:$YC$58,XY3,FALSE)</f>
        <v/>
      </c>
      <c r="XZ2" s="142" t="str">
        <f>VLOOKUP(Spellcasting!$F$23,Tables!$XN$27:$YC$58,XZ3,FALSE)</f>
        <v/>
      </c>
      <c r="YA2" s="142" t="str">
        <f>VLOOKUP(Spellcasting!$F$23,Tables!$XN$27:$YC$58,YA3,FALSE)</f>
        <v/>
      </c>
      <c r="YB2" s="142" t="str">
        <f>VLOOKUP(Spellcasting!$F$23,Tables!$XN$27:$YC$58,YB3,FALSE)</f>
        <v/>
      </c>
      <c r="YC2" s="142" t="str">
        <f>VLOOKUP(Spellcasting!$F$23,Tables!$XN$27:$YC$58,YC3,FALSE)</f>
        <v/>
      </c>
      <c r="YD2" s="18"/>
      <c r="YE2" s="18" t="str">
        <f>""</f>
        <v/>
      </c>
      <c r="YF2" s="18">
        <v>1</v>
      </c>
      <c r="YG2" s="18">
        <f t="shared" ref="YG2:YQ2" si="30">YF2+1</f>
        <v>2</v>
      </c>
      <c r="YH2" s="18">
        <f t="shared" si="30"/>
        <v>3</v>
      </c>
      <c r="YI2" s="18">
        <f t="shared" si="30"/>
        <v>4</v>
      </c>
      <c r="YJ2" s="18">
        <f t="shared" si="30"/>
        <v>5</v>
      </c>
      <c r="YK2" s="18">
        <f t="shared" si="30"/>
        <v>6</v>
      </c>
      <c r="YL2" s="18">
        <f t="shared" si="30"/>
        <v>7</v>
      </c>
      <c r="YM2" s="18">
        <f t="shared" si="30"/>
        <v>8</v>
      </c>
      <c r="YN2" s="18">
        <f t="shared" si="30"/>
        <v>9</v>
      </c>
      <c r="YO2" s="18">
        <f t="shared" si="30"/>
        <v>10</v>
      </c>
      <c r="YP2" s="18">
        <f t="shared" si="30"/>
        <v>11</v>
      </c>
      <c r="YQ2" s="18">
        <f t="shared" si="30"/>
        <v>12</v>
      </c>
      <c r="YT2" s="216" t="s">
        <v>210</v>
      </c>
      <c r="YU2" s="18">
        <v>1</v>
      </c>
      <c r="YV2" s="18" t="str">
        <f>IF(AND(Race = YT2,Start!AZ5=TRUE),1,"")</f>
        <v/>
      </c>
      <c r="YW2" s="18" t="str">
        <f>IF(YX2="","",MAX($YW1:YW$1)+1)</f>
        <v/>
      </c>
      <c r="YX2" s="59" t="str">
        <f>IF(AND(Race = YT2,Start!AZ5=TRUE),YT2&amp;" - Level "&amp;YU2,"")</f>
        <v/>
      </c>
      <c r="YY2" s="18" t="str">
        <f>IF(AND(Race = YT2,Start!AZ5=TRUE),YU2,"")</f>
        <v/>
      </c>
      <c r="YZ2" s="18" t="s">
        <v>2979</v>
      </c>
      <c r="ZA2" s="18"/>
      <c r="ZB2" s="18"/>
      <c r="ZC2" s="18" t="s">
        <v>1899</v>
      </c>
      <c r="ZD2" s="18" t="s">
        <v>276</v>
      </c>
      <c r="ZE2" s="18" t="s">
        <v>279</v>
      </c>
      <c r="ZF2" s="18" t="s">
        <v>226</v>
      </c>
      <c r="ZG2" s="18" t="s">
        <v>287</v>
      </c>
      <c r="ZH2" s="18" t="s">
        <v>288</v>
      </c>
      <c r="ZI2" s="18" t="s">
        <v>308</v>
      </c>
      <c r="ZJ2" s="18" t="s">
        <v>309</v>
      </c>
      <c r="ZK2" s="18" t="s">
        <v>312</v>
      </c>
      <c r="ZL2" s="18" t="s">
        <v>315</v>
      </c>
      <c r="ZM2" s="18" t="s">
        <v>2698</v>
      </c>
      <c r="ZN2" s="18" t="s">
        <v>2641</v>
      </c>
      <c r="ZO2" s="18" t="s">
        <v>801</v>
      </c>
      <c r="ZP2" s="18" t="s">
        <v>2979</v>
      </c>
      <c r="ZQ2" s="459" t="s">
        <v>276</v>
      </c>
      <c r="ZR2" s="18">
        <f t="shared" ref="ZR2:ZR13" si="31">COUNTIF($YT$2:$YT$65,ZQ2)</f>
        <v>5</v>
      </c>
      <c r="ZS2" s="59" t="str">
        <f>YG14</f>
        <v>Ability Score Improvement</v>
      </c>
      <c r="ZT2" s="58" t="str">
        <f>IF(COUNTIF($YH$3:$YH$10,ZS2)&gt;0,$ZS2&amp;" x "&amp;COUNTIF($YH$3:$YH$10,ZS2)&amp;"
"&amp;VLOOKUP($ZS2,$YG$14:$YK$77,5,FALSE)&amp;"
","")</f>
        <v/>
      </c>
      <c r="ZU2" s="18" t="str">
        <f ca="1">IF(ISERROR(VLOOKUP(ZU3,$YE$3:$YH$10,$YI$2,FALSE)),"",IF(VLOOKUP(ZU3,$YE$3:$YH$10,$YI$2,FALSE)=$YG$44,1,""))</f>
        <v/>
      </c>
      <c r="ZV2" s="18" t="str">
        <f ca="1">IF(ISERROR(VLOOKUP(ZV3,$YE$3:$YH$10,$YI$2,FALSE)),"",IF(VLOOKUP(ZV3,$YE$3:$YH$10,$YI$2,FALSE)=$YG$44,1,""))</f>
        <v/>
      </c>
      <c r="ZW2" s="18" t="str">
        <f ca="1">IF(ISERROR(VLOOKUP(ZW3,$YE$3:$YH$10,$YI$2,FALSE)),"",IF(VLOOKUP(ZW3,$YE$3:$YH$10,$YI$2,FALSE)=$YG$44,1,""))</f>
        <v/>
      </c>
      <c r="ZX2" s="18" t="str">
        <f ca="1">IF(ISERROR(VLOOKUP(ZX3,$YE$3:$YH$10,$YI$2,FALSE)),"",IF(VLOOKUP(ZX3,$YE$3:$YH$10,$YI$2,FALSE)=$YG$44,1,""))</f>
        <v/>
      </c>
      <c r="ZY2" s="18" t="str">
        <f ca="1">IF(ISERROR(VLOOKUP(ZY3,$YE$3:$YH$10,$YI$2,FALSE)),"",IF(VLOOKUP(ZY3,$YE$3:$YH$10,$YI$2,FALSE)=$YG$44,1,""))</f>
        <v/>
      </c>
      <c r="ZZ2" s="18" t="str">
        <f t="shared" ref="ZZ2:AAP2" ca="1" si="32">IF(ISERROR(VLOOKUP(ZZ3,$YE$3:$YH$10,$YI$2,FALSE)),"",IF(VLOOKUP(ZZ3,$YE$3:$YH$10,$YI$2,FALSE)=$YG$44,1,""))</f>
        <v/>
      </c>
      <c r="AAA2" s="18" t="str">
        <f t="shared" ca="1" si="32"/>
        <v/>
      </c>
      <c r="AAB2" s="18" t="str">
        <f t="shared" ca="1" si="32"/>
        <v/>
      </c>
      <c r="AAC2" s="18" t="str">
        <f t="shared" ca="1" si="32"/>
        <v/>
      </c>
      <c r="AAD2" s="18" t="str">
        <f t="shared" ca="1" si="32"/>
        <v/>
      </c>
      <c r="AAE2" s="18" t="str">
        <f t="shared" ca="1" si="32"/>
        <v/>
      </c>
      <c r="AAF2" s="18" t="str">
        <f t="shared" ca="1" si="32"/>
        <v/>
      </c>
      <c r="AAG2" s="18" t="str">
        <f t="shared" ca="1" si="32"/>
        <v/>
      </c>
      <c r="AAH2" s="18" t="str">
        <f t="shared" ca="1" si="32"/>
        <v/>
      </c>
      <c r="AAI2" s="18" t="str">
        <f t="shared" ca="1" si="32"/>
        <v/>
      </c>
      <c r="AAJ2" s="18" t="str">
        <f t="shared" ca="1" si="32"/>
        <v/>
      </c>
      <c r="AAK2" s="18" t="str">
        <f t="shared" ca="1" si="32"/>
        <v/>
      </c>
      <c r="AAL2" s="18" t="str">
        <f t="shared" ca="1" si="32"/>
        <v/>
      </c>
      <c r="AAM2" s="18" t="str">
        <f t="shared" ca="1" si="32"/>
        <v/>
      </c>
      <c r="AAN2" s="18" t="str">
        <f t="shared" ca="1" si="32"/>
        <v/>
      </c>
      <c r="AAO2" s="18" t="str">
        <f t="shared" ca="1" si="32"/>
        <v/>
      </c>
      <c r="AAP2" s="18" t="str">
        <f t="shared" ca="1" si="32"/>
        <v/>
      </c>
    </row>
    <row r="3" spans="1:718" s="59" customFormat="1" ht="9.9499999999999993" customHeight="1" thickBot="1" x14ac:dyDescent="0.3">
      <c r="A3" s="18" t="str">
        <f>Race</f>
        <v>Select…</v>
      </c>
      <c r="B3" s="18" t="str">
        <f>VLOOKUP($A$3,$A$4:$T$16,B2,FALSE)</f>
        <v/>
      </c>
      <c r="C3" s="18" t="str">
        <f>IF(Race=SelectText,"",VLOOKUP($A$3,$A$4:$T$16,C2,FALSE)+IF($OZ$1&gt;0,10,0)+Tables!BW2)</f>
        <v/>
      </c>
      <c r="D3" s="18" t="str">
        <f t="shared" ref="D3:T3" si="33">VLOOKUP($A$3,$A$4:$T$16,D2,FALSE)</f>
        <v/>
      </c>
      <c r="E3" s="18" t="str">
        <f t="shared" si="33"/>
        <v/>
      </c>
      <c r="F3" s="18" t="str">
        <f t="shared" si="33"/>
        <v>none</v>
      </c>
      <c r="G3" s="18">
        <f t="shared" si="33"/>
        <v>0</v>
      </c>
      <c r="H3" s="59" t="str">
        <f t="shared" si="33"/>
        <v>none</v>
      </c>
      <c r="I3" s="18">
        <f t="shared" si="33"/>
        <v>0</v>
      </c>
      <c r="J3" s="59" t="str">
        <f t="shared" si="33"/>
        <v>none</v>
      </c>
      <c r="K3" s="18">
        <f t="shared" si="33"/>
        <v>0</v>
      </c>
      <c r="L3" s="18" t="str">
        <f t="shared" si="33"/>
        <v/>
      </c>
      <c r="M3" s="18" t="str">
        <f t="shared" si="33"/>
        <v/>
      </c>
      <c r="N3" s="18" t="str">
        <f t="shared" si="33"/>
        <v/>
      </c>
      <c r="O3" s="18" t="str">
        <f t="shared" si="33"/>
        <v/>
      </c>
      <c r="P3" s="18" t="str">
        <f t="shared" si="33"/>
        <v/>
      </c>
      <c r="Q3" s="18" t="str">
        <f t="shared" si="33"/>
        <v/>
      </c>
      <c r="R3" s="59" t="str">
        <f t="shared" si="33"/>
        <v/>
      </c>
      <c r="S3" s="59" t="str">
        <f t="shared" si="33"/>
        <v/>
      </c>
      <c r="T3" s="59" t="str">
        <f t="shared" si="33"/>
        <v/>
      </c>
      <c r="V3" s="59" t="str">
        <f>""</f>
        <v/>
      </c>
      <c r="AB3" s="59" t="s">
        <v>171</v>
      </c>
      <c r="AD3" s="18"/>
      <c r="AE3" s="59" t="str">
        <f>CharacterBackground</f>
        <v>Select…</v>
      </c>
      <c r="AF3" s="59" t="str">
        <f t="shared" ref="AF3:AM3" si="34">VLOOKUP(CharacterBackground,$AE$4:$AM$23,AF2,FALSE)</f>
        <v/>
      </c>
      <c r="AG3" s="59" t="str">
        <f t="shared" si="34"/>
        <v/>
      </c>
      <c r="AH3" s="59" t="str">
        <f t="shared" si="34"/>
        <v>none</v>
      </c>
      <c r="AI3" s="18">
        <f t="shared" si="34"/>
        <v>0</v>
      </c>
      <c r="AJ3" s="59" t="str">
        <f t="shared" si="34"/>
        <v>none</v>
      </c>
      <c r="AK3" s="18">
        <f t="shared" si="34"/>
        <v>0</v>
      </c>
      <c r="AL3" s="59" t="str">
        <f t="shared" si="34"/>
        <v>none</v>
      </c>
      <c r="AM3" s="18">
        <f t="shared" si="34"/>
        <v>0</v>
      </c>
      <c r="AN3" s="18">
        <v>1</v>
      </c>
      <c r="AO3" s="18"/>
      <c r="AP3" s="59" t="s">
        <v>1011</v>
      </c>
      <c r="AY3" s="18"/>
      <c r="AZ3" s="18"/>
      <c r="BC3" s="18"/>
      <c r="BE3" s="18" t="str">
        <f>""</f>
        <v/>
      </c>
      <c r="BF3" s="58" t="s">
        <v>19</v>
      </c>
      <c r="BG3" s="18" t="str">
        <f ca="1">IF(OR(BL11&gt;0,BL8&gt;0,BL14&gt;0,AAP4&gt;0),BF3,"")</f>
        <v/>
      </c>
      <c r="BH3" s="58" t="str">
        <f ca="1">IF(BG3="","",IF(COUNTIF(BG3:$BG$8,"&gt;&lt;")&gt;1,BG3&amp;", ",BG3))</f>
        <v/>
      </c>
      <c r="BI3" s="58" t="str">
        <f>IF(Class1="","",Class1&amp;" "&amp;BL3)</f>
        <v/>
      </c>
      <c r="BJ3" s="18" t="s">
        <v>2</v>
      </c>
      <c r="BK3" s="18">
        <v>1</v>
      </c>
      <c r="BL3" s="18" t="str">
        <f>IF(ISERROR(VLOOKUP($BN3,$BI$7:$BL$50,4,FALSE)),"",VLOOKUP($BN3,$BI$7:$BL$50,4,FALSE))</f>
        <v/>
      </c>
      <c r="BM3" s="18"/>
      <c r="BN3" s="59" t="str">
        <f>IF(ISERROR(VLOOKUP($BK3,Start!$AR$20:$AS$39,2,FALSE)),"",VLOOKUP($BK3,Start!$AR$20:$AS$39,2,FALSE))</f>
        <v/>
      </c>
      <c r="BO3" s="18" t="str">
        <f ca="1">IF(ISERROR(VLOOKUP($BN3,$BN$7:$BO$50,1,FALSE)),"",VLOOKUP($BN3,$BN$7:$BO$50,1,FALSE))</f>
        <v/>
      </c>
      <c r="BP3" s="18" t="str">
        <f ca="1">IF(ISERROR(VLOOKUP($BN3,$BN$7:$BO$50,2,FALSE)),"",VLOOKUP($BN3,$BN$7:$BO$50,2,FALSE))</f>
        <v/>
      </c>
      <c r="BQ3" s="58" t="str">
        <f>IF(Class1="","",SubClass1)</f>
        <v/>
      </c>
      <c r="BR3" s="59" t="str">
        <f ca="1">IF(BO3="","",IF(COUNTIF($BR$2:BR2,"&gt;&lt;""")&gt;0," / "&amp;BQ3,BQ3))</f>
        <v/>
      </c>
      <c r="BS3" s="489" t="b">
        <f>Tables!FA4</f>
        <v>0</v>
      </c>
      <c r="BT3" s="561" t="str">
        <f>IF(Tables!BS3=TRUE,IF(SubClass1="Land",IF(COUNTIF(Start!$AS$48:AS48,"&gt;&lt;""")&gt;0," / "&amp;SubClass1&amp;" ("&amp;DruidLandOrigin&amp;")",SubClass1&amp;" ("&amp;DruidLandOrigin&amp;")"),IF(COUNTIF(Start!$AS$48:AS48,"&gt;&lt;""")&gt;0," / "&amp;SubClass1,SubClass1)),"")</f>
        <v/>
      </c>
      <c r="BU3" s="59" t="str">
        <f ca="1">IF(BO3="","",IF(COUNTIF($BU$2:BU2,"&gt;&lt;""")&gt;0," / "&amp;BO3&amp;" "&amp;VLOOKUP(BO3,$BI$7:$BR$50,4,FALSE),BO3&amp;" "&amp;VLOOKUP(BO3,$BI$7:$BR$50,4,FALSE)))</f>
        <v/>
      </c>
      <c r="BV3" s="273" t="str">
        <f>IF($BN3="","",VLOOKUP($BN3,$BI$7:$CL$50,14,FALSE))</f>
        <v/>
      </c>
      <c r="BW3" s="273" t="str">
        <f>IF($BN3="","",VLOOKUP($BN3,$BI$7:$CL$50,15,FALSE))</f>
        <v/>
      </c>
      <c r="BX3" s="273" t="str">
        <f>IF($BN3="","",VLOOKUP($BN3,$BI$7:$CL$50,16,FALSE))</f>
        <v/>
      </c>
      <c r="BY3" s="273" t="str">
        <f>IF($BN3="","",VLOOKUP($BN3,$BI$7:$CL$50,17,FALSE))</f>
        <v/>
      </c>
      <c r="BZ3" s="103" t="str">
        <f>IF($BN3="","",VLOOKUP($BN3,$BI$7:$CL$50,BZ$2,FALSE))</f>
        <v/>
      </c>
      <c r="CA3" s="103"/>
      <c r="CB3" s="103" t="str">
        <f>IF($BN3="","",VLOOKUP($BN3,$BI$7:$CL$50,CB$2,FALSE))</f>
        <v/>
      </c>
      <c r="CC3" s="103"/>
      <c r="CD3" s="103" t="str">
        <f>IF($BN3="","",VLOOKUP($BN3,$BI$7:$CL$50,CD$2,FALSE))</f>
        <v/>
      </c>
      <c r="CE3" s="273">
        <f>IF($BN3="",0,VLOOKUP($BN3,$BI$7:$CL$50,CE$2,FALSE))</f>
        <v>0</v>
      </c>
      <c r="CF3" s="103"/>
      <c r="CG3" s="103"/>
      <c r="CH3" s="103" t="str">
        <f>IF($BN3="","",VLOOKUP($BN3,$BI$7:$CL$50,CH$2,FALSE))</f>
        <v/>
      </c>
      <c r="CI3" s="103" t="str">
        <f>IF($BN3="","",VLOOKUP($BN3,$BI$7:$CL$50,CI$2,FALSE))</f>
        <v/>
      </c>
      <c r="CJ3" s="273" t="str">
        <f>IF($BN3="","",IF($BL3&gt;=CJ$6,VLOOKUP($BN3,$BI$7:$DF$50,CJ$2,FALSE),""))</f>
        <v/>
      </c>
      <c r="CK3" s="103"/>
      <c r="CL3" s="103"/>
      <c r="CM3" s="103" t="str">
        <f t="shared" ref="CM3:CV5" si="35">IF($BN3="","",IF($BL3&gt;=CM$6,VLOOKUP($BN3,$BI$7:$DF$50,CM$2,FALSE),""))</f>
        <v/>
      </c>
      <c r="CN3" s="103" t="str">
        <f t="shared" si="35"/>
        <v/>
      </c>
      <c r="CO3" s="103" t="str">
        <f t="shared" si="35"/>
        <v/>
      </c>
      <c r="CP3" s="103" t="str">
        <f t="shared" si="35"/>
        <v/>
      </c>
      <c r="CQ3" s="103" t="str">
        <f t="shared" si="35"/>
        <v/>
      </c>
      <c r="CR3" s="103" t="str">
        <f t="shared" si="35"/>
        <v/>
      </c>
      <c r="CS3" s="103" t="str">
        <f t="shared" si="35"/>
        <v/>
      </c>
      <c r="CT3" s="103" t="str">
        <f t="shared" si="35"/>
        <v/>
      </c>
      <c r="CU3" s="103" t="str">
        <f t="shared" si="35"/>
        <v/>
      </c>
      <c r="CV3" s="103" t="str">
        <f t="shared" si="35"/>
        <v/>
      </c>
      <c r="CW3" s="103" t="str">
        <f t="shared" ref="CW3:DF5" si="36">IF($BN3="","",IF($BL3&gt;=CW$6,VLOOKUP($BN3,$BI$7:$DF$50,CW$2,FALSE),""))</f>
        <v/>
      </c>
      <c r="CX3" s="103" t="str">
        <f t="shared" si="36"/>
        <v/>
      </c>
      <c r="CY3" s="103" t="str">
        <f t="shared" si="36"/>
        <v/>
      </c>
      <c r="CZ3" s="103" t="str">
        <f t="shared" si="36"/>
        <v/>
      </c>
      <c r="DA3" s="103" t="str">
        <f t="shared" si="36"/>
        <v/>
      </c>
      <c r="DB3" s="103" t="str">
        <f t="shared" si="36"/>
        <v/>
      </c>
      <c r="DC3" s="103" t="str">
        <f t="shared" si="36"/>
        <v/>
      </c>
      <c r="DD3" s="103" t="str">
        <f t="shared" si="36"/>
        <v/>
      </c>
      <c r="DE3" s="103" t="str">
        <f t="shared" si="36"/>
        <v/>
      </c>
      <c r="DF3" s="103" t="str">
        <f t="shared" si="36"/>
        <v/>
      </c>
      <c r="DG3" s="59" t="str">
        <f>IF($BN3="","",BN3&amp;"
• "&amp;$BZ$1&amp;": "&amp;BZ3&amp;"
• "&amp;$CB$1&amp;": "&amp;CB3&amp;"
• "&amp;$CD$1&amp;": "&amp;CD3&amp;"
• "&amp;$CH$1&amp;": "&amp;CH3&amp;"
• "&amp;$CI$1&amp;": "&amp;CI3)</f>
        <v/>
      </c>
      <c r="DH3" s="59" t="str">
        <f>IF($BN3="","",BN3&amp;"
• "&amp;CI3&amp;"
")</f>
        <v/>
      </c>
      <c r="DI3" s="59" t="str">
        <f>CM3&amp;CN3&amp;CO3&amp;CP3&amp;CQ3&amp;CR3&amp;CS3&amp;CT3&amp;CU3&amp;CV3&amp;CW3&amp;CX3&amp;CY3&amp;CZ3&amp;DA3&amp;DB3&amp;DC3&amp;DD3&amp;DE3&amp;DF3</f>
        <v/>
      </c>
      <c r="DJ3" s="59" t="str">
        <f>IF(BN3="","",IF(BN2="SINGLE","CLASS: "&amp;DG3&amp;"
"&amp;DI3,"CLASS 1: "&amp;DG3&amp;"
"&amp;DI3))</f>
        <v/>
      </c>
      <c r="DK3" s="59" t="s">
        <v>2663</v>
      </c>
      <c r="DL3" s="59" t="s">
        <v>415</v>
      </c>
      <c r="DM3" s="59" t="str">
        <f>Class1</f>
        <v/>
      </c>
      <c r="DN3" s="59" t="str">
        <f>BQ3</f>
        <v/>
      </c>
      <c r="DO3" s="59" t="str">
        <f t="shared" ref="DO3:DX5" si="37">IF(OR($DN3="",$DN3=SelectText),"",VLOOKUP($DN3,$DL$6:$EY$51,DO$2,FALSE))</f>
        <v/>
      </c>
      <c r="DP3" s="59" t="str">
        <f t="shared" si="37"/>
        <v/>
      </c>
      <c r="DQ3" s="59" t="str">
        <f t="shared" si="37"/>
        <v/>
      </c>
      <c r="DR3" s="59" t="str">
        <f t="shared" si="37"/>
        <v/>
      </c>
      <c r="DS3" s="59" t="str">
        <f t="shared" si="37"/>
        <v/>
      </c>
      <c r="DT3" s="59" t="str">
        <f t="shared" si="37"/>
        <v/>
      </c>
      <c r="DU3" s="59" t="str">
        <f t="shared" si="37"/>
        <v/>
      </c>
      <c r="DV3" s="59" t="str">
        <f t="shared" si="37"/>
        <v/>
      </c>
      <c r="DW3" s="59" t="str">
        <f t="shared" si="37"/>
        <v/>
      </c>
      <c r="DX3" s="59" t="str">
        <f t="shared" si="37"/>
        <v/>
      </c>
      <c r="DY3" s="59" t="str">
        <f t="shared" ref="DY3:EJ5" si="38">IF(OR($DN3="",$DN3=SelectText),"",VLOOKUP($DN3,$DL$6:$EY$51,DY$2,FALSE))</f>
        <v/>
      </c>
      <c r="DZ3" s="59" t="str">
        <f t="shared" si="38"/>
        <v/>
      </c>
      <c r="EA3" s="59" t="str">
        <f t="shared" si="38"/>
        <v/>
      </c>
      <c r="EB3" s="59" t="str">
        <f t="shared" si="38"/>
        <v/>
      </c>
      <c r="EC3" s="59" t="str">
        <f t="shared" si="38"/>
        <v/>
      </c>
      <c r="ED3" s="59" t="str">
        <f t="shared" si="38"/>
        <v/>
      </c>
      <c r="EE3" s="59" t="str">
        <f t="shared" si="38"/>
        <v/>
      </c>
      <c r="EF3" s="59" t="str">
        <f t="shared" si="38"/>
        <v/>
      </c>
      <c r="EG3" s="59" t="str">
        <f t="shared" si="38"/>
        <v/>
      </c>
      <c r="EH3" s="59" t="str">
        <f t="shared" si="38"/>
        <v/>
      </c>
      <c r="EI3" s="103" t="str">
        <f t="shared" si="38"/>
        <v/>
      </c>
      <c r="EJ3" s="103" t="str">
        <f t="shared" si="38"/>
        <v/>
      </c>
      <c r="EK3" s="273">
        <f>IF(EJ3="",0,2)</f>
        <v>0</v>
      </c>
      <c r="EL3" s="103" t="str">
        <f>IF(OR($DN3="",$DN3=SelectText),"",VLOOKUP($DN3,$DL$6:$EY$51,EL$2,FALSE))</f>
        <v/>
      </c>
      <c r="EM3" s="273">
        <f>IF(EL3="",0,2)</f>
        <v>0</v>
      </c>
      <c r="EN3" s="103" t="str">
        <f>IF(OR($DN3="",$DN3=SelectText),"",VLOOKUP($DN3,$DL$6:$EY$51,EN$2,FALSE))</f>
        <v/>
      </c>
      <c r="EO3" s="273">
        <f>IF(EN3="",0,2)</f>
        <v>0</v>
      </c>
      <c r="EP3" s="103" t="str">
        <f>IF(OR($DN3="",$DN3=SelectText),"",VLOOKUP($DN3,$DL$6:$EY$51,EP$2,FALSE))</f>
        <v/>
      </c>
      <c r="EQ3" s="273">
        <f>IF(EP3="",0,2)</f>
        <v>0</v>
      </c>
      <c r="ER3" s="103" t="str">
        <f>IF(OR($DN3="",$DN3=SelectText),"",VLOOKUP($DN3,$DL$6:$EY$51,ER$2,FALSE))</f>
        <v/>
      </c>
      <c r="ES3" s="273">
        <f>IF(ER3="",0,2)</f>
        <v>0</v>
      </c>
      <c r="ET3" s="59" t="str">
        <f t="shared" ref="ET3:EY5" si="39">IF(OR($DN3="",$DN3=SelectText),"",VLOOKUP($DN3,$DL$6:$EY$51,ET$2,FALSE))</f>
        <v/>
      </c>
      <c r="EU3" s="18" t="str">
        <f t="shared" si="39"/>
        <v/>
      </c>
      <c r="EV3" s="59" t="str">
        <f t="shared" si="39"/>
        <v/>
      </c>
      <c r="EW3" s="18" t="str">
        <f t="shared" si="39"/>
        <v/>
      </c>
      <c r="EX3" s="59" t="str">
        <f t="shared" si="39"/>
        <v/>
      </c>
      <c r="EY3" s="18" t="str">
        <f t="shared" si="39"/>
        <v/>
      </c>
      <c r="EZ3" s="59" t="str">
        <f>DO3&amp;DP3&amp;DQ3&amp;DR3&amp;DS3&amp;DT3&amp;DU3&amp;DV3&amp;DW3&amp;DX3&amp;DY3&amp;DZ3&amp;EA3&amp;EB3&amp;EC3&amp;ED3&amp;EE3&amp;EF3&amp;EG3&amp;EH3</f>
        <v/>
      </c>
      <c r="FB3" s="58"/>
      <c r="FC3" s="18"/>
      <c r="FD3" s="58"/>
      <c r="FE3" s="18"/>
      <c r="FF3" s="58"/>
      <c r="FG3" s="18"/>
      <c r="FH3" s="58"/>
      <c r="FI3" s="18"/>
      <c r="FJ3" s="58"/>
      <c r="FK3" s="18"/>
      <c r="FL3" s="58"/>
      <c r="FM3" s="18"/>
      <c r="FN3" s="18"/>
      <c r="FO3" s="18">
        <v>1</v>
      </c>
      <c r="FP3" s="59" t="str">
        <f>SelectText</f>
        <v>Select…</v>
      </c>
      <c r="FQ3" s="18">
        <v>1</v>
      </c>
      <c r="FR3" s="59" t="str">
        <f>IF(ISERROR(VLOOKUP(FQ3,$FO$3:$FP$22,2,FALSE)),"",VLOOKUP(FQ3,$FO$3:$FP$22,2,FALSE))</f>
        <v>Select…</v>
      </c>
      <c r="FS3" s="59" t="str">
        <f>IF(OR(RogueLevel&gt;=1,BardLevel&gt;=3),TRUE, "")</f>
        <v/>
      </c>
      <c r="FT3" s="59" t="str">
        <f>IF(RogueLevel&gt;=1,"Rogue Level 1", IF(BardLevel&gt;=3,"Bard Level 3","EXPERTISE 1"))</f>
        <v>EXPERTISE 1</v>
      </c>
      <c r="FU3" s="18"/>
      <c r="FW3" s="18" t="str">
        <f>IF(FX3="","",MAX($FW$1:FW2)+1)</f>
        <v/>
      </c>
      <c r="FX3" s="59" t="str">
        <f>IF(OR(AND(Class2=$BI$8,FighterLevel&gt;=1),AND(Class2=$BI$15,PaladinLevel&gt;=2),AND(Class2=$BI$16,RangerLevel&gt;=2)),Class2,"")</f>
        <v/>
      </c>
      <c r="FY3" s="85">
        <v>2</v>
      </c>
      <c r="FZ3" s="59" t="str">
        <f ca="1">IF(ISERROR(VLOOKUP($FY3,$FW$2:$FX$5,2,FALSE)),"",VLOOKUP($FY3,$FW$2:$FX$5,2,FALSE))</f>
        <v/>
      </c>
      <c r="GA3" s="59" t="str">
        <f>FightingStyle2</f>
        <v>Select…</v>
      </c>
      <c r="GB3" s="59" t="s">
        <v>3415</v>
      </c>
      <c r="GC3" s="142" t="s">
        <v>3471</v>
      </c>
      <c r="GD3" s="142">
        <v>1</v>
      </c>
      <c r="GE3" s="59" t="str">
        <f>$ZT$12</f>
        <v/>
      </c>
      <c r="GF3" s="59" t="str">
        <f t="shared" ref="GF3:GF13" si="40">IF(LEFT(GE3,4)&lt;&gt;"Mart",IF(FighterLevel&gt;=GE5,TRUE,""),IF(FighterLevel&gt;=GE3,TRUE,TRUE))</f>
        <v/>
      </c>
      <c r="GG3" s="59" t="str">
        <f t="shared" ref="GG3:GG13" si="41">IF(LEFT(GE3,4)&lt;&gt;"Mart",IF(FighterLevel&gt;=GE5,"Fighter Level "&amp;GE5,"MANEUVER "&amp;GD3),IF(FighterLevel&gt;=GE3,"Fighter Level "&amp;GE3,GE3))</f>
        <v>MANEUVER 1</v>
      </c>
      <c r="GH3" s="732" t="str">
        <f>Start!AJ78</f>
        <v>Select…</v>
      </c>
      <c r="GI3" s="732" t="str">
        <f t="shared" ref="GI3:GI13" si="42">VLOOKUP(GH3,$GB$2:$GC$18,2,FALSE)</f>
        <v/>
      </c>
      <c r="GJ3" s="99" t="str">
        <f t="shared" ref="GJ3:GJ11" si="43">IF(GF3=TRUE,"
 "&amp;GH3&amp;"
"&amp;GI3,"")</f>
        <v/>
      </c>
      <c r="GK3" s="59" t="str">
        <f>""</f>
        <v/>
      </c>
      <c r="GM3" s="18">
        <v>1</v>
      </c>
      <c r="GN3" s="59" t="str">
        <f>SelectText</f>
        <v>Select…</v>
      </c>
      <c r="GO3" s="18">
        <v>1</v>
      </c>
      <c r="GP3" s="59" t="str">
        <f>IF(ISERROR(VLOOKUP(GO3,$GM$3:$GN$22,2,FALSE)),"",VLOOKUP(GO3,$GM$3:$GN$22,2,FALSE))</f>
        <v>Select…</v>
      </c>
      <c r="GQ3" s="59" t="str">
        <f>SelectText</f>
        <v>Select…</v>
      </c>
      <c r="GR3" s="59" t="str">
        <f>""</f>
        <v/>
      </c>
      <c r="GS3" s="18"/>
      <c r="GT3" s="18"/>
      <c r="GU3" s="18">
        <v>1</v>
      </c>
      <c r="GV3" s="59" t="str">
        <f>SelectText</f>
        <v>Select…</v>
      </c>
      <c r="GW3" s="18">
        <v>1</v>
      </c>
      <c r="GX3" s="59" t="str">
        <f t="shared" ref="GX3:GX19" si="44">IF(ISERROR(VLOOKUP(GW3,$GU$3:$GV$19,2,FALSE)),"",VLOOKUP(GW3,$GU$3:$GV$19,2,FALSE))</f>
        <v>Select…</v>
      </c>
      <c r="HA3" s="59" t="str">
        <f>GQ2</f>
        <v>Elemental Attument</v>
      </c>
      <c r="HB3" s="59" t="str">
        <f>" "&amp;HA3&amp;"
"&amp;GR2</f>
        <v xml:space="preserve"> Elemental Attument
   Use your action to briefly control elemental forces nearby, causing one of the following effects of your choice:
     • Create a harmless, instantaneous sensory effect related to air, earth, fire, or water, such as a shower of sparks, a puff of
        wind, a spray of light mist, or a gentle rumbling of stone.
     • Instantaneously light or snuff out a candle, a torch, or a small campfire.
     • Chill or warm up to 1 pound of nonliving material for up to 1 hour.
     • Cause earth, fire, water, or mist that can fit within a 1 ft cube to shape itself into a crude form you designate for 1 minute.</v>
      </c>
      <c r="HC3" s="59" t="str">
        <f>SelectText</f>
        <v>Select…</v>
      </c>
      <c r="HD3" s="59" t="str">
        <f>""</f>
        <v/>
      </c>
      <c r="HE3" s="59" t="str">
        <f>""</f>
        <v/>
      </c>
      <c r="HF3" s="59" t="str">
        <f>""</f>
        <v/>
      </c>
      <c r="HG3" s="18"/>
      <c r="HH3" s="18"/>
      <c r="HI3" s="142" t="str">
        <f ca="1">IF(BarbarianTotemWarriorLevel&gt;=14,"  "&amp;HI4&amp;": "&amp;HJ4&amp;"
  "&amp;HI5&amp;": "&amp;HJ5&amp;"
  "&amp;HI6&amp;": "&amp;HJ6,IF(BarbarianTotemWarriorLevel&gt;=6,"  "&amp;HI4&amp;": "&amp;HJ4&amp;"
  "&amp;HI5&amp;": "&amp;HJ5,IF(BarbarianTotemWarriorLevel&gt;=3,"  "&amp;HI4&amp;": "&amp;HJ4,"")))</f>
        <v/>
      </c>
      <c r="HK3" s="59" t="str">
        <f>SelectText</f>
        <v>Select…</v>
      </c>
      <c r="HL3" s="59" t="str">
        <f>""</f>
        <v/>
      </c>
      <c r="HM3" s="59" t="str">
        <f>SelectText</f>
        <v>Select…</v>
      </c>
      <c r="HT3" s="59" t="str">
        <f>SelectText</f>
        <v>Select…</v>
      </c>
      <c r="HX3" s="59" t="str">
        <f>SelectText</f>
        <v>Select…</v>
      </c>
      <c r="IB3" s="59" t="str">
        <f>SelectText</f>
        <v>Select…</v>
      </c>
      <c r="IH3" s="18" t="str">
        <f>IF(IJ3=1,MAX($IH$2:IH2)+1,"")</f>
        <v/>
      </c>
      <c r="II3" s="59" t="s">
        <v>3293</v>
      </c>
      <c r="IJ3" s="59" t="str">
        <f>IF(COUNTIF(Spellcasting!$AC$6:$AL$15,"=Eldritch Blast")&gt;0,1,"")</f>
        <v/>
      </c>
      <c r="IK3" s="59" t="s">
        <v>3334</v>
      </c>
      <c r="IL3" s="18">
        <v>1</v>
      </c>
      <c r="IM3" s="59" t="str">
        <f>IF(ISERROR(VLOOKUP($IL3,$IH$3:$IK$34,2,FALSE)),"",VLOOKUP($IL3,$IH$3:$IK$34,2,FALSE))</f>
        <v>Armor of Shadows</v>
      </c>
      <c r="IO3" s="18">
        <f>IF(ISERROR(VLOOKUP(WarlockLevel,$JM$102:$JX$121,11,FALSE)),0,VLOOKUP(WarlockLevel,$JM$102:$JX$121,11,FALSE))</f>
        <v>0</v>
      </c>
      <c r="IQ3" s="142"/>
      <c r="IR3" s="142"/>
      <c r="IS3" s="59" t="s">
        <v>3328</v>
      </c>
      <c r="IT3" s="142" t="s">
        <v>3330</v>
      </c>
      <c r="IU3" s="142"/>
      <c r="IV3" s="59" t="s">
        <v>171</v>
      </c>
      <c r="IW3" s="59" t="str">
        <f>"-"</f>
        <v>-</v>
      </c>
      <c r="IX3" s="59" t="s">
        <v>171</v>
      </c>
      <c r="IY3" s="59" t="str">
        <f>"-"</f>
        <v>-</v>
      </c>
      <c r="JC3" s="18">
        <f>IF(JD3="","",MAX($JC$1:JC2)+1)</f>
        <v>2</v>
      </c>
      <c r="JD3" s="59" t="s">
        <v>261</v>
      </c>
      <c r="JE3" s="59" t="s">
        <v>261</v>
      </c>
      <c r="JF3" s="18">
        <v>2</v>
      </c>
      <c r="JG3" s="59" t="str">
        <f t="shared" si="27"/>
        <v>Common</v>
      </c>
      <c r="JH3" s="18">
        <v>2</v>
      </c>
      <c r="JI3" s="60">
        <v>300</v>
      </c>
      <c r="JJ3" s="18">
        <v>2</v>
      </c>
      <c r="JK3" s="18">
        <v>2</v>
      </c>
      <c r="JL3" s="18"/>
      <c r="JM3" s="80">
        <v>1</v>
      </c>
      <c r="JN3" s="80">
        <f t="shared" ref="JN3:JW12" ca="1" si="45">IF($JX$9=TRUE,VLOOKUP($JM3,$JM$33:$JW$52,JN$2+1),IF(OR(RogueArcaneTricksterLevel&gt;0,FighterEldritchKnightLevel&gt;0),VLOOKUP($JM3,$JM$56:$JW$75,JN$2+1,FALSE),IF(OR(PaladinLevel&gt;0,RangerLevel&gt;0),VLOOKUP($JM3,$JM$79:$JW$98,JN$2+1,FALSE),VLOOKUP($JM3,$JM$33:$JW$52,JN$2+1,FALSE))))</f>
        <v>2</v>
      </c>
      <c r="JO3" s="80" t="str">
        <f t="shared" ca="1" si="45"/>
        <v>-</v>
      </c>
      <c r="JP3" s="80" t="str">
        <f t="shared" ca="1" si="45"/>
        <v>-</v>
      </c>
      <c r="JQ3" s="80" t="str">
        <f t="shared" ca="1" si="45"/>
        <v>-</v>
      </c>
      <c r="JR3" s="80" t="str">
        <f t="shared" ca="1" si="45"/>
        <v>-</v>
      </c>
      <c r="JS3" s="80" t="str">
        <f t="shared" ca="1" si="45"/>
        <v>-</v>
      </c>
      <c r="JT3" s="80" t="str">
        <f t="shared" ca="1" si="45"/>
        <v>-</v>
      </c>
      <c r="JU3" s="80" t="str">
        <f t="shared" ca="1" si="45"/>
        <v>-</v>
      </c>
      <c r="JV3" s="80" t="str">
        <f t="shared" ca="1" si="45"/>
        <v>-</v>
      </c>
      <c r="JW3" s="80">
        <f t="shared" ca="1" si="45"/>
        <v>1</v>
      </c>
      <c r="JX3" s="80">
        <f ca="1">IF(JX9=TRUE,ClericLevel+DruidLevel+WizardLevel+BardLevel+SorcererLevel+ROUNDDOWN(PaladinLevel/2,0)+ROUNDDOWN(RangerLevel/2,0)+ROUNDDOWN(RogueArcaneTricksterLevel/3,0)+ROUNDDOWN(FighterEldritchKnightLevel/3,0),ClericLevel+DruidLevel+WizardLevel+BardLevel+PaladinLevel+RangerLevel+FighterEldritchKnightLevel+RogueArcaneTricksterLevel+SorcererLevel)</f>
        <v>0</v>
      </c>
      <c r="JY3" s="314" t="s">
        <v>226</v>
      </c>
      <c r="JZ3" s="80" t="s">
        <v>39</v>
      </c>
      <c r="KA3" s="98" t="s">
        <v>451</v>
      </c>
      <c r="KB3" s="98">
        <f>IF((ClericLevel+WISMod)&lt;1,1,ClericLevel+WISMod)</f>
        <v>1</v>
      </c>
      <c r="KC3" s="98"/>
      <c r="KD3" s="80">
        <v>1</v>
      </c>
      <c r="KE3" s="302">
        <v>0</v>
      </c>
      <c r="KF3" s="302">
        <v>4</v>
      </c>
      <c r="KG3" s="302">
        <v>0</v>
      </c>
      <c r="KH3" s="302">
        <v>0</v>
      </c>
      <c r="KI3" s="302">
        <v>2</v>
      </c>
      <c r="KJ3" s="302">
        <v>2</v>
      </c>
      <c r="KK3" s="80">
        <v>1</v>
      </c>
      <c r="KL3" s="80">
        <v>3</v>
      </c>
      <c r="KM3" s="80">
        <v>3</v>
      </c>
      <c r="KN3" s="80">
        <v>0</v>
      </c>
      <c r="KO3" s="80">
        <v>0</v>
      </c>
      <c r="KP3" s="80">
        <v>2</v>
      </c>
      <c r="KQ3" s="80">
        <v>4</v>
      </c>
      <c r="KR3" s="80">
        <v>2</v>
      </c>
      <c r="KS3" s="314" t="s">
        <v>1899</v>
      </c>
      <c r="KT3" s="314" t="str">
        <f>IF(SUM(CE3:CE5)=0,"none",IF(CE3=0,"",CD3)&amp;IF(CE4=0,"",CD4)&amp;IF(CE5=0,"",CD5))</f>
        <v>none</v>
      </c>
      <c r="KV3" s="85" t="s">
        <v>247</v>
      </c>
      <c r="KW3" s="480" t="str">
        <f ca="1">PV60&amp;PV61&amp;PV62&amp;PV63&amp;PV64&amp;PV65&amp;PV66&amp;PV67&amp;PV68&amp;PV69&amp;PV70&amp;PV71&amp;PV72&amp;PV73&amp;PV74&amp;PV75&amp;PV76&amp;PV78</f>
        <v/>
      </c>
      <c r="KX3" s="319"/>
      <c r="KY3" s="319"/>
      <c r="KZ3" s="319"/>
      <c r="LA3" s="319"/>
      <c r="LB3" s="319"/>
      <c r="LC3" s="319"/>
      <c r="LD3" s="319"/>
      <c r="LE3" s="319"/>
      <c r="LF3" s="319"/>
      <c r="LG3" s="319"/>
      <c r="LH3" s="319"/>
      <c r="LI3" s="319"/>
      <c r="LJ3" s="319"/>
      <c r="LK3" s="319"/>
      <c r="LL3" s="319"/>
      <c r="LM3" s="319"/>
      <c r="LN3" s="319"/>
      <c r="LO3" s="319"/>
      <c r="LP3" s="319"/>
      <c r="LQ3" s="319"/>
      <c r="LR3" s="319"/>
      <c r="LS3" s="319"/>
      <c r="LT3" s="320"/>
      <c r="LU3" s="320"/>
      <c r="LV3" s="320"/>
      <c r="LW3" s="320"/>
      <c r="LX3" s="320"/>
      <c r="LY3" s="319"/>
      <c r="LZ3" s="320"/>
      <c r="MA3" s="320"/>
      <c r="MB3" s="320"/>
      <c r="MC3" s="320"/>
      <c r="MD3" s="322"/>
      <c r="ME3" s="320"/>
      <c r="MF3" s="320"/>
      <c r="MG3" s="320"/>
      <c r="MH3" s="320"/>
      <c r="MI3" s="320"/>
      <c r="MJ3" s="320"/>
      <c r="MK3" s="320"/>
      <c r="ML3" s="320"/>
      <c r="MM3" s="968"/>
      <c r="MN3" s="968"/>
      <c r="MO3" s="968"/>
      <c r="MP3" s="968"/>
      <c r="MQ3" s="968"/>
      <c r="MR3" s="968"/>
      <c r="MS3" s="968"/>
      <c r="MT3" s="968"/>
      <c r="MU3" s="968"/>
      <c r="MV3" s="968"/>
      <c r="MW3" s="968"/>
      <c r="MX3" s="968"/>
      <c r="MY3" s="968"/>
      <c r="MZ3" s="968"/>
      <c r="NA3" s="968"/>
      <c r="NB3" s="968"/>
      <c r="NC3" s="968"/>
      <c r="ND3" s="968"/>
      <c r="NE3" s="968"/>
      <c r="NF3" s="968"/>
      <c r="NG3" s="968"/>
      <c r="NH3" s="967"/>
      <c r="NI3" s="967"/>
      <c r="NJ3" s="967"/>
      <c r="NK3" s="967"/>
      <c r="NL3" s="967"/>
      <c r="NM3" s="967"/>
      <c r="NN3" s="967"/>
      <c r="NO3" s="967"/>
      <c r="NP3" s="967"/>
      <c r="NQ3" s="967"/>
      <c r="NR3" s="967"/>
      <c r="NS3" s="967"/>
      <c r="NT3" s="967"/>
      <c r="NU3" s="967"/>
      <c r="NV3" s="967"/>
      <c r="NW3" s="967"/>
      <c r="NX3" s="984"/>
      <c r="NY3" s="984"/>
      <c r="NZ3" s="984"/>
      <c r="OA3" s="320"/>
      <c r="OB3" s="320"/>
      <c r="OC3" s="320"/>
      <c r="OD3" s="320"/>
      <c r="OE3" s="320"/>
      <c r="OF3" s="320"/>
      <c r="OG3" s="320"/>
      <c r="OH3" s="320"/>
      <c r="OI3" s="320"/>
      <c r="OJ3" s="320"/>
      <c r="OK3" s="320"/>
      <c r="OL3" s="320"/>
      <c r="OM3" s="320"/>
      <c r="ON3" s="320"/>
      <c r="OO3" s="320"/>
      <c r="OP3" s="320"/>
      <c r="OQ3" s="320"/>
      <c r="OR3" s="320"/>
      <c r="OS3" s="320"/>
      <c r="OT3" s="320"/>
      <c r="OU3" s="320"/>
      <c r="OV3" s="320"/>
      <c r="OW3" s="320"/>
      <c r="OX3" s="320"/>
      <c r="OY3" s="320"/>
      <c r="OZ3" s="320"/>
      <c r="PA3" s="320"/>
      <c r="PB3" s="320"/>
      <c r="PC3" s="320"/>
      <c r="PD3" s="320"/>
      <c r="PE3" s="320"/>
      <c r="PF3" s="320"/>
      <c r="PG3" s="320"/>
      <c r="PH3" s="320"/>
      <c r="PI3" s="320"/>
      <c r="PJ3" s="320"/>
      <c r="PK3" s="320"/>
      <c r="PL3" s="320"/>
      <c r="PM3" s="320"/>
      <c r="PN3" s="320"/>
      <c r="PO3" s="320"/>
      <c r="PP3" s="320"/>
      <c r="PQ3" s="320"/>
      <c r="PR3" s="320"/>
      <c r="PS3" s="320"/>
      <c r="PT3" s="320"/>
      <c r="PU3" s="320"/>
      <c r="PV3" s="319"/>
      <c r="PW3" s="320"/>
      <c r="PX3" s="320"/>
      <c r="PY3" s="18"/>
      <c r="PZ3" s="36" t="str">
        <f>SelectText</f>
        <v>Select…</v>
      </c>
      <c r="QA3" s="33" t="str">
        <f>""</f>
        <v/>
      </c>
      <c r="QB3" s="35" t="str">
        <f>""</f>
        <v/>
      </c>
      <c r="QC3" s="33" t="str">
        <f>""</f>
        <v/>
      </c>
      <c r="QD3" s="33" t="str">
        <f>""</f>
        <v/>
      </c>
      <c r="QE3" s="33" t="str">
        <f>""</f>
        <v/>
      </c>
      <c r="QF3" s="34" t="str">
        <f>""</f>
        <v/>
      </c>
      <c r="QG3" s="33" t="str">
        <f>""</f>
        <v/>
      </c>
      <c r="QH3" s="33" t="str">
        <f>""</f>
        <v/>
      </c>
      <c r="QI3" s="33" t="str">
        <f>""</f>
        <v/>
      </c>
      <c r="QJ3" s="33" t="str">
        <f>""</f>
        <v/>
      </c>
      <c r="QK3" s="33" t="str">
        <f>""</f>
        <v/>
      </c>
      <c r="QL3" s="33" t="str">
        <f>""</f>
        <v/>
      </c>
      <c r="QM3" s="33" t="str">
        <f>""</f>
        <v/>
      </c>
      <c r="QN3" s="33" t="str">
        <f>""</f>
        <v/>
      </c>
      <c r="QO3" s="33" t="str">
        <f>""</f>
        <v/>
      </c>
      <c r="QP3" s="33" t="str">
        <f>""</f>
        <v/>
      </c>
      <c r="QQ3" s="35" t="str">
        <f>""</f>
        <v/>
      </c>
      <c r="QR3" s="35" t="str">
        <f>""</f>
        <v/>
      </c>
      <c r="QS3" s="18" t="str">
        <f>SelectText</f>
        <v>Select…</v>
      </c>
      <c r="QT3" s="733">
        <f t="shared" ref="QT3:QT18" si="46">QT2+1</f>
        <v>3</v>
      </c>
      <c r="QU3" s="727"/>
      <c r="QV3" s="727"/>
      <c r="QW3" s="727"/>
      <c r="QX3" s="528"/>
      <c r="QY3" s="634"/>
      <c r="QZ3" s="634"/>
      <c r="RA3" s="726"/>
      <c r="RB3" s="634"/>
      <c r="RC3" s="634"/>
      <c r="RD3" s="528"/>
      <c r="RE3" s="528"/>
      <c r="RF3" s="528"/>
      <c r="RG3" s="528"/>
      <c r="RH3" s="634"/>
      <c r="RI3" s="634"/>
      <c r="RJ3" s="634"/>
      <c r="RK3" s="634"/>
      <c r="RL3" s="634"/>
      <c r="RM3" s="634"/>
      <c r="RN3" s="634"/>
      <c r="RO3" s="634"/>
      <c r="RP3" s="634"/>
      <c r="RQ3" s="634"/>
      <c r="RR3" s="634"/>
      <c r="RS3" s="634"/>
      <c r="RT3" s="634"/>
      <c r="RU3" s="634"/>
      <c r="RV3" s="634"/>
      <c r="RW3" s="634"/>
      <c r="RX3" s="634"/>
      <c r="RY3" s="634"/>
      <c r="RZ3" s="634"/>
      <c r="SA3" s="634"/>
      <c r="SB3" s="634"/>
      <c r="SC3" s="634"/>
      <c r="SD3" s="634"/>
      <c r="SE3" s="634"/>
      <c r="SF3" s="634"/>
      <c r="SG3" s="634"/>
      <c r="SH3" s="634"/>
      <c r="SI3" s="634"/>
      <c r="SJ3" s="634"/>
      <c r="SK3" s="634"/>
      <c r="SL3" s="634"/>
      <c r="SM3" s="634"/>
      <c r="SN3" s="634"/>
      <c r="SO3" s="634"/>
      <c r="SP3" s="634"/>
      <c r="SQ3" s="729"/>
      <c r="SR3" s="36" t="str">
        <f>SelectText</f>
        <v>Select…</v>
      </c>
      <c r="SS3" s="33" t="str">
        <f>""</f>
        <v/>
      </c>
      <c r="ST3" s="33"/>
      <c r="SU3" s="33" t="str">
        <f>""</f>
        <v/>
      </c>
      <c r="SV3" s="33" t="str">
        <f>""</f>
        <v/>
      </c>
      <c r="SW3" s="231" t="s">
        <v>140</v>
      </c>
      <c r="SX3" s="33" t="str">
        <f>""</f>
        <v/>
      </c>
      <c r="SY3" s="35" t="str">
        <f>""</f>
        <v/>
      </c>
      <c r="SZ3" s="33" t="str">
        <f>""</f>
        <v/>
      </c>
      <c r="TA3" s="36" t="str">
        <f>SelectText</f>
        <v>Select…</v>
      </c>
      <c r="TB3" s="50" t="str">
        <f>""</f>
        <v/>
      </c>
      <c r="TC3" s="50"/>
      <c r="TD3" s="50" t="str">
        <f>""</f>
        <v/>
      </c>
      <c r="TE3" s="50" t="str">
        <f>""</f>
        <v/>
      </c>
      <c r="TF3" s="231" t="s">
        <v>140</v>
      </c>
      <c r="TG3" s="235" t="s">
        <v>140</v>
      </c>
      <c r="TH3" s="51" t="str">
        <f>""</f>
        <v/>
      </c>
      <c r="TI3" s="51" t="s">
        <v>324</v>
      </c>
      <c r="TJ3" s="18">
        <v>1</v>
      </c>
      <c r="TK3" s="58" t="s">
        <v>849</v>
      </c>
      <c r="TL3" s="58" t="s">
        <v>1840</v>
      </c>
      <c r="TM3" s="18">
        <v>0.5</v>
      </c>
      <c r="TN3" s="59" t="str">
        <f t="shared" ref="TN3:TN32" si="47">TK3&amp;" "&amp;TO3&amp;TP3&amp;TQ3&amp;TR3</f>
        <v xml:space="preserve">Acid Splash </v>
      </c>
      <c r="TO3" s="18" t="str">
        <f>""</f>
        <v/>
      </c>
      <c r="TP3" s="18" t="str">
        <f t="shared" ref="TP3:TP66" si="48">IF(SUM(UY3:VE3)&gt;0,"ᵈ","")&amp;IF(SUM(UO3:UQ3)&gt;0,"ᵒ","")&amp;IF(SUM(VG3:VO3)&gt;0,"ᶜ","")</f>
        <v/>
      </c>
      <c r="TQ3" s="18" t="str">
        <f>IF(OR(TK3=Spellcasting!$AC$18,TK3=Spellcasting!$AC$19),"ᵐ","")</f>
        <v/>
      </c>
      <c r="TR3" s="18" t="str">
        <f>IF(OR(TK3=Spellcasting!$AC$20,TK3=Spellcasting!$AC$21),"ˢ","")</f>
        <v/>
      </c>
      <c r="TS3" s="18" t="str">
        <f>""</f>
        <v/>
      </c>
      <c r="TT3" s="18" t="s">
        <v>484</v>
      </c>
      <c r="TU3" s="18" t="s">
        <v>850</v>
      </c>
      <c r="TV3" s="18" t="s">
        <v>505</v>
      </c>
      <c r="TW3" s="18" t="s">
        <v>486</v>
      </c>
      <c r="TX3" s="59" t="str">
        <f>""</f>
        <v/>
      </c>
      <c r="TY3" s="18" t="s">
        <v>516</v>
      </c>
      <c r="TZ3" s="18" t="s">
        <v>517</v>
      </c>
      <c r="UA3" s="142" t="s">
        <v>1851</v>
      </c>
      <c r="UB3" s="319" t="str">
        <f ca="1">IF(CharacterLevel&gt;16,"4d6",IF(CharacterLevel&gt;10,"3d6",IF(CharacterLevel&gt;4,"2d6","1d6")))&amp;IF(AD4=TRUE,"+"&amp;CHAMod,"")&amp;" acid, dex save"&amp;IF(WizardEvocationLevel&gt;=6," ½","")</f>
        <v>1d6 acid, dex save</v>
      </c>
      <c r="UC3" s="18"/>
      <c r="UD3" s="18"/>
      <c r="UE3" s="18"/>
      <c r="UF3" s="18" t="str">
        <f ca="1">IF(UF$1&gt;=$TM3,1,"0")</f>
        <v>0</v>
      </c>
      <c r="UG3" s="18"/>
      <c r="UH3" s="18"/>
      <c r="UI3" s="18"/>
      <c r="UJ3" s="18"/>
      <c r="UK3" s="18"/>
      <c r="UL3" s="18" t="str">
        <f ca="1">IF(UL$1&gt;=$TM3,1,"0")</f>
        <v>0</v>
      </c>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t="str">
        <f>IF(VP$1&gt;=$TM3,1,"0")</f>
        <v>0</v>
      </c>
      <c r="VQ3" s="18" t="str">
        <f>IF(VQ$1&gt;=$TM3,1,"0")</f>
        <v>0</v>
      </c>
      <c r="VR3" s="18"/>
      <c r="VS3" s="18"/>
      <c r="VT3" s="18"/>
      <c r="VU3" s="18"/>
      <c r="VV3" s="18"/>
      <c r="VW3" s="18"/>
      <c r="VX3" s="18"/>
      <c r="VY3" s="18"/>
      <c r="VZ3" s="85"/>
      <c r="WA3" s="85"/>
      <c r="WB3" s="18" t="str">
        <f>IF(WB$1&gt;=$TM3,1,"0")</f>
        <v>0</v>
      </c>
      <c r="WC3" s="18"/>
      <c r="WD3" s="18" t="str">
        <f ca="1">IF(SUM($VZ$1:$WC$1)&gt;0,IF(AND(SUM($VZ3:$WC3)&gt;0,$TM3=WE$1),MAX(WD$2:WD2)+1,""),IF(AND(SUM($UC3:$VY3)&gt;0,$TM3=WE$1),MAX(WD$2:WD2)+1,""))</f>
        <v/>
      </c>
      <c r="WE3" s="59" t="str">
        <f t="shared" ref="WE3" ca="1" si="49">IF(AND(WD3&lt;&gt;"",$TM3=WE$1),$TK3,"")</f>
        <v/>
      </c>
      <c r="WF3" s="18" t="str">
        <f ca="1">IF(AND(SUM($UB3:$VY3)&gt;0,$TM3=WG$1),MAX(WF$2:WF2)+1,"")</f>
        <v/>
      </c>
      <c r="WG3" s="59" t="str">
        <f t="shared" ref="WG3" ca="1" si="50">IF(AND(WF3&lt;&gt;"",$TM3=WG$1),$TK3,"")</f>
        <v/>
      </c>
      <c r="WH3" s="18" t="str">
        <f ca="1">IF(AND(SUM($UB3:$VY3)&gt;0,$TM3=WI$1),MAX(WH$2:WH2)+1,"")</f>
        <v/>
      </c>
      <c r="WI3" s="59" t="str">
        <f t="shared" ref="WI3" ca="1" si="51">IF(AND(WH3&lt;&gt;"",$TM3=WI$1),$TK3,"")</f>
        <v/>
      </c>
      <c r="WJ3" s="18" t="str">
        <f ca="1">IF(AND(SUM($UB3:$VY3)&gt;0,$TM3=WK$1),MAX(WJ$2:WJ2)+1,"")</f>
        <v/>
      </c>
      <c r="WK3" s="59" t="str">
        <f t="shared" ref="WK3" ca="1" si="52">IF(AND(WJ3&lt;&gt;"",$TM3=WK$1),$TK3,"")</f>
        <v/>
      </c>
      <c r="WL3" s="18" t="str">
        <f ca="1">IF(AND(SUM($UB3:$VY3)&gt;0,$TM3=WM$1),MAX(WL$2:WL2)+1,"")</f>
        <v/>
      </c>
      <c r="WM3" s="59" t="str">
        <f t="shared" ref="WM3" ca="1" si="53">IF(AND(WL3&lt;&gt;"",$TM3=WM$1),$TK3,"")</f>
        <v/>
      </c>
      <c r="WN3" s="18" t="str">
        <f ca="1">IF(AND(SUM($UB3:$VY3)&gt;0,$TM3=WO$1),MAX(WN$2:WN2)+1,"")</f>
        <v/>
      </c>
      <c r="WO3" s="59" t="str">
        <f t="shared" ref="WO3" ca="1" si="54">IF(AND(WN3&lt;&gt;"",$TM3=WO$1),$TK3,"")</f>
        <v/>
      </c>
      <c r="WP3" s="18" t="str">
        <f ca="1">IF(AND(SUM($UB3:$VY3)&gt;0,$TM3=WQ$1),MAX(WP$2:WP2)+1,"")</f>
        <v/>
      </c>
      <c r="WQ3" s="59" t="str">
        <f t="shared" ref="WQ3" ca="1" si="55">IF(AND(WP3&lt;&gt;"",$TM3=WQ$1),$TK3,"")</f>
        <v/>
      </c>
      <c r="WR3" s="18" t="str">
        <f ca="1">IF(AND(SUM($UB3:$VY3)&gt;0,$TM3=WS$1),MAX(WR$2:WR2)+1,"")</f>
        <v/>
      </c>
      <c r="WS3" s="59" t="str">
        <f t="shared" ref="WS3" ca="1" si="56">IF(AND(WR3&lt;&gt;"",$TM3=WS$1),$TK3,"")</f>
        <v/>
      </c>
      <c r="WT3" s="18" t="str">
        <f ca="1">IF(AND(SUM($UB3:$VY3)&gt;0,$TM3=WU$1),MAX(WT$2:WT2)+1,"")</f>
        <v/>
      </c>
      <c r="WU3" s="59" t="str">
        <f t="shared" ref="WU3" ca="1" si="57">IF(AND(WT3&lt;&gt;"",$TM3=WU$1),$TK3,"")</f>
        <v/>
      </c>
      <c r="WV3" s="18" t="str">
        <f ca="1">IF(AND(SUM($UB3:$VY3)&gt;0,$TM3=WW$1),MAX(WV$2:WV2)+1,"")</f>
        <v/>
      </c>
      <c r="WW3" s="59" t="str">
        <f t="shared" ref="WW3" ca="1" si="58">IF(AND(WV3&lt;&gt;"",$TM3=WW$1),$TK3,"")</f>
        <v/>
      </c>
      <c r="WX3" s="18" t="str">
        <f ca="1">IF(AND(SUM($UB3:$VY3)&gt;0,$TM3=WY$1),MAX(WX$2:WX2)+1,"")</f>
        <v/>
      </c>
      <c r="WY3" s="59" t="str">
        <f t="shared" ref="WY3" ca="1" si="59">IF(AND(WX3&lt;&gt;"",$TM3=WY$1),$TK3,"")</f>
        <v/>
      </c>
      <c r="WZ3" s="18">
        <v>2</v>
      </c>
      <c r="XA3" s="59" t="str">
        <f ca="1">IF(ISERROR(VLOOKUP($WZ3,$WD$1:$WE$5013,2,FALSE)),"",VLOOKUP($WZ3,$WD$1:$WE$5013,2,FALSE))</f>
        <v/>
      </c>
      <c r="XB3" s="59" t="str">
        <f t="shared" ca="1" si="28"/>
        <v/>
      </c>
      <c r="XC3" s="59" t="str">
        <f t="shared" ca="1" si="29"/>
        <v/>
      </c>
      <c r="XD3" s="59" t="str">
        <f t="shared" ref="XD3:XD34" ca="1" si="60">IF(ISERROR(VLOOKUP($WZ3,$WJ$1:$WK$5013,2,FALSE)),"",VLOOKUP($WZ3,$WJ$1:$WK$5013,2,FALSE))</f>
        <v/>
      </c>
      <c r="XE3" s="59" t="str">
        <f t="shared" ref="XE3:XE34" ca="1" si="61">IF(ISERROR(VLOOKUP($WZ3,$WL$1:$WM$5013,2,FALSE)),"",VLOOKUP($WZ3,$WL$1:$WM$5013,2,FALSE))</f>
        <v/>
      </c>
      <c r="XF3" s="59" t="str">
        <f t="shared" ref="XF3:XF34" ca="1" si="62">IF(ISERROR(VLOOKUP($WZ3,$WN$1:$WO$5013,2,FALSE)),"",VLOOKUP($WZ3,$WN$1:$WO$5013,2,FALSE))</f>
        <v/>
      </c>
      <c r="XG3" s="59" t="str">
        <f t="shared" ref="XG3:XG34" ca="1" si="63">IF(ISERROR(VLOOKUP($WZ3,$WP$1:$WQ$5013,2,FALSE)),"",VLOOKUP($WZ3,$WP$1:$WQ$5013,2,FALSE))</f>
        <v/>
      </c>
      <c r="XH3" s="59" t="str">
        <f t="shared" ref="XH3:XH34" ca="1" si="64">IF(ISERROR(VLOOKUP($WZ3,$WR$1:$WS$5013,2,FALSE)),"",VLOOKUP($WZ3,$WR$1:$WS$5013,2,FALSE))</f>
        <v/>
      </c>
      <c r="XI3" s="59" t="str">
        <f t="shared" ref="XI3:XI34" ca="1" si="65">IF(ISERROR(VLOOKUP($WZ3,$WT$1:$WU$5013,2,FALSE)),"",VLOOKUP($WZ3,$WT$1:$WU$5013,2,FALSE))</f>
        <v/>
      </c>
      <c r="XJ3" s="59" t="str">
        <f t="shared" ref="XJ3:XJ34" ca="1" si="66">IF(ISERROR(VLOOKUP($WZ3,$WV$1:$WW$5013,2,FALSE)),"",VLOOKUP($WZ3,$WV$1:$WW$5013,2,FALSE))</f>
        <v/>
      </c>
      <c r="XK3" s="59" t="str">
        <f t="shared" ref="XK3:XK34" ca="1" si="67">IF(ISERROR(VLOOKUP($WZ3,$WX$1:$WY$5013,2,FALSE)),"",VLOOKUP($WZ3,$WX$1:$WY$5013,2,FALSE))</f>
        <v/>
      </c>
      <c r="XL3" s="59" t="s">
        <v>3384</v>
      </c>
      <c r="XM3" s="18"/>
      <c r="XN3" s="59">
        <v>1</v>
      </c>
      <c r="XO3" s="18">
        <f t="shared" ref="XO3:XP3" si="68">XN3+1</f>
        <v>2</v>
      </c>
      <c r="XP3" s="18">
        <f t="shared" si="68"/>
        <v>3</v>
      </c>
      <c r="XQ3" s="18">
        <f>XP3+1</f>
        <v>4</v>
      </c>
      <c r="XR3" s="18">
        <f>XQ3+1</f>
        <v>5</v>
      </c>
      <c r="XS3" s="18">
        <f t="shared" ref="XS3:XZ3" si="69">XR3+1</f>
        <v>6</v>
      </c>
      <c r="XT3" s="18">
        <f t="shared" si="69"/>
        <v>7</v>
      </c>
      <c r="XU3" s="18">
        <f t="shared" si="69"/>
        <v>8</v>
      </c>
      <c r="XV3" s="18">
        <f t="shared" si="69"/>
        <v>9</v>
      </c>
      <c r="XW3" s="18">
        <f t="shared" si="69"/>
        <v>10</v>
      </c>
      <c r="XX3" s="18">
        <f t="shared" si="69"/>
        <v>11</v>
      </c>
      <c r="XY3" s="18">
        <f t="shared" si="69"/>
        <v>12</v>
      </c>
      <c r="XZ3" s="18">
        <f t="shared" si="69"/>
        <v>13</v>
      </c>
      <c r="YA3" s="18">
        <f>XZ3+1</f>
        <v>14</v>
      </c>
      <c r="YB3" s="18">
        <f>YA3+1</f>
        <v>15</v>
      </c>
      <c r="YC3" s="18">
        <f>YB3+1</f>
        <v>16</v>
      </c>
      <c r="YD3" s="18"/>
      <c r="YE3" s="18" t="str">
        <f ca="1">IF(ISERROR(VLOOKUP(YF3,$ZA$2:$ZP$23,$ZD$1+3,FALSE)),"",VLOOKUP(YF3,$ZA$2:$ZP$23,$ZD$1+3,FALSE))</f>
        <v/>
      </c>
      <c r="YF3" s="18">
        <v>1</v>
      </c>
      <c r="YG3" s="59" t="str">
        <f t="shared" ref="YG3:YG10" ca="1" si="70">IF(ISERROR(VLOOKUP(YF3,$ZA$2:$ZB$23,2,FALSE)),"FEAT "&amp;YF3,VLOOKUP(YF3,$ZA$2:$ZB$23,2,FALSE))</f>
        <v>FEAT 1</v>
      </c>
      <c r="YH3" s="59" t="str">
        <f>IF(OR(Start!I113="",Start!I113=SelectText),"",Start!I113)</f>
        <v/>
      </c>
      <c r="YI3" s="59" t="str">
        <f>IF(ISERROR(VLOOKUP($YH3,$YG$13:$YR$100,YI$2,FALSE)),"",VLOOKUP($YH3,$YG$13:$YR$100,YI$2,FALSE))</f>
        <v/>
      </c>
      <c r="YJ3" s="59" t="str">
        <f>IF(YH3="","",YG3&amp;" - "&amp;YH3&amp;"
"&amp;YI3)</f>
        <v/>
      </c>
      <c r="YK3" s="59" t="str">
        <f>""</f>
        <v/>
      </c>
      <c r="YL3" s="18">
        <f>IF(COUNTIF($YH$3:$YH$10,YG33),3,0)</f>
        <v>0</v>
      </c>
      <c r="YM3" s="18" t="str">
        <f>IF(ISERROR(VLOOKUP($YH3,$YG$13:$YR$100,YL$2,FALSE)),"",VLOOKUP($YH3,$YG$13:$YR$100,YL$2,FALSE))</f>
        <v/>
      </c>
      <c r="YN3" s="18" t="str">
        <f>IF(ISERROR(VLOOKUP(YH3,$YG$13:$YQ$102,YM$2,FALSE)),"",VLOOKUP(YH3,$YG$13:$YQ$102,YM$2,FALSE))</f>
        <v/>
      </c>
      <c r="YO3" s="18">
        <f>IF(COUNTIF($YH$3:$YH$10,YG50),3,0)</f>
        <v>0</v>
      </c>
      <c r="YP3" s="18"/>
      <c r="YR3" s="18"/>
      <c r="YS3" s="18" t="str">
        <f ca="1">YE3</f>
        <v/>
      </c>
      <c r="YT3" s="346" t="s">
        <v>276</v>
      </c>
      <c r="YU3" s="18">
        <v>4</v>
      </c>
      <c r="YV3" s="18" t="str">
        <f ca="1">VLOOKUP(YY3,$ZD$2:$ZP$23,$ZD$1,FALSE)</f>
        <v/>
      </c>
      <c r="YW3" s="18" t="str">
        <f ca="1">IF(YX3="","",MAX($YW$1:YW2)+1)</f>
        <v/>
      </c>
      <c r="YX3" s="59" t="str">
        <f t="shared" ref="YX3:YX34" ca="1" si="71">IF(INDIRECT(YT3&amp;TEXT("Level",0))&gt;=YU3,YT3&amp;" - Level "&amp;YU3,"")</f>
        <v/>
      </c>
      <c r="YY3" s="18" t="str">
        <f t="shared" ref="YY3:YY34" ca="1" si="72">IF(INDIRECT(YT3&amp;TEXT("level",0))&gt;=YU3,YU3,"")</f>
        <v/>
      </c>
      <c r="YZ3" s="18" t="str">
        <f>""</f>
        <v/>
      </c>
      <c r="ZA3" s="18" t="str">
        <f>IF(ZB3="","",MAX($ZA$2:ZA2)+1)</f>
        <v/>
      </c>
      <c r="ZB3" s="18" t="str">
        <f>""</f>
        <v/>
      </c>
      <c r="ZC3" s="18" t="str">
        <f>""</f>
        <v/>
      </c>
      <c r="ZD3" s="18" t="str">
        <f>""</f>
        <v/>
      </c>
      <c r="ZE3" s="18" t="str">
        <f>""</f>
        <v/>
      </c>
      <c r="ZF3" s="18" t="str">
        <f>""</f>
        <v/>
      </c>
      <c r="ZG3" s="18" t="str">
        <f>""</f>
        <v/>
      </c>
      <c r="ZH3" s="18" t="str">
        <f>""</f>
        <v/>
      </c>
      <c r="ZI3" s="18" t="str">
        <f>""</f>
        <v/>
      </c>
      <c r="ZJ3" s="18" t="str">
        <f>""</f>
        <v/>
      </c>
      <c r="ZK3" s="18" t="str">
        <f>""</f>
        <v/>
      </c>
      <c r="ZL3" s="18" t="str">
        <f>""</f>
        <v/>
      </c>
      <c r="ZM3" s="18" t="str">
        <f>""</f>
        <v/>
      </c>
      <c r="ZN3" s="18" t="str">
        <f>""</f>
        <v/>
      </c>
      <c r="ZO3" s="18" t="str">
        <f>""</f>
        <v/>
      </c>
      <c r="ZP3" s="18" t="str">
        <f>""</f>
        <v/>
      </c>
      <c r="ZQ3" s="18" t="s">
        <v>279</v>
      </c>
      <c r="ZR3" s="18">
        <f t="shared" si="31"/>
        <v>5</v>
      </c>
      <c r="ZS3" s="59" t="s">
        <v>753</v>
      </c>
      <c r="ZT3" s="59" t="str">
        <f>IF(COUNTIF($YH$3:$YH$10,ZS3)&gt;0,$ZS3&amp;"
"&amp;VLOOKUP($ZS3,$YG$14:$YK$77,5,FALSE)&amp;"
","")</f>
        <v/>
      </c>
      <c r="ZU3" s="59" t="str">
        <f>""</f>
        <v/>
      </c>
      <c r="ZV3" s="18">
        <v>1</v>
      </c>
      <c r="ZW3" s="18">
        <f>ZV3+1</f>
        <v>2</v>
      </c>
      <c r="ZX3" s="18">
        <f t="shared" ref="ZX3:AAO3" si="73">ZW3+1</f>
        <v>3</v>
      </c>
      <c r="ZY3" s="18">
        <f t="shared" si="73"/>
        <v>4</v>
      </c>
      <c r="ZZ3" s="18">
        <f t="shared" si="73"/>
        <v>5</v>
      </c>
      <c r="AAA3" s="18">
        <f t="shared" si="73"/>
        <v>6</v>
      </c>
      <c r="AAB3" s="18">
        <f t="shared" si="73"/>
        <v>7</v>
      </c>
      <c r="AAC3" s="18">
        <f t="shared" si="73"/>
        <v>8</v>
      </c>
      <c r="AAD3" s="18">
        <f t="shared" si="73"/>
        <v>9</v>
      </c>
      <c r="AAE3" s="18">
        <f t="shared" si="73"/>
        <v>10</v>
      </c>
      <c r="AAF3" s="18">
        <f t="shared" si="73"/>
        <v>11</v>
      </c>
      <c r="AAG3" s="18">
        <f t="shared" si="73"/>
        <v>12</v>
      </c>
      <c r="AAH3" s="18">
        <f t="shared" si="73"/>
        <v>13</v>
      </c>
      <c r="AAI3" s="18">
        <f t="shared" si="73"/>
        <v>14</v>
      </c>
      <c r="AAJ3" s="18">
        <f t="shared" si="73"/>
        <v>15</v>
      </c>
      <c r="AAK3" s="18">
        <f t="shared" si="73"/>
        <v>16</v>
      </c>
      <c r="AAL3" s="18">
        <f t="shared" si="73"/>
        <v>17</v>
      </c>
      <c r="AAM3" s="18">
        <f t="shared" si="73"/>
        <v>18</v>
      </c>
      <c r="AAN3" s="18">
        <f t="shared" si="73"/>
        <v>19</v>
      </c>
      <c r="AAO3" s="18">
        <f t="shared" si="73"/>
        <v>20</v>
      </c>
      <c r="AAP3" s="18"/>
    </row>
    <row r="4" spans="1:718" ht="9.9499999999999993" customHeight="1" x14ac:dyDescent="0.25">
      <c r="A4" s="18" t="s">
        <v>171</v>
      </c>
      <c r="B4" s="58" t="str">
        <f>""</f>
        <v/>
      </c>
      <c r="C4" s="58" t="str">
        <f>""</f>
        <v/>
      </c>
      <c r="D4" s="58" t="str">
        <f>""</f>
        <v/>
      </c>
      <c r="E4" s="58" t="str">
        <f>""</f>
        <v/>
      </c>
      <c r="F4" s="58" t="s">
        <v>187</v>
      </c>
      <c r="G4" s="58">
        <v>0</v>
      </c>
      <c r="H4" s="59" t="s">
        <v>187</v>
      </c>
      <c r="I4" s="58">
        <v>0</v>
      </c>
      <c r="J4" s="58" t="s">
        <v>187</v>
      </c>
      <c r="K4" s="58">
        <v>0</v>
      </c>
      <c r="L4" s="58" t="str">
        <f>""</f>
        <v/>
      </c>
      <c r="M4" s="58" t="str">
        <f>""</f>
        <v/>
      </c>
      <c r="N4" s="58" t="str">
        <f>""</f>
        <v/>
      </c>
      <c r="O4" s="58" t="str">
        <f>""</f>
        <v/>
      </c>
      <c r="P4" s="58" t="str">
        <f>""</f>
        <v/>
      </c>
      <c r="Q4" s="58" t="str">
        <f>""</f>
        <v/>
      </c>
      <c r="R4" s="59" t="str">
        <f>""</f>
        <v/>
      </c>
      <c r="S4" s="59" t="str">
        <f>""</f>
        <v/>
      </c>
      <c r="T4" s="59" t="str">
        <f>""</f>
        <v/>
      </c>
      <c r="U4" s="59" t="str">
        <f>SelectText</f>
        <v>Select…</v>
      </c>
      <c r="V4" s="59" t="str">
        <f>""</f>
        <v/>
      </c>
      <c r="W4" s="59"/>
      <c r="X4" s="18" t="str">
        <f>IF(Y4="","",MAX($X3:X$3)+1)</f>
        <v/>
      </c>
      <c r="Y4" s="18" t="str">
        <f>IF(OR(A3=U4,A3=A8,A3=A11,A3=A12,A3=A13,A3=A14,A3=A15),"",U4)</f>
        <v/>
      </c>
      <c r="Z4" s="18">
        <f>Z3+1</f>
        <v>1</v>
      </c>
      <c r="AA4" s="18" t="str">
        <f t="shared" ref="AA4:AA23" si="74">IF(ISERROR(VLOOKUP(Z4,$X$4:$Y$52,2,FALSE)),"",VLOOKUP(Z4,$X$4:$Y$52,2,FALSE))</f>
        <v/>
      </c>
      <c r="AB4" s="59" t="s">
        <v>187</v>
      </c>
      <c r="AC4" s="59" t="s">
        <v>2711</v>
      </c>
      <c r="AD4" s="18" t="b">
        <f ca="1">IF(AND(VLOOKUP(RaceDraconicAncestry,$U$15:$W$25,3,FALSE)=AC4,SorcererDraconicBloodlineLevel&gt;=6),TRUE,FALSE)</f>
        <v>0</v>
      </c>
      <c r="AE4" s="59" t="s">
        <v>171</v>
      </c>
      <c r="AF4" s="18" t="str">
        <f>""</f>
        <v/>
      </c>
      <c r="AG4" s="59" t="str">
        <f>""</f>
        <v/>
      </c>
      <c r="AH4" s="59" t="s">
        <v>187</v>
      </c>
      <c r="AI4" s="18"/>
      <c r="AJ4" s="59" t="s">
        <v>187</v>
      </c>
      <c r="AK4" s="18"/>
      <c r="AL4" s="59" t="s">
        <v>187</v>
      </c>
      <c r="AM4" s="18">
        <v>0</v>
      </c>
      <c r="AN4" s="18">
        <v>2</v>
      </c>
      <c r="AO4" s="18">
        <v>3</v>
      </c>
      <c r="AP4" s="59" t="str">
        <f>SelectText</f>
        <v>Select…</v>
      </c>
      <c r="AQ4" s="59" t="str">
        <f>""</f>
        <v/>
      </c>
      <c r="AR4" s="59"/>
      <c r="AS4" s="59"/>
      <c r="AT4" s="59"/>
      <c r="AU4" s="59"/>
      <c r="AV4" s="59"/>
      <c r="AW4" s="59"/>
      <c r="AX4" s="59"/>
      <c r="AY4" s="18"/>
      <c r="AZ4" s="18"/>
      <c r="BA4" s="59"/>
      <c r="BB4" s="59"/>
      <c r="BC4" s="18"/>
      <c r="BE4" s="18" t="str">
        <f>""</f>
        <v/>
      </c>
      <c r="BF4" s="58" t="s">
        <v>23</v>
      </c>
      <c r="BG4" s="18" t="str">
        <f ca="1">IF(OR(BL9&gt;0,BL12&gt;0,BL14&gt;0,BL16&gt;0,AAP5&gt;0),BF4,"")</f>
        <v/>
      </c>
      <c r="BH4" s="58" t="str">
        <f ca="1">IF(BG4="","",IF(COUNTIF(BG4:$BG$8,"&gt;&lt;")&gt;1,BG4&amp;", ",BG4))</f>
        <v/>
      </c>
      <c r="BI4" s="58" t="str">
        <f>IF(Class2="",""," / "&amp;Class2&amp;" "&amp;BL4)</f>
        <v/>
      </c>
      <c r="BJ4" s="18" t="s">
        <v>2</v>
      </c>
      <c r="BK4" s="18">
        <v>2</v>
      </c>
      <c r="BL4" s="18" t="str">
        <f>IF(ISERROR(VLOOKUP($BN4,$BI$7:$BL$50,4,FALSE)),"",VLOOKUP($BN4,$BI$7:$BL$50,4,FALSE))</f>
        <v/>
      </c>
      <c r="BM4" s="18"/>
      <c r="BN4" s="59" t="str">
        <f>IF(ISERROR(VLOOKUP($BK4,Start!$AR$20:$AS$39,2,FALSE)),"",VLOOKUP($BK4,Start!$AR$20:$AS$39,2,FALSE))</f>
        <v/>
      </c>
      <c r="BO4" s="18" t="str">
        <f ca="1">IF(ISERROR(VLOOKUP($BN4,$BN$7:$BO$50,1,FALSE)),"",VLOOKUP($BN4,$BN$7:$BO$50,1,FALSE))</f>
        <v/>
      </c>
      <c r="BP4" s="18" t="str">
        <f ca="1">IF(ISERROR(VLOOKUP($BN4,$BN$7:$BO$50,2,FALSE)),"",VLOOKUP($BN4,$BN$7:$BO$50,2,FALSE))</f>
        <v/>
      </c>
      <c r="BQ4" s="58" t="str">
        <f>IF(Class2="","",SubClass2)</f>
        <v/>
      </c>
      <c r="BR4" s="59" t="str">
        <f ca="1">IF(BO4="","",IF(COUNTIF($BR$2:BR3,"&gt;&lt;""")&gt;0," / "&amp;BQ4,BQ4))</f>
        <v/>
      </c>
      <c r="BS4" s="489" t="b">
        <f>Tables!FE4</f>
        <v>0</v>
      </c>
      <c r="BT4" s="561" t="str">
        <f>IF(Tables!BS4=TRUE,IF(SubClass2="Land",IF(COUNTIF($BT$3:BT3,"&gt;&lt;""")&gt;0," / "&amp;SubClass2&amp;" ("&amp;DruidLandOrigin&amp;")",SubClass2&amp;" ("&amp;DruidLandOrigin&amp;")"),IF(COUNTIF($BT$3:BT3,"&gt;&lt;""")&gt;0," / "&amp;SubClass2,SubClass2)),"")</f>
        <v/>
      </c>
      <c r="BU4" s="59" t="str">
        <f ca="1">IF(BO4="","",IF(COUNTIF($BU$2:BU3,"&gt;&lt;""")&gt;0," / "&amp;BO4&amp;" "&amp;VLOOKUP(BO4,$BI$7:$BR$50,4,FALSE),BO4&amp;" "&amp;VLOOKUP(BO4,$BI$7:$BR$50,4,FALSE)))</f>
        <v/>
      </c>
      <c r="BV4" s="273" t="str">
        <f>IF($BN4="","",VLOOKUP($BN4,$BI$7:$CL$50,14,FALSE))</f>
        <v/>
      </c>
      <c r="BW4" s="273" t="str">
        <f>IF($BN4="","",VLOOKUP($BN4,$BI$7:$CL$50,15,FALSE))</f>
        <v/>
      </c>
      <c r="BX4" s="273" t="str">
        <f>IF($BN4="","",VLOOKUP($BN4,$BI$7:$CL$50,16,FALSE))</f>
        <v/>
      </c>
      <c r="BY4" s="273" t="str">
        <f>IF($BN4="","",VLOOKUP($BN4,$BI$7:$CL$50,17,FALSE))</f>
        <v/>
      </c>
      <c r="BZ4" s="103" t="str">
        <f>IF($BN4="","",VLOOKUP($BN4,$BI$7:$CL$50,CA$2,FALSE))</f>
        <v/>
      </c>
      <c r="CA4" s="103"/>
      <c r="CB4" s="103" t="str">
        <f>IF($BN4="","",VLOOKUP($BN4,$BI$7:$CL$50,CC$2,FALSE))</f>
        <v/>
      </c>
      <c r="CC4" s="103"/>
      <c r="CD4" s="103" t="str">
        <f>IF($BN4="","",VLOOKUP($BN4,$BI$7:$CL$50,CF$2,FALSE))</f>
        <v/>
      </c>
      <c r="CE4" s="273">
        <f>IF($BN4="",0,VLOOKUP($BN4,$BI$7:$CL$50,CG$2,FALSE))</f>
        <v>0</v>
      </c>
      <c r="CF4" s="103"/>
      <c r="CG4" s="103"/>
      <c r="CH4" s="103" t="str">
        <f>IF($BN4="","",VLOOKUP($BN4,$BI$7:$CL$50,CH$2,FALSE))</f>
        <v/>
      </c>
      <c r="CI4" s="103" t="str">
        <f>IF($BN4="","",VLOOKUP($BN4,$BI$7:$CL$50,CK$2,FALSE))</f>
        <v/>
      </c>
      <c r="CJ4" s="273" t="str">
        <f>IF($BN4="","",IF($BL4&gt;=CJ$6,VLOOKUP($BN4,$BI$7:$DF$50,CL$2,FALSE),""))</f>
        <v/>
      </c>
      <c r="CK4" s="103"/>
      <c r="CL4" s="103"/>
      <c r="CM4" s="103" t="str">
        <f t="shared" si="35"/>
        <v/>
      </c>
      <c r="CN4" s="103" t="str">
        <f t="shared" si="35"/>
        <v/>
      </c>
      <c r="CO4" s="103" t="str">
        <f t="shared" si="35"/>
        <v/>
      </c>
      <c r="CP4" s="103" t="str">
        <f t="shared" si="35"/>
        <v/>
      </c>
      <c r="CQ4" s="103" t="str">
        <f t="shared" si="35"/>
        <v/>
      </c>
      <c r="CR4" s="103" t="str">
        <f t="shared" si="35"/>
        <v/>
      </c>
      <c r="CS4" s="103" t="str">
        <f t="shared" si="35"/>
        <v/>
      </c>
      <c r="CT4" s="103" t="str">
        <f t="shared" si="35"/>
        <v/>
      </c>
      <c r="CU4" s="103" t="str">
        <f t="shared" si="35"/>
        <v/>
      </c>
      <c r="CV4" s="103" t="str">
        <f t="shared" si="35"/>
        <v/>
      </c>
      <c r="CW4" s="103" t="str">
        <f t="shared" si="36"/>
        <v/>
      </c>
      <c r="CX4" s="103" t="str">
        <f t="shared" si="36"/>
        <v/>
      </c>
      <c r="CY4" s="103" t="str">
        <f t="shared" si="36"/>
        <v/>
      </c>
      <c r="CZ4" s="103" t="str">
        <f t="shared" si="36"/>
        <v/>
      </c>
      <c r="DA4" s="103" t="str">
        <f t="shared" si="36"/>
        <v/>
      </c>
      <c r="DB4" s="103" t="str">
        <f t="shared" si="36"/>
        <v/>
      </c>
      <c r="DC4" s="103" t="str">
        <f t="shared" si="36"/>
        <v/>
      </c>
      <c r="DD4" s="103" t="str">
        <f t="shared" si="36"/>
        <v/>
      </c>
      <c r="DE4" s="103" t="str">
        <f t="shared" si="36"/>
        <v/>
      </c>
      <c r="DF4" s="103" t="str">
        <f t="shared" si="36"/>
        <v/>
      </c>
      <c r="DG4" s="59" t="str">
        <f>IF($BN4="","",BN4&amp;"
• "&amp;$BZ$1&amp;": "&amp;BZ4&amp;"
• "&amp;$CB$1&amp;": "&amp;CB4&amp;"
• "&amp;$CD$1&amp;": "&amp;CD4&amp;"
• "&amp;$CH$1&amp;": "&amp;CH4&amp;"
• "&amp;$CI$1&amp;": "&amp;CI4)</f>
        <v/>
      </c>
      <c r="DH4" s="59" t="str">
        <f>IF($BN4="","",BN4&amp;"
• "&amp;CI4&amp;"
")</f>
        <v/>
      </c>
      <c r="DI4" s="59" t="str">
        <f>CM4&amp;CN4&amp;CO4&amp;CP4&amp;CQ4&amp;CR4&amp;CS4&amp;CT4&amp;CU4&amp;CV4&amp;CW4&amp;CX4&amp;CY4&amp;CZ4&amp;DA4&amp;DB4&amp;DC4&amp;DD4&amp;DE4&amp;DF4</f>
        <v/>
      </c>
      <c r="DJ4" s="59" t="str">
        <f>IF(BN4="","","CLASS 2: "&amp;DG4&amp;"
"&amp;DI4)</f>
        <v/>
      </c>
      <c r="DK4" s="103" t="s">
        <v>731</v>
      </c>
      <c r="DL4" s="59" t="s">
        <v>416</v>
      </c>
      <c r="DM4" s="59" t="str">
        <f>Class2</f>
        <v/>
      </c>
      <c r="DN4" s="59" t="str">
        <f>BQ4</f>
        <v/>
      </c>
      <c r="DO4" s="59" t="str">
        <f t="shared" si="37"/>
        <v/>
      </c>
      <c r="DP4" s="59" t="str">
        <f t="shared" si="37"/>
        <v/>
      </c>
      <c r="DQ4" s="59" t="str">
        <f t="shared" si="37"/>
        <v/>
      </c>
      <c r="DR4" s="59" t="str">
        <f t="shared" si="37"/>
        <v/>
      </c>
      <c r="DS4" s="59" t="str">
        <f t="shared" si="37"/>
        <v/>
      </c>
      <c r="DT4" s="59" t="str">
        <f t="shared" si="37"/>
        <v/>
      </c>
      <c r="DU4" s="59" t="str">
        <f t="shared" si="37"/>
        <v/>
      </c>
      <c r="DV4" s="59" t="str">
        <f t="shared" si="37"/>
        <v/>
      </c>
      <c r="DW4" s="59" t="str">
        <f t="shared" si="37"/>
        <v/>
      </c>
      <c r="DX4" s="59" t="str">
        <f t="shared" si="37"/>
        <v/>
      </c>
      <c r="DY4" s="59" t="str">
        <f t="shared" si="38"/>
        <v/>
      </c>
      <c r="DZ4" s="59" t="str">
        <f t="shared" si="38"/>
        <v/>
      </c>
      <c r="EA4" s="59" t="str">
        <f t="shared" si="38"/>
        <v/>
      </c>
      <c r="EB4" s="59" t="str">
        <f t="shared" si="38"/>
        <v/>
      </c>
      <c r="EC4" s="59" t="str">
        <f t="shared" si="38"/>
        <v/>
      </c>
      <c r="ED4" s="59" t="str">
        <f t="shared" si="38"/>
        <v/>
      </c>
      <c r="EE4" s="59" t="str">
        <f t="shared" si="38"/>
        <v/>
      </c>
      <c r="EF4" s="59" t="str">
        <f t="shared" si="38"/>
        <v/>
      </c>
      <c r="EG4" s="59" t="str">
        <f t="shared" si="38"/>
        <v/>
      </c>
      <c r="EH4" s="59" t="str">
        <f t="shared" si="38"/>
        <v/>
      </c>
      <c r="EI4" s="103" t="str">
        <f t="shared" si="38"/>
        <v/>
      </c>
      <c r="EJ4" s="103" t="str">
        <f t="shared" si="38"/>
        <v/>
      </c>
      <c r="EK4" s="273">
        <f>IF(EJ4="",0,2)</f>
        <v>0</v>
      </c>
      <c r="EL4" s="103" t="str">
        <f>IF(OR($DN4="",$DN4=SelectText),"",VLOOKUP($DN4,$DL$6:$EY$51,EL$2,FALSE))</f>
        <v/>
      </c>
      <c r="EM4" s="273">
        <f>IF(EL4="",0,2)</f>
        <v>0</v>
      </c>
      <c r="EN4" s="103" t="str">
        <f>IF(OR($DN4="",$DN4=SelectText),"",VLOOKUP($DN4,$DL$6:$EY$51,EN$2,FALSE))</f>
        <v/>
      </c>
      <c r="EO4" s="273">
        <f>IF(EN4="",0,2)</f>
        <v>0</v>
      </c>
      <c r="EP4" s="103" t="str">
        <f>IF(OR($DN4="",$DN4=SelectText),"",VLOOKUP($DN4,$DL$6:$EY$51,EP$2,FALSE))</f>
        <v/>
      </c>
      <c r="EQ4" s="273">
        <f>IF(EP4="",0,2)</f>
        <v>0</v>
      </c>
      <c r="ER4" s="103" t="str">
        <f>IF(OR($DN4="",$DN4=SelectText),"",VLOOKUP($DN4,$DL$6:$EY$51,ER$2,FALSE))</f>
        <v/>
      </c>
      <c r="ES4" s="273">
        <f>IF(ER4="",0,2)</f>
        <v>0</v>
      </c>
      <c r="ET4" s="59" t="str">
        <f t="shared" si="39"/>
        <v/>
      </c>
      <c r="EU4" s="18" t="str">
        <f t="shared" si="39"/>
        <v/>
      </c>
      <c r="EV4" s="59" t="str">
        <f t="shared" si="39"/>
        <v/>
      </c>
      <c r="EW4" s="18" t="str">
        <f t="shared" si="39"/>
        <v/>
      </c>
      <c r="EX4" s="59" t="str">
        <f t="shared" si="39"/>
        <v/>
      </c>
      <c r="EY4" s="18" t="str">
        <f t="shared" si="39"/>
        <v/>
      </c>
      <c r="EZ4" s="59" t="str">
        <f>DO4&amp;DP4&amp;DQ4&amp;DR4&amp;DS4&amp;DT4&amp;DU4&amp;DV4&amp;DW4&amp;DX4&amp;DY4&amp;DZ4&amp;EA4&amp;EB4&amp;EC4&amp;ED4&amp;EE4&amp;EF4&amp;EG4&amp;EH4</f>
        <v/>
      </c>
      <c r="FA4" s="18" t="b">
        <f>IF(FC4&lt;&gt;"",IF(FC4&gt;=FC5,TRUE,FALSE))</f>
        <v>0</v>
      </c>
      <c r="FB4" s="58" t="s">
        <v>363</v>
      </c>
      <c r="FC4" s="18" t="str">
        <f>IF(FB5="","",VLOOKUP(FB5,$BI$6:$BR$50,4,FALSE))</f>
        <v/>
      </c>
      <c r="FD4" s="58" t="str">
        <f>SubClass1</f>
        <v>Evocation</v>
      </c>
      <c r="FE4" s="18" t="b">
        <f>IF(FG4&lt;&gt;"",IF(FG4&gt;=FG5,TRUE,FALSE))</f>
        <v>0</v>
      </c>
      <c r="FF4" s="58" t="s">
        <v>365</v>
      </c>
      <c r="FG4" s="18" t="str">
        <f>IF(FF5="","",VLOOKUP(FF5,$BI$6:$BR$50,4,FALSE))</f>
        <v/>
      </c>
      <c r="FH4" s="58" t="str">
        <f>SubClass2</f>
        <v>Select…</v>
      </c>
      <c r="FI4" s="18" t="b">
        <f>IF(FK4&lt;&gt;"",IF(FK4&gt;=FK5,TRUE,FALSE))</f>
        <v>0</v>
      </c>
      <c r="FJ4" s="58" t="s">
        <v>364</v>
      </c>
      <c r="FK4" s="18" t="str">
        <f>IF(FJ5="","",VLOOKUP(FJ5,$BI$6:$BR$50,4,FALSE))</f>
        <v/>
      </c>
      <c r="FL4" s="58" t="str">
        <f>SubClass3</f>
        <v>Select…</v>
      </c>
      <c r="FM4" s="58" t="s">
        <v>1883</v>
      </c>
      <c r="FN4" s="59">
        <f>Start!L65</f>
        <v>0</v>
      </c>
      <c r="FO4" s="18" t="str">
        <f>IF($FM4=$FP4,MAX(FO$3:FO3)+1,"")</f>
        <v/>
      </c>
      <c r="FP4" s="59" t="str">
        <f>IF(FN4="•",FM4,"")</f>
        <v/>
      </c>
      <c r="FQ4" s="18">
        <f>FQ3+1</f>
        <v>2</v>
      </c>
      <c r="FR4" s="59" t="str">
        <f t="shared" ref="FR4:FR22" si="75">IF(ISERROR(VLOOKUP(FQ4,$FO$3:$FP$22,2,FALSE)),"",VLOOKUP(FQ4,$FO$3:$FP$22,2,FALSE))</f>
        <v/>
      </c>
      <c r="FS4" s="59" t="str">
        <f>IF(OR(RogueLevel&gt;=1,BardLevel&gt;=3),TRUE, "")</f>
        <v/>
      </c>
      <c r="FT4" s="59" t="str">
        <f>IF(RogueLevel&gt;=1,"Rogue Level 1", IF(BardLevel&gt;=3,"Bard Level 3","EXPERTISE 2"))</f>
        <v>EXPERTISE 2</v>
      </c>
      <c r="FU4" s="59"/>
      <c r="FW4" s="18" t="str">
        <f>IF(FX4="","",MAX($FW$1:FW3)+1)</f>
        <v/>
      </c>
      <c r="FX4" s="59" t="str">
        <f>IF(OR(AND(Class3=$BI$8,FighterLevel&gt;=1),AND(Class3=$BI$15,PaladinLevel&gt;=2),AND(Class3=$BI$16,RangerLevel&gt;=2)),Class3,"")</f>
        <v/>
      </c>
      <c r="FY4" s="85">
        <v>3</v>
      </c>
      <c r="FZ4" s="59" t="str">
        <f ca="1">IF(ISERROR(VLOOKUP($FY4,$FW$2:$FX$5,2,FALSE)),"",VLOOKUP($FY4,$FW$2:$FX$5,2,FALSE))</f>
        <v/>
      </c>
      <c r="GA4" s="59" t="str">
        <f>FightingStyle3</f>
        <v>Select…</v>
      </c>
      <c r="GB4" s="59" t="s">
        <v>3416</v>
      </c>
      <c r="GC4" s="142" t="s">
        <v>3472</v>
      </c>
      <c r="GD4" s="142">
        <v>2</v>
      </c>
      <c r="GE4" s="59" t="str">
        <f>$ZT$12</f>
        <v/>
      </c>
      <c r="GF4" s="59" t="str">
        <f t="shared" si="40"/>
        <v/>
      </c>
      <c r="GG4" s="59" t="str">
        <f t="shared" si="41"/>
        <v>MANEUVER 2</v>
      </c>
      <c r="GH4" s="732" t="str">
        <f>Start!AJ79</f>
        <v>Select…</v>
      </c>
      <c r="GI4" s="732" t="str">
        <f t="shared" si="42"/>
        <v/>
      </c>
      <c r="GJ4" s="99" t="str">
        <f t="shared" si="43"/>
        <v/>
      </c>
      <c r="GK4" s="59" t="s">
        <v>1885</v>
      </c>
      <c r="GL4" s="59">
        <f>FN6</f>
        <v>0</v>
      </c>
      <c r="GM4" s="18" t="str">
        <f>IF($GK4=$GN4,MAX(GM$3:GM3)+1,"")</f>
        <v/>
      </c>
      <c r="GN4" s="59" t="str">
        <f>IF(GL4=TRUE,GK4,"")</f>
        <v/>
      </c>
      <c r="GO4" s="18">
        <f>GO3+1</f>
        <v>2</v>
      </c>
      <c r="GP4" s="59" t="str">
        <f>IF(ISERROR(VLOOKUP(GO4,$GM$3:$GN$22,2,FALSE)),"",VLOOKUP(GO4,$GM$3:$GN$22,2,FALSE))</f>
        <v/>
      </c>
      <c r="GQ4" s="59" t="s">
        <v>2815</v>
      </c>
      <c r="GR4" s="59" t="s">
        <v>3485</v>
      </c>
      <c r="GS4" s="18">
        <v>17</v>
      </c>
      <c r="GT4" s="18">
        <v>6</v>
      </c>
      <c r="GU4" s="18" t="str">
        <f ca="1">IF(GV4="","",MAX($GU$3:GU3)+1)</f>
        <v/>
      </c>
      <c r="GV4" s="59" t="str">
        <f t="shared" ref="GV4:GV19" ca="1" si="76">IF(MonkFourElementsLevel&gt;=GS4,GQ4,"")</f>
        <v/>
      </c>
      <c r="GW4" s="18">
        <f>GW3+1</f>
        <v>2</v>
      </c>
      <c r="GX4" s="59" t="str">
        <f t="shared" ca="1" si="44"/>
        <v/>
      </c>
      <c r="GY4" s="59" t="str">
        <f ca="1">IF(MonkFourElementsLevel&gt;=3,TRUE, "")</f>
        <v/>
      </c>
      <c r="GZ4" s="59" t="str">
        <f ca="1">IF(MonkFourElementsLevel&gt;=3,"Monk Level 3","DISCIPLINE 1")</f>
        <v>DISCIPLINE 1</v>
      </c>
      <c r="HA4" s="59" t="str">
        <f>Start!AJ91</f>
        <v>Select…</v>
      </c>
      <c r="HB4" s="59" t="str">
        <f>" "&amp;HA4&amp;"
"&amp;VLOOKUP(HA4,$GQ$3:$GR$19,2,FALSE)</f>
        <v xml:space="preserve"> Select…
</v>
      </c>
      <c r="HC4" s="59" t="s">
        <v>2825</v>
      </c>
      <c r="HD4" s="59" t="s">
        <v>2828</v>
      </c>
      <c r="HE4" s="59" t="s">
        <v>2832</v>
      </c>
      <c r="HF4" s="142" t="s">
        <v>3508</v>
      </c>
      <c r="HG4" s="59" t="str">
        <f ca="1">IF(BarbarianTotemWarriorLevel&gt;=3,TRUE, "")</f>
        <v/>
      </c>
      <c r="HH4" s="59" t="str">
        <f ca="1">IF(BarbarianTotemWarriorLevel&gt;=3,"Barbarian Level 3","TOTEM SPIRIT 1")</f>
        <v>TOTEM SPIRIT 1</v>
      </c>
      <c r="HI4" s="59" t="str">
        <f>Start!AJ69</f>
        <v>Select…</v>
      </c>
      <c r="HJ4" s="59" t="str">
        <f>VLOOKUP(HI4,$HC$3:$HF$6,2,FALSE)</f>
        <v/>
      </c>
      <c r="HK4" s="59" t="s">
        <v>2892</v>
      </c>
      <c r="HL4" s="59" t="str">
        <f>""</f>
        <v/>
      </c>
      <c r="HM4" s="59" t="s">
        <v>2906</v>
      </c>
      <c r="HN4" s="59" t="str">
        <f>IF(RangerLevel&gt;=1,TRUE, "")</f>
        <v/>
      </c>
      <c r="HO4" s="59" t="str">
        <f>IF(RangerLevel&gt;=1,"Ranger Level 1","ENEMY 1")</f>
        <v>ENEMY 1</v>
      </c>
      <c r="HP4" s="59" t="str">
        <f>Start!AJ97</f>
        <v>Select…</v>
      </c>
      <c r="HQ4" s="59" t="str">
        <f>IF(ISERROR(VLOOKUP(HP4,$HK$3:$HL$61,2,FALSE)),"",VLOOKUP(HP4,$HK$3:$HL$61,2,FALSE))</f>
        <v/>
      </c>
      <c r="HR4" s="59" t="str">
        <f>Start!AO97</f>
        <v>Select…</v>
      </c>
      <c r="HS4" s="59" t="str">
        <f>IF(HQ4="",HP4,HP4&amp;", "&amp;HR4)</f>
        <v>Select…</v>
      </c>
      <c r="HT4" s="59" t="s">
        <v>2663</v>
      </c>
      <c r="HU4" s="59" t="str">
        <f>IF(RangerLevel&gt;=1,TRUE, "")</f>
        <v/>
      </c>
      <c r="HV4" s="59" t="str">
        <f>IF(RangerLevel&gt;=1,"Ranger Level 1","TERRAIN 1")</f>
        <v>TERRAIN 1</v>
      </c>
      <c r="HW4" s="59" t="str">
        <f>Start!AJ102</f>
        <v>Select…</v>
      </c>
      <c r="HX4" s="58" t="s">
        <v>313</v>
      </c>
      <c r="HY4" s="59" t="str">
        <f ca="1">IF(RangerHunterLevel&gt;=1,TRUE, "")</f>
        <v/>
      </c>
      <c r="HZ4" s="59" t="str">
        <f ca="1">IF(RangerHunterLevel&gt;=3,"Hunter's Prey","FEATURE 1")</f>
        <v>FEATURE 1</v>
      </c>
      <c r="IA4" s="59" t="str">
        <f>Start!AJ107</f>
        <v>Select…</v>
      </c>
      <c r="IB4" s="58" t="s">
        <v>3115</v>
      </c>
      <c r="IC4" s="215" t="s">
        <v>3466</v>
      </c>
      <c r="ID4" s="59" t="str">
        <f>IF(SorcererLevel&gt;=3,TRUE, "")</f>
        <v/>
      </c>
      <c r="IE4" s="59" t="s">
        <v>3113</v>
      </c>
      <c r="IF4" s="59" t="str">
        <f>Spellcasting!AC24</f>
        <v>Select…</v>
      </c>
      <c r="IG4" s="59" t="str">
        <f>IF(IF4=SelectText,""," - "&amp;IF4&amp;"
"&amp;VLOOKUP(IF4,$IB$4:$IC$11,2,FALSE)&amp;"
")</f>
        <v/>
      </c>
      <c r="IH4" s="18">
        <f>IF(IJ4=1,MAX($IH$2:IH3)+1,"")</f>
        <v>1</v>
      </c>
      <c r="II4" s="59" t="s">
        <v>3294</v>
      </c>
      <c r="IJ4" s="59">
        <f>1</f>
        <v>1</v>
      </c>
      <c r="IK4" s="59" t="s">
        <v>3333</v>
      </c>
      <c r="IL4" s="18">
        <f>IL3+1</f>
        <v>2</v>
      </c>
      <c r="IM4" s="59" t="str">
        <f t="shared" ref="IM4:IM34" si="77">IF(ISERROR(VLOOKUP($IL4,$IH$3:$IK$34,2,FALSE)),"",VLOOKUP($IL4,$IH$3:$IK$34,2,FALSE))</f>
        <v>Beast Speech</v>
      </c>
      <c r="IN4" s="59">
        <v>1</v>
      </c>
      <c r="IO4" s="59" t="str">
        <f>IF($IO$3&gt;=IN4,TRUE,"")</f>
        <v/>
      </c>
      <c r="IP4" s="59" t="str">
        <f>IF($IO$3&gt;=IN4,"Warlock Level 2","INVOCATION 1")</f>
        <v>INVOCATION 1</v>
      </c>
      <c r="IQ4" s="142" t="str">
        <f>Start!AJ113</f>
        <v>Select…</v>
      </c>
      <c r="IR4" s="142" t="str">
        <f t="shared" ref="IR4:IR11" si="78">IF(IQ4=SelectText,""," - "&amp;IQ4&amp;"
"&amp;VLOOKUP(IQ4,$II$3:$IK$34,3,FALSE)&amp;"
")</f>
        <v/>
      </c>
      <c r="IS4" s="59" t="s">
        <v>3327</v>
      </c>
      <c r="IT4" s="142" t="s">
        <v>3331</v>
      </c>
      <c r="IU4" s="249" t="s">
        <v>3533</v>
      </c>
      <c r="IV4" s="59" t="s">
        <v>196</v>
      </c>
      <c r="IW4" s="58" t="s">
        <v>204</v>
      </c>
      <c r="IX4" s="73" t="s">
        <v>1700</v>
      </c>
      <c r="IY4" s="59"/>
      <c r="JA4" s="59"/>
      <c r="JB4" s="59" t="str">
        <f>"-"</f>
        <v>-</v>
      </c>
      <c r="JC4" s="18" t="str">
        <f>IF(JD4="","",MAX($JC$1:JC3)+1)</f>
        <v/>
      </c>
      <c r="JD4" s="58" t="str">
        <f>IF(DruidLevel&gt;=1,"Druidic","")</f>
        <v/>
      </c>
      <c r="JE4" s="58" t="s">
        <v>2668</v>
      </c>
      <c r="JF4" s="18">
        <v>3</v>
      </c>
      <c r="JG4" s="59" t="str">
        <f t="shared" si="27"/>
        <v>Dwarvish</v>
      </c>
      <c r="JH4" s="18">
        <v>3</v>
      </c>
      <c r="JI4" s="60">
        <v>900</v>
      </c>
      <c r="JJ4" s="18">
        <v>3</v>
      </c>
      <c r="JK4" s="18">
        <v>2</v>
      </c>
      <c r="JL4" s="18"/>
      <c r="JM4" s="80">
        <v>2</v>
      </c>
      <c r="JN4" s="80">
        <f t="shared" ca="1" si="45"/>
        <v>3</v>
      </c>
      <c r="JO4" s="80" t="str">
        <f t="shared" ca="1" si="45"/>
        <v>-</v>
      </c>
      <c r="JP4" s="80" t="str">
        <f t="shared" ca="1" si="45"/>
        <v>-</v>
      </c>
      <c r="JQ4" s="80" t="str">
        <f t="shared" ca="1" si="45"/>
        <v>-</v>
      </c>
      <c r="JR4" s="80" t="str">
        <f t="shared" ca="1" si="45"/>
        <v>-</v>
      </c>
      <c r="JS4" s="80" t="str">
        <f t="shared" ca="1" si="45"/>
        <v>-</v>
      </c>
      <c r="JT4" s="80" t="str">
        <f t="shared" ca="1" si="45"/>
        <v>-</v>
      </c>
      <c r="JU4" s="80" t="str">
        <f t="shared" ca="1" si="45"/>
        <v>-</v>
      </c>
      <c r="JV4" s="80" t="str">
        <f t="shared" ca="1" si="45"/>
        <v>-</v>
      </c>
      <c r="JW4" s="80">
        <f t="shared" ca="1" si="45"/>
        <v>1</v>
      </c>
      <c r="JX4" s="18" t="s">
        <v>3283</v>
      </c>
      <c r="JY4" s="73" t="s">
        <v>287</v>
      </c>
      <c r="JZ4" s="98" t="s">
        <v>39</v>
      </c>
      <c r="KA4" s="98" t="s">
        <v>451</v>
      </c>
      <c r="KB4" s="98">
        <f>IF((DruidLevel+WISMod)&lt;1,1,DruidLevel+WISMod)</f>
        <v>1</v>
      </c>
      <c r="KC4" s="98"/>
      <c r="KD4" s="80">
        <v>2</v>
      </c>
      <c r="KE4" s="302">
        <v>0</v>
      </c>
      <c r="KF4" s="302">
        <v>5</v>
      </c>
      <c r="KG4" s="302">
        <v>0</v>
      </c>
      <c r="KH4" s="302">
        <v>2</v>
      </c>
      <c r="KI4" s="302">
        <v>3</v>
      </c>
      <c r="KJ4" s="302">
        <v>3</v>
      </c>
      <c r="KK4" s="80">
        <v>2</v>
      </c>
      <c r="KL4" s="80">
        <v>3</v>
      </c>
      <c r="KM4" s="80">
        <v>3</v>
      </c>
      <c r="KN4" s="80">
        <v>0</v>
      </c>
      <c r="KO4" s="80">
        <v>0</v>
      </c>
      <c r="KP4" s="80">
        <v>2</v>
      </c>
      <c r="KQ4" s="80">
        <v>4</v>
      </c>
      <c r="KR4" s="80">
        <v>2</v>
      </c>
      <c r="KS4" s="314" t="s">
        <v>366</v>
      </c>
      <c r="KT4" s="315"/>
      <c r="KV4" s="85" t="s">
        <v>333</v>
      </c>
      <c r="KW4" s="319" t="str">
        <f>PV12&amp;PV13&amp;PV14&amp;PV15&amp;PV16&amp;PV17&amp;PV18&amp;PV19&amp;PV20&amp;PV21&amp;PV22&amp;PV23&amp;PV24&amp;PV25&amp;PV26&amp;PV27&amp;PV28&amp;PV29&amp;PV30&amp;PV32&amp;PV33&amp;PV34&amp;PV35&amp;PV36&amp;PV37&amp;PV38&amp;PV40&amp;PV41&amp;PV42&amp;PV43&amp;PV44&amp;PV45&amp;PV46&amp;PV47&amp;PV48&amp;PV49&amp;PV50&amp;PV51&amp;PV53&amp;PV54&amp;PV55&amp;PV56&amp;PV57&amp;PV58</f>
        <v/>
      </c>
      <c r="KX4" s="319"/>
      <c r="KY4" s="319"/>
      <c r="KZ4" s="319"/>
      <c r="LA4" s="319"/>
      <c r="LB4" s="319"/>
      <c r="LC4" s="319"/>
      <c r="LD4" s="319"/>
      <c r="LE4" s="319"/>
      <c r="LF4" s="319"/>
      <c r="LG4" s="319"/>
      <c r="LH4" s="319"/>
      <c r="LI4" s="319"/>
      <c r="LJ4" s="319"/>
      <c r="LK4" s="319"/>
      <c r="LL4" s="319"/>
      <c r="LM4" s="319"/>
      <c r="LN4" s="319"/>
      <c r="LO4" s="319"/>
      <c r="LP4" s="319"/>
      <c r="LQ4" s="319"/>
      <c r="LR4" s="319"/>
      <c r="LS4" s="319"/>
      <c r="LT4" s="319"/>
      <c r="LU4" s="319"/>
      <c r="LV4" s="319"/>
      <c r="LW4" s="319"/>
      <c r="LX4" s="319"/>
      <c r="LY4" s="319"/>
      <c r="LZ4" s="323"/>
      <c r="MA4" s="323"/>
      <c r="MB4" s="323"/>
      <c r="MC4" s="323"/>
      <c r="MD4" s="322"/>
      <c r="ME4" s="323"/>
      <c r="MF4" s="323"/>
      <c r="MG4" s="323"/>
      <c r="MH4" s="323"/>
      <c r="MI4" s="323"/>
      <c r="MJ4" s="563"/>
      <c r="MK4" s="570"/>
      <c r="ML4" s="323"/>
      <c r="MM4" s="968"/>
      <c r="MN4" s="968"/>
      <c r="MO4" s="968"/>
      <c r="MP4" s="968"/>
      <c r="MQ4" s="968"/>
      <c r="MR4" s="968"/>
      <c r="MS4" s="968"/>
      <c r="MT4" s="968"/>
      <c r="MU4" s="968"/>
      <c r="MV4" s="968"/>
      <c r="MW4" s="968"/>
      <c r="MX4" s="968"/>
      <c r="MY4" s="968"/>
      <c r="MZ4" s="968"/>
      <c r="NA4" s="968"/>
      <c r="NB4" s="968"/>
      <c r="NC4" s="968"/>
      <c r="ND4" s="968"/>
      <c r="NE4" s="968"/>
      <c r="NF4" s="968"/>
      <c r="NG4" s="968"/>
      <c r="NH4" s="967"/>
      <c r="NI4" s="967"/>
      <c r="NJ4" s="967"/>
      <c r="NK4" s="967"/>
      <c r="NL4" s="967"/>
      <c r="NM4" s="967"/>
      <c r="NN4" s="967"/>
      <c r="NO4" s="967"/>
      <c r="NP4" s="967"/>
      <c r="NQ4" s="967"/>
      <c r="NR4" s="967"/>
      <c r="NS4" s="967"/>
      <c r="NT4" s="967"/>
      <c r="NU4" s="967"/>
      <c r="NV4" s="967"/>
      <c r="NW4" s="967"/>
      <c r="NX4" s="984"/>
      <c r="NY4" s="984"/>
      <c r="NZ4" s="984"/>
      <c r="OA4" s="320"/>
      <c r="OB4" s="320"/>
      <c r="OC4" s="320"/>
      <c r="OD4" s="320"/>
      <c r="OE4" s="320"/>
      <c r="OF4" s="320"/>
      <c r="OG4" s="320"/>
      <c r="OH4" s="320"/>
      <c r="OI4" s="320"/>
      <c r="OJ4" s="320"/>
      <c r="OK4" s="320"/>
      <c r="OL4" s="320"/>
      <c r="OM4" s="320"/>
      <c r="ON4" s="320"/>
      <c r="OO4" s="320"/>
      <c r="OP4" s="320"/>
      <c r="OQ4" s="320"/>
      <c r="OR4" s="320"/>
      <c r="OS4" s="320"/>
      <c r="OT4" s="320"/>
      <c r="OU4" s="320"/>
      <c r="OV4" s="320"/>
      <c r="OW4" s="320"/>
      <c r="OX4" s="320"/>
      <c r="OY4" s="320"/>
      <c r="OZ4" s="320"/>
      <c r="PA4" s="320"/>
      <c r="PB4" s="320"/>
      <c r="PC4" s="320"/>
      <c r="PD4" s="320"/>
      <c r="PE4" s="320"/>
      <c r="PF4" s="320"/>
      <c r="PG4" s="320"/>
      <c r="PH4" s="320"/>
      <c r="PI4" s="320"/>
      <c r="PJ4" s="320"/>
      <c r="PK4" s="320"/>
      <c r="PL4" s="320"/>
      <c r="PM4" s="320"/>
      <c r="PN4" s="320"/>
      <c r="PO4" s="320"/>
      <c r="PP4" s="320"/>
      <c r="PQ4" s="320"/>
      <c r="PR4" s="320"/>
      <c r="PS4" s="320"/>
      <c r="PT4" s="320"/>
      <c r="PU4" s="320"/>
      <c r="PV4" s="320"/>
      <c r="PW4" s="320"/>
      <c r="PX4" s="320"/>
      <c r="PY4" s="18"/>
      <c r="PZ4" s="62" t="s">
        <v>112</v>
      </c>
      <c r="QA4" s="62" t="s">
        <v>129</v>
      </c>
      <c r="QB4" s="25" t="str">
        <f t="shared" ref="QB4:QB45" ca="1" si="79">IF(PZ4="","",IF(VLOOKUP(PZ4,$KT$80:$KV$129,2,FALSE)="No",$QS$12,$QS$11))</f>
        <v>not proficient</v>
      </c>
      <c r="QC4" s="63" t="s">
        <v>88</v>
      </c>
      <c r="QD4" s="62" t="s">
        <v>134</v>
      </c>
      <c r="QE4" s="24" t="s">
        <v>140</v>
      </c>
      <c r="QF4" s="24">
        <v>4</v>
      </c>
      <c r="QG4" s="24" t="str">
        <f>""</f>
        <v/>
      </c>
      <c r="QH4" s="24" t="str">
        <f>""</f>
        <v/>
      </c>
      <c r="QI4" s="24" t="str">
        <f>""</f>
        <v/>
      </c>
      <c r="QJ4" s="24" t="str">
        <f>""</f>
        <v/>
      </c>
      <c r="QK4" s="24" t="str">
        <f>""</f>
        <v/>
      </c>
      <c r="QL4" s="24" t="str">
        <f>""</f>
        <v/>
      </c>
      <c r="QM4" s="24" t="str">
        <f>""</f>
        <v/>
      </c>
      <c r="QN4" s="24" t="str">
        <f>""</f>
        <v/>
      </c>
      <c r="QO4" s="24" t="str">
        <f>""</f>
        <v/>
      </c>
      <c r="QP4" s="24" t="s">
        <v>178</v>
      </c>
      <c r="QQ4" s="25" t="str">
        <f>""</f>
        <v/>
      </c>
      <c r="QR4" s="25" t="str">
        <f>""</f>
        <v/>
      </c>
      <c r="QS4" s="64">
        <v>1</v>
      </c>
      <c r="QT4" s="733">
        <f t="shared" si="46"/>
        <v>4</v>
      </c>
      <c r="QU4" s="727"/>
      <c r="QV4" s="727"/>
      <c r="QW4" s="727"/>
      <c r="QX4" s="528"/>
      <c r="QY4" s="634"/>
      <c r="QZ4" s="634"/>
      <c r="RA4" s="726"/>
      <c r="RB4" s="634"/>
      <c r="RC4" s="634"/>
      <c r="RD4" s="528"/>
      <c r="RE4" s="528"/>
      <c r="RF4" s="528"/>
      <c r="RG4" s="528"/>
      <c r="RH4" s="634"/>
      <c r="RI4" s="634"/>
      <c r="RJ4" s="634"/>
      <c r="RK4" s="634"/>
      <c r="RL4" s="634"/>
      <c r="RM4" s="634"/>
      <c r="RN4" s="634"/>
      <c r="RO4" s="634"/>
      <c r="RP4" s="634"/>
      <c r="RQ4" s="634"/>
      <c r="RR4" s="634"/>
      <c r="RS4" s="634"/>
      <c r="RT4" s="634"/>
      <c r="RU4" s="634"/>
      <c r="RV4" s="634"/>
      <c r="RW4" s="634"/>
      <c r="RX4" s="634"/>
      <c r="RY4" s="634"/>
      <c r="RZ4" s="634"/>
      <c r="SA4" s="634"/>
      <c r="SB4" s="634"/>
      <c r="SC4" s="634"/>
      <c r="SD4" s="634"/>
      <c r="SE4" s="634"/>
      <c r="SF4" s="634"/>
      <c r="SG4" s="634"/>
      <c r="SH4" s="634"/>
      <c r="SI4" s="634"/>
      <c r="SJ4" s="634"/>
      <c r="SK4" s="634"/>
      <c r="SL4" s="634"/>
      <c r="SM4" s="634"/>
      <c r="SN4" s="634"/>
      <c r="SO4" s="634"/>
      <c r="SP4" s="634"/>
      <c r="SQ4" s="729"/>
      <c r="SR4" s="62" t="s">
        <v>187</v>
      </c>
      <c r="SS4" s="65" t="s">
        <v>140</v>
      </c>
      <c r="ST4" s="47" t="str">
        <f>""</f>
        <v/>
      </c>
      <c r="SU4" s="66">
        <v>10</v>
      </c>
      <c r="SV4" s="43">
        <f>DEXMod</f>
        <v>-5</v>
      </c>
      <c r="SW4" s="234" t="s">
        <v>140</v>
      </c>
      <c r="SX4" s="47" t="s">
        <v>140</v>
      </c>
      <c r="SY4" s="236" t="s">
        <v>140</v>
      </c>
      <c r="SZ4" s="47" t="s">
        <v>140</v>
      </c>
      <c r="TA4" s="62" t="s">
        <v>187</v>
      </c>
      <c r="TB4" s="65" t="s">
        <v>140</v>
      </c>
      <c r="TC4" s="47"/>
      <c r="TD4" s="43">
        <v>0</v>
      </c>
      <c r="TE4" s="24">
        <f>DEXMod</f>
        <v>-5</v>
      </c>
      <c r="TF4" s="234" t="s">
        <v>140</v>
      </c>
      <c r="TG4" s="47" t="s">
        <v>140</v>
      </c>
      <c r="TH4" s="236" t="s">
        <v>140</v>
      </c>
      <c r="TI4" s="25" t="str">
        <f>""</f>
        <v/>
      </c>
      <c r="TJ4" s="18">
        <f>TJ3+1</f>
        <v>2</v>
      </c>
      <c r="TK4" s="59" t="s">
        <v>483</v>
      </c>
      <c r="TL4" s="59" t="s">
        <v>459</v>
      </c>
      <c r="TM4" s="18">
        <v>2</v>
      </c>
      <c r="TN4" s="59" t="str">
        <f t="shared" si="47"/>
        <v xml:space="preserve">Aid ᴴ </v>
      </c>
      <c r="TO4" s="350" t="s">
        <v>2991</v>
      </c>
      <c r="TP4" s="18" t="str">
        <f t="shared" si="48"/>
        <v/>
      </c>
      <c r="TQ4" s="18" t="str">
        <f>IF(OR(TK4=Spellcasting!$AC$18,TK4=Spellcasting!$AC$19),"ᵐ","")</f>
        <v/>
      </c>
      <c r="TR4" s="18" t="str">
        <f>IF(OR(TK4=Spellcasting!$AC$20,TK4=Spellcasting!$AC$21),"ˢ","")</f>
        <v/>
      </c>
      <c r="TS4" s="18" t="str">
        <f>""</f>
        <v/>
      </c>
      <c r="TT4" s="18" t="s">
        <v>484</v>
      </c>
      <c r="TU4" s="18" t="s">
        <v>851</v>
      </c>
      <c r="TV4" s="18" t="s">
        <v>485</v>
      </c>
      <c r="TW4" s="18" t="s">
        <v>495</v>
      </c>
      <c r="TX4" s="59" t="s">
        <v>853</v>
      </c>
      <c r="TY4" s="18" t="s">
        <v>487</v>
      </c>
      <c r="TZ4" s="18" t="s">
        <v>488</v>
      </c>
      <c r="UA4" s="142" t="s">
        <v>3224</v>
      </c>
      <c r="UB4" s="319" t="s">
        <v>742</v>
      </c>
      <c r="UD4" s="18" t="str">
        <f ca="1">IF(UD$1&gt;=$TM4,1,"0")</f>
        <v>0</v>
      </c>
      <c r="UH4" s="18" t="str">
        <f ca="1">IF(UH$1&gt;=$TM4,1,"0")</f>
        <v>0</v>
      </c>
      <c r="WD4" s="18" t="str">
        <f ca="1">IF(SUM($VZ$1:$WC$1)&gt;0,IF(AND(SUM($VZ4:$WC4)&gt;0,$TM4=WE$1),MAX(WD$2:WD3)+1,""),IF(AND(SUM($UC4:$VY4)&gt;0,$TM4=WE$1),MAX(WD$2:WD3)+1,""))</f>
        <v/>
      </c>
      <c r="WE4" s="59" t="str">
        <f t="shared" ref="WE4:WE67" ca="1" si="80">IF(AND(WD4&lt;&gt;"",$TM4=WE$1),$TK4,"")</f>
        <v/>
      </c>
      <c r="WF4" s="18" t="str">
        <f ca="1">IF(AND(SUM($UB4:$VY4)&gt;0,$TM4=WG$1),MAX(WF$2:WF3)+1,"")</f>
        <v/>
      </c>
      <c r="WG4" s="59" t="str">
        <f t="shared" ref="WG4:WG67" ca="1" si="81">IF(AND(WF4&lt;&gt;"",$TM4=WG$1),$TK4,"")</f>
        <v/>
      </c>
      <c r="WH4" s="18" t="str">
        <f ca="1">IF(AND(SUM($UB4:$VY4)&gt;0,$TM4=WI$1),MAX(WH$2:WH3)+1,"")</f>
        <v/>
      </c>
      <c r="WI4" s="59" t="str">
        <f t="shared" ref="WI4:WI67" ca="1" si="82">IF(AND(WH4&lt;&gt;"",$TM4=WI$1),$TK4,"")</f>
        <v/>
      </c>
      <c r="WJ4" s="18" t="str">
        <f ca="1">IF(AND(SUM($UB4:$VY4)&gt;0,$TM4=WK$1),MAX(WJ$2:WJ3)+1,"")</f>
        <v/>
      </c>
      <c r="WK4" s="59" t="str">
        <f t="shared" ref="WK4:WK67" ca="1" si="83">IF(AND(WJ4&lt;&gt;"",$TM4=WK$1),$TK4,"")</f>
        <v/>
      </c>
      <c r="WL4" s="18" t="str">
        <f ca="1">IF(AND(SUM($UB4:$VY4)&gt;0,$TM4=WM$1),MAX(WL$2:WL3)+1,"")</f>
        <v/>
      </c>
      <c r="WM4" s="59" t="str">
        <f t="shared" ref="WM4:WM67" ca="1" si="84">IF(AND(WL4&lt;&gt;"",$TM4=WM$1),$TK4,"")</f>
        <v/>
      </c>
      <c r="WN4" s="18" t="str">
        <f ca="1">IF(AND(SUM($UB4:$VY4)&gt;0,$TM4=WO$1),MAX(WN$2:WN3)+1,"")</f>
        <v/>
      </c>
      <c r="WO4" s="59" t="str">
        <f t="shared" ref="WO4:WO67" ca="1" si="85">IF(AND(WN4&lt;&gt;"",$TM4=WO$1),$TK4,"")</f>
        <v/>
      </c>
      <c r="WP4" s="18" t="str">
        <f ca="1">IF(AND(SUM($UB4:$VY4)&gt;0,$TM4=WQ$1),MAX(WP$2:WP3)+1,"")</f>
        <v/>
      </c>
      <c r="WQ4" s="59" t="str">
        <f t="shared" ref="WQ4:WQ67" ca="1" si="86">IF(AND(WP4&lt;&gt;"",$TM4=WQ$1),$TK4,"")</f>
        <v/>
      </c>
      <c r="WR4" s="18" t="str">
        <f ca="1">IF(AND(SUM($UB4:$VY4)&gt;0,$TM4=WS$1),MAX(WR$2:WR3)+1,"")</f>
        <v/>
      </c>
      <c r="WS4" s="59" t="str">
        <f t="shared" ref="WS4:WS67" ca="1" si="87">IF(AND(WR4&lt;&gt;"",$TM4=WS$1),$TK4,"")</f>
        <v/>
      </c>
      <c r="WT4" s="18" t="str">
        <f ca="1">IF(AND(SUM($UB4:$VY4)&gt;0,$TM4=WU$1),MAX(WT$2:WT3)+1,"")</f>
        <v/>
      </c>
      <c r="WU4" s="59" t="str">
        <f t="shared" ref="WU4:WU67" ca="1" si="88">IF(AND(WT4&lt;&gt;"",$TM4=WU$1),$TK4,"")</f>
        <v/>
      </c>
      <c r="WV4" s="18" t="str">
        <f ca="1">IF(AND(SUM($UB4:$VY4)&gt;0,$TM4=WW$1),MAX(WV$2:WV3)+1,"")</f>
        <v/>
      </c>
      <c r="WW4" s="59" t="str">
        <f t="shared" ref="WW4:WW67" ca="1" si="89">IF(AND(WV4&lt;&gt;"",$TM4=WW$1),$TK4,"")</f>
        <v/>
      </c>
      <c r="WX4" s="18" t="str">
        <f ca="1">IF(AND(SUM($UB4:$VY4)&gt;0,$TM4=WY$1),MAX(WX$2:WX3)+1,"")</f>
        <v/>
      </c>
      <c r="WY4" s="59" t="str">
        <f t="shared" ref="WY4:WY67" ca="1" si="90">IF(AND(WX4&lt;&gt;"",$TM4=WY$1),$TK4,"")</f>
        <v/>
      </c>
      <c r="WZ4" s="18">
        <v>3</v>
      </c>
      <c r="XA4" s="59" t="str">
        <f t="shared" ref="XA4:XA51" ca="1" si="91">IF(ISERROR(VLOOKUP($WZ4,$WD$1:$WE$5013,2,FALSE)),"",VLOOKUP($WZ4,$WD$1:$WE$5013,2,FALSE))</f>
        <v/>
      </c>
      <c r="XB4" s="59" t="str">
        <f t="shared" ca="1" si="28"/>
        <v/>
      </c>
      <c r="XC4" s="59" t="str">
        <f t="shared" ca="1" si="29"/>
        <v/>
      </c>
      <c r="XD4" s="59" t="str">
        <f t="shared" ca="1" si="60"/>
        <v/>
      </c>
      <c r="XE4" s="59" t="str">
        <f t="shared" ca="1" si="61"/>
        <v/>
      </c>
      <c r="XF4" s="59" t="str">
        <f t="shared" ca="1" si="62"/>
        <v/>
      </c>
      <c r="XG4" s="59" t="str">
        <f t="shared" ca="1" si="63"/>
        <v/>
      </c>
      <c r="XH4" s="59" t="str">
        <f t="shared" ca="1" si="64"/>
        <v/>
      </c>
      <c r="XI4" s="59" t="str">
        <f t="shared" ca="1" si="65"/>
        <v/>
      </c>
      <c r="XJ4" s="59" t="str">
        <f t="shared" ca="1" si="66"/>
        <v/>
      </c>
      <c r="XK4" s="59" t="str">
        <f t="shared" ca="1" si="67"/>
        <v/>
      </c>
      <c r="XL4" s="59" t="s">
        <v>269</v>
      </c>
      <c r="XM4" s="18"/>
      <c r="XN4" s="59" t="str">
        <f>SelectText</f>
        <v>Select…</v>
      </c>
      <c r="XP4" s="18" t="str">
        <f>""</f>
        <v/>
      </c>
      <c r="XQ4" s="18" t="str">
        <f>""</f>
        <v/>
      </c>
      <c r="XR4" s="18" t="str">
        <f>""</f>
        <v/>
      </c>
      <c r="XS4" s="58" t="str">
        <f>""</f>
        <v/>
      </c>
      <c r="XT4" s="18" t="str">
        <f>""</f>
        <v/>
      </c>
      <c r="XU4" s="18" t="str">
        <f>""</f>
        <v/>
      </c>
      <c r="XV4" s="18" t="str">
        <f>""</f>
        <v/>
      </c>
      <c r="XW4" s="18" t="str">
        <f>""</f>
        <v/>
      </c>
      <c r="XX4" s="18" t="str">
        <f>""</f>
        <v/>
      </c>
      <c r="XY4" s="18" t="str">
        <f>""</f>
        <v/>
      </c>
      <c r="XZ4" s="58" t="str">
        <f>""</f>
        <v/>
      </c>
      <c r="YA4" s="58" t="str">
        <f>""</f>
        <v/>
      </c>
      <c r="YB4" s="58" t="str">
        <f>""</f>
        <v/>
      </c>
      <c r="YC4" s="58" t="str">
        <f>""</f>
        <v/>
      </c>
      <c r="YD4" s="18"/>
      <c r="YE4" s="18" t="str">
        <f t="shared" ref="YE4:YE10" ca="1" si="92">IF(ISERROR(VLOOKUP(YF4,$ZA$2:$ZP$23,$ZD$1+3,FALSE)),"",VLOOKUP(YF4,$ZA$2:$ZP$23,$ZD$1+3,FALSE))</f>
        <v/>
      </c>
      <c r="YF4" s="18">
        <f>YF3+1</f>
        <v>2</v>
      </c>
      <c r="YG4" s="59" t="str">
        <f t="shared" ca="1" si="70"/>
        <v>FEAT 2</v>
      </c>
      <c r="YH4" s="59" t="str">
        <f>IF(OR(Start!I114="",Start!I114=SelectText),"",Start!I114)</f>
        <v/>
      </c>
      <c r="YI4" s="59" t="str">
        <f t="shared" ref="YI4:YI10" si="93">IF(ISERROR(VLOOKUP($YH4,$YG$13:$YR$100,YI$2,FALSE)),"",VLOOKUP($YH4,$YG$13:$YR$100,YI$2,FALSE))</f>
        <v/>
      </c>
      <c r="YJ4" s="59" t="str">
        <f t="shared" ref="YJ4:YJ9" si="94">IF(YH4="","",IF(YI3="","","
"&amp;YG4&amp;" - "&amp;YH4&amp;"
"&amp;YI4))</f>
        <v/>
      </c>
      <c r="YK4" s="59" t="str">
        <f>""</f>
        <v/>
      </c>
      <c r="YM4" s="18" t="str">
        <f t="shared" ref="YM4:YM10" si="95">IF(ISERROR(VLOOKUP($YH4,$YG$13:$YR$100,YL$2,FALSE)),"",VLOOKUP($YH4,$YG$13:$YR$100,YL$2,FALSE))</f>
        <v/>
      </c>
      <c r="YN4" s="18" t="str">
        <f t="shared" ref="YN4:YN10" si="96">IF(ISERROR(VLOOKUP(YH4,$YG$13:$YQ$102,YM$2,FALSE)),"",VLOOKUP(YH4,$YG$13:$YQ$102,YM$2,FALSE))</f>
        <v/>
      </c>
      <c r="YO4" s="59"/>
      <c r="YP4" s="59"/>
      <c r="YQ4" s="59"/>
      <c r="YR4" s="18"/>
      <c r="YS4" s="18" t="str">
        <f t="shared" ref="YS4:YS10" ca="1" si="97">YE4</f>
        <v/>
      </c>
      <c r="YT4" s="548" t="s">
        <v>276</v>
      </c>
      <c r="YU4" s="18">
        <v>8</v>
      </c>
      <c r="YV4" s="18" t="str">
        <f ca="1">VLOOKUP(YY4,$ZD$2:$ZP$23,$ZD$1,FALSE)</f>
        <v/>
      </c>
      <c r="YW4" s="18" t="str">
        <f ca="1">IF(YX4="","",MAX($YW$1:YW3)+1)</f>
        <v/>
      </c>
      <c r="YX4" s="59" t="str">
        <f t="shared" ca="1" si="71"/>
        <v/>
      </c>
      <c r="YY4" s="18" t="str">
        <f t="shared" ca="1" si="72"/>
        <v/>
      </c>
      <c r="YZ4" s="18">
        <v>1</v>
      </c>
      <c r="ZA4" s="18" t="str">
        <f ca="1">IF(ZB4="","",MAX($ZA$2:ZA3)+1)</f>
        <v/>
      </c>
      <c r="ZB4" s="18" t="str">
        <f t="shared" ref="ZB4:ZB23" ca="1" si="98">IF(ISERROR(VLOOKUP(YZ4,$YV$2:$YY$65,3,FALSE)),"",VLOOKUP(YZ4,$YV$2:$YY$65,3,FALSE))</f>
        <v/>
      </c>
      <c r="ZC4" s="18" t="str">
        <f>IF(Start!AF20=SelectText,"",Start!AF20)</f>
        <v/>
      </c>
      <c r="ZD4" s="18" t="str">
        <f>IF(OR(COUNTIF($ZC$4:$ZC4,ZD$2)=0,COUNTIF($ZC$4:$ZC4,ZD$2)=MAX(ZD$2:ZD3)),"-",COUNTIF($ZC$4:$ZC4,ZD$2))</f>
        <v>-</v>
      </c>
      <c r="ZE4" s="18" t="str">
        <f>IF(OR(COUNTIF($ZC$4:$ZC4,ZE$2)=0,COUNTIF($ZC$4:$ZC4,ZE$2)=MAX(ZE$2:ZE3)),"-",COUNTIF($ZC$4:$ZC4,ZE$2))</f>
        <v>-</v>
      </c>
      <c r="ZF4" s="18" t="str">
        <f>IF(OR(COUNTIF($ZC$4:$ZC4,ZF$2)=0,COUNTIF($ZC$4:$ZC4,ZF$2)=MAX(ZF$2:ZF3)),"-",COUNTIF($ZC$4:$ZC4,ZF$2))</f>
        <v>-</v>
      </c>
      <c r="ZG4" s="18" t="str">
        <f>IF(OR(COUNTIF($ZC$4:$ZC4,ZG$2)=0,COUNTIF($ZC$4:$ZC4,ZG$2)=MAX(ZG$2:ZG3)),"-",COUNTIF($ZC$4:$ZC4,ZG$2))</f>
        <v>-</v>
      </c>
      <c r="ZH4" s="18" t="str">
        <f>IF(OR(COUNTIF($ZC$4:$ZC4,ZH$2)=0,COUNTIF($ZC$4:$ZC4,ZH$2)=MAX(ZH$2:ZH3)),"-",COUNTIF($ZC$4:$ZC4,ZH$2))</f>
        <v>-</v>
      </c>
      <c r="ZI4" s="18" t="str">
        <f>IF(OR(COUNTIF($ZC$4:$ZC4,ZI$2)=0,COUNTIF($ZC$4:$ZC4,ZI$2)=MAX(ZI$2:ZI3)),"-",COUNTIF($ZC$4:$ZC4,ZI$2))</f>
        <v>-</v>
      </c>
      <c r="ZJ4" s="18" t="str">
        <f>IF(OR(COUNTIF($ZC$4:$ZC4,ZJ$2)=0,COUNTIF($ZC$4:$ZC4,ZJ$2)=MAX(ZJ$2:ZJ3)),"-",COUNTIF($ZC$4:$ZC4,ZJ$2))</f>
        <v>-</v>
      </c>
      <c r="ZK4" s="18" t="str">
        <f>IF(OR(COUNTIF($ZC$4:$ZC4,ZK$2)=0,COUNTIF($ZC$4:$ZC4,ZK$2)=MAX(ZK$2:ZK3)),"-",COUNTIF($ZC$4:$ZC4,ZK$2))</f>
        <v>-</v>
      </c>
      <c r="ZL4" s="18" t="str">
        <f>IF(OR(COUNTIF($ZC$4:$ZC4,ZL$2)=0,COUNTIF($ZC$4:$ZC4,ZL$2)=MAX(ZL$2:ZL3)),"-",COUNTIF($ZC$4:$ZC4,ZL$2))</f>
        <v>-</v>
      </c>
      <c r="ZM4" s="18" t="str">
        <f>IF(OR(COUNTIF($ZC$4:$ZC4,ZM$2)=0,COUNTIF($ZC$4:$ZC4,ZM$2)=MAX(ZM$2:ZM3)),"-",COUNTIF($ZC$4:$ZC4,ZM$2))</f>
        <v>-</v>
      </c>
      <c r="ZN4" s="18" t="str">
        <f>IF(OR(COUNTIF($ZC$4:$ZC4,ZN$2)=0,COUNTIF($ZC$4:$ZC4,ZN$2)=MAX(ZN$2:ZN3)),"-",COUNTIF($ZC$4:$ZC4,ZN$2))</f>
        <v>-</v>
      </c>
      <c r="ZO4" s="18" t="str">
        <f>IF(OR(COUNTIF($ZC$4:$ZC4,ZO$2)=0,COUNTIF($ZC$4:$ZC4,ZO$2)=MAX(ZO$2:ZO3)),"-",COUNTIF($ZC$4:$ZC4,ZO$2))</f>
        <v>-</v>
      </c>
      <c r="ZP4" s="18">
        <v>1</v>
      </c>
      <c r="ZQ4" s="18" t="s">
        <v>226</v>
      </c>
      <c r="ZR4" s="18">
        <f t="shared" si="31"/>
        <v>5</v>
      </c>
      <c r="ZS4" s="59" t="str">
        <f>YG16</f>
        <v>Athlete</v>
      </c>
      <c r="ZT4" s="58" t="str">
        <f>IF(COUNTIF($YH$3:$YH$10,ZS4)&gt;0,$ZS4&amp;" x "&amp;COUNTIF($YH$3:$YH$10,ZS4)&amp;"
"&amp;VLOOKUP($ZS4,$YG$14:$YK$77,5,FALSE)&amp;"
","")</f>
        <v/>
      </c>
      <c r="ZU4" s="59" t="str">
        <f>Start!C5</f>
        <v>STRENGTH</v>
      </c>
      <c r="ZV4" s="18" t="str">
        <f ca="1">IF(ZV$2=1,IF(VLOOKUP($ZU4,Start!$C$5:$AN$10,18+ZV$3,FALSE)="","",VLOOKUP($ZU4,Start!$C$5:$AN$10,18+ZV$3,FALSE)),"")</f>
        <v/>
      </c>
      <c r="ZW4" s="18" t="str">
        <f ca="1">IF(ZW$2=1,IF(VLOOKUP($ZU4,Start!$C$5:$AN$10,18+ZW$3,FALSE)="","",VLOOKUP($ZU4,Start!$C$5:$AN$10,18+ZW$3,FALSE)),"")</f>
        <v/>
      </c>
      <c r="ZX4" s="18" t="str">
        <f ca="1">IF(ZX$2=1,IF(VLOOKUP($ZU4,Start!$C$5:$AN$10,18+ZX$3,FALSE)="","",VLOOKUP($ZU4,Start!$C$5:$AN$10,18+ZX$3,FALSE)),"")</f>
        <v/>
      </c>
      <c r="ZY4" s="18" t="str">
        <f ca="1">IF(ZY$2=1,IF(VLOOKUP($ZU4,Start!$C$5:$AN$10,18+ZY$3,FALSE)="","",VLOOKUP($ZU4,Start!$C$5:$AN$10,18+ZY$3,FALSE)),"")</f>
        <v/>
      </c>
      <c r="ZZ4" s="18" t="str">
        <f ca="1">IF(ZZ$2=1,IF(VLOOKUP($ZU4,Start!$C$5:$AN$10,18+ZZ$3,FALSE)="","",VLOOKUP($ZU4,Start!$C$5:$AN$10,18+ZZ$3,FALSE)),"")</f>
        <v/>
      </c>
      <c r="AAA4" s="18" t="str">
        <f ca="1">IF(AAA$2=1,IF(VLOOKUP($ZU4,Start!$C$5:$AN$10,18+AAA$3,FALSE)="","",VLOOKUP($ZU4,Start!$C$5:$AN$10,18+AAA$3,FALSE)),"")</f>
        <v/>
      </c>
      <c r="AAB4" s="18" t="str">
        <f ca="1">IF(AAB$2=1,IF(VLOOKUP($ZU4,Start!$C$5:$AN$10,18+AAB$3,FALSE)="","",VLOOKUP($ZU4,Start!$C$5:$AN$10,18+AAB$3,FALSE)),"")</f>
        <v/>
      </c>
      <c r="AAC4" s="18" t="str">
        <f ca="1">IF(AAC$2=1,IF(VLOOKUP($ZU4,Start!$C$5:$AN$10,18+AAC$3,FALSE)="","",VLOOKUP($ZU4,Start!$C$5:$AN$10,18+AAC$3,FALSE)),"")</f>
        <v/>
      </c>
      <c r="AAD4" s="18" t="str">
        <f ca="1">IF(AAD$2=1,IF(VLOOKUP($ZU4,Start!$C$5:$AN$10,18+AAD$3,FALSE)="","",VLOOKUP($ZU4,Start!$C$5:$AN$10,18+AAD$3,FALSE)),"")</f>
        <v/>
      </c>
      <c r="AAE4" s="18" t="str">
        <f ca="1">IF(AAE$2=1,IF(VLOOKUP($ZU4,Start!$C$5:$AN$10,18+AAE$3,FALSE)="","",VLOOKUP($ZU4,Start!$C$5:$AN$10,18+AAE$3,FALSE)),"")</f>
        <v/>
      </c>
      <c r="AAF4" s="18" t="str">
        <f ca="1">IF(AAF$2=1,IF(VLOOKUP($ZU4,Start!$C$5:$AN$10,18+AAF$3,FALSE)="","",VLOOKUP($ZU4,Start!$C$5:$AN$10,18+AAF$3,FALSE)),"")</f>
        <v/>
      </c>
      <c r="AAG4" s="18" t="str">
        <f ca="1">IF(AAG$2=1,IF(VLOOKUP($ZU4,Start!$C$5:$AN$10,18+AAG$3,FALSE)="","",VLOOKUP($ZU4,Start!$C$5:$AN$10,18+AAG$3,FALSE)),"")</f>
        <v/>
      </c>
      <c r="AAH4" s="18" t="str">
        <f ca="1">IF(AAH$2=1,IF(VLOOKUP($ZU4,Start!$C$5:$AN$10,18+AAH$3,FALSE)="","",VLOOKUP($ZU4,Start!$C$5:$AN$10,18+AAH$3,FALSE)),"")</f>
        <v/>
      </c>
      <c r="AAI4" s="18" t="str">
        <f ca="1">IF(AAI$2=1,IF(VLOOKUP($ZU4,Start!$C$5:$AN$10,18+AAI$3,FALSE)="","",VLOOKUP($ZU4,Start!$C$5:$AN$10,18+AAI$3,FALSE)),"")</f>
        <v/>
      </c>
      <c r="AAJ4" s="18" t="str">
        <f ca="1">IF(AAJ$2=1,IF(VLOOKUP($ZU4,Start!$C$5:$AN$10,18+AAJ$3,FALSE)="","",VLOOKUP($ZU4,Start!$C$5:$AN$10,18+AAJ$3,FALSE)),"")</f>
        <v/>
      </c>
      <c r="AAK4" s="18" t="str">
        <f ca="1">IF(AAK$2=1,IF(VLOOKUP($ZU4,Start!$C$5:$AN$10,18+AAK$3,FALSE)="","",VLOOKUP($ZU4,Start!$C$5:$AN$10,18+AAK$3,FALSE)),"")</f>
        <v/>
      </c>
      <c r="AAL4" s="18" t="str">
        <f ca="1">IF(AAL$2=1,IF(VLOOKUP($ZU4,Start!$C$5:$AN$10,18+AAL$3,FALSE)="","",VLOOKUP($ZU4,Start!$C$5:$AN$10,18+AAL$3,FALSE)),"")</f>
        <v/>
      </c>
      <c r="AAM4" s="18" t="str">
        <f ca="1">IF(AAM$2=1,IF(VLOOKUP($ZU4,Start!$C$5:$AN$10,18+AAM$3,FALSE)="","",VLOOKUP($ZU4,Start!$C$5:$AN$10,18+AAM$3,FALSE)),"")</f>
        <v/>
      </c>
      <c r="AAN4" s="18" t="str">
        <f ca="1">IF(AAN$2=1,IF(VLOOKUP($ZU4,Start!$C$5:$AN$10,18+AAN$3,FALSE)="","",VLOOKUP($ZU4,Start!$C$5:$AN$10,18+AAN$3,FALSE)),"")</f>
        <v/>
      </c>
      <c r="AAO4" s="18" t="str">
        <f ca="1">IF(AAO$2=1,IF(VLOOKUP($ZU4,Start!$C$5:$AN$10,18+AAO$3,FALSE)="","",VLOOKUP($ZU4,Start!$C$5:$AN$10,18+AAO$3,FALSE)),"")</f>
        <v/>
      </c>
      <c r="AAP4" s="18">
        <f t="shared" ref="AAP4:AAP9" ca="1" si="99">SUM(ZV4:AAO4)</f>
        <v>0</v>
      </c>
    </row>
    <row r="5" spans="1:718" ht="9.9499999999999993" customHeight="1" x14ac:dyDescent="0.25">
      <c r="A5" s="17" t="s">
        <v>209</v>
      </c>
      <c r="B5" s="17" t="s">
        <v>195</v>
      </c>
      <c r="C5" s="17">
        <v>25</v>
      </c>
      <c r="D5" s="17" t="s">
        <v>318</v>
      </c>
      <c r="E5" s="142" t="s">
        <v>3509</v>
      </c>
      <c r="F5" s="59" t="s">
        <v>355</v>
      </c>
      <c r="G5" s="59">
        <v>2</v>
      </c>
      <c r="H5" s="59" t="s">
        <v>187</v>
      </c>
      <c r="I5" s="59">
        <v>0</v>
      </c>
      <c r="J5" s="59" t="s">
        <v>1519</v>
      </c>
      <c r="K5" s="18">
        <v>1</v>
      </c>
      <c r="L5" s="64" t="str">
        <f>IF(Subrace=$U6,2,"")</f>
        <v/>
      </c>
      <c r="M5" s="64" t="str">
        <f>""</f>
        <v/>
      </c>
      <c r="N5" s="64">
        <v>2</v>
      </c>
      <c r="O5" s="64" t="str">
        <f>""</f>
        <v/>
      </c>
      <c r="P5" s="64" t="str">
        <f>IF(Subrace=$U5,1,"")</f>
        <v/>
      </c>
      <c r="Q5" s="64" t="str">
        <f>""</f>
        <v/>
      </c>
      <c r="R5" s="741" t="s">
        <v>833</v>
      </c>
      <c r="S5" s="741" t="str">
        <f>IF(Subrace=U5,"3' 8'' +2d4","4' +2d4")</f>
        <v>4' +2d4</v>
      </c>
      <c r="T5" s="741" t="str">
        <f>IF(Subrace=U5,"115 lb. x 2d6","130 lb. x 2d6")</f>
        <v>130 lb. x 2d6</v>
      </c>
      <c r="U5" s="40" t="s">
        <v>229</v>
      </c>
      <c r="V5" s="142" t="s">
        <v>2624</v>
      </c>
      <c r="W5" s="142"/>
      <c r="X5" s="18" t="str">
        <f>IF(Y5="","",MAX($X$3:X4)+1)</f>
        <v/>
      </c>
      <c r="Y5" s="58" t="str">
        <f>IF(A5=$A$3,U5,"")</f>
        <v/>
      </c>
      <c r="Z5" s="18">
        <f>Z4+1</f>
        <v>2</v>
      </c>
      <c r="AA5" s="18" t="str">
        <f t="shared" si="74"/>
        <v/>
      </c>
      <c r="AB5" s="455" t="s">
        <v>193</v>
      </c>
      <c r="AC5" s="59" t="s">
        <v>2713</v>
      </c>
      <c r="AD5" s="18" t="b">
        <f ca="1">IF(AND(VLOOKUP(RaceDraconicAncestry,$U$15:$W$25,3,FALSE)=AC5,SorcererDraconicBloodlineLevel&gt;=6),TRUE,FALSE)</f>
        <v>0</v>
      </c>
      <c r="AE5" s="59" t="s">
        <v>818</v>
      </c>
      <c r="AF5" s="59" t="s">
        <v>828</v>
      </c>
      <c r="AG5" s="142" t="s">
        <v>3511</v>
      </c>
      <c r="AH5" s="59" t="s">
        <v>819</v>
      </c>
      <c r="AI5" s="18">
        <v>2</v>
      </c>
      <c r="AJ5" s="59" t="s">
        <v>187</v>
      </c>
      <c r="AK5" s="18">
        <v>0</v>
      </c>
      <c r="AL5" s="59" t="s">
        <v>2632</v>
      </c>
      <c r="AM5" s="18">
        <v>2</v>
      </c>
      <c r="AN5" s="18">
        <v>3</v>
      </c>
      <c r="AO5" s="18">
        <f>AO4+1</f>
        <v>4</v>
      </c>
      <c r="AP5" s="59" t="str">
        <f t="shared" ref="AP5:AP12" si="100">HLOOKUP(CharacterBackground,$AQ$2:$BD$63,$AO5,FALSE)</f>
        <v/>
      </c>
      <c r="AQ5" s="59" t="str">
        <f>""</f>
        <v/>
      </c>
      <c r="AR5" s="59" t="s">
        <v>1052</v>
      </c>
      <c r="AS5" s="59" t="s">
        <v>2423</v>
      </c>
      <c r="AT5" s="59" t="s">
        <v>1078</v>
      </c>
      <c r="AU5" s="59" t="s">
        <v>2625</v>
      </c>
      <c r="AV5" s="59" t="s">
        <v>1122</v>
      </c>
      <c r="AW5" s="59" t="s">
        <v>2503</v>
      </c>
      <c r="AX5" s="59" t="s">
        <v>2536</v>
      </c>
      <c r="AY5" s="58" t="s">
        <v>1148</v>
      </c>
      <c r="AZ5" s="58" t="s">
        <v>2572</v>
      </c>
      <c r="BA5" s="59" t="s">
        <v>1015</v>
      </c>
      <c r="BB5" s="59" t="s">
        <v>2598</v>
      </c>
      <c r="BC5" s="58" t="s">
        <v>1174</v>
      </c>
      <c r="BD5" s="58" t="s">
        <v>2366</v>
      </c>
      <c r="BE5" s="18" t="str">
        <f>""</f>
        <v/>
      </c>
      <c r="BF5" s="58" t="s">
        <v>31</v>
      </c>
      <c r="BG5" s="18" t="str">
        <f ca="1">IF(OR(BL11&gt;0,BL8&gt;0,BL17&gt;0,MonkLevel&gt;=14,AAP6&gt;0),BF5,"")</f>
        <v/>
      </c>
      <c r="BH5" s="58" t="str">
        <f ca="1">IF(BG5="","",IF(COUNTIF(BG5:$BG$8,"&gt;&lt;")&gt;1,BG5&amp;", ",BG5))</f>
        <v/>
      </c>
      <c r="BI5" s="58" t="str">
        <f>IF(Class3="",""," / "&amp;Class3&amp;" "&amp;BL5)</f>
        <v/>
      </c>
      <c r="BJ5" s="18" t="s">
        <v>2</v>
      </c>
      <c r="BK5" s="18">
        <v>3</v>
      </c>
      <c r="BL5" s="18" t="str">
        <f>IF(ISERROR(VLOOKUP($BN5,$BI$7:$BL$50,4,FALSE)),"",VLOOKUP($BN5,$BI$7:$BL$50,4,FALSE))</f>
        <v/>
      </c>
      <c r="BM5" s="18"/>
      <c r="BN5" s="59" t="str">
        <f>IF(ISERROR(VLOOKUP($BK5,Start!$AR$20:$AS$39,2,FALSE)),"",VLOOKUP($BK5,Start!$AR$20:$AS$39,2,FALSE))</f>
        <v/>
      </c>
      <c r="BO5" s="18" t="str">
        <f ca="1">IF(ISERROR(VLOOKUP($BN5,$BN$7:$BO$50,1,FALSE)),"",VLOOKUP($BN5,$BN$7:$BO$50,1,FALSE))</f>
        <v/>
      </c>
      <c r="BP5" s="18" t="str">
        <f ca="1">IF(ISERROR(VLOOKUP($BN5,$BN$7:$BO$50,2,FALSE)),"",VLOOKUP($BN5,$BN$7:$BO$50,2,FALSE))</f>
        <v/>
      </c>
      <c r="BQ5" s="58" t="str">
        <f>IF(Class3="","",SubClass3)</f>
        <v/>
      </c>
      <c r="BR5" s="59" t="str">
        <f ca="1">IF(BO5="","",IF(COUNTIF($BR$2:BR4,"&gt;&lt;""")&gt;0," / "&amp;BQ5,BQ5))</f>
        <v/>
      </c>
      <c r="BS5" s="489" t="b">
        <f>Tables!FI4</f>
        <v>0</v>
      </c>
      <c r="BT5" s="561" t="str">
        <f>IF(Tables!BS5=TRUE,IF(SubClass3="Land",IF(COUNTIF($BT$3:BT4,"&gt;&lt;""")&gt;0," / "&amp;SubClass3&amp;" ("&amp;DruidLandOrigin&amp;")",SubClass3&amp;" ("&amp;DruidLandOrigin&amp;")"),IF(COUNTIF($BT$3:BT4,"&gt;&lt;""")&gt;0," / "&amp;SubClass3,SubClass3)),"")</f>
        <v/>
      </c>
      <c r="BU5" s="59" t="str">
        <f ca="1">IF(BO5="","",IF(COUNTIF($BU$2:BU4,"&gt;&lt;""")&gt;0," / "&amp;BO5&amp;" "&amp;VLOOKUP(BO5,$BI$7:$BR$50,4,FALSE),BO5&amp;" "&amp;VLOOKUP(BO5,$BI$7:$BR$50,4,FALSE)))</f>
        <v/>
      </c>
      <c r="BV5" s="273" t="str">
        <f>IF($BN5="","",VLOOKUP($BN5,$BI$7:$CL$50,14,FALSE))</f>
        <v/>
      </c>
      <c r="BW5" s="273" t="str">
        <f>IF($BN5="","",VLOOKUP($BN5,$BI$7:$CL$50,15,FALSE))</f>
        <v/>
      </c>
      <c r="BX5" s="273" t="str">
        <f>IF($BN5="","",VLOOKUP($BN5,$BI$7:$CL$50,16,FALSE))</f>
        <v/>
      </c>
      <c r="BY5" s="273" t="str">
        <f>IF($BN5="","",VLOOKUP($BN5,$BI$7:$CL$50,17,FALSE))</f>
        <v/>
      </c>
      <c r="BZ5" s="103" t="str">
        <f>IF($BN5="","",VLOOKUP($BN5,$BI$7:$CL$50,CA$2,FALSE))</f>
        <v/>
      </c>
      <c r="CA5" s="103"/>
      <c r="CB5" s="103" t="str">
        <f>IF($BN5="","",VLOOKUP($BN5,$BI$7:$CL$50,CC$2,FALSE))</f>
        <v/>
      </c>
      <c r="CC5" s="103"/>
      <c r="CD5" s="103" t="str">
        <f>IF($BN5="","",VLOOKUP($BN5,$BI$7:$CL$50,CF$2,FALSE))</f>
        <v/>
      </c>
      <c r="CE5" s="273">
        <f>IF($BN5="",0,VLOOKUP($BN5,$BI$7:$CL$50,CG$2,FALSE))</f>
        <v>0</v>
      </c>
      <c r="CF5" s="103"/>
      <c r="CG5" s="103"/>
      <c r="CH5" s="103" t="str">
        <f>IF($BN5="","",VLOOKUP($BN5,$BI$7:$CL$50,CH$2,FALSE))</f>
        <v/>
      </c>
      <c r="CI5" s="103" t="str">
        <f>IF($BN5="","",VLOOKUP($BN5,$BI$7:$CL$50,CK$2,FALSE))</f>
        <v/>
      </c>
      <c r="CJ5" s="273" t="str">
        <f>IF($BN5="","",IF($BL5&gt;=CJ$6,VLOOKUP($BN5,$BI$7:$DF$50,CL$2,FALSE),""))</f>
        <v/>
      </c>
      <c r="CK5" s="103"/>
      <c r="CL5" s="103"/>
      <c r="CM5" s="103" t="str">
        <f t="shared" si="35"/>
        <v/>
      </c>
      <c r="CN5" s="103" t="str">
        <f t="shared" si="35"/>
        <v/>
      </c>
      <c r="CO5" s="103" t="str">
        <f t="shared" si="35"/>
        <v/>
      </c>
      <c r="CP5" s="103" t="str">
        <f t="shared" si="35"/>
        <v/>
      </c>
      <c r="CQ5" s="103" t="str">
        <f t="shared" si="35"/>
        <v/>
      </c>
      <c r="CR5" s="103" t="str">
        <f t="shared" si="35"/>
        <v/>
      </c>
      <c r="CS5" s="103" t="str">
        <f t="shared" si="35"/>
        <v/>
      </c>
      <c r="CT5" s="103" t="str">
        <f t="shared" si="35"/>
        <v/>
      </c>
      <c r="CU5" s="103" t="str">
        <f t="shared" si="35"/>
        <v/>
      </c>
      <c r="CV5" s="103" t="str">
        <f t="shared" si="35"/>
        <v/>
      </c>
      <c r="CW5" s="103" t="str">
        <f t="shared" si="36"/>
        <v/>
      </c>
      <c r="CX5" s="103" t="str">
        <f t="shared" si="36"/>
        <v/>
      </c>
      <c r="CY5" s="103" t="str">
        <f t="shared" si="36"/>
        <v/>
      </c>
      <c r="CZ5" s="103" t="str">
        <f t="shared" si="36"/>
        <v/>
      </c>
      <c r="DA5" s="103" t="str">
        <f t="shared" si="36"/>
        <v/>
      </c>
      <c r="DB5" s="103" t="str">
        <f t="shared" si="36"/>
        <v/>
      </c>
      <c r="DC5" s="103" t="str">
        <f t="shared" si="36"/>
        <v/>
      </c>
      <c r="DD5" s="103" t="str">
        <f t="shared" si="36"/>
        <v/>
      </c>
      <c r="DE5" s="103" t="str">
        <f t="shared" si="36"/>
        <v/>
      </c>
      <c r="DF5" s="103" t="str">
        <f t="shared" si="36"/>
        <v/>
      </c>
      <c r="DG5" s="59" t="str">
        <f>IF($BN5="","",BN5&amp;"
• "&amp;$BZ$1&amp;": "&amp;BZ5&amp;"
• "&amp;$CB$1&amp;": "&amp;CB5&amp;"
• "&amp;$CD$1&amp;": "&amp;CD5&amp;"
• "&amp;$CH$1&amp;": "&amp;CH5&amp;"
• "&amp;$CI$1&amp;": "&amp;CI5)</f>
        <v/>
      </c>
      <c r="DH5" s="59" t="str">
        <f>IF($BN5="","",BN5&amp;"
• "&amp;CI5&amp;"
")</f>
        <v/>
      </c>
      <c r="DI5" s="59" t="str">
        <f>CM5&amp;CN5&amp;CO5&amp;CP5&amp;CQ5&amp;CR5&amp;CS5&amp;CT5&amp;CU5&amp;CV5&amp;CW5&amp;CX5&amp;CY5&amp;CZ5&amp;DA5&amp;DB5&amp;DC5&amp;DD5&amp;DE5&amp;DF5</f>
        <v/>
      </c>
      <c r="DJ5" s="59" t="str">
        <f>IF(BN5="","","CLASS 3: "&amp;DG5&amp;"
"&amp;DI5)</f>
        <v/>
      </c>
      <c r="DK5" s="103" t="s">
        <v>732</v>
      </c>
      <c r="DL5" s="59" t="s">
        <v>417</v>
      </c>
      <c r="DM5" s="59" t="str">
        <f>Class3</f>
        <v/>
      </c>
      <c r="DN5" s="59" t="str">
        <f>BQ5</f>
        <v/>
      </c>
      <c r="DO5" s="59" t="str">
        <f t="shared" si="37"/>
        <v/>
      </c>
      <c r="DP5" s="59" t="str">
        <f t="shared" si="37"/>
        <v/>
      </c>
      <c r="DQ5" s="59" t="str">
        <f t="shared" si="37"/>
        <v/>
      </c>
      <c r="DR5" s="59" t="str">
        <f t="shared" si="37"/>
        <v/>
      </c>
      <c r="DS5" s="59" t="str">
        <f t="shared" si="37"/>
        <v/>
      </c>
      <c r="DT5" s="59" t="str">
        <f t="shared" si="37"/>
        <v/>
      </c>
      <c r="DU5" s="59" t="str">
        <f t="shared" si="37"/>
        <v/>
      </c>
      <c r="DV5" s="59" t="str">
        <f t="shared" si="37"/>
        <v/>
      </c>
      <c r="DW5" s="59" t="str">
        <f t="shared" si="37"/>
        <v/>
      </c>
      <c r="DX5" s="59" t="str">
        <f t="shared" si="37"/>
        <v/>
      </c>
      <c r="DY5" s="59" t="str">
        <f t="shared" si="38"/>
        <v/>
      </c>
      <c r="DZ5" s="59" t="str">
        <f t="shared" si="38"/>
        <v/>
      </c>
      <c r="EA5" s="59" t="str">
        <f t="shared" si="38"/>
        <v/>
      </c>
      <c r="EB5" s="59" t="str">
        <f t="shared" si="38"/>
        <v/>
      </c>
      <c r="EC5" s="59" t="str">
        <f t="shared" si="38"/>
        <v/>
      </c>
      <c r="ED5" s="59" t="str">
        <f t="shared" si="38"/>
        <v/>
      </c>
      <c r="EE5" s="59" t="str">
        <f t="shared" si="38"/>
        <v/>
      </c>
      <c r="EF5" s="59" t="str">
        <f t="shared" si="38"/>
        <v/>
      </c>
      <c r="EG5" s="59" t="str">
        <f t="shared" si="38"/>
        <v/>
      </c>
      <c r="EH5" s="59" t="str">
        <f t="shared" si="38"/>
        <v/>
      </c>
      <c r="EI5" s="103" t="str">
        <f t="shared" si="38"/>
        <v/>
      </c>
      <c r="EJ5" s="103" t="str">
        <f t="shared" si="38"/>
        <v/>
      </c>
      <c r="EK5" s="273">
        <f>IF(EJ5="",0,2)</f>
        <v>0</v>
      </c>
      <c r="EL5" s="103" t="str">
        <f>IF(OR($DN5="",$DN5=SelectText),"",VLOOKUP($DN5,$DL$6:$EY$51,EL$2,FALSE))</f>
        <v/>
      </c>
      <c r="EM5" s="273">
        <f>IF(EL5="",0,2)</f>
        <v>0</v>
      </c>
      <c r="EN5" s="103" t="str">
        <f>IF(OR($DN5="",$DN5=SelectText),"",VLOOKUP($DN5,$DL$6:$EY$51,EN$2,FALSE))</f>
        <v/>
      </c>
      <c r="EO5" s="273">
        <f>IF(EN5="",0,2)</f>
        <v>0</v>
      </c>
      <c r="EP5" s="103" t="str">
        <f>IF(OR($DN5="",$DN5=SelectText),"",VLOOKUP($DN5,$DL$6:$EY$51,EP$2,FALSE))</f>
        <v/>
      </c>
      <c r="EQ5" s="273">
        <f>IF(EP5="",0,2)</f>
        <v>0</v>
      </c>
      <c r="ER5" s="103" t="str">
        <f>IF(OR($DN5="",$DN5=SelectText),"",VLOOKUP($DN5,$DL$6:$EY$51,ER$2,FALSE))</f>
        <v/>
      </c>
      <c r="ES5" s="273">
        <f>IF(ER5="",0,2)</f>
        <v>0</v>
      </c>
      <c r="ET5" s="59" t="str">
        <f t="shared" si="39"/>
        <v/>
      </c>
      <c r="EU5" s="18" t="str">
        <f t="shared" si="39"/>
        <v/>
      </c>
      <c r="EV5" s="59" t="str">
        <f t="shared" si="39"/>
        <v/>
      </c>
      <c r="EW5" s="18" t="str">
        <f t="shared" si="39"/>
        <v/>
      </c>
      <c r="EX5" s="59" t="str">
        <f t="shared" si="39"/>
        <v/>
      </c>
      <c r="EY5" s="18" t="str">
        <f t="shared" si="39"/>
        <v/>
      </c>
      <c r="EZ5" s="59" t="str">
        <f>DO5&amp;DP5&amp;DQ5&amp;DR5&amp;DS5&amp;DT5&amp;DU5&amp;DV5&amp;DW5&amp;DX5&amp;DY5&amp;DZ5&amp;EA5&amp;EB5&amp;EC5&amp;ED5&amp;EE5&amp;EF5&amp;EG5&amp;EH5</f>
        <v/>
      </c>
      <c r="FB5" s="58" t="str">
        <f>BN3</f>
        <v/>
      </c>
      <c r="FC5" s="18" t="str">
        <f>IF(FB5="","",VLOOKUP(FB5,$BI$6:$BR$50,10,FALSE))</f>
        <v/>
      </c>
      <c r="FD5" s="58" t="str">
        <f>IF(FB5="","",VLOOKUP(FB5,$BI$6:$BR$50,9,FALSE))</f>
        <v/>
      </c>
      <c r="FE5" s="59"/>
      <c r="FF5" s="58" t="str">
        <f>BN4</f>
        <v/>
      </c>
      <c r="FG5" s="18" t="str">
        <f>IF(FF5="","",VLOOKUP(FF5,$BI$6:$BR$50,10,FALSE))</f>
        <v/>
      </c>
      <c r="FH5" s="58" t="str">
        <f>IF(FF5="","",VLOOKUP(FF5,$BI$6:$BR$50,9,FALSE))</f>
        <v/>
      </c>
      <c r="FI5" s="59"/>
      <c r="FJ5" s="58" t="str">
        <f>BN5</f>
        <v/>
      </c>
      <c r="FK5" s="18" t="str">
        <f>IF(FJ5="","",VLOOKUP(FJ5,$BI$6:$BR$50,10,FALSE))</f>
        <v/>
      </c>
      <c r="FL5" s="58" t="str">
        <f>IF(FJ5="","",VLOOKUP(FJ5,$BI$6:$BR$50,9,FALSE))</f>
        <v/>
      </c>
      <c r="FM5" s="58" t="s">
        <v>1884</v>
      </c>
      <c r="FN5" s="59">
        <f>Start!L66</f>
        <v>0</v>
      </c>
      <c r="FO5" s="18" t="str">
        <f>IF($FM5=$FP5,MAX(FO$3:FO4)+1,"")</f>
        <v/>
      </c>
      <c r="FP5" s="59" t="str">
        <f t="shared" ref="FP5:FP21" si="101">IF(FN5="•",FM5,"")</f>
        <v/>
      </c>
      <c r="FQ5" s="18">
        <f t="shared" ref="FQ5:FQ22" si="102">FQ4+1</f>
        <v>3</v>
      </c>
      <c r="FR5" s="59" t="str">
        <f t="shared" si="75"/>
        <v/>
      </c>
      <c r="FS5" s="59" t="str">
        <f>IF(OR(RogueLevel&gt;=6,BardLevel&gt;=10),TRUE, "")</f>
        <v/>
      </c>
      <c r="FT5" s="59" t="str">
        <f>IF(RogueLevel&gt;=6,"Rogue Level 6", IF(BardLevel&gt;=10,"Bard Level 10","EXPERTISE 3"))</f>
        <v>EXPERTISE 3</v>
      </c>
      <c r="FW5" s="18" t="str">
        <f ca="1">IF(FX5="","",MAX($FW$1:FW4)+1)</f>
        <v/>
      </c>
      <c r="FX5" s="59" t="str">
        <f ca="1">IF(FighterChampionLevel&gt;=10,VLOOKUP($BI$8,$BN$3:$BQ$5,4,FALSE),"")</f>
        <v/>
      </c>
      <c r="FY5" s="85">
        <v>4</v>
      </c>
      <c r="FZ5" s="59" t="str">
        <f ca="1">IF(ISERROR(VLOOKUP($FY5,$FW$2:$FX$5,2,FALSE)),"",VLOOKUP($FY5,$FW$2:$FX$5,2,FALSE))</f>
        <v/>
      </c>
      <c r="GA5" s="59" t="str">
        <f>FightingStyle4</f>
        <v>Select…</v>
      </c>
      <c r="GB5" s="59" t="s">
        <v>3417</v>
      </c>
      <c r="GC5" s="142" t="s">
        <v>3473</v>
      </c>
      <c r="GD5" s="142">
        <v>3</v>
      </c>
      <c r="GE5" s="59">
        <v>3</v>
      </c>
      <c r="GF5" s="59" t="str">
        <f t="shared" si="40"/>
        <v/>
      </c>
      <c r="GG5" s="59" t="str">
        <f t="shared" si="41"/>
        <v>MANEUVER 3</v>
      </c>
      <c r="GH5" s="732" t="str">
        <f>Start!AJ80</f>
        <v>Select…</v>
      </c>
      <c r="GI5" s="732" t="str">
        <f t="shared" si="42"/>
        <v/>
      </c>
      <c r="GJ5" s="99" t="str">
        <f t="shared" si="43"/>
        <v/>
      </c>
      <c r="GK5" s="59" t="s">
        <v>1888</v>
      </c>
      <c r="GL5" s="59">
        <f>FN9</f>
        <v>0</v>
      </c>
      <c r="GM5" s="18" t="str">
        <f>IF($GK5=$GN5,MAX(GM$3:GM4)+1,"")</f>
        <v/>
      </c>
      <c r="GN5" s="59" t="str">
        <f>IF(GL5=TRUE,GK5,"")</f>
        <v/>
      </c>
      <c r="GO5" s="18">
        <f>GO4+1</f>
        <v>3</v>
      </c>
      <c r="GP5" s="59" t="str">
        <f>IF(ISERROR(VLOOKUP(GO5,$GM$3:$GN$22,2,FALSE)),"",VLOOKUP(GO5,$GM$3:$GN$22,2,FALSE))</f>
        <v/>
      </c>
      <c r="GQ5" s="59" t="s">
        <v>2809</v>
      </c>
      <c r="GR5" s="59" t="s">
        <v>3486</v>
      </c>
      <c r="GS5" s="18">
        <v>6</v>
      </c>
      <c r="GT5" s="18">
        <v>3</v>
      </c>
      <c r="GU5" s="18" t="str">
        <f ca="1">IF(GV5="","",MAX($GU$3:GU4)+1)</f>
        <v/>
      </c>
      <c r="GV5" s="59" t="str">
        <f t="shared" ca="1" si="76"/>
        <v/>
      </c>
      <c r="GW5" s="18">
        <f t="shared" ref="GW5:GW19" si="103">GW4+1</f>
        <v>3</v>
      </c>
      <c r="GX5" s="59" t="str">
        <f t="shared" ca="1" si="44"/>
        <v/>
      </c>
      <c r="GY5" s="59" t="str">
        <f ca="1">IF(MonkFourElementsLevel&gt;=6,TRUE, "")</f>
        <v/>
      </c>
      <c r="GZ5" s="59" t="str">
        <f ca="1">IF(MonkFourElementsLevel&gt;=6,"Monk Level 6","DISCIPLINE 2")</f>
        <v>DISCIPLINE 2</v>
      </c>
      <c r="HA5" s="59" t="str">
        <f>Start!AJ92</f>
        <v>Select…</v>
      </c>
      <c r="HB5" s="59" t="str">
        <f t="shared" ref="HB5:HB7" si="104">" "&amp;HA5&amp;"
"&amp;VLOOKUP(HA5,$GQ$3:$GR$19,2,FALSE)</f>
        <v xml:space="preserve"> Select…
</v>
      </c>
      <c r="HC5" s="59" t="s">
        <v>2826</v>
      </c>
      <c r="HD5" s="142" t="s">
        <v>3507</v>
      </c>
      <c r="HE5" s="59" t="s">
        <v>2833</v>
      </c>
      <c r="HF5" s="59" t="s">
        <v>2830</v>
      </c>
      <c r="HG5" s="59" t="str">
        <f ca="1">IF(BarbarianTotemWarriorLevel&gt;=6,TRUE, "")</f>
        <v/>
      </c>
      <c r="HH5" s="59" t="str">
        <f ca="1">IF(BarbarianTotemWarriorLevel&gt;=6,"Barbarian Level 6","TOTEM SPIRIT 2")</f>
        <v>TOTEM SPIRIT 2</v>
      </c>
      <c r="HI5" s="59" t="str">
        <f>Start!AJ70</f>
        <v>Select…</v>
      </c>
      <c r="HJ5" s="59" t="str">
        <f>VLOOKUP(HI5,$HC$3:$HF$6,3,FALSE)</f>
        <v/>
      </c>
      <c r="HK5" s="59" t="s">
        <v>2893</v>
      </c>
      <c r="HL5" s="59" t="str">
        <f>""</f>
        <v/>
      </c>
      <c r="HM5" s="59" t="s">
        <v>2907</v>
      </c>
      <c r="HN5" s="59" t="str">
        <f>IF(RangerLevel&gt;=6,TRUE, "")</f>
        <v/>
      </c>
      <c r="HO5" s="59" t="str">
        <f>IF(RangerLevel&gt;=6,"Ranger Level 6","ENEMY 2")</f>
        <v>ENEMY 2</v>
      </c>
      <c r="HP5" s="59" t="str">
        <f>Start!AJ98</f>
        <v>Select…</v>
      </c>
      <c r="HQ5" s="59" t="str">
        <f>IF(ISERROR(VLOOKUP(HP5,$HK$3:$HL$61,2,FALSE)),"",VLOOKUP(HP5,$HK$3:$HL$61,2,FALSE))</f>
        <v/>
      </c>
      <c r="HR5" s="59" t="str">
        <f>Start!AO98</f>
        <v>Select…</v>
      </c>
      <c r="HS5" s="59" t="str">
        <f>IF(HQ5="",HP5,HP5&amp;", "&amp;HR5)</f>
        <v>Select…</v>
      </c>
      <c r="HT5" s="103" t="s">
        <v>731</v>
      </c>
      <c r="HU5" s="59" t="str">
        <f>IF(RangerLevel&gt;=6,TRUE, "")</f>
        <v/>
      </c>
      <c r="HV5" s="59" t="str">
        <f>IF(RangerLevel&gt;=6,"Ranger Level 6","TERRAIN 2")</f>
        <v>TERRAIN 2</v>
      </c>
      <c r="HW5" s="59" t="str">
        <f>Start!AJ103</f>
        <v>Select…</v>
      </c>
      <c r="HX5" s="59" t="s">
        <v>2966</v>
      </c>
      <c r="HY5" s="59" t="str">
        <f ca="1">IF(RangerHunterLevel&gt;=7,TRUE, "")</f>
        <v/>
      </c>
      <c r="HZ5" s="59" t="str">
        <f ca="1">IF(RangerHunterLevel&gt;=7,"Defensive Tactics","FEATURE 2")</f>
        <v>FEATURE 2</v>
      </c>
      <c r="IA5" s="59" t="str">
        <f>Start!AJ108</f>
        <v>Select…</v>
      </c>
      <c r="IB5" s="59" t="s">
        <v>3116</v>
      </c>
      <c r="IC5" s="142" t="s">
        <v>3467</v>
      </c>
      <c r="ID5" s="59" t="str">
        <f>IF(SorcererLevel&gt;=3,TRUE, "")</f>
        <v/>
      </c>
      <c r="IE5" s="59" t="s">
        <v>3113</v>
      </c>
      <c r="IF5" s="59" t="str">
        <f>Spellcasting!AC25</f>
        <v>Select…</v>
      </c>
      <c r="IG5" s="59" t="str">
        <f>IF(IF5=SelectText,""," - "&amp;IF5&amp;"
"&amp;VLOOKUP(IF5,$IB$4:$IC$11,2,FALSE)&amp;"
")</f>
        <v/>
      </c>
      <c r="IH5" s="18" t="str">
        <f>IF(IJ5=1,MAX($IH$2:IH4)+1,"")</f>
        <v/>
      </c>
      <c r="II5" s="59" t="s">
        <v>3295</v>
      </c>
      <c r="IJ5" s="59" t="str">
        <f>IF(WarlockLevel&gt;=9,1,"")</f>
        <v/>
      </c>
      <c r="IK5" s="59" t="s">
        <v>3335</v>
      </c>
      <c r="IL5" s="18">
        <f t="shared" ref="IL5:IL34" si="105">IL4+1</f>
        <v>3</v>
      </c>
      <c r="IM5" s="59" t="str">
        <f t="shared" si="77"/>
        <v>Beguiling Influence</v>
      </c>
      <c r="IN5" s="59">
        <v>2</v>
      </c>
      <c r="IO5" s="59" t="str">
        <f t="shared" ref="IO5:IO11" si="106">IF($IO$3&gt;=IN5,TRUE,"")</f>
        <v/>
      </c>
      <c r="IP5" s="59" t="str">
        <f>IF($IO$3&gt;=IN5,"Warlock Level 2","INVOCATION 2")</f>
        <v>INVOCATION 2</v>
      </c>
      <c r="IQ5" s="142" t="str">
        <f>Start!AJ114</f>
        <v>Select…</v>
      </c>
      <c r="IR5" s="142" t="str">
        <f t="shared" si="78"/>
        <v/>
      </c>
      <c r="IS5" s="59" t="s">
        <v>3329</v>
      </c>
      <c r="IT5" s="215" t="s">
        <v>3332</v>
      </c>
      <c r="IU5" s="249" t="s">
        <v>3526</v>
      </c>
      <c r="IV5" s="59" t="s">
        <v>194</v>
      </c>
      <c r="IW5" s="58" t="s">
        <v>815</v>
      </c>
      <c r="IX5" s="59" t="s">
        <v>1471</v>
      </c>
      <c r="IY5" s="59" t="s">
        <v>931</v>
      </c>
      <c r="IZ5" s="59" t="s">
        <v>201</v>
      </c>
      <c r="JA5" s="59" t="s">
        <v>883</v>
      </c>
      <c r="JB5" s="59" t="s">
        <v>884</v>
      </c>
      <c r="JC5" s="18">
        <f>IF(JD5="","",MAX($JC$1:JC4)+1)</f>
        <v>3</v>
      </c>
      <c r="JD5" s="58" t="s">
        <v>262</v>
      </c>
      <c r="JE5" s="58" t="s">
        <v>262</v>
      </c>
      <c r="JF5" s="18">
        <v>4</v>
      </c>
      <c r="JG5" s="59" t="str">
        <f t="shared" si="27"/>
        <v>Elvish</v>
      </c>
      <c r="JH5" s="18">
        <v>4</v>
      </c>
      <c r="JI5" s="60">
        <v>2700</v>
      </c>
      <c r="JJ5" s="18">
        <v>4</v>
      </c>
      <c r="JK5" s="18">
        <v>2</v>
      </c>
      <c r="JL5" s="18"/>
      <c r="JM5" s="80">
        <v>3</v>
      </c>
      <c r="JN5" s="80">
        <f t="shared" ca="1" si="45"/>
        <v>4</v>
      </c>
      <c r="JO5" s="80">
        <f t="shared" ca="1" si="45"/>
        <v>2</v>
      </c>
      <c r="JP5" s="80" t="str">
        <f t="shared" ca="1" si="45"/>
        <v>-</v>
      </c>
      <c r="JQ5" s="80" t="str">
        <f t="shared" ca="1" si="45"/>
        <v>-</v>
      </c>
      <c r="JR5" s="80" t="str">
        <f t="shared" ca="1" si="45"/>
        <v>-</v>
      </c>
      <c r="JS5" s="80" t="str">
        <f t="shared" ca="1" si="45"/>
        <v>-</v>
      </c>
      <c r="JT5" s="80" t="str">
        <f t="shared" ca="1" si="45"/>
        <v>-</v>
      </c>
      <c r="JU5" s="80" t="str">
        <f t="shared" ca="1" si="45"/>
        <v>-</v>
      </c>
      <c r="JV5" s="80" t="str">
        <f t="shared" ca="1" si="45"/>
        <v>-</v>
      </c>
      <c r="JW5" s="80">
        <f t="shared" ca="1" si="45"/>
        <v>2</v>
      </c>
      <c r="JX5" s="18">
        <f>WarlockLevel</f>
        <v>0</v>
      </c>
      <c r="JY5" s="59" t="s">
        <v>309</v>
      </c>
      <c r="JZ5" s="18" t="s">
        <v>42</v>
      </c>
      <c r="KA5" s="98" t="s">
        <v>451</v>
      </c>
      <c r="KB5" s="98">
        <f>IF(ROUNDDOWN(PaladinLevel/2+CHAMod,0)&lt;1,1,ROUNDDOWN(PaladinLevel/2+CHAMod,0))</f>
        <v>1</v>
      </c>
      <c r="KC5" s="98"/>
      <c r="KD5" s="80">
        <v>3</v>
      </c>
      <c r="KE5" s="302">
        <v>3</v>
      </c>
      <c r="KF5" s="302">
        <v>6</v>
      </c>
      <c r="KG5" s="302">
        <v>3</v>
      </c>
      <c r="KH5" s="302">
        <v>3</v>
      </c>
      <c r="KI5" s="302">
        <v>4</v>
      </c>
      <c r="KJ5" s="302">
        <v>4</v>
      </c>
      <c r="KK5" s="80">
        <v>3</v>
      </c>
      <c r="KL5" s="80">
        <v>3</v>
      </c>
      <c r="KM5" s="80">
        <v>3</v>
      </c>
      <c r="KN5" s="80">
        <v>2</v>
      </c>
      <c r="KO5" s="80">
        <v>3</v>
      </c>
      <c r="KP5" s="80">
        <v>2</v>
      </c>
      <c r="KQ5" s="80">
        <v>4</v>
      </c>
      <c r="KR5" s="80">
        <v>2</v>
      </c>
      <c r="KS5" s="314"/>
      <c r="KT5" s="315"/>
      <c r="KV5" s="85"/>
      <c r="KW5" s="968" t="s">
        <v>209</v>
      </c>
      <c r="KX5" s="968" t="s">
        <v>191</v>
      </c>
      <c r="KY5" s="968" t="s">
        <v>211</v>
      </c>
      <c r="KZ5" s="968" t="s">
        <v>210</v>
      </c>
      <c r="LA5" s="967" t="s">
        <v>212</v>
      </c>
      <c r="LB5" s="967" t="s">
        <v>214</v>
      </c>
      <c r="LC5" s="967" t="s">
        <v>215</v>
      </c>
      <c r="LD5" s="967" t="s">
        <v>216</v>
      </c>
      <c r="LE5" s="967" t="s">
        <v>217</v>
      </c>
      <c r="LF5" s="967" t="s">
        <v>3683</v>
      </c>
      <c r="LG5" s="968"/>
      <c r="LH5" s="968" t="s">
        <v>229</v>
      </c>
      <c r="LI5" s="968" t="s">
        <v>230</v>
      </c>
      <c r="LJ5" s="968" t="s">
        <v>192</v>
      </c>
      <c r="LK5" s="968" t="s">
        <v>233</v>
      </c>
      <c r="LL5" s="967" t="s">
        <v>213</v>
      </c>
      <c r="LM5" s="967" t="s">
        <v>3681</v>
      </c>
      <c r="LN5" s="967" t="s">
        <v>231</v>
      </c>
      <c r="LO5" s="967" t="s">
        <v>232</v>
      </c>
      <c r="LP5" s="967" t="s">
        <v>234</v>
      </c>
      <c r="LQ5" s="967" t="s">
        <v>235</v>
      </c>
      <c r="LR5" s="968"/>
      <c r="LS5" s="968" t="s">
        <v>818</v>
      </c>
      <c r="LT5" s="968" t="s">
        <v>820</v>
      </c>
      <c r="LU5" s="968" t="s">
        <v>823</v>
      </c>
      <c r="LV5" s="968" t="s">
        <v>303</v>
      </c>
      <c r="LW5" s="968" t="s">
        <v>304</v>
      </c>
      <c r="LX5" s="968" t="s">
        <v>305</v>
      </c>
      <c r="LY5" s="968"/>
      <c r="LZ5" s="968" t="s">
        <v>226</v>
      </c>
      <c r="MA5" s="968" t="s">
        <v>288</v>
      </c>
      <c r="MB5" s="968" t="s">
        <v>315</v>
      </c>
      <c r="MC5" s="968" t="s">
        <v>801</v>
      </c>
      <c r="MD5" s="967" t="s">
        <v>276</v>
      </c>
      <c r="ME5" s="967" t="s">
        <v>279</v>
      </c>
      <c r="MF5" s="967" t="s">
        <v>287</v>
      </c>
      <c r="MG5" s="967" t="s">
        <v>308</v>
      </c>
      <c r="MH5" s="967" t="s">
        <v>309</v>
      </c>
      <c r="MI5" s="967" t="s">
        <v>312</v>
      </c>
      <c r="MJ5" s="985" t="s">
        <v>2698</v>
      </c>
      <c r="MK5" s="985" t="s">
        <v>2641</v>
      </c>
      <c r="ML5" s="968"/>
      <c r="MM5" s="968" t="s">
        <v>281</v>
      </c>
      <c r="MN5" s="968" t="s">
        <v>282</v>
      </c>
      <c r="MO5" s="968" t="s">
        <v>91</v>
      </c>
      <c r="MP5" s="968" t="s">
        <v>283</v>
      </c>
      <c r="MQ5" s="968" t="s">
        <v>922</v>
      </c>
      <c r="MR5" s="968" t="s">
        <v>888</v>
      </c>
      <c r="MS5" s="968" t="s">
        <v>284</v>
      </c>
      <c r="MT5" s="968" t="s">
        <v>1517</v>
      </c>
      <c r="MU5" s="968" t="s">
        <v>792</v>
      </c>
      <c r="MV5" s="968" t="s">
        <v>1516</v>
      </c>
      <c r="MW5" s="968" t="s">
        <v>1518</v>
      </c>
      <c r="MX5" s="968" t="s">
        <v>799</v>
      </c>
      <c r="MY5" s="968" t="s">
        <v>798</v>
      </c>
      <c r="MZ5" s="968" t="s">
        <v>289</v>
      </c>
      <c r="NA5" s="968" t="s">
        <v>290</v>
      </c>
      <c r="NB5" s="968" t="s">
        <v>291</v>
      </c>
      <c r="NC5" s="968" t="s">
        <v>292</v>
      </c>
      <c r="ND5" s="968" t="s">
        <v>293</v>
      </c>
      <c r="NE5" s="968" t="s">
        <v>294</v>
      </c>
      <c r="NF5" s="968" t="s">
        <v>295</v>
      </c>
      <c r="NG5" s="968" t="s">
        <v>296</v>
      </c>
      <c r="NH5" s="967" t="s">
        <v>775</v>
      </c>
      <c r="NI5" s="967" t="s">
        <v>774</v>
      </c>
      <c r="NJ5" s="967" t="s">
        <v>2648</v>
      </c>
      <c r="NK5" s="967" t="s">
        <v>280</v>
      </c>
      <c r="NL5" s="967" t="s">
        <v>286</v>
      </c>
      <c r="NM5" s="967" t="s">
        <v>285</v>
      </c>
      <c r="NN5" s="967" t="s">
        <v>773</v>
      </c>
      <c r="NO5" s="967" t="s">
        <v>772</v>
      </c>
      <c r="NP5" s="967" t="s">
        <v>3274</v>
      </c>
      <c r="NQ5" s="967" t="s">
        <v>310</v>
      </c>
      <c r="NR5" s="967" t="s">
        <v>2731</v>
      </c>
      <c r="NS5" s="967" t="s">
        <v>311</v>
      </c>
      <c r="NT5" s="967" t="s">
        <v>2956</v>
      </c>
      <c r="NU5" s="967" t="s">
        <v>2973</v>
      </c>
      <c r="NV5" s="967" t="s">
        <v>3129</v>
      </c>
      <c r="NW5" s="967" t="s">
        <v>3130</v>
      </c>
      <c r="NX5" s="967" t="s">
        <v>3204</v>
      </c>
      <c r="NY5" s="967" t="s">
        <v>3069</v>
      </c>
      <c r="NZ5" s="967" t="s">
        <v>3273</v>
      </c>
      <c r="OA5" s="320"/>
      <c r="OB5" s="968" t="s">
        <v>753</v>
      </c>
      <c r="OC5" s="968" t="s">
        <v>754</v>
      </c>
      <c r="OD5" s="968" t="s">
        <v>1751</v>
      </c>
      <c r="OE5" s="968" t="s">
        <v>755</v>
      </c>
      <c r="OF5" s="968" t="s">
        <v>1752</v>
      </c>
      <c r="OG5" s="968" t="s">
        <v>1753</v>
      </c>
      <c r="OH5" s="968" t="s">
        <v>756</v>
      </c>
      <c r="OI5" s="968" t="s">
        <v>1755</v>
      </c>
      <c r="OJ5" s="968" t="s">
        <v>1756</v>
      </c>
      <c r="OK5" s="968" t="s">
        <v>1757</v>
      </c>
      <c r="OL5" s="968" t="s">
        <v>1758</v>
      </c>
      <c r="OM5" s="968" t="s">
        <v>757</v>
      </c>
      <c r="ON5" s="968" t="s">
        <v>758</v>
      </c>
      <c r="OO5" s="968" t="s">
        <v>1759</v>
      </c>
      <c r="OP5" s="968" t="s">
        <v>759</v>
      </c>
      <c r="OQ5" s="968" t="s">
        <v>1761</v>
      </c>
      <c r="OR5" s="968" t="s">
        <v>1762</v>
      </c>
      <c r="OS5" s="968" t="s">
        <v>1764</v>
      </c>
      <c r="OT5" s="968" t="s">
        <v>1766</v>
      </c>
      <c r="OU5" s="968" t="s">
        <v>760</v>
      </c>
      <c r="OV5" s="968" t="s">
        <v>1777</v>
      </c>
      <c r="OW5" s="968" t="s">
        <v>1779</v>
      </c>
      <c r="OX5" s="968" t="s">
        <v>1780</v>
      </c>
      <c r="OY5" s="968" t="s">
        <v>1781</v>
      </c>
      <c r="OZ5" s="968" t="s">
        <v>761</v>
      </c>
      <c r="PA5" s="968" t="s">
        <v>1784</v>
      </c>
      <c r="PB5" s="968" t="s">
        <v>1787</v>
      </c>
      <c r="PC5" s="968" t="s">
        <v>1788</v>
      </c>
      <c r="PD5" s="968" t="s">
        <v>762</v>
      </c>
      <c r="PE5" s="968" t="s">
        <v>1790</v>
      </c>
      <c r="PF5" s="968" t="s">
        <v>1792</v>
      </c>
      <c r="PG5" s="968" t="s">
        <v>1793</v>
      </c>
      <c r="PH5" s="968" t="s">
        <v>1795</v>
      </c>
      <c r="PI5" s="968" t="s">
        <v>1796</v>
      </c>
      <c r="PJ5" s="968" t="s">
        <v>763</v>
      </c>
      <c r="PK5" s="968" t="s">
        <v>1798</v>
      </c>
      <c r="PL5" s="968" t="s">
        <v>1800</v>
      </c>
      <c r="PM5" s="968" t="s">
        <v>1802</v>
      </c>
      <c r="PN5" s="968" t="s">
        <v>1807</v>
      </c>
      <c r="PO5" s="968" t="s">
        <v>764</v>
      </c>
      <c r="PP5" s="968" t="s">
        <v>1808</v>
      </c>
      <c r="PQ5" s="968" t="s">
        <v>1809</v>
      </c>
      <c r="PR5" s="968"/>
      <c r="PS5" s="968" t="s">
        <v>333</v>
      </c>
      <c r="PT5" s="320"/>
      <c r="PU5" s="971" t="s">
        <v>17</v>
      </c>
      <c r="PV5" s="320"/>
      <c r="PW5" s="320"/>
      <c r="PX5" s="320"/>
      <c r="PY5" s="18"/>
      <c r="PZ5" s="19" t="s">
        <v>101</v>
      </c>
      <c r="QA5" s="19" t="s">
        <v>87</v>
      </c>
      <c r="QB5" s="27" t="str">
        <f t="shared" ca="1" si="79"/>
        <v>not proficient</v>
      </c>
      <c r="QC5" s="67">
        <v>1</v>
      </c>
      <c r="QD5" s="19" t="s">
        <v>106</v>
      </c>
      <c r="QE5" s="228" t="s">
        <v>108</v>
      </c>
      <c r="QF5" s="26">
        <v>1</v>
      </c>
      <c r="QG5" s="26" t="s">
        <v>135</v>
      </c>
      <c r="QH5" s="26" t="str">
        <f>""</f>
        <v/>
      </c>
      <c r="QI5" s="26" t="str">
        <f>""</f>
        <v/>
      </c>
      <c r="QJ5" s="26" t="str">
        <f>""</f>
        <v/>
      </c>
      <c r="QK5" s="26" t="s">
        <v>139</v>
      </c>
      <c r="QL5" s="26" t="str">
        <f>""</f>
        <v/>
      </c>
      <c r="QM5" s="26" t="str">
        <f>""</f>
        <v/>
      </c>
      <c r="QN5" s="26" t="str">
        <f>""</f>
        <v/>
      </c>
      <c r="QO5" s="26" t="str">
        <f>""</f>
        <v/>
      </c>
      <c r="QP5" s="26" t="str">
        <f>""</f>
        <v/>
      </c>
      <c r="QQ5" s="27" t="str">
        <f>""</f>
        <v/>
      </c>
      <c r="QR5" s="27" t="s">
        <v>780</v>
      </c>
      <c r="QS5" s="64">
        <v>2</v>
      </c>
      <c r="QT5" s="733">
        <f t="shared" si="46"/>
        <v>5</v>
      </c>
      <c r="QU5" s="727"/>
      <c r="QV5" s="727"/>
      <c r="QW5" s="727"/>
      <c r="QX5" s="528"/>
      <c r="QY5" s="634"/>
      <c r="QZ5" s="634"/>
      <c r="RA5" s="726"/>
      <c r="RB5" s="634"/>
      <c r="RC5" s="634"/>
      <c r="RD5" s="528"/>
      <c r="RE5" s="528"/>
      <c r="RF5" s="528"/>
      <c r="RG5" s="528"/>
      <c r="RH5" s="634"/>
      <c r="RI5" s="634"/>
      <c r="RJ5" s="634"/>
      <c r="RK5" s="634"/>
      <c r="RL5" s="634"/>
      <c r="RM5" s="634"/>
      <c r="RN5" s="634"/>
      <c r="RO5" s="634"/>
      <c r="RP5" s="634"/>
      <c r="RQ5" s="634"/>
      <c r="RR5" s="634"/>
      <c r="RS5" s="634"/>
      <c r="RT5" s="634"/>
      <c r="RU5" s="634"/>
      <c r="RV5" s="634"/>
      <c r="RW5" s="634"/>
      <c r="RX5" s="634"/>
      <c r="RY5" s="634"/>
      <c r="RZ5" s="634"/>
      <c r="SA5" s="634"/>
      <c r="SB5" s="634"/>
      <c r="SC5" s="634"/>
      <c r="SD5" s="634"/>
      <c r="SE5" s="634"/>
      <c r="SF5" s="634"/>
      <c r="SG5" s="634"/>
      <c r="SH5" s="634"/>
      <c r="SI5" s="634"/>
      <c r="SJ5" s="634"/>
      <c r="SK5" s="634"/>
      <c r="SL5" s="634"/>
      <c r="SM5" s="634"/>
      <c r="SN5" s="634"/>
      <c r="SO5" s="634"/>
      <c r="SP5" s="634"/>
      <c r="SQ5" s="729"/>
      <c r="SR5" s="19" t="s">
        <v>236</v>
      </c>
      <c r="SS5" s="19" t="s">
        <v>138</v>
      </c>
      <c r="ST5" s="26" t="str">
        <f ca="1">IF(SR5="","",IF(Start!$Y$157=$QS$12,$QS$12&amp;" (disadvantage)",IF(Start!$Y$157=$QS$11,$QS$11,IF(VLOOKUP(SR5,$KT$60:$KV$78,2,FALSE)="No",$QS$12&amp;" (disadvantage)",$QS$11))))</f>
        <v>not proficient (disadvantage)</v>
      </c>
      <c r="SU5" s="68">
        <v>11</v>
      </c>
      <c r="SV5" s="44">
        <f>DEXMod</f>
        <v>-5</v>
      </c>
      <c r="SW5" s="231" t="s">
        <v>140</v>
      </c>
      <c r="SX5" s="45" t="s">
        <v>249</v>
      </c>
      <c r="SY5" s="27">
        <v>8</v>
      </c>
      <c r="SZ5" s="26" t="str">
        <f ca="1">ST5&amp;", Don: 1min, Doff: 1min"</f>
        <v>not proficient (disadvantage), Don: 1min, Doff: 1min</v>
      </c>
      <c r="TA5" s="19" t="s">
        <v>245</v>
      </c>
      <c r="TB5" s="19" t="s">
        <v>245</v>
      </c>
      <c r="TC5" s="19" t="str">
        <f ca="1">IF(TA5="","",IF(Start!$AG$157=$QS$12,$QS$12&amp;" (disadvantage)",IF(Start!$AG$157=$QS$11,$QS$11,IF(AND(KU$63="No",KU$64="No"),"not proficient (disadvantage)","proficient"))))</f>
        <v>not proficient (disadvantage)</v>
      </c>
      <c r="TD5" s="44">
        <v>2</v>
      </c>
      <c r="TE5" s="26">
        <f>DEXMod</f>
        <v>-5</v>
      </c>
      <c r="TF5" s="231" t="s">
        <v>140</v>
      </c>
      <c r="TG5" s="45" t="s">
        <v>140</v>
      </c>
      <c r="TH5" s="27">
        <v>6</v>
      </c>
      <c r="TI5" s="27" t="str">
        <f ca="1">TC5</f>
        <v>not proficient (disadvantage)</v>
      </c>
      <c r="TJ5" s="18">
        <f>TJ4+1</f>
        <v>3</v>
      </c>
      <c r="TK5" s="58" t="s">
        <v>493</v>
      </c>
      <c r="TL5" s="58" t="s">
        <v>448</v>
      </c>
      <c r="TM5" s="18">
        <v>1</v>
      </c>
      <c r="TN5" s="59" t="str">
        <f t="shared" si="47"/>
        <v xml:space="preserve">Alarm </v>
      </c>
      <c r="TO5" s="18" t="str">
        <f>""</f>
        <v/>
      </c>
      <c r="TP5" s="18" t="str">
        <f t="shared" si="48"/>
        <v/>
      </c>
      <c r="TQ5" s="18" t="str">
        <f>IF(OR(TK5=Spellcasting!$AC$18,TK5=Spellcasting!$AC$19),"ᵐ","")</f>
        <v/>
      </c>
      <c r="TR5" s="18" t="str">
        <f>IF(OR(TK5=Spellcasting!$AC$20,TK5=Spellcasting!$AC$21),"ˢ","")</f>
        <v/>
      </c>
      <c r="TS5" s="18" t="s">
        <v>477</v>
      </c>
      <c r="TT5" s="18" t="s">
        <v>494</v>
      </c>
      <c r="TU5" s="18" t="s">
        <v>851</v>
      </c>
      <c r="TV5" s="18" t="s">
        <v>485</v>
      </c>
      <c r="TW5" s="18" t="s">
        <v>495</v>
      </c>
      <c r="TX5" s="59" t="s">
        <v>1279</v>
      </c>
      <c r="TY5" s="18" t="s">
        <v>487</v>
      </c>
      <c r="TZ5" s="18" t="s">
        <v>488</v>
      </c>
      <c r="UA5" s="142" t="s">
        <v>1280</v>
      </c>
      <c r="UB5" s="319" t="s">
        <v>3225</v>
      </c>
      <c r="UE5" s="18" t="str">
        <f ca="1">IF(UE$1&gt;=$TM5,1,"0")</f>
        <v>0</v>
      </c>
      <c r="UL5" s="18" t="str">
        <f ca="1">IF(UL$1&gt;=$TM5,1,"0")</f>
        <v>0</v>
      </c>
      <c r="VP5" s="18" t="str">
        <f>IF(VP$1&gt;=$TM5,1,"0")</f>
        <v>0</v>
      </c>
      <c r="WD5" s="18" t="str">
        <f ca="1">IF(SUM($VZ$1:$WC$1)&gt;0,IF(AND(SUM($VZ5:$WC5)&gt;0,$TM5=WE$1),MAX(WD$2:WD4)+1,""),IF(AND(SUM($UC5:$VY5)&gt;0,$TM5=WE$1),MAX(WD$2:WD4)+1,""))</f>
        <v/>
      </c>
      <c r="WE5" s="59" t="str">
        <f t="shared" ca="1" si="80"/>
        <v/>
      </c>
      <c r="WF5" s="18" t="str">
        <f ca="1">IF(AND(SUM($UB5:$VY5)&gt;0,$TM5=WG$1),MAX(WF$2:WF4)+1,"")</f>
        <v/>
      </c>
      <c r="WG5" s="59" t="str">
        <f t="shared" ca="1" si="81"/>
        <v/>
      </c>
      <c r="WH5" s="18" t="str">
        <f ca="1">IF(AND(SUM($UB5:$VY5)&gt;0,$TM5=WI$1),MAX(WH$2:WH4)+1,"")</f>
        <v/>
      </c>
      <c r="WI5" s="59" t="str">
        <f t="shared" ca="1" si="82"/>
        <v/>
      </c>
      <c r="WJ5" s="18" t="str">
        <f ca="1">IF(AND(SUM($UB5:$VY5)&gt;0,$TM5=WK$1),MAX(WJ$2:WJ4)+1,"")</f>
        <v/>
      </c>
      <c r="WK5" s="59" t="str">
        <f t="shared" ca="1" si="83"/>
        <v/>
      </c>
      <c r="WL5" s="18" t="str">
        <f ca="1">IF(AND(SUM($UB5:$VY5)&gt;0,$TM5=WM$1),MAX(WL$2:WL4)+1,"")</f>
        <v/>
      </c>
      <c r="WM5" s="59" t="str">
        <f t="shared" ca="1" si="84"/>
        <v/>
      </c>
      <c r="WN5" s="18" t="str">
        <f ca="1">IF(AND(SUM($UB5:$VY5)&gt;0,$TM5=WO$1),MAX(WN$2:WN4)+1,"")</f>
        <v/>
      </c>
      <c r="WO5" s="59" t="str">
        <f t="shared" ca="1" si="85"/>
        <v/>
      </c>
      <c r="WP5" s="18" t="str">
        <f ca="1">IF(AND(SUM($UB5:$VY5)&gt;0,$TM5=WQ$1),MAX(WP$2:WP4)+1,"")</f>
        <v/>
      </c>
      <c r="WQ5" s="59" t="str">
        <f t="shared" ca="1" si="86"/>
        <v/>
      </c>
      <c r="WR5" s="18" t="str">
        <f ca="1">IF(AND(SUM($UB5:$VY5)&gt;0,$TM5=WS$1),MAX(WR$2:WR4)+1,"")</f>
        <v/>
      </c>
      <c r="WS5" s="59" t="str">
        <f t="shared" ca="1" si="87"/>
        <v/>
      </c>
      <c r="WT5" s="18" t="str">
        <f ca="1">IF(AND(SUM($UB5:$VY5)&gt;0,$TM5=WU$1),MAX(WT$2:WT4)+1,"")</f>
        <v/>
      </c>
      <c r="WU5" s="59" t="str">
        <f t="shared" ca="1" si="88"/>
        <v/>
      </c>
      <c r="WV5" s="18" t="str">
        <f ca="1">IF(AND(SUM($UB5:$VY5)&gt;0,$TM5=WW$1),MAX(WV$2:WV4)+1,"")</f>
        <v/>
      </c>
      <c r="WW5" s="59" t="str">
        <f t="shared" ca="1" si="89"/>
        <v/>
      </c>
      <c r="WX5" s="18" t="str">
        <f ca="1">IF(AND(SUM($UB5:$VY5)&gt;0,$TM5=WY$1),MAX(WX$2:WX4)+1,"")</f>
        <v/>
      </c>
      <c r="WY5" s="59" t="str">
        <f t="shared" ca="1" si="90"/>
        <v/>
      </c>
      <c r="WZ5" s="18">
        <v>4</v>
      </c>
      <c r="XA5" s="59" t="str">
        <f t="shared" ca="1" si="91"/>
        <v/>
      </c>
      <c r="XB5" s="59" t="str">
        <f t="shared" ca="1" si="28"/>
        <v/>
      </c>
      <c r="XC5" s="59" t="str">
        <f t="shared" ca="1" si="29"/>
        <v/>
      </c>
      <c r="XD5" s="59" t="str">
        <f t="shared" ca="1" si="60"/>
        <v/>
      </c>
      <c r="XE5" s="59" t="str">
        <f t="shared" ca="1" si="61"/>
        <v/>
      </c>
      <c r="XF5" s="59" t="str">
        <f t="shared" ca="1" si="62"/>
        <v/>
      </c>
      <c r="XG5" s="59" t="str">
        <f t="shared" ca="1" si="63"/>
        <v/>
      </c>
      <c r="XH5" s="59" t="str">
        <f t="shared" ca="1" si="64"/>
        <v/>
      </c>
      <c r="XI5" s="59" t="str">
        <f t="shared" ca="1" si="65"/>
        <v/>
      </c>
      <c r="XJ5" s="59" t="str">
        <f t="shared" ca="1" si="66"/>
        <v/>
      </c>
      <c r="XK5" s="59" t="str">
        <f t="shared" ca="1" si="67"/>
        <v/>
      </c>
      <c r="XL5" s="59" t="s">
        <v>3068</v>
      </c>
      <c r="XM5" s="18">
        <f>XM4+1</f>
        <v>1</v>
      </c>
      <c r="XN5" s="142" t="str">
        <f t="shared" ref="XN5:YC14" si="107">IF(ISERROR(VLOOKUP($XM5,$XM$27:$YC$58,XN$3+1,FALSE)),"",VLOOKUP($XM5,$XM$27:$YC$58,XN$3+1,FALSE))</f>
        <v>Badger</v>
      </c>
      <c r="XO5" s="142" t="str">
        <f t="shared" si="107"/>
        <v>Beast</v>
      </c>
      <c r="XP5" s="249" t="str">
        <f t="shared" si="107"/>
        <v>Tiny</v>
      </c>
      <c r="XQ5" s="249">
        <f t="shared" si="107"/>
        <v>10</v>
      </c>
      <c r="XR5" s="249">
        <f t="shared" si="107"/>
        <v>3</v>
      </c>
      <c r="XS5" s="142" t="str">
        <f t="shared" si="107"/>
        <v>20ft, burrow 5ft</v>
      </c>
      <c r="XT5" s="249">
        <f t="shared" si="107"/>
        <v>4</v>
      </c>
      <c r="XU5" s="249">
        <f t="shared" si="107"/>
        <v>11</v>
      </c>
      <c r="XV5" s="249">
        <f t="shared" si="107"/>
        <v>12</v>
      </c>
      <c r="XW5" s="249">
        <f t="shared" si="107"/>
        <v>2</v>
      </c>
      <c r="XX5" s="249">
        <f t="shared" si="107"/>
        <v>12</v>
      </c>
      <c r="XY5" s="249">
        <f t="shared" si="107"/>
        <v>5</v>
      </c>
      <c r="XZ5" s="142" t="str">
        <f t="shared" si="107"/>
        <v>none</v>
      </c>
      <c r="YA5" s="142" t="str">
        <f t="shared" si="107"/>
        <v>passive Perception 11, darkvision 30 ft</v>
      </c>
      <c r="YB5" s="142" t="str">
        <f t="shared" si="107"/>
        <v>Bite melee +2, reach 5ft, 1 piercing</v>
      </c>
      <c r="YC5" s="142" t="str">
        <f t="shared" si="107"/>
        <v>Keen Smell. Advantage on Wisdom (Perception) checks that rely on smell</v>
      </c>
      <c r="YD5" s="18"/>
      <c r="YE5" s="18" t="str">
        <f t="shared" ca="1" si="92"/>
        <v/>
      </c>
      <c r="YF5" s="18">
        <f t="shared" ref="YF5:YF10" si="108">YF4+1</f>
        <v>3</v>
      </c>
      <c r="YG5" s="59" t="str">
        <f t="shared" ca="1" si="70"/>
        <v>FEAT 3</v>
      </c>
      <c r="YH5" s="59" t="str">
        <f>IF(OR(Start!I115="",Start!I115=SelectText),"",Start!I115)</f>
        <v/>
      </c>
      <c r="YI5" s="59" t="str">
        <f t="shared" si="93"/>
        <v/>
      </c>
      <c r="YJ5" s="59" t="str">
        <f t="shared" si="94"/>
        <v/>
      </c>
      <c r="YK5" s="59" t="str">
        <f>""</f>
        <v/>
      </c>
      <c r="YM5" s="18" t="str">
        <f t="shared" si="95"/>
        <v/>
      </c>
      <c r="YN5" s="18" t="str">
        <f t="shared" si="96"/>
        <v/>
      </c>
      <c r="YR5" s="18"/>
      <c r="YS5" s="18" t="str">
        <f t="shared" ca="1" si="97"/>
        <v/>
      </c>
      <c r="YT5" s="548" t="s">
        <v>276</v>
      </c>
      <c r="YU5" s="18">
        <v>12</v>
      </c>
      <c r="YV5" s="18" t="str">
        <f ca="1">VLOOKUP(YY5,$ZD$2:$ZP$23,$ZD$1,FALSE)</f>
        <v/>
      </c>
      <c r="YW5" s="18" t="str">
        <f ca="1">IF(YX5="","",MAX($YW$1:YW4)+1)</f>
        <v/>
      </c>
      <c r="YX5" s="59" t="str">
        <f t="shared" ca="1" si="71"/>
        <v/>
      </c>
      <c r="YY5" s="18" t="str">
        <f t="shared" ca="1" si="72"/>
        <v/>
      </c>
      <c r="YZ5" s="18">
        <f>YZ4+1</f>
        <v>2</v>
      </c>
      <c r="ZA5" s="18" t="str">
        <f ca="1">IF(ZB5="","",MAX($ZA$2:ZA4)+1)</f>
        <v/>
      </c>
      <c r="ZB5" s="18" t="str">
        <f t="shared" ca="1" si="98"/>
        <v/>
      </c>
      <c r="ZC5" s="18" t="str">
        <f>IF(Start!AF21=SelectText,"",Start!AF21)</f>
        <v/>
      </c>
      <c r="ZD5" s="18" t="str">
        <f>IF(OR(COUNTIF($ZC$4:$ZC5,ZD$2)=0,COUNTIF($ZC$4:$ZC5,ZD$2)=MAX(ZD$2:ZD4)),"-",COUNTIF($ZC$4:$ZC5,ZD$2))</f>
        <v>-</v>
      </c>
      <c r="ZE5" s="18" t="str">
        <f>IF(OR(COUNTIF($ZC$4:$ZC5,ZE$2)=0,COUNTIF($ZC$4:$ZC5,ZE$2)=MAX(ZE$2:ZE4)),"-",COUNTIF($ZC$4:$ZC5,ZE$2))</f>
        <v>-</v>
      </c>
      <c r="ZF5" s="18" t="str">
        <f>IF(OR(COUNTIF($ZC$4:$ZC5,ZF$2)=0,COUNTIF($ZC$4:$ZC5,ZF$2)=MAX(ZF$2:ZF4)),"-",COUNTIF($ZC$4:$ZC5,ZF$2))</f>
        <v>-</v>
      </c>
      <c r="ZG5" s="18" t="str">
        <f>IF(OR(COUNTIF($ZC$4:$ZC5,ZG$2)=0,COUNTIF($ZC$4:$ZC5,ZG$2)=MAX(ZG$2:ZG4)),"-",COUNTIF($ZC$4:$ZC5,ZG$2))</f>
        <v>-</v>
      </c>
      <c r="ZH5" s="18" t="str">
        <f>IF(OR(COUNTIF($ZC$4:$ZC5,ZH$2)=0,COUNTIF($ZC$4:$ZC5,ZH$2)=MAX(ZH$2:ZH4)),"-",COUNTIF($ZC$4:$ZC5,ZH$2))</f>
        <v>-</v>
      </c>
      <c r="ZI5" s="18" t="str">
        <f>IF(OR(COUNTIF($ZC$4:$ZC5,ZI$2)=0,COUNTIF($ZC$4:$ZC5,ZI$2)=MAX(ZI$2:ZI4)),"-",COUNTIF($ZC$4:$ZC5,ZI$2))</f>
        <v>-</v>
      </c>
      <c r="ZJ5" s="18" t="str">
        <f>IF(OR(COUNTIF($ZC$4:$ZC5,ZJ$2)=0,COUNTIF($ZC$4:$ZC5,ZJ$2)=MAX(ZJ$2:ZJ4)),"-",COUNTIF($ZC$4:$ZC5,ZJ$2))</f>
        <v>-</v>
      </c>
      <c r="ZK5" s="18" t="str">
        <f>IF(OR(COUNTIF($ZC$4:$ZC5,ZK$2)=0,COUNTIF($ZC$4:$ZC5,ZK$2)=MAX(ZK$2:ZK4)),"-",COUNTIF($ZC$4:$ZC5,ZK$2))</f>
        <v>-</v>
      </c>
      <c r="ZL5" s="18" t="str">
        <f>IF(OR(COUNTIF($ZC$4:$ZC5,ZL$2)=0,COUNTIF($ZC$4:$ZC5,ZL$2)=MAX(ZL$2:ZL4)),"-",COUNTIF($ZC$4:$ZC5,ZL$2))</f>
        <v>-</v>
      </c>
      <c r="ZM5" s="18" t="str">
        <f>IF(OR(COUNTIF($ZC$4:$ZC5,ZM$2)=0,COUNTIF($ZC$4:$ZC5,ZM$2)=MAX(ZM$2:ZM4)),"-",COUNTIF($ZC$4:$ZC5,ZM$2))</f>
        <v>-</v>
      </c>
      <c r="ZN5" s="18" t="str">
        <f>IF(OR(COUNTIF($ZC$4:$ZC5,ZN$2)=0,COUNTIF($ZC$4:$ZC5,ZN$2)=MAX(ZN$2:ZN4)),"-",COUNTIF($ZC$4:$ZC5,ZN$2))</f>
        <v>-</v>
      </c>
      <c r="ZO5" s="18" t="str">
        <f>IF(OR(COUNTIF($ZC$4:$ZC5,ZO$2)=0,COUNTIF($ZC$4:$ZC5,ZO$2)=MAX(ZO$2:ZO4)),"-",COUNTIF($ZC$4:$ZC5,ZO$2))</f>
        <v>-</v>
      </c>
      <c r="ZP5" s="18">
        <f>ZP4+1</f>
        <v>2</v>
      </c>
      <c r="ZQ5" s="18" t="s">
        <v>287</v>
      </c>
      <c r="ZR5" s="18">
        <f t="shared" si="31"/>
        <v>5</v>
      </c>
      <c r="ZS5" s="58" t="s">
        <v>756</v>
      </c>
      <c r="ZT5" s="59" t="str">
        <f>IF(COUNTIF($YH$3:$YH$10,ZS5)&gt;0,$ZS5&amp;"
"&amp;VLOOKUP($ZS5,$YG$14:$YK$77,5,FALSE)&amp;"
","")</f>
        <v/>
      </c>
      <c r="ZU5" s="59" t="str">
        <f>Start!C6</f>
        <v>DEXTERITY</v>
      </c>
      <c r="ZV5" s="18" t="str">
        <f ca="1">IF(ZV$2=1,IF(VLOOKUP($ZU5,Start!$C$5:$AN$10,18+ZV$3,FALSE)="","",VLOOKUP($ZU5,Start!$C$5:$AN$10,18+ZV$3,FALSE)),"")</f>
        <v/>
      </c>
      <c r="ZW5" s="18" t="str">
        <f ca="1">IF(ZW$2=1,IF(VLOOKUP($ZU5,Start!$C$5:$AN$10,18+ZW$3,FALSE)="","",VLOOKUP($ZU5,Start!$C$5:$AN$10,18+ZW$3,FALSE)),"")</f>
        <v/>
      </c>
      <c r="ZX5" s="18" t="str">
        <f ca="1">IF(ZX$2=1,IF(VLOOKUP($ZU5,Start!$C$5:$AN$10,18+ZX$3,FALSE)="","",VLOOKUP($ZU5,Start!$C$5:$AN$10,18+ZX$3,FALSE)),"")</f>
        <v/>
      </c>
      <c r="ZY5" s="18" t="str">
        <f ca="1">IF(ZY$2=1,IF(VLOOKUP($ZU5,Start!$C$5:$AN$10,18+ZY$3,FALSE)="","",VLOOKUP($ZU5,Start!$C$5:$AN$10,18+ZY$3,FALSE)),"")</f>
        <v/>
      </c>
      <c r="ZZ5" s="18" t="str">
        <f ca="1">IF(ZZ$2=1,IF(VLOOKUP($ZU5,Start!$C$5:$AN$10,18+ZZ$3,FALSE)="","",VLOOKUP($ZU5,Start!$C$5:$AN$10,18+ZZ$3,FALSE)),"")</f>
        <v/>
      </c>
      <c r="AAA5" s="18" t="str">
        <f ca="1">IF(AAA$2=1,IF(VLOOKUP($ZU5,Start!$C$5:$AN$10,18+AAA$3,FALSE)="","",VLOOKUP($ZU5,Start!$C$5:$AN$10,18+AAA$3,FALSE)),"")</f>
        <v/>
      </c>
      <c r="AAB5" s="18" t="str">
        <f ca="1">IF(AAB$2=1,IF(VLOOKUP($ZU5,Start!$C$5:$AN$10,18+AAB$3,FALSE)="","",VLOOKUP($ZU5,Start!$C$5:$AN$10,18+AAB$3,FALSE)),"")</f>
        <v/>
      </c>
      <c r="AAC5" s="18" t="str">
        <f ca="1">IF(AAC$2=1,IF(VLOOKUP($ZU5,Start!$C$5:$AN$10,18+AAC$3,FALSE)="","",VLOOKUP($ZU5,Start!$C$5:$AN$10,18+AAC$3,FALSE)),"")</f>
        <v/>
      </c>
      <c r="AAD5" s="18" t="str">
        <f ca="1">IF(AAD$2=1,IF(VLOOKUP($ZU5,Start!$C$5:$AN$10,18+AAD$3,FALSE)="","",VLOOKUP($ZU5,Start!$C$5:$AN$10,18+AAD$3,FALSE)),"")</f>
        <v/>
      </c>
      <c r="AAE5" s="18" t="str">
        <f ca="1">IF(AAE$2=1,IF(VLOOKUP($ZU5,Start!$C$5:$AN$10,18+AAE$3,FALSE)="","",VLOOKUP($ZU5,Start!$C$5:$AN$10,18+AAE$3,FALSE)),"")</f>
        <v/>
      </c>
      <c r="AAF5" s="18" t="str">
        <f ca="1">IF(AAF$2=1,IF(VLOOKUP($ZU5,Start!$C$5:$AN$10,18+AAF$3,FALSE)="","",VLOOKUP($ZU5,Start!$C$5:$AN$10,18+AAF$3,FALSE)),"")</f>
        <v/>
      </c>
      <c r="AAG5" s="18" t="str">
        <f ca="1">IF(AAG$2=1,IF(VLOOKUP($ZU5,Start!$C$5:$AN$10,18+AAG$3,FALSE)="","",VLOOKUP($ZU5,Start!$C$5:$AN$10,18+AAG$3,FALSE)),"")</f>
        <v/>
      </c>
      <c r="AAH5" s="18" t="str">
        <f ca="1">IF(AAH$2=1,IF(VLOOKUP($ZU5,Start!$C$5:$AN$10,18+AAH$3,FALSE)="","",VLOOKUP($ZU5,Start!$C$5:$AN$10,18+AAH$3,FALSE)),"")</f>
        <v/>
      </c>
      <c r="AAI5" s="18" t="str">
        <f ca="1">IF(AAI$2=1,IF(VLOOKUP($ZU5,Start!$C$5:$AN$10,18+AAI$3,FALSE)="","",VLOOKUP($ZU5,Start!$C$5:$AN$10,18+AAI$3,FALSE)),"")</f>
        <v/>
      </c>
      <c r="AAJ5" s="18" t="str">
        <f ca="1">IF(AAJ$2=1,IF(VLOOKUP($ZU5,Start!$C$5:$AN$10,18+AAJ$3,FALSE)="","",VLOOKUP($ZU5,Start!$C$5:$AN$10,18+AAJ$3,FALSE)),"")</f>
        <v/>
      </c>
      <c r="AAK5" s="18" t="str">
        <f ca="1">IF(AAK$2=1,IF(VLOOKUP($ZU5,Start!$C$5:$AN$10,18+AAK$3,FALSE)="","",VLOOKUP($ZU5,Start!$C$5:$AN$10,18+AAK$3,FALSE)),"")</f>
        <v/>
      </c>
      <c r="AAL5" s="18" t="str">
        <f ca="1">IF(AAL$2=1,IF(VLOOKUP($ZU5,Start!$C$5:$AN$10,18+AAL$3,FALSE)="","",VLOOKUP($ZU5,Start!$C$5:$AN$10,18+AAL$3,FALSE)),"")</f>
        <v/>
      </c>
      <c r="AAM5" s="18" t="str">
        <f ca="1">IF(AAM$2=1,IF(VLOOKUP($ZU5,Start!$C$5:$AN$10,18+AAM$3,FALSE)="","",VLOOKUP($ZU5,Start!$C$5:$AN$10,18+AAM$3,FALSE)),"")</f>
        <v/>
      </c>
      <c r="AAN5" s="18" t="str">
        <f ca="1">IF(AAN$2=1,IF(VLOOKUP($ZU5,Start!$C$5:$AN$10,18+AAN$3,FALSE)="","",VLOOKUP($ZU5,Start!$C$5:$AN$10,18+AAN$3,FALSE)),"")</f>
        <v/>
      </c>
      <c r="AAO5" s="18" t="str">
        <f ca="1">IF(AAO$2=1,IF(VLOOKUP($ZU5,Start!$C$5:$AN$10,18+AAO$3,FALSE)="","",VLOOKUP($ZU5,Start!$C$5:$AN$10,18+AAO$3,FALSE)),"")</f>
        <v/>
      </c>
      <c r="AAP5" s="18">
        <f t="shared" ca="1" si="99"/>
        <v>0</v>
      </c>
    </row>
    <row r="6" spans="1:718" ht="9.9499999999999993" customHeight="1" x14ac:dyDescent="0.25">
      <c r="A6" s="18" t="s">
        <v>191</v>
      </c>
      <c r="B6" s="18" t="s">
        <v>195</v>
      </c>
      <c r="C6" s="18">
        <f>IF(Subrace=U8,35,30)</f>
        <v>30</v>
      </c>
      <c r="D6" s="218" t="str">
        <f>IF(Subrace=U9,"Darkvision 120ft","Darkvision 60ft")</f>
        <v>Darkvision 60ft</v>
      </c>
      <c r="E6" s="142" t="str">
        <f>"• +2 Dexterity
• Size: Medium
• Speed: 30ft
"&amp;IF(Subrace=U9,"• Superior Darkvision 120ft","• Darkvision 60ft")&amp;"
• Keen Senses: Proficiency in the Perception skill
• Fey Ancestry: advantage on saving throws against being charmed, magic cannot put you to sleep"&amp;"
• Trance: do not sleep but meditate deeply, remaining semiconscious, for 4 hours a day
• Languages: Elvish, Common"</f>
        <v>• +2 Dexterity
• Size: Medium
• Speed: 30ft
• Darkvision 60ft
• Keen Senses: Proficiency in the Perception skill
• Fey Ancestry: advantage on saving throws against being charmed, magic cannot put you to sleep
• Trance: do not sleep but meditate deeply, remaining semiconscious, for 4 hours a day
• Languages: Elvish, Common</v>
      </c>
      <c r="F6" s="59" t="str">
        <f>IF(Subrace=U7,"Elvish, Common, +1 extra language",IF(Subrace=U9,"Elvish, Common, Undercommon", "Elvish, Common"))</f>
        <v>Elvish, Common</v>
      </c>
      <c r="G6" s="59">
        <f>IF(Subrace=U7,3,2)</f>
        <v>2</v>
      </c>
      <c r="H6" s="59" t="s">
        <v>1836</v>
      </c>
      <c r="I6" s="59">
        <v>1</v>
      </c>
      <c r="J6" s="59" t="s">
        <v>187</v>
      </c>
      <c r="K6" s="18">
        <v>0</v>
      </c>
      <c r="L6" s="64" t="str">
        <f>""</f>
        <v/>
      </c>
      <c r="M6" s="64">
        <v>2</v>
      </c>
      <c r="N6" s="64" t="str">
        <f>""</f>
        <v/>
      </c>
      <c r="O6" s="64" t="str">
        <f>IF(OR(Subrace=$U7,Subrace=$U10),1,"")</f>
        <v/>
      </c>
      <c r="P6" s="64" t="str">
        <f>IF(Subrace=$U8,1,"")</f>
        <v/>
      </c>
      <c r="Q6" s="64" t="str">
        <f>IF(Subrace=$U9,1,"")</f>
        <v/>
      </c>
      <c r="R6" s="741" t="s">
        <v>834</v>
      </c>
      <c r="S6" s="741" t="str">
        <f>IF(Subrace=U9,"4' 5'' + 2d6","4' 6'' + 2d10")</f>
        <v>4' 6'' + 2d10</v>
      </c>
      <c r="T6" s="741" t="str">
        <f>IF(Subrace=U9,"75 lb. x 1d6",IF(Subrace=U8,"100 lb. x 1d4","90 lb. x 1d4"))</f>
        <v>90 lb. x 1d4</v>
      </c>
      <c r="U6" s="59" t="s">
        <v>230</v>
      </c>
      <c r="V6" s="142" t="s">
        <v>2717</v>
      </c>
      <c r="W6" s="142"/>
      <c r="X6" s="18" t="str">
        <f>IF(Y6="","",MAX($X$3:X5)+1)</f>
        <v/>
      </c>
      <c r="Y6" s="58" t="str">
        <f>IF(A5=$A$3,U6,"")</f>
        <v/>
      </c>
      <c r="Z6" s="18">
        <f t="shared" ref="Z6:Z23" si="109">Z5+1</f>
        <v>3</v>
      </c>
      <c r="AA6" s="18" t="str">
        <f t="shared" si="74"/>
        <v/>
      </c>
      <c r="AB6" s="59" t="s">
        <v>218</v>
      </c>
      <c r="AC6" s="59" t="s">
        <v>2712</v>
      </c>
      <c r="AD6" s="18" t="b">
        <f ca="1">IF(AND(VLOOKUP(RaceDraconicAncestry,$U$15:$W$25,3,FALSE)=AC6,SorcererDraconicBloodlineLevel&gt;=6),TRUE,FALSE)</f>
        <v>0</v>
      </c>
      <c r="AE6" s="59" t="s">
        <v>2395</v>
      </c>
      <c r="AF6" s="455" t="s">
        <v>2401</v>
      </c>
      <c r="AG6" s="740" t="s">
        <v>3512</v>
      </c>
      <c r="AH6" s="455" t="s">
        <v>2402</v>
      </c>
      <c r="AI6" s="383">
        <v>2</v>
      </c>
      <c r="AJ6" s="455" t="s">
        <v>2403</v>
      </c>
      <c r="AK6" s="383">
        <v>2</v>
      </c>
      <c r="AL6" s="455" t="s">
        <v>187</v>
      </c>
      <c r="AM6" s="383">
        <v>0</v>
      </c>
      <c r="AN6" s="18">
        <v>4</v>
      </c>
      <c r="AO6" s="18">
        <f>AO5+1</f>
        <v>5</v>
      </c>
      <c r="AP6" s="59" t="str">
        <f t="shared" si="100"/>
        <v/>
      </c>
      <c r="AQ6" s="59" t="str">
        <f>""</f>
        <v/>
      </c>
      <c r="AR6" s="59" t="s">
        <v>1053</v>
      </c>
      <c r="AS6" s="59" t="s">
        <v>2424</v>
      </c>
      <c r="AT6" s="59" t="s">
        <v>1079</v>
      </c>
      <c r="AU6" s="59" t="s">
        <v>2458</v>
      </c>
      <c r="AV6" s="59" t="s">
        <v>1123</v>
      </c>
      <c r="AW6" s="59" t="s">
        <v>2504</v>
      </c>
      <c r="AX6" s="59" t="s">
        <v>2537</v>
      </c>
      <c r="AY6" s="58" t="s">
        <v>1149</v>
      </c>
      <c r="AZ6" s="58" t="s">
        <v>2573</v>
      </c>
      <c r="BA6" s="59" t="s">
        <v>1016</v>
      </c>
      <c r="BB6" s="59" t="s">
        <v>2599</v>
      </c>
      <c r="BC6" s="58" t="s">
        <v>1175</v>
      </c>
      <c r="BD6" s="58" t="s">
        <v>2367</v>
      </c>
      <c r="BE6" s="18" t="str">
        <f>""</f>
        <v/>
      </c>
      <c r="BF6" s="58" t="s">
        <v>34</v>
      </c>
      <c r="BG6" s="18" t="str">
        <f ca="1">IF(OR(BL9&gt;0,BL10&gt;0,BL13&gt;0,MonkLevel&gt;=14,AAP7&gt;0),BF6,"")</f>
        <v/>
      </c>
      <c r="BH6" s="58" t="str">
        <f ca="1">IF(BG6="","",IF(COUNTIF(BG6:$BG$8,"&gt;&lt;")&gt;1,BG6&amp;", ",BG6))</f>
        <v/>
      </c>
      <c r="BI6" s="58" t="s">
        <v>171</v>
      </c>
      <c r="BJ6" s="58" t="str">
        <f>""</f>
        <v/>
      </c>
      <c r="BK6" s="58" t="str">
        <f>""</f>
        <v/>
      </c>
      <c r="BL6" s="18" t="str">
        <f>""</f>
        <v/>
      </c>
      <c r="BM6" s="58" t="str">
        <f>""</f>
        <v/>
      </c>
      <c r="BN6" s="59" t="str">
        <f>""</f>
        <v/>
      </c>
      <c r="BO6" s="58" t="str">
        <f>""</f>
        <v/>
      </c>
      <c r="BP6" s="58" t="str">
        <f>""</f>
        <v/>
      </c>
      <c r="BQ6" s="58" t="str">
        <f>""</f>
        <v/>
      </c>
      <c r="BR6" s="58" t="str">
        <f>""</f>
        <v/>
      </c>
      <c r="BU6" s="58" t="str">
        <f>""</f>
        <v/>
      </c>
      <c r="BV6" s="18">
        <v>10</v>
      </c>
      <c r="BW6" s="18">
        <v>0</v>
      </c>
      <c r="BX6" s="18" t="s">
        <v>187</v>
      </c>
      <c r="BZ6" s="58" t="s">
        <v>187</v>
      </c>
      <c r="CB6" s="58" t="s">
        <v>187</v>
      </c>
      <c r="CD6" s="58" t="s">
        <v>187</v>
      </c>
      <c r="CH6" s="58" t="str">
        <f>""</f>
        <v/>
      </c>
      <c r="CI6" s="58" t="s">
        <v>187</v>
      </c>
      <c r="CM6" s="18">
        <v>1</v>
      </c>
      <c r="CN6" s="18">
        <v>2</v>
      </c>
      <c r="CO6" s="18">
        <v>3</v>
      </c>
      <c r="CP6" s="18">
        <v>4</v>
      </c>
      <c r="CQ6" s="18">
        <v>5</v>
      </c>
      <c r="CR6" s="18">
        <v>6</v>
      </c>
      <c r="CS6" s="18">
        <v>7</v>
      </c>
      <c r="CT6" s="18">
        <v>8</v>
      </c>
      <c r="CU6" s="18">
        <v>9</v>
      </c>
      <c r="CV6" s="18">
        <v>10</v>
      </c>
      <c r="CW6" s="18">
        <v>11</v>
      </c>
      <c r="CX6" s="18">
        <v>12</v>
      </c>
      <c r="CY6" s="18">
        <v>13</v>
      </c>
      <c r="CZ6" s="18">
        <v>14</v>
      </c>
      <c r="DA6" s="18">
        <v>15</v>
      </c>
      <c r="DB6" s="18">
        <v>16</v>
      </c>
      <c r="DC6" s="18">
        <v>17</v>
      </c>
      <c r="DD6" s="18">
        <v>18</v>
      </c>
      <c r="DE6" s="18">
        <v>19</v>
      </c>
      <c r="DF6" s="18">
        <v>20</v>
      </c>
      <c r="DK6" s="103" t="s">
        <v>234</v>
      </c>
      <c r="DL6" s="59" t="s">
        <v>171</v>
      </c>
      <c r="DM6" s="18" t="str">
        <f>""</f>
        <v/>
      </c>
      <c r="DO6" s="18">
        <v>1</v>
      </c>
      <c r="DP6" s="18">
        <f>DO6+1</f>
        <v>2</v>
      </c>
      <c r="DQ6" s="18">
        <f t="shared" ref="DQ6:EH6" si="110">DP6+1</f>
        <v>3</v>
      </c>
      <c r="DR6" s="18">
        <f t="shared" si="110"/>
        <v>4</v>
      </c>
      <c r="DS6" s="18">
        <f t="shared" si="110"/>
        <v>5</v>
      </c>
      <c r="DT6" s="18">
        <f t="shared" si="110"/>
        <v>6</v>
      </c>
      <c r="DU6" s="18">
        <f t="shared" si="110"/>
        <v>7</v>
      </c>
      <c r="DV6" s="18">
        <f t="shared" si="110"/>
        <v>8</v>
      </c>
      <c r="DW6" s="18">
        <f t="shared" si="110"/>
        <v>9</v>
      </c>
      <c r="DX6" s="18">
        <f t="shared" si="110"/>
        <v>10</v>
      </c>
      <c r="DY6" s="18">
        <f t="shared" si="110"/>
        <v>11</v>
      </c>
      <c r="DZ6" s="18">
        <f t="shared" si="110"/>
        <v>12</v>
      </c>
      <c r="EA6" s="18">
        <f t="shared" si="110"/>
        <v>13</v>
      </c>
      <c r="EB6" s="18">
        <f t="shared" si="110"/>
        <v>14</v>
      </c>
      <c r="EC6" s="18">
        <f t="shared" si="110"/>
        <v>15</v>
      </c>
      <c r="ED6" s="18">
        <f t="shared" si="110"/>
        <v>16</v>
      </c>
      <c r="EE6" s="18">
        <f t="shared" si="110"/>
        <v>17</v>
      </c>
      <c r="EF6" s="18">
        <f t="shared" si="110"/>
        <v>18</v>
      </c>
      <c r="EG6" s="18">
        <f t="shared" si="110"/>
        <v>19</v>
      </c>
      <c r="EH6" s="18">
        <f t="shared" si="110"/>
        <v>20</v>
      </c>
      <c r="EI6" s="103" t="s">
        <v>1874</v>
      </c>
      <c r="EJ6" s="103" t="str">
        <f>EJ3&amp;EJ4&amp;EJ5</f>
        <v/>
      </c>
      <c r="EK6" s="273">
        <f>SUM(EK3:EK5)</f>
        <v>0</v>
      </c>
      <c r="EL6" s="103" t="str">
        <f t="shared" ref="EL6:ER6" si="111">EL3&amp;EL4&amp;EL5</f>
        <v/>
      </c>
      <c r="EM6" s="273">
        <f>SUM(EM3:EM5)</f>
        <v>0</v>
      </c>
      <c r="EN6" s="103" t="str">
        <f t="shared" si="111"/>
        <v/>
      </c>
      <c r="EO6" s="273">
        <f>SUM(EO3:EO5)</f>
        <v>0</v>
      </c>
      <c r="EP6" s="103" t="str">
        <f t="shared" si="111"/>
        <v/>
      </c>
      <c r="EQ6" s="273">
        <f>SUM(EQ3:EQ5)</f>
        <v>0</v>
      </c>
      <c r="ER6" s="103" t="str">
        <f t="shared" si="111"/>
        <v/>
      </c>
      <c r="ES6" s="273">
        <f>SUM(ES3:ES5)</f>
        <v>0</v>
      </c>
      <c r="ET6" s="59" t="str">
        <f>IF(ET3&amp;ET4&amp;ET5="","none",ET3&amp;ET4&amp;ET5)</f>
        <v>none</v>
      </c>
      <c r="EU6" s="18">
        <f>SUM(EU3:EU5)</f>
        <v>0</v>
      </c>
      <c r="EV6" s="59" t="str">
        <f>IF(EV3&amp;EV4&amp;EV5="","none",EV3&amp;EV4&amp;EV5)</f>
        <v>none</v>
      </c>
      <c r="EW6" s="18">
        <f>SUM(EW3:EW5)</f>
        <v>0</v>
      </c>
      <c r="EX6" s="59" t="str">
        <f>IF(EX3&amp;EX4&amp;EX5="","none",EX3&amp;EX4&amp;EX5)</f>
        <v>none</v>
      </c>
      <c r="EY6" s="18">
        <f>SUM(EY3:EY5)</f>
        <v>0</v>
      </c>
      <c r="EZ6" s="18"/>
      <c r="FA6" s="18">
        <v>1</v>
      </c>
      <c r="FB6" s="58" t="str">
        <f>SelectText</f>
        <v>Select…</v>
      </c>
      <c r="FC6" s="18">
        <v>1</v>
      </c>
      <c r="FD6" s="58" t="str">
        <f t="shared" ref="FD6:FD15" si="112">IF(ISERROR(VLOOKUP(FC6,FA$6:FB$50,2,FALSE)),"",VLOOKUP(FC6,FA$6:FB$50,2,FALSE))</f>
        <v>Select…</v>
      </c>
      <c r="FE6" s="18">
        <v>1</v>
      </c>
      <c r="FF6" s="58" t="str">
        <f>SelectText</f>
        <v>Select…</v>
      </c>
      <c r="FG6" s="18">
        <v>1</v>
      </c>
      <c r="FH6" s="58" t="str">
        <f t="shared" ref="FH6:FH15" si="113">IF(ISERROR(VLOOKUP(FG6,FE$6:FF$50,2,FALSE)),"",VLOOKUP(FG6,FE$6:FF$50,2,FALSE))</f>
        <v>Select…</v>
      </c>
      <c r="FI6" s="18">
        <v>1</v>
      </c>
      <c r="FJ6" s="58" t="str">
        <f>SelectText</f>
        <v>Select…</v>
      </c>
      <c r="FK6" s="18">
        <v>1</v>
      </c>
      <c r="FL6" s="58" t="str">
        <f t="shared" ref="FL6:FL15" si="114">IF(ISERROR(VLOOKUP(FK6,FI$6:FJ$50,2,FALSE)),"",VLOOKUP(FK6,FI$6:FJ$50,2,FALSE))</f>
        <v>Select…</v>
      </c>
      <c r="FM6" s="58" t="s">
        <v>1885</v>
      </c>
      <c r="FN6" s="59">
        <f>Start!L67</f>
        <v>0</v>
      </c>
      <c r="FO6" s="18" t="str">
        <f>IF($FM6=$FP6,MAX(FO$3:FO5)+1,"")</f>
        <v/>
      </c>
      <c r="FP6" s="59" t="str">
        <f t="shared" si="101"/>
        <v/>
      </c>
      <c r="FQ6" s="18">
        <f t="shared" si="102"/>
        <v>4</v>
      </c>
      <c r="FR6" s="59" t="str">
        <f t="shared" si="75"/>
        <v/>
      </c>
      <c r="FS6" s="59" t="str">
        <f>IF(OR(RogueLevel&gt;=6,BardLevel&gt;=10),TRUE, "")</f>
        <v/>
      </c>
      <c r="FT6" s="59" t="str">
        <f>IF(RogueLevel&gt;=6,"Rogue Level 6", IF(BardLevel&gt;=10,"Bard Level 10","EXPERTISE 4"))</f>
        <v>EXPERTISE 4</v>
      </c>
      <c r="FU6" s="18"/>
      <c r="FY6" s="18"/>
      <c r="GB6" s="59" t="s">
        <v>3418</v>
      </c>
      <c r="GC6" s="59" t="s">
        <v>3431</v>
      </c>
      <c r="GD6" s="59">
        <v>4</v>
      </c>
      <c r="GE6" s="59">
        <v>3</v>
      </c>
      <c r="GF6" s="59" t="str">
        <f t="shared" si="40"/>
        <v/>
      </c>
      <c r="GG6" s="59" t="str">
        <f t="shared" si="41"/>
        <v>MANEUVER 4</v>
      </c>
      <c r="GH6" s="732" t="str">
        <f>Start!AJ81</f>
        <v>Select…</v>
      </c>
      <c r="GI6" s="732" t="str">
        <f t="shared" si="42"/>
        <v/>
      </c>
      <c r="GJ6" s="99" t="str">
        <f t="shared" si="43"/>
        <v/>
      </c>
      <c r="GK6" s="59" t="s">
        <v>283</v>
      </c>
      <c r="GL6" s="59">
        <f>FN14</f>
        <v>0</v>
      </c>
      <c r="GM6" s="18" t="str">
        <f>IF($GK6=$GN6,MAX(GM$3:GM5)+1,"")</f>
        <v/>
      </c>
      <c r="GN6" s="59" t="str">
        <f>IF(GL6=TRUE,GK6,"")</f>
        <v/>
      </c>
      <c r="GO6" s="18">
        <f>GO5+1</f>
        <v>4</v>
      </c>
      <c r="GP6" s="59" t="str">
        <f>IF(ISERROR(VLOOKUP(GO6,$GM$3:$GN$22,2,FALSE)),"",VLOOKUP(GO6,$GM$3:$GN$22,2,FALSE))</f>
        <v/>
      </c>
      <c r="GQ6" s="59" t="s">
        <v>2811</v>
      </c>
      <c r="GR6" s="59" t="s">
        <v>3488</v>
      </c>
      <c r="GS6" s="18">
        <v>11</v>
      </c>
      <c r="GT6" s="18">
        <v>5</v>
      </c>
      <c r="GU6" s="18" t="str">
        <f ca="1">IF(GV6="","",MAX($GU$3:GU5)+1)</f>
        <v/>
      </c>
      <c r="GV6" s="59" t="str">
        <f t="shared" ca="1" si="76"/>
        <v/>
      </c>
      <c r="GW6" s="18">
        <f t="shared" si="103"/>
        <v>4</v>
      </c>
      <c r="GX6" s="59" t="str">
        <f t="shared" ca="1" si="44"/>
        <v/>
      </c>
      <c r="GY6" s="59" t="str">
        <f ca="1">IF(MonkFourElementsLevel&gt;=11,TRUE, "")</f>
        <v/>
      </c>
      <c r="GZ6" s="59" t="str">
        <f ca="1">IF(MonkFourElementsLevel&gt;=11,"Monk Level 11","DISCIPLINE 3")</f>
        <v>DISCIPLINE 3</v>
      </c>
      <c r="HA6" s="59" t="str">
        <f>Start!AJ93</f>
        <v>Select…</v>
      </c>
      <c r="HB6" s="59" t="str">
        <f t="shared" si="104"/>
        <v xml:space="preserve"> Select…
</v>
      </c>
      <c r="HC6" s="59" t="s">
        <v>2827</v>
      </c>
      <c r="HD6" s="59" t="s">
        <v>2829</v>
      </c>
      <c r="HE6" s="59" t="s">
        <v>2834</v>
      </c>
      <c r="HF6" s="59" t="s">
        <v>2831</v>
      </c>
      <c r="HG6" s="59" t="str">
        <f ca="1">IF(BarbarianTotemWarriorLevel&gt;=10,TRUE, "")</f>
        <v/>
      </c>
      <c r="HH6" s="59" t="str">
        <f ca="1">IF(BarbarianTotemWarriorLevel&gt;=10,"Barbarian Level 10","TOTEM SPIRIT 3")</f>
        <v>TOTEM SPIRIT 3</v>
      </c>
      <c r="HI6" s="59" t="str">
        <f>Start!AJ71</f>
        <v>Select…</v>
      </c>
      <c r="HJ6" s="59" t="str">
        <f>VLOOKUP(HI6,$HC$3:$HF$6,4,FALSE)</f>
        <v/>
      </c>
      <c r="HK6" s="59" t="s">
        <v>2894</v>
      </c>
      <c r="HL6" s="59" t="str">
        <f>""</f>
        <v/>
      </c>
      <c r="HM6" s="59" t="s">
        <v>2908</v>
      </c>
      <c r="HN6" s="59" t="str">
        <f>IF(RangerLevel&gt;=14,TRUE, "")</f>
        <v/>
      </c>
      <c r="HO6" s="59" t="str">
        <f>IF(RangerLevel&gt;=14,"Ranger Level 14","ENEMY 3")</f>
        <v>ENEMY 3</v>
      </c>
      <c r="HP6" s="59" t="str">
        <f>Start!AJ99</f>
        <v>Select…</v>
      </c>
      <c r="HQ6" s="59" t="str">
        <f>IF(ISERROR(VLOOKUP(HP6,$HK$3:$HL$61,2,FALSE)),"",VLOOKUP(HP6,$HK$3:$HL$61,2,FALSE))</f>
        <v/>
      </c>
      <c r="HR6" s="59" t="str">
        <f>Start!AO99</f>
        <v>Select…</v>
      </c>
      <c r="HS6" s="59" t="str">
        <f>IF(HQ6="",HP6,HP6&amp;", "&amp;HR6)</f>
        <v>Select…</v>
      </c>
      <c r="HT6" s="103" t="s">
        <v>732</v>
      </c>
      <c r="HU6" s="59" t="str">
        <f>IF(RangerLevel&gt;=10,TRUE, "")</f>
        <v/>
      </c>
      <c r="HV6" s="59" t="str">
        <f>IF(RangerLevel&gt;=10,"Ranger Level 10","TERRAIN 3")</f>
        <v>TERRAIN 3</v>
      </c>
      <c r="HW6" s="59" t="str">
        <f>Start!AJ104</f>
        <v>Select…</v>
      </c>
      <c r="HX6" s="59" t="s">
        <v>314</v>
      </c>
      <c r="HY6" s="59" t="str">
        <f ca="1">IF(RangerHunterLevel&gt;=11,TRUE, "")</f>
        <v/>
      </c>
      <c r="HZ6" s="59" t="str">
        <f ca="1">IF(RangerHunterLevel&gt;=11,"Multiattack","FEATURE 3")</f>
        <v>FEATURE 3</v>
      </c>
      <c r="IA6" s="59" t="str">
        <f>Start!AJ109</f>
        <v>Select…</v>
      </c>
      <c r="IB6" s="59" t="s">
        <v>3117</v>
      </c>
      <c r="IC6" s="142" t="s">
        <v>3463</v>
      </c>
      <c r="ID6" s="59" t="str">
        <f>IF(SorcererLevel&gt;=10,TRUE, "")</f>
        <v/>
      </c>
      <c r="IE6" s="59" t="s">
        <v>3345</v>
      </c>
      <c r="IF6" s="59" t="str">
        <f>Spellcasting!AC26</f>
        <v>Select…</v>
      </c>
      <c r="IG6" s="59" t="str">
        <f>IF(IF6=SelectText,""," - "&amp;IF6&amp;"
"&amp;VLOOKUP(IF6,$IB$4:$IC$11,2,FALSE)&amp;"
")</f>
        <v/>
      </c>
      <c r="IH6" s="18">
        <f>IF(IJ6=1,MAX($IH$2:IH5)+1,"")</f>
        <v>2</v>
      </c>
      <c r="II6" s="59" t="s">
        <v>3296</v>
      </c>
      <c r="IJ6" s="59">
        <f>1</f>
        <v>1</v>
      </c>
      <c r="IK6" s="59" t="s">
        <v>3336</v>
      </c>
      <c r="IL6" s="18">
        <f t="shared" si="105"/>
        <v>4</v>
      </c>
      <c r="IM6" s="59" t="str">
        <f t="shared" si="77"/>
        <v>Devil’s Sight</v>
      </c>
      <c r="IN6" s="59">
        <v>3</v>
      </c>
      <c r="IO6" s="59" t="str">
        <f t="shared" si="106"/>
        <v/>
      </c>
      <c r="IP6" s="59" t="str">
        <f>IF($IO$3&gt;=IN6,"Warlock Level 5","INVOCATION 3")</f>
        <v>INVOCATION 3</v>
      </c>
      <c r="IQ6" s="142" t="str">
        <f>Start!AJ115</f>
        <v>Select…</v>
      </c>
      <c r="IR6" s="142" t="str">
        <f t="shared" si="78"/>
        <v/>
      </c>
      <c r="IT6" s="59"/>
      <c r="IU6" s="18" t="s">
        <v>3539</v>
      </c>
      <c r="IV6" s="59" t="s">
        <v>197</v>
      </c>
      <c r="IW6" s="58" t="s">
        <v>205</v>
      </c>
      <c r="IX6" s="59" t="s">
        <v>1472</v>
      </c>
      <c r="IY6" s="59" t="s">
        <v>932</v>
      </c>
      <c r="IZ6" s="59" t="s">
        <v>198</v>
      </c>
      <c r="JA6" s="59" t="s">
        <v>281</v>
      </c>
      <c r="JB6" s="59" t="s">
        <v>885</v>
      </c>
      <c r="JC6" s="18">
        <f>IF(JD6="","",MAX($JC$1:JC5)+1)</f>
        <v>4</v>
      </c>
      <c r="JD6" s="58" t="s">
        <v>263</v>
      </c>
      <c r="JE6" s="58" t="s">
        <v>263</v>
      </c>
      <c r="JF6" s="18">
        <v>5</v>
      </c>
      <c r="JG6" s="59" t="str">
        <f t="shared" si="27"/>
        <v>Giant</v>
      </c>
      <c r="JH6" s="18">
        <v>5</v>
      </c>
      <c r="JI6" s="60">
        <v>6500</v>
      </c>
      <c r="JJ6" s="18">
        <v>5</v>
      </c>
      <c r="JK6" s="18">
        <v>3</v>
      </c>
      <c r="JL6" s="18"/>
      <c r="JM6" s="18">
        <v>4</v>
      </c>
      <c r="JN6" s="80">
        <f t="shared" ca="1" si="45"/>
        <v>4</v>
      </c>
      <c r="JO6" s="80">
        <f t="shared" ca="1" si="45"/>
        <v>3</v>
      </c>
      <c r="JP6" s="80" t="str">
        <f t="shared" ca="1" si="45"/>
        <v>-</v>
      </c>
      <c r="JQ6" s="80" t="str">
        <f t="shared" ca="1" si="45"/>
        <v>-</v>
      </c>
      <c r="JR6" s="80" t="str">
        <f t="shared" ca="1" si="45"/>
        <v>-</v>
      </c>
      <c r="JS6" s="80" t="str">
        <f t="shared" ca="1" si="45"/>
        <v>-</v>
      </c>
      <c r="JT6" s="80" t="str">
        <f t="shared" ca="1" si="45"/>
        <v>-</v>
      </c>
      <c r="JU6" s="80" t="str">
        <f t="shared" ca="1" si="45"/>
        <v>-</v>
      </c>
      <c r="JV6" s="80" t="str">
        <f t="shared" ca="1" si="45"/>
        <v>-</v>
      </c>
      <c r="JW6" s="80">
        <f t="shared" ca="1" si="45"/>
        <v>2</v>
      </c>
      <c r="JX6" s="58" t="s">
        <v>3282</v>
      </c>
      <c r="JY6" s="59" t="s">
        <v>801</v>
      </c>
      <c r="JZ6" s="18" t="s">
        <v>34</v>
      </c>
      <c r="KA6" s="98" t="s">
        <v>451</v>
      </c>
      <c r="KB6" s="18">
        <f>IF((WizardLevel+INTMod)&lt;1,1,WizardLevel+INTMod)</f>
        <v>1</v>
      </c>
      <c r="KC6" s="18"/>
      <c r="KD6" s="18">
        <v>4</v>
      </c>
      <c r="KE6" s="302">
        <v>4</v>
      </c>
      <c r="KF6" s="302">
        <v>7</v>
      </c>
      <c r="KG6" s="302">
        <v>4</v>
      </c>
      <c r="KH6" s="302">
        <v>3</v>
      </c>
      <c r="KI6" s="302">
        <v>5</v>
      </c>
      <c r="KJ6" s="302">
        <v>5</v>
      </c>
      <c r="KK6" s="18">
        <v>4</v>
      </c>
      <c r="KL6" s="98">
        <v>4</v>
      </c>
      <c r="KM6" s="98">
        <v>4</v>
      </c>
      <c r="KN6" s="98">
        <v>2</v>
      </c>
      <c r="KO6" s="98">
        <v>3</v>
      </c>
      <c r="KP6" s="98">
        <v>3</v>
      </c>
      <c r="KQ6" s="98">
        <v>5</v>
      </c>
      <c r="KR6" s="80">
        <v>3</v>
      </c>
      <c r="KS6" s="314"/>
      <c r="KT6" s="315"/>
      <c r="KU6" s="983" t="s">
        <v>370</v>
      </c>
      <c r="KV6" s="85"/>
      <c r="KW6" s="968"/>
      <c r="KX6" s="968"/>
      <c r="KY6" s="968"/>
      <c r="KZ6" s="968"/>
      <c r="LA6" s="967"/>
      <c r="LB6" s="967"/>
      <c r="LC6" s="967"/>
      <c r="LD6" s="967"/>
      <c r="LE6" s="967"/>
      <c r="LF6" s="967"/>
      <c r="LG6" s="968"/>
      <c r="LH6" s="968"/>
      <c r="LI6" s="968"/>
      <c r="LJ6" s="968"/>
      <c r="LK6" s="968"/>
      <c r="LL6" s="967"/>
      <c r="LM6" s="967"/>
      <c r="LN6" s="967"/>
      <c r="LO6" s="967"/>
      <c r="LP6" s="967"/>
      <c r="LQ6" s="967"/>
      <c r="LR6" s="968"/>
      <c r="LS6" s="968"/>
      <c r="LT6" s="968"/>
      <c r="LU6" s="968"/>
      <c r="LV6" s="968"/>
      <c r="LW6" s="968"/>
      <c r="LX6" s="968"/>
      <c r="LY6" s="968"/>
      <c r="LZ6" s="968"/>
      <c r="MA6" s="968"/>
      <c r="MB6" s="968"/>
      <c r="MC6" s="968"/>
      <c r="MD6" s="967"/>
      <c r="ME6" s="967"/>
      <c r="MF6" s="967"/>
      <c r="MG6" s="967"/>
      <c r="MH6" s="967"/>
      <c r="MI6" s="967"/>
      <c r="MJ6" s="985"/>
      <c r="MK6" s="985"/>
      <c r="ML6" s="968"/>
      <c r="MM6" s="968"/>
      <c r="MN6" s="968"/>
      <c r="MO6" s="968"/>
      <c r="MP6" s="968"/>
      <c r="MQ6" s="968"/>
      <c r="MR6" s="968"/>
      <c r="MS6" s="968"/>
      <c r="MT6" s="968"/>
      <c r="MU6" s="968"/>
      <c r="MV6" s="968"/>
      <c r="MW6" s="968"/>
      <c r="MX6" s="968"/>
      <c r="MY6" s="968"/>
      <c r="MZ6" s="968"/>
      <c r="NA6" s="968"/>
      <c r="NB6" s="968"/>
      <c r="NC6" s="968"/>
      <c r="ND6" s="968"/>
      <c r="NE6" s="968"/>
      <c r="NF6" s="968"/>
      <c r="NG6" s="968"/>
      <c r="NH6" s="967"/>
      <c r="NI6" s="967"/>
      <c r="NJ6" s="967"/>
      <c r="NK6" s="967"/>
      <c r="NL6" s="967"/>
      <c r="NM6" s="967"/>
      <c r="NN6" s="967"/>
      <c r="NO6" s="967"/>
      <c r="NP6" s="967"/>
      <c r="NQ6" s="967"/>
      <c r="NR6" s="967"/>
      <c r="NS6" s="967"/>
      <c r="NT6" s="967"/>
      <c r="NU6" s="967"/>
      <c r="NV6" s="967"/>
      <c r="NW6" s="967"/>
      <c r="NX6" s="967"/>
      <c r="NY6" s="967"/>
      <c r="NZ6" s="967"/>
      <c r="OA6" s="320"/>
      <c r="OB6" s="968"/>
      <c r="OC6" s="968"/>
      <c r="OD6" s="968"/>
      <c r="OE6" s="968"/>
      <c r="OF6" s="968"/>
      <c r="OG6" s="968"/>
      <c r="OH6" s="968"/>
      <c r="OI6" s="968"/>
      <c r="OJ6" s="968"/>
      <c r="OK6" s="968"/>
      <c r="OL6" s="968"/>
      <c r="OM6" s="968"/>
      <c r="ON6" s="968"/>
      <c r="OO6" s="968"/>
      <c r="OP6" s="968"/>
      <c r="OQ6" s="968"/>
      <c r="OR6" s="968"/>
      <c r="OS6" s="968"/>
      <c r="OT6" s="968"/>
      <c r="OU6" s="968"/>
      <c r="OV6" s="968"/>
      <c r="OW6" s="968"/>
      <c r="OX6" s="968"/>
      <c r="OY6" s="968"/>
      <c r="OZ6" s="968"/>
      <c r="PA6" s="968"/>
      <c r="PB6" s="968"/>
      <c r="PC6" s="968"/>
      <c r="PD6" s="968"/>
      <c r="PE6" s="968"/>
      <c r="PF6" s="968"/>
      <c r="PG6" s="968"/>
      <c r="PH6" s="968"/>
      <c r="PI6" s="968"/>
      <c r="PJ6" s="968"/>
      <c r="PK6" s="968"/>
      <c r="PL6" s="968"/>
      <c r="PM6" s="968"/>
      <c r="PN6" s="968"/>
      <c r="PO6" s="968"/>
      <c r="PP6" s="968"/>
      <c r="PQ6" s="968"/>
      <c r="PR6" s="968"/>
      <c r="PS6" s="968"/>
      <c r="PT6" s="320"/>
      <c r="PU6" s="971"/>
      <c r="PV6" s="320"/>
      <c r="PW6" s="320"/>
      <c r="PX6" s="320"/>
      <c r="PY6" s="18"/>
      <c r="PZ6" s="28" t="s">
        <v>102</v>
      </c>
      <c r="QA6" s="28" t="s">
        <v>87</v>
      </c>
      <c r="QB6" s="30" t="str">
        <f t="shared" ca="1" si="79"/>
        <v>not proficient</v>
      </c>
      <c r="QC6" s="31">
        <v>1</v>
      </c>
      <c r="QD6" s="28" t="s">
        <v>107</v>
      </c>
      <c r="QE6" s="229" t="s">
        <v>141</v>
      </c>
      <c r="QF6" s="29">
        <v>1</v>
      </c>
      <c r="QG6" s="29" t="str">
        <f>""</f>
        <v/>
      </c>
      <c r="QH6" s="29" t="str">
        <f>""</f>
        <v/>
      </c>
      <c r="QI6" s="29" t="str">
        <f>""</f>
        <v/>
      </c>
      <c r="QJ6" s="29" t="str">
        <f>""</f>
        <v/>
      </c>
      <c r="QK6" s="29" t="str">
        <f>""</f>
        <v/>
      </c>
      <c r="QL6" s="29" t="str">
        <f>""</f>
        <v/>
      </c>
      <c r="QM6" s="29" t="str">
        <f>""</f>
        <v/>
      </c>
      <c r="QN6" s="29" t="s">
        <v>146</v>
      </c>
      <c r="QO6" s="29" t="str">
        <f>""</f>
        <v/>
      </c>
      <c r="QP6" s="29" t="str">
        <f>""</f>
        <v/>
      </c>
      <c r="QQ6" s="30" t="str">
        <f>""</f>
        <v/>
      </c>
      <c r="QR6" s="30" t="str">
        <f>""</f>
        <v/>
      </c>
      <c r="QS6" s="64">
        <v>3</v>
      </c>
      <c r="QT6" s="733">
        <f t="shared" si="46"/>
        <v>6</v>
      </c>
      <c r="QU6" s="729" t="s">
        <v>86</v>
      </c>
      <c r="QV6" s="729"/>
      <c r="QW6" s="729"/>
      <c r="QX6" s="729"/>
      <c r="QY6" s="729"/>
      <c r="QZ6" s="729" t="s">
        <v>334</v>
      </c>
      <c r="RA6" s="729"/>
      <c r="RB6" s="729"/>
      <c r="RC6" s="729"/>
      <c r="RD6" s="729"/>
      <c r="RE6" s="729"/>
      <c r="RF6" s="729"/>
      <c r="RG6" s="729"/>
      <c r="RH6" s="729" t="s">
        <v>173</v>
      </c>
      <c r="RI6" s="729"/>
      <c r="RJ6" s="729"/>
      <c r="RK6" s="729"/>
      <c r="RL6" s="729"/>
      <c r="RM6" s="729"/>
      <c r="RN6" s="729"/>
      <c r="RO6" s="729"/>
      <c r="RP6" s="729" t="s">
        <v>174</v>
      </c>
      <c r="RQ6" s="729"/>
      <c r="RR6" s="729"/>
      <c r="RS6" s="729"/>
      <c r="RT6" s="729"/>
      <c r="RU6" s="729"/>
      <c r="RV6" s="729"/>
      <c r="RW6" s="729"/>
      <c r="RX6" s="729" t="s">
        <v>175</v>
      </c>
      <c r="RY6" s="729"/>
      <c r="RZ6" s="729"/>
      <c r="SA6" s="729"/>
      <c r="SB6" s="729"/>
      <c r="SC6" s="729"/>
      <c r="SD6" s="729"/>
      <c r="SE6" s="729"/>
      <c r="SF6" s="729" t="s">
        <v>176</v>
      </c>
      <c r="SG6" s="729"/>
      <c r="SH6" s="729"/>
      <c r="SI6" s="729"/>
      <c r="SJ6" s="729"/>
      <c r="SK6" s="729"/>
      <c r="SL6" s="729"/>
      <c r="SM6" s="634"/>
      <c r="SN6" s="729" t="s">
        <v>177</v>
      </c>
      <c r="SO6" s="729"/>
      <c r="SP6" s="729"/>
      <c r="SQ6" s="729"/>
      <c r="SR6" s="28" t="s">
        <v>237</v>
      </c>
      <c r="SS6" s="28" t="s">
        <v>138</v>
      </c>
      <c r="ST6" s="29" t="str">
        <f ca="1">IF(SR6="","",IF(Start!$Y$157=$QS$12,$QS$12&amp;" (disadvantage)",IF(Start!$Y$157=$QS$11,$QS$11,IF(VLOOKUP(SR6,$KT$60:$KV$78,2,FALSE)="No",$QS$12&amp;" (disadvantage)",$QS$11))))</f>
        <v>not proficient (disadvantage)</v>
      </c>
      <c r="SU6" s="69">
        <v>11</v>
      </c>
      <c r="SV6" s="42">
        <f>DEXMod</f>
        <v>-5</v>
      </c>
      <c r="SW6" s="232" t="s">
        <v>140</v>
      </c>
      <c r="SX6" s="46" t="s">
        <v>140</v>
      </c>
      <c r="SY6" s="30">
        <v>10</v>
      </c>
      <c r="SZ6" s="29" t="str">
        <f ca="1">ST6&amp;", Don: 1min, Doff: 1min"</f>
        <v>not proficient (disadvantage), Don: 1min, Doff: 1min</v>
      </c>
      <c r="TA6" s="28"/>
      <c r="TB6" s="28"/>
      <c r="TC6" s="28"/>
      <c r="TD6" s="42"/>
      <c r="TE6" s="29"/>
      <c r="TF6" s="232"/>
      <c r="TG6" s="29"/>
      <c r="TH6" s="30"/>
      <c r="TI6" s="30"/>
      <c r="TJ6" s="18">
        <f t="shared" ref="TJ6:TJ69" si="115">TJ5+1</f>
        <v>4</v>
      </c>
      <c r="TK6" s="58" t="s">
        <v>1223</v>
      </c>
      <c r="TL6" s="58" t="s">
        <v>459</v>
      </c>
      <c r="TM6" s="18">
        <v>2</v>
      </c>
      <c r="TN6" s="59" t="str">
        <f t="shared" si="47"/>
        <v xml:space="preserve">Alter Self </v>
      </c>
      <c r="TO6" s="18" t="str">
        <f>""</f>
        <v/>
      </c>
      <c r="TP6" s="18" t="str">
        <f t="shared" si="48"/>
        <v/>
      </c>
      <c r="TQ6" s="18" t="str">
        <f>IF(OR(TK6=Spellcasting!$AC$18,TK6=Spellcasting!$AC$19),"ᵐ","")</f>
        <v/>
      </c>
      <c r="TR6" s="18" t="str">
        <f>IF(OR(TK6=Spellcasting!$AC$20,TK6=Spellcasting!$AC$21),"ˢ","")</f>
        <v/>
      </c>
      <c r="TS6" s="18" t="str">
        <f>""</f>
        <v/>
      </c>
      <c r="TT6" s="18" t="s">
        <v>484</v>
      </c>
      <c r="TU6" s="18" t="s">
        <v>509</v>
      </c>
      <c r="TV6" s="18" t="s">
        <v>490</v>
      </c>
      <c r="TW6" s="18" t="s">
        <v>486</v>
      </c>
      <c r="TX6" s="59" t="str">
        <f>""</f>
        <v/>
      </c>
      <c r="TY6" s="18" t="s">
        <v>491</v>
      </c>
      <c r="TZ6" s="18" t="s">
        <v>492</v>
      </c>
      <c r="UA6" s="142" t="s">
        <v>1289</v>
      </c>
      <c r="UB6" s="319" t="s">
        <v>3226</v>
      </c>
      <c r="UF6" s="18" t="str">
        <f ca="1">IF(UF$1&gt;=$TM6,1,"0")</f>
        <v>0</v>
      </c>
      <c r="UL6" s="18" t="str">
        <f ca="1">IF(UL$1&gt;=$TM6,1,"0")</f>
        <v>0</v>
      </c>
      <c r="WD6" s="18" t="str">
        <f ca="1">IF(SUM($VZ$1:$WC$1)&gt;0,IF(AND(SUM($VZ6:$WC6)&gt;0,$TM6=WE$1),MAX(WD$2:WD5)+1,""),IF(AND(SUM($UC6:$VY6)&gt;0,$TM6=WE$1),MAX(WD$2:WD5)+1,""))</f>
        <v/>
      </c>
      <c r="WE6" s="59" t="str">
        <f t="shared" ca="1" si="80"/>
        <v/>
      </c>
      <c r="WF6" s="18" t="str">
        <f ca="1">IF(AND(SUM($UB6:$VY6)&gt;0,$TM6=WG$1),MAX(WF$2:WF5)+1,"")</f>
        <v/>
      </c>
      <c r="WG6" s="59" t="str">
        <f t="shared" ca="1" si="81"/>
        <v/>
      </c>
      <c r="WH6" s="18" t="str">
        <f ca="1">IF(AND(SUM($UB6:$VY6)&gt;0,$TM6=WI$1),MAX(WH$2:WH5)+1,"")</f>
        <v/>
      </c>
      <c r="WI6" s="59" t="str">
        <f t="shared" ca="1" si="82"/>
        <v/>
      </c>
      <c r="WJ6" s="18" t="str">
        <f ca="1">IF(AND(SUM($UB6:$VY6)&gt;0,$TM6=WK$1),MAX(WJ$2:WJ5)+1,"")</f>
        <v/>
      </c>
      <c r="WK6" s="59" t="str">
        <f t="shared" ca="1" si="83"/>
        <v/>
      </c>
      <c r="WL6" s="18" t="str">
        <f ca="1">IF(AND(SUM($UB6:$VY6)&gt;0,$TM6=WM$1),MAX(WL$2:WL5)+1,"")</f>
        <v/>
      </c>
      <c r="WM6" s="59" t="str">
        <f t="shared" ca="1" si="84"/>
        <v/>
      </c>
      <c r="WN6" s="18" t="str">
        <f ca="1">IF(AND(SUM($UB6:$VY6)&gt;0,$TM6=WO$1),MAX(WN$2:WN5)+1,"")</f>
        <v/>
      </c>
      <c r="WO6" s="59" t="str">
        <f t="shared" ca="1" si="85"/>
        <v/>
      </c>
      <c r="WP6" s="18" t="str">
        <f ca="1">IF(AND(SUM($UB6:$VY6)&gt;0,$TM6=WQ$1),MAX(WP$2:WP5)+1,"")</f>
        <v/>
      </c>
      <c r="WQ6" s="59" t="str">
        <f t="shared" ca="1" si="86"/>
        <v/>
      </c>
      <c r="WR6" s="18" t="str">
        <f ca="1">IF(AND(SUM($UB6:$VY6)&gt;0,$TM6=WS$1),MAX(WR$2:WR5)+1,"")</f>
        <v/>
      </c>
      <c r="WS6" s="59" t="str">
        <f t="shared" ca="1" si="87"/>
        <v/>
      </c>
      <c r="WT6" s="18" t="str">
        <f ca="1">IF(AND(SUM($UB6:$VY6)&gt;0,$TM6=WU$1),MAX(WT$2:WT5)+1,"")</f>
        <v/>
      </c>
      <c r="WU6" s="59" t="str">
        <f t="shared" ca="1" si="88"/>
        <v/>
      </c>
      <c r="WV6" s="18" t="str">
        <f ca="1">IF(AND(SUM($UB6:$VY6)&gt;0,$TM6=WW$1),MAX(WV$2:WV5)+1,"")</f>
        <v/>
      </c>
      <c r="WW6" s="59" t="str">
        <f t="shared" ca="1" si="89"/>
        <v/>
      </c>
      <c r="WX6" s="18" t="str">
        <f ca="1">IF(AND(SUM($UB6:$VY6)&gt;0,$TM6=WY$1),MAX(WX$2:WX5)+1,"")</f>
        <v/>
      </c>
      <c r="WY6" s="59" t="str">
        <f t="shared" ca="1" si="90"/>
        <v/>
      </c>
      <c r="WZ6" s="18">
        <v>5</v>
      </c>
      <c r="XA6" s="59" t="str">
        <f t="shared" ca="1" si="91"/>
        <v/>
      </c>
      <c r="XB6" s="59" t="str">
        <f t="shared" ca="1" si="28"/>
        <v/>
      </c>
      <c r="XC6" s="59" t="str">
        <f t="shared" ca="1" si="29"/>
        <v/>
      </c>
      <c r="XD6" s="59" t="str">
        <f t="shared" ca="1" si="60"/>
        <v/>
      </c>
      <c r="XE6" s="59" t="str">
        <f t="shared" ca="1" si="61"/>
        <v/>
      </c>
      <c r="XF6" s="59" t="str">
        <f t="shared" ca="1" si="62"/>
        <v/>
      </c>
      <c r="XG6" s="59" t="str">
        <f t="shared" ca="1" si="63"/>
        <v/>
      </c>
      <c r="XH6" s="59" t="str">
        <f t="shared" ca="1" si="64"/>
        <v/>
      </c>
      <c r="XI6" s="59" t="str">
        <f t="shared" ca="1" si="65"/>
        <v/>
      </c>
      <c r="XJ6" s="59" t="str">
        <f t="shared" ca="1" si="66"/>
        <v/>
      </c>
      <c r="XK6" s="59" t="str">
        <f t="shared" ca="1" si="67"/>
        <v/>
      </c>
      <c r="XL6" s="59" t="s">
        <v>3069</v>
      </c>
      <c r="XM6" s="18">
        <f t="shared" ref="XM6:XM24" si="116">XM5+1</f>
        <v>2</v>
      </c>
      <c r="XN6" s="142" t="str">
        <f t="shared" si="107"/>
        <v>Bat</v>
      </c>
      <c r="XO6" s="142" t="str">
        <f t="shared" si="107"/>
        <v>Beast</v>
      </c>
      <c r="XP6" s="249" t="str">
        <f t="shared" si="107"/>
        <v>Tiny</v>
      </c>
      <c r="XQ6" s="249">
        <f t="shared" si="107"/>
        <v>12</v>
      </c>
      <c r="XR6" s="249">
        <f t="shared" si="107"/>
        <v>1</v>
      </c>
      <c r="XS6" s="142" t="str">
        <f t="shared" si="107"/>
        <v>5 ft, fly 30 ft</v>
      </c>
      <c r="XT6" s="249">
        <f t="shared" si="107"/>
        <v>2</v>
      </c>
      <c r="XU6" s="249">
        <f t="shared" si="107"/>
        <v>15</v>
      </c>
      <c r="XV6" s="249">
        <f t="shared" si="107"/>
        <v>8</v>
      </c>
      <c r="XW6" s="249">
        <f t="shared" si="107"/>
        <v>2</v>
      </c>
      <c r="XX6" s="249">
        <f t="shared" si="107"/>
        <v>12</v>
      </c>
      <c r="XY6" s="249">
        <f t="shared" si="107"/>
        <v>4</v>
      </c>
      <c r="XZ6" s="142" t="str">
        <f t="shared" si="107"/>
        <v>none</v>
      </c>
      <c r="YA6" s="142" t="str">
        <f t="shared" si="107"/>
        <v>passive Perception 11, blindsight 60 ft</v>
      </c>
      <c r="YB6" s="142" t="str">
        <f t="shared" si="107"/>
        <v>Bite melee +0, reach 5ft, 1 piercing</v>
      </c>
      <c r="YC6" s="142" t="str">
        <f t="shared" si="107"/>
        <v>Echolocation. No blindsight while deafened
Keen Hearing. Advantage on Wisdom (Perception) checks that rely on hearing</v>
      </c>
      <c r="YD6" s="18"/>
      <c r="YE6" s="18" t="str">
        <f t="shared" ca="1" si="92"/>
        <v/>
      </c>
      <c r="YF6" s="18">
        <f t="shared" si="108"/>
        <v>4</v>
      </c>
      <c r="YG6" s="59" t="str">
        <f t="shared" ca="1" si="70"/>
        <v>FEAT 4</v>
      </c>
      <c r="YH6" s="59" t="str">
        <f>IF(OR(Start!I116="",Start!I116=SelectText),"",Start!I116)</f>
        <v/>
      </c>
      <c r="YI6" s="59" t="str">
        <f t="shared" si="93"/>
        <v/>
      </c>
      <c r="YJ6" s="59" t="str">
        <f t="shared" si="94"/>
        <v/>
      </c>
      <c r="YK6" s="59" t="str">
        <f>""</f>
        <v/>
      </c>
      <c r="YM6" s="18" t="str">
        <f t="shared" si="95"/>
        <v/>
      </c>
      <c r="YN6" s="18" t="str">
        <f t="shared" si="96"/>
        <v/>
      </c>
      <c r="YR6" s="18"/>
      <c r="YS6" s="18" t="str">
        <f t="shared" ca="1" si="97"/>
        <v/>
      </c>
      <c r="YT6" s="548" t="s">
        <v>276</v>
      </c>
      <c r="YU6" s="18">
        <v>16</v>
      </c>
      <c r="YV6" s="18" t="str">
        <f ca="1">VLOOKUP(YY6,$ZD$2:$ZP$23,$ZD$1,FALSE)</f>
        <v/>
      </c>
      <c r="YW6" s="18" t="str">
        <f ca="1">IF(YX6="","",MAX($YW$1:YW5)+1)</f>
        <v/>
      </c>
      <c r="YX6" s="59" t="str">
        <f t="shared" ca="1" si="71"/>
        <v/>
      </c>
      <c r="YY6" s="18" t="str">
        <f t="shared" ca="1" si="72"/>
        <v/>
      </c>
      <c r="YZ6" s="18">
        <f t="shared" ref="YZ6:YZ23" si="117">YZ5+1</f>
        <v>3</v>
      </c>
      <c r="ZA6" s="18" t="str">
        <f ca="1">IF(ZB6="","",MAX($ZA$2:ZA5)+1)</f>
        <v/>
      </c>
      <c r="ZB6" s="18" t="str">
        <f t="shared" ca="1" si="98"/>
        <v/>
      </c>
      <c r="ZC6" s="18" t="str">
        <f>IF(Start!AF22=SelectText,"",Start!AF22)</f>
        <v/>
      </c>
      <c r="ZD6" s="18" t="str">
        <f>IF(OR(COUNTIF($ZC$4:$ZC6,ZD$2)=0,COUNTIF($ZC$4:$ZC6,ZD$2)=MAX(ZD$2:ZD5)),"-",COUNTIF($ZC$4:$ZC6,ZD$2))</f>
        <v>-</v>
      </c>
      <c r="ZE6" s="18" t="str">
        <f>IF(OR(COUNTIF($ZC$4:$ZC6,ZE$2)=0,COUNTIF($ZC$4:$ZC6,ZE$2)=MAX(ZE$2:ZE5)),"-",COUNTIF($ZC$4:$ZC6,ZE$2))</f>
        <v>-</v>
      </c>
      <c r="ZF6" s="18" t="str">
        <f>IF(OR(COUNTIF($ZC$4:$ZC6,ZF$2)=0,COUNTIF($ZC$4:$ZC6,ZF$2)=MAX(ZF$2:ZF5)),"-",COUNTIF($ZC$4:$ZC6,ZF$2))</f>
        <v>-</v>
      </c>
      <c r="ZG6" s="18" t="str">
        <f>IF(OR(COUNTIF($ZC$4:$ZC6,ZG$2)=0,COUNTIF($ZC$4:$ZC6,ZG$2)=MAX(ZG$2:ZG5)),"-",COUNTIF($ZC$4:$ZC6,ZG$2))</f>
        <v>-</v>
      </c>
      <c r="ZH6" s="18" t="str">
        <f>IF(OR(COUNTIF($ZC$4:$ZC6,ZH$2)=0,COUNTIF($ZC$4:$ZC6,ZH$2)=MAX(ZH$2:ZH5)),"-",COUNTIF($ZC$4:$ZC6,ZH$2))</f>
        <v>-</v>
      </c>
      <c r="ZI6" s="18" t="str">
        <f>IF(OR(COUNTIF($ZC$4:$ZC6,ZI$2)=0,COUNTIF($ZC$4:$ZC6,ZI$2)=MAX(ZI$2:ZI5)),"-",COUNTIF($ZC$4:$ZC6,ZI$2))</f>
        <v>-</v>
      </c>
      <c r="ZJ6" s="18" t="str">
        <f>IF(OR(COUNTIF($ZC$4:$ZC6,ZJ$2)=0,COUNTIF($ZC$4:$ZC6,ZJ$2)=MAX(ZJ$2:ZJ5)),"-",COUNTIF($ZC$4:$ZC6,ZJ$2))</f>
        <v>-</v>
      </c>
      <c r="ZK6" s="18" t="str">
        <f>IF(OR(COUNTIF($ZC$4:$ZC6,ZK$2)=0,COUNTIF($ZC$4:$ZC6,ZK$2)=MAX(ZK$2:ZK5)),"-",COUNTIF($ZC$4:$ZC6,ZK$2))</f>
        <v>-</v>
      </c>
      <c r="ZL6" s="18" t="str">
        <f>IF(OR(COUNTIF($ZC$4:$ZC6,ZL$2)=0,COUNTIF($ZC$4:$ZC6,ZL$2)=MAX(ZL$2:ZL5)),"-",COUNTIF($ZC$4:$ZC6,ZL$2))</f>
        <v>-</v>
      </c>
      <c r="ZM6" s="18" t="str">
        <f>IF(OR(COUNTIF($ZC$4:$ZC6,ZM$2)=0,COUNTIF($ZC$4:$ZC6,ZM$2)=MAX(ZM$2:ZM5)),"-",COUNTIF($ZC$4:$ZC6,ZM$2))</f>
        <v>-</v>
      </c>
      <c r="ZN6" s="18" t="str">
        <f>IF(OR(COUNTIF($ZC$4:$ZC6,ZN$2)=0,COUNTIF($ZC$4:$ZC6,ZN$2)=MAX(ZN$2:ZN5)),"-",COUNTIF($ZC$4:$ZC6,ZN$2))</f>
        <v>-</v>
      </c>
      <c r="ZO6" s="18" t="str">
        <f>IF(OR(COUNTIF($ZC$4:$ZC6,ZO$2)=0,COUNTIF($ZC$4:$ZC6,ZO$2)=MAX(ZO$2:ZO5)),"-",COUNTIF($ZC$4:$ZC6,ZO$2))</f>
        <v>-</v>
      </c>
      <c r="ZP6" s="18">
        <f t="shared" ref="ZP6:ZP23" si="118">ZP5+1</f>
        <v>3</v>
      </c>
      <c r="ZQ6" s="18" t="s">
        <v>288</v>
      </c>
      <c r="ZR6" s="18">
        <f t="shared" si="31"/>
        <v>7</v>
      </c>
      <c r="ZS6" s="58" t="str">
        <f>YG33</f>
        <v>Linguist</v>
      </c>
      <c r="ZT6" s="58" t="str">
        <f>IF(COUNTIF($YH$3:$YH$10,ZS6)&gt;0,$ZS6&amp;"
"&amp;VLOOKUP($ZS6,$YG$14:$YK$77,5,FALSE)&amp;"
","")</f>
        <v/>
      </c>
      <c r="ZU6" s="59" t="str">
        <f>Start!C7</f>
        <v>CONSTITUTION</v>
      </c>
      <c r="ZV6" s="18" t="str">
        <f ca="1">IF(ZV$2=1,IF(VLOOKUP($ZU6,Start!$C$5:$AN$10,18+ZV$3,FALSE)="","",VLOOKUP($ZU6,Start!$C$5:$AN$10,18+ZV$3,FALSE)),"")</f>
        <v/>
      </c>
      <c r="ZW6" s="18" t="str">
        <f ca="1">IF(ZW$2=1,IF(VLOOKUP($ZU6,Start!$C$5:$AN$10,18+ZW$3,FALSE)="","",VLOOKUP($ZU6,Start!$C$5:$AN$10,18+ZW$3,FALSE)),"")</f>
        <v/>
      </c>
      <c r="ZX6" s="18" t="str">
        <f ca="1">IF(ZX$2=1,IF(VLOOKUP($ZU6,Start!$C$5:$AN$10,18+ZX$3,FALSE)="","",VLOOKUP($ZU6,Start!$C$5:$AN$10,18+ZX$3,FALSE)),"")</f>
        <v/>
      </c>
      <c r="ZY6" s="18" t="str">
        <f ca="1">IF(ZY$2=1,IF(VLOOKUP($ZU6,Start!$C$5:$AN$10,18+ZY$3,FALSE)="","",VLOOKUP($ZU6,Start!$C$5:$AN$10,18+ZY$3,FALSE)),"")</f>
        <v/>
      </c>
      <c r="ZZ6" s="18" t="str">
        <f ca="1">IF(ZZ$2=1,IF(VLOOKUP($ZU6,Start!$C$5:$AN$10,18+ZZ$3,FALSE)="","",VLOOKUP($ZU6,Start!$C$5:$AN$10,18+ZZ$3,FALSE)),"")</f>
        <v/>
      </c>
      <c r="AAA6" s="18" t="str">
        <f ca="1">IF(AAA$2=1,IF(VLOOKUP($ZU6,Start!$C$5:$AN$10,18+AAA$3,FALSE)="","",VLOOKUP($ZU6,Start!$C$5:$AN$10,18+AAA$3,FALSE)),"")</f>
        <v/>
      </c>
      <c r="AAB6" s="18" t="str">
        <f ca="1">IF(AAB$2=1,IF(VLOOKUP($ZU6,Start!$C$5:$AN$10,18+AAB$3,FALSE)="","",VLOOKUP($ZU6,Start!$C$5:$AN$10,18+AAB$3,FALSE)),"")</f>
        <v/>
      </c>
      <c r="AAC6" s="18" t="str">
        <f ca="1">IF(AAC$2=1,IF(VLOOKUP($ZU6,Start!$C$5:$AN$10,18+AAC$3,FALSE)="","",VLOOKUP($ZU6,Start!$C$5:$AN$10,18+AAC$3,FALSE)),"")</f>
        <v/>
      </c>
      <c r="AAD6" s="18" t="str">
        <f ca="1">IF(AAD$2=1,IF(VLOOKUP($ZU6,Start!$C$5:$AN$10,18+AAD$3,FALSE)="","",VLOOKUP($ZU6,Start!$C$5:$AN$10,18+AAD$3,FALSE)),"")</f>
        <v/>
      </c>
      <c r="AAE6" s="18" t="str">
        <f ca="1">IF(AAE$2=1,IF(VLOOKUP($ZU6,Start!$C$5:$AN$10,18+AAE$3,FALSE)="","",VLOOKUP($ZU6,Start!$C$5:$AN$10,18+AAE$3,FALSE)),"")</f>
        <v/>
      </c>
      <c r="AAF6" s="18" t="str">
        <f ca="1">IF(AAF$2=1,IF(VLOOKUP($ZU6,Start!$C$5:$AN$10,18+AAF$3,FALSE)="","",VLOOKUP($ZU6,Start!$C$5:$AN$10,18+AAF$3,FALSE)),"")</f>
        <v/>
      </c>
      <c r="AAG6" s="18" t="str">
        <f ca="1">IF(AAG$2=1,IF(VLOOKUP($ZU6,Start!$C$5:$AN$10,18+AAG$3,FALSE)="","",VLOOKUP($ZU6,Start!$C$5:$AN$10,18+AAG$3,FALSE)),"")</f>
        <v/>
      </c>
      <c r="AAH6" s="18" t="str">
        <f ca="1">IF(AAH$2=1,IF(VLOOKUP($ZU6,Start!$C$5:$AN$10,18+AAH$3,FALSE)="","",VLOOKUP($ZU6,Start!$C$5:$AN$10,18+AAH$3,FALSE)),"")</f>
        <v/>
      </c>
      <c r="AAI6" s="18" t="str">
        <f ca="1">IF(AAI$2=1,IF(VLOOKUP($ZU6,Start!$C$5:$AN$10,18+AAI$3,FALSE)="","",VLOOKUP($ZU6,Start!$C$5:$AN$10,18+AAI$3,FALSE)),"")</f>
        <v/>
      </c>
      <c r="AAJ6" s="18" t="str">
        <f ca="1">IF(AAJ$2=1,IF(VLOOKUP($ZU6,Start!$C$5:$AN$10,18+AAJ$3,FALSE)="","",VLOOKUP($ZU6,Start!$C$5:$AN$10,18+AAJ$3,FALSE)),"")</f>
        <v/>
      </c>
      <c r="AAK6" s="18" t="str">
        <f ca="1">IF(AAK$2=1,IF(VLOOKUP($ZU6,Start!$C$5:$AN$10,18+AAK$3,FALSE)="","",VLOOKUP($ZU6,Start!$C$5:$AN$10,18+AAK$3,FALSE)),"")</f>
        <v/>
      </c>
      <c r="AAL6" s="18" t="str">
        <f ca="1">IF(AAL$2=1,IF(VLOOKUP($ZU6,Start!$C$5:$AN$10,18+AAL$3,FALSE)="","",VLOOKUP($ZU6,Start!$C$5:$AN$10,18+AAL$3,FALSE)),"")</f>
        <v/>
      </c>
      <c r="AAM6" s="18" t="str">
        <f ca="1">IF(AAM$2=1,IF(VLOOKUP($ZU6,Start!$C$5:$AN$10,18+AAM$3,FALSE)="","",VLOOKUP($ZU6,Start!$C$5:$AN$10,18+AAM$3,FALSE)),"")</f>
        <v/>
      </c>
      <c r="AAN6" s="18" t="str">
        <f ca="1">IF(AAN$2=1,IF(VLOOKUP($ZU6,Start!$C$5:$AN$10,18+AAN$3,FALSE)="","",VLOOKUP($ZU6,Start!$C$5:$AN$10,18+AAN$3,FALSE)),"")</f>
        <v/>
      </c>
      <c r="AAO6" s="18" t="str">
        <f ca="1">IF(AAO$2=1,IF(VLOOKUP($ZU6,Start!$C$5:$AN$10,18+AAO$3,FALSE)="","",VLOOKUP($ZU6,Start!$C$5:$AN$10,18+AAO$3,FALSE)),"")</f>
        <v/>
      </c>
      <c r="AAP6" s="18">
        <f t="shared" ca="1" si="99"/>
        <v>0</v>
      </c>
    </row>
    <row r="7" spans="1:718" ht="9.9499999999999993" customHeight="1" x14ac:dyDescent="0.25">
      <c r="A7" s="18" t="s">
        <v>211</v>
      </c>
      <c r="B7" s="18" t="s">
        <v>260</v>
      </c>
      <c r="C7" s="18">
        <v>25</v>
      </c>
      <c r="D7" s="18" t="s">
        <v>319</v>
      </c>
      <c r="E7" s="142" t="s">
        <v>2630</v>
      </c>
      <c r="F7" s="59" t="s">
        <v>358</v>
      </c>
      <c r="G7" s="59">
        <v>2</v>
      </c>
      <c r="H7" s="59" t="s">
        <v>187</v>
      </c>
      <c r="I7" s="59">
        <v>0</v>
      </c>
      <c r="J7" s="59" t="s">
        <v>187</v>
      </c>
      <c r="K7" s="18">
        <v>0</v>
      </c>
      <c r="L7" s="64" t="str">
        <f>""</f>
        <v/>
      </c>
      <c r="M7" s="64">
        <v>2</v>
      </c>
      <c r="N7" s="64" t="str">
        <f>IF(Subrace=$U12,1,"")</f>
        <v/>
      </c>
      <c r="O7" s="64" t="str">
        <f>""</f>
        <v/>
      </c>
      <c r="P7" s="64" t="str">
        <f>""</f>
        <v/>
      </c>
      <c r="Q7" s="64" t="str">
        <f>IF(Subrace=$U11,1,"")</f>
        <v/>
      </c>
      <c r="R7" s="741" t="s">
        <v>835</v>
      </c>
      <c r="S7" s="741" t="s">
        <v>808</v>
      </c>
      <c r="T7" s="741" t="str">
        <f>"35 lb. x 1"</f>
        <v>35 lb. x 1</v>
      </c>
      <c r="U7" s="59" t="s">
        <v>192</v>
      </c>
      <c r="V7" s="142" t="s">
        <v>2718</v>
      </c>
      <c r="W7" s="142"/>
      <c r="X7" s="18" t="str">
        <f>IF(Y7="","",MAX($X$3:X6)+1)</f>
        <v/>
      </c>
      <c r="Y7" s="58" t="str">
        <f>IF(A6=$A$3,U7,"")</f>
        <v/>
      </c>
      <c r="Z7" s="18">
        <f t="shared" si="109"/>
        <v>4</v>
      </c>
      <c r="AA7" s="18" t="str">
        <f t="shared" si="74"/>
        <v/>
      </c>
      <c r="AB7" s="18"/>
      <c r="AC7" s="455" t="s">
        <v>2714</v>
      </c>
      <c r="AD7" s="18" t="b">
        <f ca="1">IF(AND(VLOOKUP(RaceDraconicAncestry,$U$15:$W$25,3,FALSE)=AC7,SorcererDraconicBloodlineLevel&gt;=6),TRUE,FALSE)</f>
        <v>0</v>
      </c>
      <c r="AE7" s="59" t="s">
        <v>820</v>
      </c>
      <c r="AF7" s="59" t="s">
        <v>829</v>
      </c>
      <c r="AG7" s="59" t="s">
        <v>2851</v>
      </c>
      <c r="AH7" s="59" t="s">
        <v>821</v>
      </c>
      <c r="AI7" s="18">
        <v>2</v>
      </c>
      <c r="AJ7" s="59" t="s">
        <v>822</v>
      </c>
      <c r="AK7" s="18">
        <v>2</v>
      </c>
      <c r="AL7" s="59" t="s">
        <v>187</v>
      </c>
      <c r="AM7" s="18">
        <v>0</v>
      </c>
      <c r="AN7" s="18">
        <v>5</v>
      </c>
      <c r="AO7" s="18">
        <f t="shared" ref="AO7:AO64" si="119">AO6+1</f>
        <v>6</v>
      </c>
      <c r="AP7" s="59" t="str">
        <f t="shared" si="100"/>
        <v/>
      </c>
      <c r="AQ7" s="59" t="str">
        <f>""</f>
        <v/>
      </c>
      <c r="AR7" s="59" t="s">
        <v>1054</v>
      </c>
      <c r="AS7" s="59" t="s">
        <v>2425</v>
      </c>
      <c r="AT7" s="59" t="s">
        <v>1080</v>
      </c>
      <c r="AU7" s="59" t="s">
        <v>2459</v>
      </c>
      <c r="AV7" s="59" t="s">
        <v>1124</v>
      </c>
      <c r="AW7" s="59" t="s">
        <v>2505</v>
      </c>
      <c r="AX7" s="59" t="s">
        <v>2538</v>
      </c>
      <c r="AY7" s="58" t="s">
        <v>1150</v>
      </c>
      <c r="AZ7" s="58" t="s">
        <v>2574</v>
      </c>
      <c r="BA7" s="59" t="s">
        <v>1017</v>
      </c>
      <c r="BB7" s="59" t="s">
        <v>2600</v>
      </c>
      <c r="BC7" s="58" t="s">
        <v>1176</v>
      </c>
      <c r="BD7" s="58" t="s">
        <v>2368</v>
      </c>
      <c r="BE7" s="18" t="str">
        <f>""</f>
        <v/>
      </c>
      <c r="BF7" s="58" t="s">
        <v>39</v>
      </c>
      <c r="BG7" s="18" t="str">
        <f ca="1">IF(OR(BL7&gt;0,BL13&gt;0,BL10&gt;0,BL16&gt;0,BL18&gt;0,MonkLevel&gt;=14,RogueLevel&gt;=15,AAP8&gt;0),BF7,"")</f>
        <v/>
      </c>
      <c r="BH7" s="58" t="str">
        <f ca="1">IF(BG7="","",IF(COUNTIF(BG7:$BG$8,"&gt;&lt;")&gt;1,BG7&amp;", ",BG7))</f>
        <v/>
      </c>
      <c r="BI7" s="58" t="s">
        <v>226</v>
      </c>
      <c r="BJ7" s="48">
        <v>8</v>
      </c>
      <c r="BK7" s="458" t="str">
        <f>IF(BL7=0,"",MAX($BK$6:BK6)+1)</f>
        <v/>
      </c>
      <c r="BL7" s="458">
        <f>COUNTIF(Start!$AF$20:$AF$39,Tables!BI7)</f>
        <v>0</v>
      </c>
      <c r="BM7" s="562" t="str">
        <f>IF(OR(BK7="",BO7=""),"",MAX($BM$6:BM6)+1)</f>
        <v/>
      </c>
      <c r="BN7" s="59" t="s">
        <v>226</v>
      </c>
      <c r="BO7" s="18" t="s">
        <v>39</v>
      </c>
      <c r="BP7" s="458" t="str">
        <f t="shared" ref="BP7:BP18" si="120">IF(BK7="","",BI7&amp;" "&amp;BL7)</f>
        <v/>
      </c>
      <c r="BQ7" s="744" t="s">
        <v>368</v>
      </c>
      <c r="BR7" s="458">
        <v>1</v>
      </c>
      <c r="BS7" s="458"/>
      <c r="BT7" s="458"/>
      <c r="BV7" s="458">
        <v>10</v>
      </c>
      <c r="BW7" s="458">
        <v>0</v>
      </c>
      <c r="BX7" s="458">
        <v>0</v>
      </c>
      <c r="BY7" s="458" t="str">
        <f>""</f>
        <v/>
      </c>
      <c r="BZ7" s="456" t="str">
        <f ca="1">IF(OR(ClericLifeLevel&gt;0, ClericTempestLevel&gt;0,ClericWarLevel&gt;0),"All armor, shields", "Light &amp; medium armor, shields")</f>
        <v>Light &amp; medium armor, shields</v>
      </c>
      <c r="CA7" s="456" t="str">
        <f ca="1">IF(OR(ClericLifeLevel&gt;0, ClericTempestLevel&gt;0,ClericWarLevel&gt;0),"All armor, shields", "Light &amp; medium armor, shields")</f>
        <v>Light &amp; medium armor, shields</v>
      </c>
      <c r="CB7" s="59" t="str">
        <f ca="1">IF(OR(ClericTempestLevel&gt;0,ClericWarLevel&gt;0),"Simple and martial weapons","Simple weapons")</f>
        <v>Simple weapons</v>
      </c>
      <c r="CC7" s="59" t="str">
        <f ca="1">IF(OR(ClericTempestLevel&gt;0,ClericWarLevel&gt;0),"Simple and martial weapons","none")</f>
        <v>none</v>
      </c>
      <c r="CD7" s="59" t="s">
        <v>187</v>
      </c>
      <c r="CE7" s="18">
        <v>0</v>
      </c>
      <c r="CF7" s="59" t="s">
        <v>187</v>
      </c>
      <c r="CG7" s="18">
        <v>0</v>
      </c>
      <c r="CH7" s="59" t="s">
        <v>326</v>
      </c>
      <c r="CI7" s="59" t="s">
        <v>786</v>
      </c>
      <c r="CJ7" s="18">
        <v>2</v>
      </c>
      <c r="CK7" s="142" t="s">
        <v>187</v>
      </c>
      <c r="CL7" s="249">
        <v>0</v>
      </c>
      <c r="CM7" s="59" t="e">
        <f>"• Spellcasting, Divine Domain ("&amp;VLOOKUP($BI7,$BN$3:$BQ$5,4,FALSE)&amp;"), "&amp;VLOOKUP($BI7,$DM$3:$EH$5,DO$2-1,FALSE)&amp;"
"</f>
        <v>#N/A</v>
      </c>
      <c r="CN7" s="59" t="e">
        <f>"• Divine Domain Feature ("&amp;VLOOKUP($BI7,$DM$3:$EH$5,DP$2-1,FALSE)&amp;")"&amp;"
"&amp;IF(ClericLevel&gt;=DD6,"• Channel Divinity (3/rest), ",IF(ClericLevel&gt;=CR6,"• Channel Divinity (2/rest), ","• Channel Divinity (1/rest), "))&amp;"
"</f>
        <v>#N/A</v>
      </c>
      <c r="CO7" s="59" t="str">
        <f>""</f>
        <v/>
      </c>
      <c r="CP7" s="59" t="str">
        <f>IF(ClericLevel&gt;=DE$6,"• Ability Score Improvement / Feat: level "&amp;DE$6&amp;", "&amp;DB$6&amp;", "&amp;CX$6&amp;", "&amp;CT$6&amp;", "&amp;CP$6,IF(ClericLevel&gt;=DB$6,"• Ability Score Improvement / Feat: level "&amp;DB$6&amp;", "&amp;CX$6&amp;", "&amp;CT$6&amp;", "&amp;CP$6,IF(ClericLevel&gt;=CX$6,"• Ability Score Improvement / Feat: level "&amp;CX$6&amp;", "&amp;CT$6&amp;", "&amp;CP$6,IF(ClericLevel&gt;=CT$6,"• Ability Score Improvement / Feat : level "&amp;CT$6&amp;", "&amp;CP$6,"• Ability Score Improvement / Feat: level "&amp;CP$6))))&amp;"
"</f>
        <v xml:space="preserve">• Ability Score Improvement / Feat: level 4
</v>
      </c>
      <c r="CQ7" s="59" t="str">
        <f>IF(ClericLevel&gt;=DC$6,"• Destroy Undead (CR 4)",IF(ClericLevel&gt;=CZ$6,"• Destroy Undead (CR 3)",IF(ClericLevel&gt;=CW$6,"• Destroy Undead (CR 2)",IF(ClericLevel&gt;=CT$6,"• Destroy Undead (CR 1)","• Destroy Undead (CR 1/2)"))))&amp;"
"</f>
        <v xml:space="preserve">• Destroy Undead (CR 1/2)
</v>
      </c>
      <c r="CR7" s="59" t="e">
        <f>"• Divine Domain Feature ("&amp;VLOOKUP($BI7,$DM$3:$EH$5,DT$2-1,FALSE)&amp;")
"</f>
        <v>#N/A</v>
      </c>
      <c r="CS7" s="59" t="str">
        <f>""</f>
        <v/>
      </c>
      <c r="CT7" s="59" t="e">
        <f>"• Divine Domain Feature ("&amp;VLOOKUP($BI7,$DM$3:$EH$5,DV$2-1,FALSE)&amp;")
"</f>
        <v>#N/A</v>
      </c>
      <c r="CU7" s="59" t="str">
        <f>""</f>
        <v/>
      </c>
      <c r="CV7" s="59" t="str">
        <f>IF(ClericLevel&gt;=DF6,"• Divine Intervention Improvement","• Divine Intervention")&amp;"
"</f>
        <v xml:space="preserve">• Divine Intervention
</v>
      </c>
      <c r="CW7" s="59" t="str">
        <f>""</f>
        <v/>
      </c>
      <c r="CX7" s="59" t="str">
        <f>""</f>
        <v/>
      </c>
      <c r="CY7" s="59" t="str">
        <f>""</f>
        <v/>
      </c>
      <c r="CZ7" s="59" t="str">
        <f>""</f>
        <v/>
      </c>
      <c r="DA7" s="59" t="str">
        <f>""</f>
        <v/>
      </c>
      <c r="DB7" s="59" t="str">
        <f>""</f>
        <v/>
      </c>
      <c r="DC7" s="59" t="e">
        <f>"• Divine Domain Feature ("&amp;VLOOKUP($BI7,$DM$3:$EH$5,EE$2-1,FALSE)&amp;")
"</f>
        <v>#N/A</v>
      </c>
      <c r="DD7" s="59" t="str">
        <f>""</f>
        <v/>
      </c>
      <c r="DE7" s="59" t="str">
        <f>""</f>
        <v/>
      </c>
      <c r="DF7" s="59" t="str">
        <f>""</f>
        <v/>
      </c>
      <c r="DK7" s="103" t="s">
        <v>733</v>
      </c>
      <c r="DL7" s="59" t="s">
        <v>281</v>
      </c>
      <c r="DM7" s="18" t="s">
        <v>226</v>
      </c>
      <c r="DN7" s="18">
        <f ca="1">IF(OR(SubClass1=DL7,SubClass2=DL7,SubClass3=DL7),INDIRECT(TEXT(DM7&amp;"level",0)),0)</f>
        <v>0</v>
      </c>
      <c r="DO7" s="215" t="str">
        <f>"
• Divine Domain Feature (Blessing of Knowledge: learn two languages and choose two skills)
• Domain Spells"&amp;"
"&amp;EI7</f>
        <v xml:space="preserve">
• Divine Domain Feature (Blessing of Knowledge: learn two languages and choose two skills)
• Domain Spells
</v>
      </c>
      <c r="DP7" s="59" t="s">
        <v>1841</v>
      </c>
      <c r="DQ7" s="58" t="str">
        <f>""</f>
        <v/>
      </c>
      <c r="DR7" s="59" t="str">
        <f>""</f>
        <v/>
      </c>
      <c r="DS7" s="59" t="str">
        <f>""</f>
        <v/>
      </c>
      <c r="DT7" s="59" t="s">
        <v>3063</v>
      </c>
      <c r="DU7" s="59" t="str">
        <f>""</f>
        <v/>
      </c>
      <c r="DV7" s="59" t="s">
        <v>1835</v>
      </c>
      <c r="DW7" s="59" t="str">
        <f>""</f>
        <v/>
      </c>
      <c r="DX7" s="59" t="str">
        <f>""</f>
        <v/>
      </c>
      <c r="DY7" s="59" t="str">
        <f>""</f>
        <v/>
      </c>
      <c r="DZ7" s="59" t="str">
        <f>""</f>
        <v/>
      </c>
      <c r="EA7" s="59" t="str">
        <f>""</f>
        <v/>
      </c>
      <c r="EB7" s="59" t="str">
        <f>""</f>
        <v/>
      </c>
      <c r="EC7" s="59" t="str">
        <f>""</f>
        <v/>
      </c>
      <c r="ED7" s="59" t="str">
        <f>""</f>
        <v/>
      </c>
      <c r="EE7" s="142" t="s">
        <v>3064</v>
      </c>
      <c r="EF7" s="59" t="str">
        <f>""</f>
        <v/>
      </c>
      <c r="EG7" s="59" t="str">
        <f>""</f>
        <v/>
      </c>
      <c r="EH7" s="59" t="str">
        <f>""</f>
        <v/>
      </c>
      <c r="EI7" s="442" t="str">
        <f>IF(ClericLevel&gt;=9,"  1st (command, identify)
  3rd (augury, suggestion)
  5th (nondetection, speak with dead)
  7th  (arcane eye, confusion)
  9th (legend lore, scrying)",IF(ClericLevel&gt;=7,"  1st (command, identify)
  3rd (augury, suggestion)
  5th (nondetection, speak with dead)
  7th  (arcane eye, confusion)",IF(ClericLevel&gt;=5,"  1st (command, identify)
  3rd (augury, suggestion)
  5th (nondetection, speak with dead)",IF(ClericLevel&gt;=3,"  1st (command, identify)
  3rd (augury, suggestion)",IF(ClericLevel&gt;=1,"  1st (command, identify)","")))))</f>
        <v/>
      </c>
      <c r="EJ7" s="442" t="str">
        <f>IF(ClericLevel&gt;=1,$DM7&amp;" (command, identify)
","")</f>
        <v/>
      </c>
      <c r="EK7" s="442"/>
      <c r="EL7" s="442" t="str">
        <f>IF(ClericLevel&gt;=3,$DM7&amp;" (augury, suggestion)
","")</f>
        <v/>
      </c>
      <c r="EM7" s="442"/>
      <c r="EN7" s="442" t="str">
        <f>IF(ClericLevel&gt;=5,$DM7&amp;" (nondetection, speak with dead)
","")</f>
        <v/>
      </c>
      <c r="EO7" s="442"/>
      <c r="EP7" s="442" t="str">
        <f>IF(ClericLevel&gt;=7,$DM7&amp;" (arcane eye, confusion)
","")</f>
        <v/>
      </c>
      <c r="EQ7" s="442"/>
      <c r="ER7" s="442" t="str">
        <f>IF(ClericLevel&gt;=9,$DM7&amp;" (legend lore, scrying)
","")</f>
        <v/>
      </c>
      <c r="ES7" s="442"/>
      <c r="ET7" s="59" t="str">
        <f>""</f>
        <v/>
      </c>
      <c r="EU7" s="18" t="str">
        <f>""</f>
        <v/>
      </c>
      <c r="EV7" s="59" t="str">
        <f>IF(ClericLevel&gt;=1,DL7&amp;"
• Choose 2 skills from Arcana, History, Nature, or Religion. 
   Your proficiency bonus is doubled for those choosen skills.
","")</f>
        <v/>
      </c>
      <c r="EW7" s="18" t="str">
        <f>IF(ClericLevel&gt;=1,2,"")</f>
        <v/>
      </c>
      <c r="EX7" s="59" t="str">
        <f>IF(ClericLevel&gt;=1,"2 languages of your choice
","")</f>
        <v/>
      </c>
      <c r="EY7" s="18" t="str">
        <f>IF(ClericLevel&gt;=1,2,"")</f>
        <v/>
      </c>
      <c r="EZ7" s="18"/>
      <c r="FA7" s="18" t="str">
        <f>IF($DM7=FB$5,MAX(FA$6:FA6)+1,"")</f>
        <v/>
      </c>
      <c r="FB7" s="58" t="str">
        <f>IF(FA7="","",$DL7)</f>
        <v/>
      </c>
      <c r="FC7" s="18">
        <v>2</v>
      </c>
      <c r="FD7" s="58" t="str">
        <f t="shared" si="112"/>
        <v/>
      </c>
      <c r="FE7" s="18" t="str">
        <f>IF($DM7=FF$5,MAX(FE$6:FE6)+1,"")</f>
        <v/>
      </c>
      <c r="FF7" s="58" t="str">
        <f>IF(FE7="","",$DL7)</f>
        <v/>
      </c>
      <c r="FG7" s="18">
        <v>2</v>
      </c>
      <c r="FH7" s="58" t="str">
        <f t="shared" si="113"/>
        <v/>
      </c>
      <c r="FI7" s="18" t="str">
        <f>IF($DM7=FJ$5,MAX(FI$6:FI6)+1,"")</f>
        <v/>
      </c>
      <c r="FJ7" s="58" t="str">
        <f>IF(FI7="","",$DL7)</f>
        <v/>
      </c>
      <c r="FK7" s="18">
        <v>2</v>
      </c>
      <c r="FL7" s="58" t="str">
        <f t="shared" si="114"/>
        <v/>
      </c>
      <c r="FM7" s="58" t="s">
        <v>1886</v>
      </c>
      <c r="FN7" s="59">
        <f>Start!L68</f>
        <v>0</v>
      </c>
      <c r="FO7" s="18" t="str">
        <f>IF($FM7=$FP7,MAX(FO$3:FO6)+1,"")</f>
        <v/>
      </c>
      <c r="FP7" s="59" t="str">
        <f t="shared" si="101"/>
        <v/>
      </c>
      <c r="FQ7" s="18">
        <f t="shared" si="102"/>
        <v>5</v>
      </c>
      <c r="FR7" s="59" t="str">
        <f t="shared" si="75"/>
        <v/>
      </c>
      <c r="FS7" s="18"/>
      <c r="FT7" s="18"/>
      <c r="FU7" s="18"/>
      <c r="FX7" s="59" t="s">
        <v>171</v>
      </c>
      <c r="GB7" s="59" t="s">
        <v>3419</v>
      </c>
      <c r="GC7" s="142" t="s">
        <v>3474</v>
      </c>
      <c r="GD7" s="142">
        <v>5</v>
      </c>
      <c r="GE7" s="59">
        <v>3</v>
      </c>
      <c r="GF7" s="59" t="str">
        <f t="shared" si="40"/>
        <v/>
      </c>
      <c r="GG7" s="59" t="str">
        <f t="shared" si="41"/>
        <v>MANEUVER 5</v>
      </c>
      <c r="GH7" s="732" t="str">
        <f>Start!AJ82</f>
        <v>Select…</v>
      </c>
      <c r="GI7" s="732" t="str">
        <f t="shared" si="42"/>
        <v/>
      </c>
      <c r="GJ7" s="99" t="str">
        <f t="shared" si="43"/>
        <v/>
      </c>
      <c r="GK7" s="59" t="s">
        <v>1895</v>
      </c>
      <c r="GL7" s="59">
        <f>FN18</f>
        <v>0</v>
      </c>
      <c r="GM7" s="18" t="str">
        <f>IF($GK7=$GN7,MAX(GM$3:GM6)+1,"")</f>
        <v/>
      </c>
      <c r="GN7" s="59" t="str">
        <f>IF(GL7=TRUE,GK7,"")</f>
        <v/>
      </c>
      <c r="GO7" s="18">
        <f>GO6+1</f>
        <v>5</v>
      </c>
      <c r="GP7" s="59" t="str">
        <f>IF(ISERROR(VLOOKUP(GO7,$GM$3:$GN$22,2,FALSE)),"",VLOOKUP(GO7,$GM$3:$GN$22,2,FALSE))</f>
        <v/>
      </c>
      <c r="GQ7" s="59" t="s">
        <v>2802</v>
      </c>
      <c r="GR7" s="142" t="s">
        <v>3489</v>
      </c>
      <c r="GS7" s="18">
        <v>3</v>
      </c>
      <c r="GT7" s="18" t="s">
        <v>2819</v>
      </c>
      <c r="GU7" s="18" t="str">
        <f ca="1">IF(GV7="","",MAX($GU$3:GU6)+1)</f>
        <v/>
      </c>
      <c r="GV7" s="59" t="str">
        <f t="shared" ca="1" si="76"/>
        <v/>
      </c>
      <c r="GW7" s="18">
        <f t="shared" si="103"/>
        <v>5</v>
      </c>
      <c r="GX7" s="59" t="str">
        <f t="shared" ca="1" si="44"/>
        <v/>
      </c>
      <c r="GY7" s="59" t="str">
        <f ca="1">IF(MonkFourElementsLevel&gt;=17,TRUE, "")</f>
        <v/>
      </c>
      <c r="GZ7" s="59" t="str">
        <f ca="1">IF(MonkFourElementsLevel&gt;=17,"Monk Level 17","DISCIPLINE 4")</f>
        <v>DISCIPLINE 4</v>
      </c>
      <c r="HA7" s="59" t="str">
        <f>Start!AJ94</f>
        <v>Select…</v>
      </c>
      <c r="HB7" s="59" t="str">
        <f t="shared" si="104"/>
        <v xml:space="preserve"> Select…
</v>
      </c>
      <c r="HG7" s="59"/>
      <c r="HH7" s="59"/>
      <c r="HI7" s="59"/>
      <c r="HK7" s="58" t="s">
        <v>2895</v>
      </c>
      <c r="HL7" s="59" t="str">
        <f>""</f>
        <v/>
      </c>
      <c r="HM7" s="58" t="s">
        <v>2909</v>
      </c>
      <c r="HT7" s="103" t="s">
        <v>234</v>
      </c>
      <c r="HY7" s="59" t="str">
        <f ca="1">IF(RangerHunterLevel&gt;=15,TRUE, "")</f>
        <v/>
      </c>
      <c r="HZ7" s="59" t="str">
        <f ca="1">IF(RangerHunterLevel&gt;=15,"Superior Defense","FEATURE 4")</f>
        <v>FEATURE 4</v>
      </c>
      <c r="IA7" s="59" t="str">
        <f>Start!AJ110</f>
        <v>Select…</v>
      </c>
      <c r="IB7" s="59" t="s">
        <v>3118</v>
      </c>
      <c r="IC7" s="215" t="s">
        <v>3464</v>
      </c>
      <c r="ID7" s="59" t="str">
        <f>IF(SorcererLevel&gt;=17,TRUE, "")</f>
        <v/>
      </c>
      <c r="IE7" s="59" t="s">
        <v>3346</v>
      </c>
      <c r="IF7" s="59" t="str">
        <f>Spellcasting!AC27</f>
        <v>Select…</v>
      </c>
      <c r="IG7" s="59" t="str">
        <f>IF(IF7=SelectText,""," - "&amp;IF7&amp;"
"&amp;VLOOKUP(IF7,$IB$4:$IC$11,2,FALSE)&amp;"
")</f>
        <v/>
      </c>
      <c r="IH7" s="18">
        <f>IF(IJ7=1,MAX($IH$2:IH6)+1,"")</f>
        <v>3</v>
      </c>
      <c r="II7" s="59" t="s">
        <v>3297</v>
      </c>
      <c r="IJ7" s="59">
        <f>1</f>
        <v>1</v>
      </c>
      <c r="IK7" s="59" t="s">
        <v>3337</v>
      </c>
      <c r="IL7" s="18">
        <f t="shared" si="105"/>
        <v>5</v>
      </c>
      <c r="IM7" s="59" t="str">
        <f t="shared" si="77"/>
        <v>Eldritch Sight</v>
      </c>
      <c r="IN7" s="59">
        <v>4</v>
      </c>
      <c r="IO7" s="59" t="str">
        <f t="shared" si="106"/>
        <v/>
      </c>
      <c r="IP7" s="59" t="str">
        <f>IF($IO$3&gt;=IN7,"Warlock Level 7","INVOCATION 4")</f>
        <v>INVOCATION 4</v>
      </c>
      <c r="IQ7" s="142" t="str">
        <f>Start!AJ116</f>
        <v>Select…</v>
      </c>
      <c r="IR7" s="142" t="str">
        <f t="shared" si="78"/>
        <v/>
      </c>
      <c r="IS7" s="59"/>
      <c r="IT7" s="59"/>
      <c r="IU7" s="18" t="s">
        <v>3565</v>
      </c>
      <c r="IV7" s="59" t="s">
        <v>198</v>
      </c>
      <c r="IW7" s="58" t="s">
        <v>802</v>
      </c>
      <c r="IX7" s="59" t="s">
        <v>1473</v>
      </c>
      <c r="IY7" s="59" t="s">
        <v>933</v>
      </c>
      <c r="IZ7" s="59" t="s">
        <v>200</v>
      </c>
      <c r="JA7" s="59" t="s">
        <v>284</v>
      </c>
      <c r="JB7" s="59" t="s">
        <v>887</v>
      </c>
      <c r="JC7" s="18">
        <f>IF(JD7="","",MAX($JC$1:JC6)+1)</f>
        <v>5</v>
      </c>
      <c r="JD7" s="58" t="s">
        <v>264</v>
      </c>
      <c r="JE7" s="58" t="s">
        <v>262</v>
      </c>
      <c r="JF7" s="18">
        <v>6</v>
      </c>
      <c r="JG7" s="59" t="str">
        <f t="shared" si="27"/>
        <v>Gnomish</v>
      </c>
      <c r="JH7" s="18">
        <v>6</v>
      </c>
      <c r="JI7" s="60">
        <v>14000</v>
      </c>
      <c r="JJ7" s="18">
        <v>6</v>
      </c>
      <c r="JK7" s="18">
        <v>3</v>
      </c>
      <c r="JL7" s="18"/>
      <c r="JM7" s="18">
        <v>5</v>
      </c>
      <c r="JN7" s="80">
        <f t="shared" ca="1" si="45"/>
        <v>4</v>
      </c>
      <c r="JO7" s="80">
        <f t="shared" ca="1" si="45"/>
        <v>3</v>
      </c>
      <c r="JP7" s="80">
        <f t="shared" ca="1" si="45"/>
        <v>2</v>
      </c>
      <c r="JQ7" s="80" t="str">
        <f t="shared" ca="1" si="45"/>
        <v>-</v>
      </c>
      <c r="JR7" s="80" t="str">
        <f t="shared" ca="1" si="45"/>
        <v>-</v>
      </c>
      <c r="JS7" s="80" t="str">
        <f t="shared" ca="1" si="45"/>
        <v>-</v>
      </c>
      <c r="JT7" s="80" t="str">
        <f t="shared" ca="1" si="45"/>
        <v>-</v>
      </c>
      <c r="JU7" s="80" t="str">
        <f t="shared" ca="1" si="45"/>
        <v>-</v>
      </c>
      <c r="JV7" s="80" t="str">
        <f t="shared" ca="1" si="45"/>
        <v>-</v>
      </c>
      <c r="JW7" s="80">
        <f t="shared" ca="1" si="45"/>
        <v>3</v>
      </c>
      <c r="JX7" s="58" t="b">
        <f ca="1">IF(OR(AND(SUMPRODUCT(--(LEN($BO$3:$BO$5)&gt;1))=2,WarlockLevel&gt;0),AND(SUMPRODUCT(--(LEN($BO$3:$BO$5)&gt;1))=1,WarlockLevel=0)),TRUE,FALSE)</f>
        <v>0</v>
      </c>
      <c r="JY7" s="73" t="s">
        <v>315</v>
      </c>
      <c r="JZ7" s="18" t="s">
        <v>34</v>
      </c>
      <c r="KA7" s="80" t="s">
        <v>3276</v>
      </c>
      <c r="KB7" s="98" t="e">
        <f ca="1">VLOOKUP(RogueArcaneTricksterLevel,$KD$1:$KJ$22,$KC7,FALSE)</f>
        <v>#N/A</v>
      </c>
      <c r="KC7" s="98">
        <v>2</v>
      </c>
      <c r="KD7" s="18">
        <v>5</v>
      </c>
      <c r="KE7" s="302">
        <v>4</v>
      </c>
      <c r="KF7" s="302">
        <v>8</v>
      </c>
      <c r="KG7" s="302">
        <v>4</v>
      </c>
      <c r="KH7" s="302">
        <v>4</v>
      </c>
      <c r="KI7" s="302">
        <v>6</v>
      </c>
      <c r="KJ7" s="302">
        <v>6</v>
      </c>
      <c r="KK7" s="18">
        <v>5</v>
      </c>
      <c r="KL7" s="98">
        <v>4</v>
      </c>
      <c r="KM7" s="98">
        <v>4</v>
      </c>
      <c r="KN7" s="98">
        <v>2</v>
      </c>
      <c r="KO7" s="98">
        <v>3</v>
      </c>
      <c r="KP7" s="98">
        <v>3</v>
      </c>
      <c r="KQ7" s="98">
        <v>5</v>
      </c>
      <c r="KR7" s="80">
        <v>3</v>
      </c>
      <c r="KS7" s="73"/>
      <c r="KU7" s="983"/>
      <c r="KV7" s="85"/>
      <c r="KW7" s="968"/>
      <c r="KX7" s="968"/>
      <c r="KY7" s="968"/>
      <c r="KZ7" s="968"/>
      <c r="LA7" s="967"/>
      <c r="LB7" s="967"/>
      <c r="LC7" s="967"/>
      <c r="LD7" s="967"/>
      <c r="LE7" s="967"/>
      <c r="LF7" s="967"/>
      <c r="LG7" s="968"/>
      <c r="LH7" s="968"/>
      <c r="LI7" s="968"/>
      <c r="LJ7" s="968"/>
      <c r="LK7" s="968"/>
      <c r="LL7" s="967"/>
      <c r="LM7" s="967"/>
      <c r="LN7" s="967"/>
      <c r="LO7" s="967"/>
      <c r="LP7" s="967"/>
      <c r="LQ7" s="967"/>
      <c r="LR7" s="968"/>
      <c r="LS7" s="968"/>
      <c r="LT7" s="968"/>
      <c r="LU7" s="968"/>
      <c r="LV7" s="968"/>
      <c r="LW7" s="968"/>
      <c r="LX7" s="968"/>
      <c r="LY7" s="968"/>
      <c r="LZ7" s="968"/>
      <c r="MA7" s="968"/>
      <c r="MB7" s="968"/>
      <c r="MC7" s="968"/>
      <c r="MD7" s="967"/>
      <c r="ME7" s="967"/>
      <c r="MF7" s="967"/>
      <c r="MG7" s="967"/>
      <c r="MH7" s="967"/>
      <c r="MI7" s="967"/>
      <c r="MJ7" s="985"/>
      <c r="MK7" s="985"/>
      <c r="ML7" s="968"/>
      <c r="MM7" s="968"/>
      <c r="MN7" s="968"/>
      <c r="MO7" s="968"/>
      <c r="MP7" s="968"/>
      <c r="MQ7" s="968"/>
      <c r="MR7" s="968"/>
      <c r="MS7" s="968"/>
      <c r="MT7" s="968"/>
      <c r="MU7" s="968"/>
      <c r="MV7" s="968"/>
      <c r="MW7" s="968"/>
      <c r="MX7" s="968"/>
      <c r="MY7" s="968"/>
      <c r="MZ7" s="968"/>
      <c r="NA7" s="968"/>
      <c r="NB7" s="968"/>
      <c r="NC7" s="968"/>
      <c r="ND7" s="968"/>
      <c r="NE7" s="968"/>
      <c r="NF7" s="968"/>
      <c r="NG7" s="968"/>
      <c r="NH7" s="967"/>
      <c r="NI7" s="967"/>
      <c r="NJ7" s="967"/>
      <c r="NK7" s="967"/>
      <c r="NL7" s="967"/>
      <c r="NM7" s="967"/>
      <c r="NN7" s="967"/>
      <c r="NO7" s="967"/>
      <c r="NP7" s="967"/>
      <c r="NQ7" s="967"/>
      <c r="NR7" s="967"/>
      <c r="NS7" s="967"/>
      <c r="NT7" s="967"/>
      <c r="NU7" s="967"/>
      <c r="NV7" s="967"/>
      <c r="NW7" s="967"/>
      <c r="NX7" s="967"/>
      <c r="NY7" s="967"/>
      <c r="NZ7" s="967"/>
      <c r="OA7" s="324"/>
      <c r="OB7" s="968"/>
      <c r="OC7" s="968"/>
      <c r="OD7" s="968"/>
      <c r="OE7" s="968"/>
      <c r="OF7" s="968"/>
      <c r="OG7" s="968"/>
      <c r="OH7" s="968"/>
      <c r="OI7" s="968"/>
      <c r="OJ7" s="968"/>
      <c r="OK7" s="968"/>
      <c r="OL7" s="968"/>
      <c r="OM7" s="968"/>
      <c r="ON7" s="968"/>
      <c r="OO7" s="968"/>
      <c r="OP7" s="968"/>
      <c r="OQ7" s="968"/>
      <c r="OR7" s="968"/>
      <c r="OS7" s="968"/>
      <c r="OT7" s="968"/>
      <c r="OU7" s="968"/>
      <c r="OV7" s="968"/>
      <c r="OW7" s="968"/>
      <c r="OX7" s="968"/>
      <c r="OY7" s="968"/>
      <c r="OZ7" s="968"/>
      <c r="PA7" s="968"/>
      <c r="PB7" s="968"/>
      <c r="PC7" s="968"/>
      <c r="PD7" s="968"/>
      <c r="PE7" s="968"/>
      <c r="PF7" s="968"/>
      <c r="PG7" s="968"/>
      <c r="PH7" s="968"/>
      <c r="PI7" s="968"/>
      <c r="PJ7" s="968"/>
      <c r="PK7" s="968"/>
      <c r="PL7" s="968"/>
      <c r="PM7" s="968"/>
      <c r="PN7" s="968"/>
      <c r="PO7" s="968"/>
      <c r="PP7" s="968"/>
      <c r="PQ7" s="968"/>
      <c r="PR7" s="968"/>
      <c r="PS7" s="968"/>
      <c r="PT7" s="324"/>
      <c r="PU7" s="971"/>
      <c r="PV7" s="320"/>
      <c r="PW7" s="320"/>
      <c r="PX7" s="320"/>
      <c r="PY7" s="18"/>
      <c r="PZ7" s="19" t="s">
        <v>153</v>
      </c>
      <c r="QA7" s="19" t="s">
        <v>167</v>
      </c>
      <c r="QB7" s="27" t="str">
        <f t="shared" ca="1" si="79"/>
        <v>not proficient</v>
      </c>
      <c r="QC7" s="67" t="s">
        <v>133</v>
      </c>
      <c r="QD7" s="19" t="s">
        <v>107</v>
      </c>
      <c r="QE7" s="26" t="s">
        <v>140</v>
      </c>
      <c r="QF7" s="26">
        <v>2</v>
      </c>
      <c r="QG7" s="26" t="str">
        <f>""</f>
        <v/>
      </c>
      <c r="QH7" s="26" t="str">
        <f>""</f>
        <v/>
      </c>
      <c r="QI7" s="26" t="str">
        <f>""</f>
        <v/>
      </c>
      <c r="QJ7" s="26" t="s">
        <v>138</v>
      </c>
      <c r="QK7" s="26" t="str">
        <f>""</f>
        <v/>
      </c>
      <c r="QL7" s="26" t="str">
        <f>""</f>
        <v/>
      </c>
      <c r="QM7" s="26" t="str">
        <f>""</f>
        <v/>
      </c>
      <c r="QN7" s="26" t="str">
        <f>""</f>
        <v/>
      </c>
      <c r="QO7" s="26" t="str">
        <f>""</f>
        <v/>
      </c>
      <c r="QP7" s="26" t="str">
        <f>""</f>
        <v/>
      </c>
      <c r="QQ7" s="27" t="str">
        <f>""</f>
        <v/>
      </c>
      <c r="QR7" s="27" t="str">
        <f>""</f>
        <v/>
      </c>
      <c r="QS7" s="64"/>
      <c r="QT7" s="733">
        <f t="shared" si="46"/>
        <v>7</v>
      </c>
      <c r="QU7" s="727" t="s">
        <v>968</v>
      </c>
      <c r="QV7" s="729"/>
      <c r="QW7" s="729"/>
      <c r="QX7" s="729"/>
      <c r="QY7" s="729"/>
      <c r="QZ7" s="729" t="str">
        <f>Start!AV145</f>
        <v/>
      </c>
      <c r="RA7" s="729"/>
      <c r="RB7" s="729"/>
      <c r="RC7" s="729"/>
      <c r="RD7" s="729"/>
      <c r="RE7" s="729"/>
      <c r="RF7" s="729"/>
      <c r="RG7" s="729"/>
      <c r="RH7" s="729" t="str">
        <f>Start!BD145</f>
        <v/>
      </c>
      <c r="RI7" s="729"/>
      <c r="RJ7" s="729"/>
      <c r="RK7" s="729"/>
      <c r="RL7" s="729"/>
      <c r="RM7" s="729"/>
      <c r="RN7" s="729"/>
      <c r="RO7" s="729"/>
      <c r="RP7" s="729" t="str">
        <f>Start!BL145</f>
        <v/>
      </c>
      <c r="RQ7" s="729"/>
      <c r="RR7" s="729"/>
      <c r="RS7" s="729"/>
      <c r="RT7" s="729"/>
      <c r="RU7" s="729"/>
      <c r="RV7" s="729"/>
      <c r="RW7" s="729"/>
      <c r="RX7" s="729" t="str">
        <f>Start!BT145</f>
        <v/>
      </c>
      <c r="RY7" s="729"/>
      <c r="RZ7" s="729"/>
      <c r="SA7" s="729"/>
      <c r="SB7" s="729"/>
      <c r="SC7" s="729"/>
      <c r="SD7" s="729"/>
      <c r="SE7" s="729"/>
      <c r="SF7" s="729" t="str">
        <f>Start!CB145</f>
        <v/>
      </c>
      <c r="SG7" s="729"/>
      <c r="SH7" s="729"/>
      <c r="SI7" s="729"/>
      <c r="SJ7" s="729"/>
      <c r="SK7" s="729"/>
      <c r="SL7" s="729"/>
      <c r="SM7" s="634"/>
      <c r="SN7" s="729" t="str">
        <f>Start!CJ145</f>
        <v/>
      </c>
      <c r="SO7" s="729"/>
      <c r="SP7" s="729"/>
      <c r="SQ7" s="729"/>
      <c r="SR7" s="19" t="s">
        <v>239</v>
      </c>
      <c r="SS7" s="19" t="s">
        <v>138</v>
      </c>
      <c r="ST7" s="26" t="str">
        <f ca="1">IF(SR7="","",IF(Start!$Y$157=$QS$12,$QS$12&amp;" (disadvantage)",IF(Start!$Y$157=$QS$11,$QS$11,IF(VLOOKUP(SR7,$KT$60:$KV$78,2,FALSE)="No",$QS$12&amp;" (disadvantage)",$QS$11))))</f>
        <v>not proficient (disadvantage)</v>
      </c>
      <c r="SU7" s="68">
        <v>12</v>
      </c>
      <c r="SV7" s="44">
        <f>DEXMod</f>
        <v>-5</v>
      </c>
      <c r="SW7" s="231" t="s">
        <v>140</v>
      </c>
      <c r="SX7" s="45" t="s">
        <v>140</v>
      </c>
      <c r="SY7" s="27">
        <v>13</v>
      </c>
      <c r="SZ7" s="26" t="str">
        <f ca="1">ST7&amp;", Don: 1min, Doff: 1min"</f>
        <v>not proficient (disadvantage), Don: 1min, Doff: 1min</v>
      </c>
      <c r="TA7" s="19"/>
      <c r="TB7" s="19"/>
      <c r="TC7" s="19"/>
      <c r="TD7" s="44"/>
      <c r="TE7" s="26"/>
      <c r="TF7" s="231"/>
      <c r="TG7" s="45"/>
      <c r="TH7" s="27"/>
      <c r="TI7" s="27"/>
      <c r="TJ7" s="18">
        <f t="shared" si="115"/>
        <v>5</v>
      </c>
      <c r="TK7" s="58" t="s">
        <v>496</v>
      </c>
      <c r="TL7" s="58" t="s">
        <v>448</v>
      </c>
      <c r="TM7" s="18">
        <v>1</v>
      </c>
      <c r="TN7" s="59" t="str">
        <f t="shared" si="47"/>
        <v xml:space="preserve">Animal Friendship ᴴ </v>
      </c>
      <c r="TO7" s="350" t="s">
        <v>2991</v>
      </c>
      <c r="TP7" s="18" t="str">
        <f t="shared" si="48"/>
        <v/>
      </c>
      <c r="TQ7" s="18" t="str">
        <f>IF(OR(TK7=Spellcasting!$AC$18,TK7=Spellcasting!$AC$19),"ᵐ","")</f>
        <v/>
      </c>
      <c r="TR7" s="18" t="str">
        <f>IF(OR(TK7=Spellcasting!$AC$20,TK7=Spellcasting!$AC$21),"ˢ","")</f>
        <v/>
      </c>
      <c r="TS7" s="18" t="str">
        <f>""</f>
        <v/>
      </c>
      <c r="TT7" s="18" t="s">
        <v>484</v>
      </c>
      <c r="TU7" s="18" t="s">
        <v>851</v>
      </c>
      <c r="TV7" s="18" t="s">
        <v>497</v>
      </c>
      <c r="TW7" s="18" t="s">
        <v>495</v>
      </c>
      <c r="TX7" s="59" t="s">
        <v>1281</v>
      </c>
      <c r="TY7" s="18" t="s">
        <v>498</v>
      </c>
      <c r="TZ7" s="18" t="s">
        <v>499</v>
      </c>
      <c r="UA7" s="142" t="s">
        <v>2744</v>
      </c>
      <c r="UB7" s="319" t="s">
        <v>3227</v>
      </c>
      <c r="UC7" s="18" t="str">
        <f ca="1">IF(UC$1&gt;=$TM7,1,"0")</f>
        <v>0</v>
      </c>
      <c r="UE7" s="18" t="str">
        <f ca="1">IF(UE$1&gt;=$TM7,1,"0")</f>
        <v>0</v>
      </c>
      <c r="UI7" s="18" t="str">
        <f ca="1">IF(UI$1&gt;=$TM7,1,"0")</f>
        <v>0</v>
      </c>
      <c r="VB7" s="18" t="str">
        <f>IF(VB$1&gt;=$TM7,1,"0")</f>
        <v>0</v>
      </c>
      <c r="WD7" s="18" t="str">
        <f ca="1">IF(SUM($VZ$1:$WC$1)&gt;0,IF(AND(SUM($VZ7:$WC7)&gt;0,$TM7=WE$1),MAX(WD$2:WD6)+1,""),IF(AND(SUM($UC7:$VY7)&gt;0,$TM7=WE$1),MAX(WD$2:WD6)+1,""))</f>
        <v/>
      </c>
      <c r="WE7" s="59" t="str">
        <f t="shared" ca="1" si="80"/>
        <v/>
      </c>
      <c r="WF7" s="18" t="str">
        <f ca="1">IF(AND(SUM($UB7:$VY7)&gt;0,$TM7=WG$1),MAX(WF$2:WF6)+1,"")</f>
        <v/>
      </c>
      <c r="WG7" s="59" t="str">
        <f t="shared" ca="1" si="81"/>
        <v/>
      </c>
      <c r="WH7" s="18" t="str">
        <f ca="1">IF(AND(SUM($UB7:$VY7)&gt;0,$TM7=WI$1),MAX(WH$2:WH6)+1,"")</f>
        <v/>
      </c>
      <c r="WI7" s="59" t="str">
        <f t="shared" ca="1" si="82"/>
        <v/>
      </c>
      <c r="WJ7" s="18" t="str">
        <f ca="1">IF(AND(SUM($UB7:$VY7)&gt;0,$TM7=WK$1),MAX(WJ$2:WJ6)+1,"")</f>
        <v/>
      </c>
      <c r="WK7" s="59" t="str">
        <f t="shared" ca="1" si="83"/>
        <v/>
      </c>
      <c r="WL7" s="18" t="str">
        <f ca="1">IF(AND(SUM($UB7:$VY7)&gt;0,$TM7=WM$1),MAX(WL$2:WL6)+1,"")</f>
        <v/>
      </c>
      <c r="WM7" s="59" t="str">
        <f t="shared" ca="1" si="84"/>
        <v/>
      </c>
      <c r="WN7" s="18" t="str">
        <f ca="1">IF(AND(SUM($UB7:$VY7)&gt;0,$TM7=WO$1),MAX(WN$2:WN6)+1,"")</f>
        <v/>
      </c>
      <c r="WO7" s="59" t="str">
        <f t="shared" ca="1" si="85"/>
        <v/>
      </c>
      <c r="WP7" s="18" t="str">
        <f ca="1">IF(AND(SUM($UB7:$VY7)&gt;0,$TM7=WQ$1),MAX(WP$2:WP6)+1,"")</f>
        <v/>
      </c>
      <c r="WQ7" s="59" t="str">
        <f t="shared" ca="1" si="86"/>
        <v/>
      </c>
      <c r="WR7" s="18" t="str">
        <f ca="1">IF(AND(SUM($UB7:$VY7)&gt;0,$TM7=WS$1),MAX(WR$2:WR6)+1,"")</f>
        <v/>
      </c>
      <c r="WS7" s="59" t="str">
        <f t="shared" ca="1" si="87"/>
        <v/>
      </c>
      <c r="WT7" s="18" t="str">
        <f ca="1">IF(AND(SUM($UB7:$VY7)&gt;0,$TM7=WU$1),MAX(WT$2:WT6)+1,"")</f>
        <v/>
      </c>
      <c r="WU7" s="59" t="str">
        <f t="shared" ca="1" si="88"/>
        <v/>
      </c>
      <c r="WV7" s="18" t="str">
        <f ca="1">IF(AND(SUM($UB7:$VY7)&gt;0,$TM7=WW$1),MAX(WV$2:WV6)+1,"")</f>
        <v/>
      </c>
      <c r="WW7" s="59" t="str">
        <f t="shared" ca="1" si="89"/>
        <v/>
      </c>
      <c r="WX7" s="18" t="str">
        <f ca="1">IF(AND(SUM($UB7:$VY7)&gt;0,$TM7=WY$1),MAX(WX$2:WX6)+1,"")</f>
        <v/>
      </c>
      <c r="WY7" s="59" t="str">
        <f t="shared" ca="1" si="90"/>
        <v/>
      </c>
      <c r="WZ7" s="18">
        <v>6</v>
      </c>
      <c r="XA7" s="59" t="str">
        <f t="shared" ca="1" si="91"/>
        <v/>
      </c>
      <c r="XB7" s="59" t="str">
        <f t="shared" ca="1" si="28"/>
        <v/>
      </c>
      <c r="XC7" s="59" t="str">
        <f t="shared" ca="1" si="29"/>
        <v/>
      </c>
      <c r="XD7" s="59" t="str">
        <f t="shared" ca="1" si="60"/>
        <v/>
      </c>
      <c r="XE7" s="59" t="str">
        <f t="shared" ca="1" si="61"/>
        <v/>
      </c>
      <c r="XF7" s="59" t="str">
        <f t="shared" ca="1" si="62"/>
        <v/>
      </c>
      <c r="XG7" s="59" t="str">
        <f t="shared" ca="1" si="63"/>
        <v/>
      </c>
      <c r="XH7" s="59" t="str">
        <f t="shared" ca="1" si="64"/>
        <v/>
      </c>
      <c r="XI7" s="59" t="str">
        <f t="shared" ca="1" si="65"/>
        <v/>
      </c>
      <c r="XJ7" s="59" t="str">
        <f t="shared" ca="1" si="66"/>
        <v/>
      </c>
      <c r="XK7" s="59" t="str">
        <f t="shared" ca="1" si="67"/>
        <v/>
      </c>
      <c r="XL7" s="59"/>
      <c r="XM7" s="18">
        <f t="shared" si="116"/>
        <v>3</v>
      </c>
      <c r="XN7" s="142" t="str">
        <f t="shared" si="107"/>
        <v>Cat</v>
      </c>
      <c r="XO7" s="142" t="str">
        <f t="shared" si="107"/>
        <v>Beast</v>
      </c>
      <c r="XP7" s="249" t="str">
        <f t="shared" si="107"/>
        <v>Tiny</v>
      </c>
      <c r="XQ7" s="249">
        <f t="shared" si="107"/>
        <v>12</v>
      </c>
      <c r="XR7" s="249">
        <f t="shared" si="107"/>
        <v>2</v>
      </c>
      <c r="XS7" s="142" t="str">
        <f t="shared" si="107"/>
        <v>40 ft, climb 30 ft</v>
      </c>
      <c r="XT7" s="249">
        <f t="shared" si="107"/>
        <v>3</v>
      </c>
      <c r="XU7" s="249">
        <f t="shared" si="107"/>
        <v>15</v>
      </c>
      <c r="XV7" s="249">
        <f t="shared" si="107"/>
        <v>10</v>
      </c>
      <c r="XW7" s="249">
        <f t="shared" si="107"/>
        <v>3</v>
      </c>
      <c r="XX7" s="249">
        <f t="shared" si="107"/>
        <v>12</v>
      </c>
      <c r="XY7" s="249">
        <f t="shared" si="107"/>
        <v>7</v>
      </c>
      <c r="XZ7" s="142" t="str">
        <f t="shared" si="107"/>
        <v>Perception +3, Stealth +4</v>
      </c>
      <c r="YA7" s="142" t="str">
        <f t="shared" si="107"/>
        <v>passive Perception 13</v>
      </c>
      <c r="YB7" s="142" t="str">
        <f t="shared" si="107"/>
        <v>Claw Melee +0, reach 5ft, 1 slashing</v>
      </c>
      <c r="YC7" s="142" t="str">
        <f t="shared" si="107"/>
        <v>Keen Smell. Advantage on Wisdom (Perception) checks that rely on smell</v>
      </c>
      <c r="YD7" s="18"/>
      <c r="YE7" s="18" t="str">
        <f t="shared" ca="1" si="92"/>
        <v/>
      </c>
      <c r="YF7" s="18">
        <f t="shared" si="108"/>
        <v>5</v>
      </c>
      <c r="YG7" s="59" t="str">
        <f t="shared" ca="1" si="70"/>
        <v>FEAT 5</v>
      </c>
      <c r="YH7" s="59" t="str">
        <f>IF(OR(Start!I117="",Start!I117=SelectText),"",Start!I117)</f>
        <v/>
      </c>
      <c r="YI7" s="59" t="str">
        <f t="shared" si="93"/>
        <v/>
      </c>
      <c r="YJ7" s="59" t="str">
        <f t="shared" si="94"/>
        <v/>
      </c>
      <c r="YK7" s="59" t="str">
        <f>""</f>
        <v/>
      </c>
      <c r="YM7" s="18" t="str">
        <f t="shared" si="95"/>
        <v/>
      </c>
      <c r="YN7" s="18" t="str">
        <f t="shared" si="96"/>
        <v/>
      </c>
      <c r="YR7" s="18"/>
      <c r="YS7" s="18" t="str">
        <f t="shared" ca="1" si="97"/>
        <v/>
      </c>
      <c r="YT7" s="548" t="s">
        <v>276</v>
      </c>
      <c r="YU7" s="18">
        <v>19</v>
      </c>
      <c r="YV7" s="18" t="str">
        <f ca="1">VLOOKUP(YY7,$ZD$2:$ZP$23,$ZD$1,FALSE)</f>
        <v/>
      </c>
      <c r="YW7" s="18" t="str">
        <f ca="1">IF(YX7="","",MAX($YW$1:YW6)+1)</f>
        <v/>
      </c>
      <c r="YX7" s="59" t="str">
        <f t="shared" ca="1" si="71"/>
        <v/>
      </c>
      <c r="YY7" s="18" t="str">
        <f t="shared" ca="1" si="72"/>
        <v/>
      </c>
      <c r="YZ7" s="18">
        <f t="shared" si="117"/>
        <v>4</v>
      </c>
      <c r="ZA7" s="18" t="str">
        <f ca="1">IF(ZB7="","",MAX($ZA$2:ZA6)+1)</f>
        <v/>
      </c>
      <c r="ZB7" s="18" t="str">
        <f t="shared" ca="1" si="98"/>
        <v/>
      </c>
      <c r="ZC7" s="18" t="str">
        <f>IF(Start!AF23=SelectText,"",Start!AF23)</f>
        <v/>
      </c>
      <c r="ZD7" s="18" t="str">
        <f>IF(OR(COUNTIF($ZC$4:$ZC7,ZD$2)=0,COUNTIF($ZC$4:$ZC7,ZD$2)=MAX(ZD$2:ZD6)),"-",COUNTIF($ZC$4:$ZC7,ZD$2))</f>
        <v>-</v>
      </c>
      <c r="ZE7" s="18" t="str">
        <f>IF(OR(COUNTIF($ZC$4:$ZC7,ZE$2)=0,COUNTIF($ZC$4:$ZC7,ZE$2)=MAX(ZE$2:ZE6)),"-",COUNTIF($ZC$4:$ZC7,ZE$2))</f>
        <v>-</v>
      </c>
      <c r="ZF7" s="18" t="str">
        <f>IF(OR(COUNTIF($ZC$4:$ZC7,ZF$2)=0,COUNTIF($ZC$4:$ZC7,ZF$2)=MAX(ZF$2:ZF6)),"-",COUNTIF($ZC$4:$ZC7,ZF$2))</f>
        <v>-</v>
      </c>
      <c r="ZG7" s="18" t="str">
        <f>IF(OR(COUNTIF($ZC$4:$ZC7,ZG$2)=0,COUNTIF($ZC$4:$ZC7,ZG$2)=MAX(ZG$2:ZG6)),"-",COUNTIF($ZC$4:$ZC7,ZG$2))</f>
        <v>-</v>
      </c>
      <c r="ZH7" s="18" t="str">
        <f>IF(OR(COUNTIF($ZC$4:$ZC7,ZH$2)=0,COUNTIF($ZC$4:$ZC7,ZH$2)=MAX(ZH$2:ZH6)),"-",COUNTIF($ZC$4:$ZC7,ZH$2))</f>
        <v>-</v>
      </c>
      <c r="ZI7" s="18" t="str">
        <f>IF(OR(COUNTIF($ZC$4:$ZC7,ZI$2)=0,COUNTIF($ZC$4:$ZC7,ZI$2)=MAX(ZI$2:ZI6)),"-",COUNTIF($ZC$4:$ZC7,ZI$2))</f>
        <v>-</v>
      </c>
      <c r="ZJ7" s="18" t="str">
        <f>IF(OR(COUNTIF($ZC$4:$ZC7,ZJ$2)=0,COUNTIF($ZC$4:$ZC7,ZJ$2)=MAX(ZJ$2:ZJ6)),"-",COUNTIF($ZC$4:$ZC7,ZJ$2))</f>
        <v>-</v>
      </c>
      <c r="ZK7" s="18" t="str">
        <f>IF(OR(COUNTIF($ZC$4:$ZC7,ZK$2)=0,COUNTIF($ZC$4:$ZC7,ZK$2)=MAX(ZK$2:ZK6)),"-",COUNTIF($ZC$4:$ZC7,ZK$2))</f>
        <v>-</v>
      </c>
      <c r="ZL7" s="18" t="str">
        <f>IF(OR(COUNTIF($ZC$4:$ZC7,ZL$2)=0,COUNTIF($ZC$4:$ZC7,ZL$2)=MAX(ZL$2:ZL6)),"-",COUNTIF($ZC$4:$ZC7,ZL$2))</f>
        <v>-</v>
      </c>
      <c r="ZM7" s="18" t="str">
        <f>IF(OR(COUNTIF($ZC$4:$ZC7,ZM$2)=0,COUNTIF($ZC$4:$ZC7,ZM$2)=MAX(ZM$2:ZM6)),"-",COUNTIF($ZC$4:$ZC7,ZM$2))</f>
        <v>-</v>
      </c>
      <c r="ZN7" s="18" t="str">
        <f>IF(OR(COUNTIF($ZC$4:$ZC7,ZN$2)=0,COUNTIF($ZC$4:$ZC7,ZN$2)=MAX(ZN$2:ZN6)),"-",COUNTIF($ZC$4:$ZC7,ZN$2))</f>
        <v>-</v>
      </c>
      <c r="ZO7" s="18" t="str">
        <f>IF(OR(COUNTIF($ZC$4:$ZC7,ZO$2)=0,COUNTIF($ZC$4:$ZC7,ZO$2)=MAX(ZO$2:ZO6)),"-",COUNTIF($ZC$4:$ZC7,ZO$2))</f>
        <v>-</v>
      </c>
      <c r="ZP7" s="18">
        <f t="shared" si="118"/>
        <v>4</v>
      </c>
      <c r="ZQ7" s="18" t="s">
        <v>308</v>
      </c>
      <c r="ZR7" s="18">
        <f t="shared" si="31"/>
        <v>5</v>
      </c>
      <c r="ZS7" s="59" t="s">
        <v>761</v>
      </c>
      <c r="ZT7" s="59" t="str">
        <f>IF(COUNTIF($YH$3:$YH$10,ZS7)&gt;0,$ZS7&amp;"
"&amp;VLOOKUP($ZS7,$YG$14:$YK$77,5,FALSE)&amp;"
","")</f>
        <v/>
      </c>
      <c r="ZU7" s="59" t="str">
        <f>Start!C8</f>
        <v>INTELLIGENCE</v>
      </c>
      <c r="ZV7" s="18" t="str">
        <f ca="1">IF(ZV$2=1,IF(VLOOKUP($ZU7,Start!$C$5:$AN$10,18+ZV$3,FALSE)="","",VLOOKUP($ZU7,Start!$C$5:$AN$10,18+ZV$3,FALSE)),"")</f>
        <v/>
      </c>
      <c r="ZW7" s="18" t="str">
        <f ca="1">IF(ZW$2=1,IF(VLOOKUP($ZU7,Start!$C$5:$AN$10,18+ZW$3,FALSE)="","",VLOOKUP($ZU7,Start!$C$5:$AN$10,18+ZW$3,FALSE)),"")</f>
        <v/>
      </c>
      <c r="ZX7" s="18" t="str">
        <f ca="1">IF(ZX$2=1,IF(VLOOKUP($ZU7,Start!$C$5:$AN$10,18+ZX$3,FALSE)="","",VLOOKUP($ZU7,Start!$C$5:$AN$10,18+ZX$3,FALSE)),"")</f>
        <v/>
      </c>
      <c r="ZY7" s="18" t="str">
        <f ca="1">IF(ZY$2=1,IF(VLOOKUP($ZU7,Start!$C$5:$AN$10,18+ZY$3,FALSE)="","",VLOOKUP($ZU7,Start!$C$5:$AN$10,18+ZY$3,FALSE)),"")</f>
        <v/>
      </c>
      <c r="ZZ7" s="18" t="str">
        <f ca="1">IF(ZZ$2=1,IF(VLOOKUP($ZU7,Start!$C$5:$AN$10,18+ZZ$3,FALSE)="","",VLOOKUP($ZU7,Start!$C$5:$AN$10,18+ZZ$3,FALSE)),"")</f>
        <v/>
      </c>
      <c r="AAA7" s="18" t="str">
        <f ca="1">IF(AAA$2=1,IF(VLOOKUP($ZU7,Start!$C$5:$AN$10,18+AAA$3,FALSE)="","",VLOOKUP($ZU7,Start!$C$5:$AN$10,18+AAA$3,FALSE)),"")</f>
        <v/>
      </c>
      <c r="AAB7" s="18" t="str">
        <f ca="1">IF(AAB$2=1,IF(VLOOKUP($ZU7,Start!$C$5:$AN$10,18+AAB$3,FALSE)="","",VLOOKUP($ZU7,Start!$C$5:$AN$10,18+AAB$3,FALSE)),"")</f>
        <v/>
      </c>
      <c r="AAC7" s="18" t="str">
        <f ca="1">IF(AAC$2=1,IF(VLOOKUP($ZU7,Start!$C$5:$AN$10,18+AAC$3,FALSE)="","",VLOOKUP($ZU7,Start!$C$5:$AN$10,18+AAC$3,FALSE)),"")</f>
        <v/>
      </c>
      <c r="AAD7" s="18" t="str">
        <f ca="1">IF(AAD$2=1,IF(VLOOKUP($ZU7,Start!$C$5:$AN$10,18+AAD$3,FALSE)="","",VLOOKUP($ZU7,Start!$C$5:$AN$10,18+AAD$3,FALSE)),"")</f>
        <v/>
      </c>
      <c r="AAE7" s="18" t="str">
        <f ca="1">IF(AAE$2=1,IF(VLOOKUP($ZU7,Start!$C$5:$AN$10,18+AAE$3,FALSE)="","",VLOOKUP($ZU7,Start!$C$5:$AN$10,18+AAE$3,FALSE)),"")</f>
        <v/>
      </c>
      <c r="AAF7" s="18" t="str">
        <f ca="1">IF(AAF$2=1,IF(VLOOKUP($ZU7,Start!$C$5:$AN$10,18+AAF$3,FALSE)="","",VLOOKUP($ZU7,Start!$C$5:$AN$10,18+AAF$3,FALSE)),"")</f>
        <v/>
      </c>
      <c r="AAG7" s="18" t="str">
        <f ca="1">IF(AAG$2=1,IF(VLOOKUP($ZU7,Start!$C$5:$AN$10,18+AAG$3,FALSE)="","",VLOOKUP($ZU7,Start!$C$5:$AN$10,18+AAG$3,FALSE)),"")</f>
        <v/>
      </c>
      <c r="AAH7" s="18" t="str">
        <f ca="1">IF(AAH$2=1,IF(VLOOKUP($ZU7,Start!$C$5:$AN$10,18+AAH$3,FALSE)="","",VLOOKUP($ZU7,Start!$C$5:$AN$10,18+AAH$3,FALSE)),"")</f>
        <v/>
      </c>
      <c r="AAI7" s="18" t="str">
        <f ca="1">IF(AAI$2=1,IF(VLOOKUP($ZU7,Start!$C$5:$AN$10,18+AAI$3,FALSE)="","",VLOOKUP($ZU7,Start!$C$5:$AN$10,18+AAI$3,FALSE)),"")</f>
        <v/>
      </c>
      <c r="AAJ7" s="18" t="str">
        <f ca="1">IF(AAJ$2=1,IF(VLOOKUP($ZU7,Start!$C$5:$AN$10,18+AAJ$3,FALSE)="","",VLOOKUP($ZU7,Start!$C$5:$AN$10,18+AAJ$3,FALSE)),"")</f>
        <v/>
      </c>
      <c r="AAK7" s="18" t="str">
        <f ca="1">IF(AAK$2=1,IF(VLOOKUP($ZU7,Start!$C$5:$AN$10,18+AAK$3,FALSE)="","",VLOOKUP($ZU7,Start!$C$5:$AN$10,18+AAK$3,FALSE)),"")</f>
        <v/>
      </c>
      <c r="AAL7" s="18" t="str">
        <f ca="1">IF(AAL$2=1,IF(VLOOKUP($ZU7,Start!$C$5:$AN$10,18+AAL$3,FALSE)="","",VLOOKUP($ZU7,Start!$C$5:$AN$10,18+AAL$3,FALSE)),"")</f>
        <v/>
      </c>
      <c r="AAM7" s="18" t="str">
        <f ca="1">IF(AAM$2=1,IF(VLOOKUP($ZU7,Start!$C$5:$AN$10,18+AAM$3,FALSE)="","",VLOOKUP($ZU7,Start!$C$5:$AN$10,18+AAM$3,FALSE)),"")</f>
        <v/>
      </c>
      <c r="AAN7" s="18" t="str">
        <f ca="1">IF(AAN$2=1,IF(VLOOKUP($ZU7,Start!$C$5:$AN$10,18+AAN$3,FALSE)="","",VLOOKUP($ZU7,Start!$C$5:$AN$10,18+AAN$3,FALSE)),"")</f>
        <v/>
      </c>
      <c r="AAO7" s="18" t="str">
        <f ca="1">IF(AAO$2=1,IF(VLOOKUP($ZU7,Start!$C$5:$AN$10,18+AAO$3,FALSE)="","",VLOOKUP($ZU7,Start!$C$5:$AN$10,18+AAO$3,FALSE)),"")</f>
        <v/>
      </c>
      <c r="AAP7" s="18">
        <f t="shared" ca="1" si="99"/>
        <v>0</v>
      </c>
    </row>
    <row r="8" spans="1:718" ht="9.9499999999999993" customHeight="1" x14ac:dyDescent="0.25">
      <c r="A8" s="18" t="s">
        <v>210</v>
      </c>
      <c r="B8" s="18" t="s">
        <v>195</v>
      </c>
      <c r="C8" s="18">
        <v>30</v>
      </c>
      <c r="D8" s="18" t="s">
        <v>319</v>
      </c>
      <c r="E8" s="59" t="str">
        <f>IF(Start!AZ5=TRUE,"• Two different ability scores of your choice increase by 1
• Gain proficiency in one skill of your choice
• Gain one feat of your choice","• +1 to all ability scores")&amp;"
• Size: Medium
• Speed: 30ft
• Languages: Common, and one extra language"</f>
        <v>• +1 to all ability scores
• Size: Medium
• Speed: 30ft
• Languages: Common, and one extra language</v>
      </c>
      <c r="F8" s="59" t="str">
        <f>"Common, +1 extra language"</f>
        <v>Common, +1 extra language</v>
      </c>
      <c r="G8" s="59">
        <v>2</v>
      </c>
      <c r="H8" s="59" t="str">
        <f>IF(Start!AZ5=TRUE,"One of your choice","none")</f>
        <v>none</v>
      </c>
      <c r="I8" s="59">
        <f>IF(Start!AZ5=TRUE,1,0)</f>
        <v>0</v>
      </c>
      <c r="J8" s="59" t="s">
        <v>187</v>
      </c>
      <c r="K8" s="18">
        <v>0</v>
      </c>
      <c r="L8" s="64">
        <f>IF(Start!$BF$5="",1,IF(AND(Start!$BF$5="•",OR(Start!$N$11=L$1,Start!$N$12=L$1)),1,""))</f>
        <v>1</v>
      </c>
      <c r="M8" s="64">
        <f>IF(Start!$BF$5="",1,IF(AND(Start!$BF$5="•",OR(Start!$N$11=M$1,Start!$N$12=M$1)),1,""))</f>
        <v>1</v>
      </c>
      <c r="N8" s="64">
        <f>IF(Start!$BF$5="",1,IF(AND(Start!$BF$5="•",OR(Start!$N$11=N$1,Start!$N$12=N$1)),1,""))</f>
        <v>1</v>
      </c>
      <c r="O8" s="64">
        <f>IF(Start!$BF$5="",1,IF(AND(Start!$BF$5="•",OR(Start!$N$11=O$1,Start!$N$12=O$1)),1,""))</f>
        <v>1</v>
      </c>
      <c r="P8" s="64">
        <f>IF(Start!$BF$5="",1,IF(AND(Start!$BF$5="•",OR(Start!$N$11=P$1,Start!$N$12=P$1)),1,""))</f>
        <v>1</v>
      </c>
      <c r="Q8" s="64">
        <f>IF(Start!$BF$5="",1,IF(AND(Start!$BF$5="•",OR(Start!$N$11=Q$1,Start!$N$12=Q$1)),1,""))</f>
        <v>1</v>
      </c>
      <c r="R8" s="741" t="s">
        <v>836</v>
      </c>
      <c r="S8" s="741" t="s">
        <v>809</v>
      </c>
      <c r="T8" s="741" t="s">
        <v>810</v>
      </c>
      <c r="U8" s="59" t="s">
        <v>233</v>
      </c>
      <c r="V8" s="142" t="s">
        <v>2719</v>
      </c>
      <c r="W8" s="142"/>
      <c r="X8" s="18" t="str">
        <f>IF(Y8="","",MAX($X$3:X7)+1)</f>
        <v/>
      </c>
      <c r="Y8" s="58" t="str">
        <f>IF(A6=$A$3,U8,"")</f>
        <v/>
      </c>
      <c r="Z8" s="18">
        <f t="shared" si="109"/>
        <v>5</v>
      </c>
      <c r="AA8" s="18" t="str">
        <f t="shared" si="74"/>
        <v/>
      </c>
      <c r="AB8" s="18"/>
      <c r="AC8" s="59" t="s">
        <v>2715</v>
      </c>
      <c r="AD8" s="18" t="b">
        <f ca="1">IF(AND(VLOOKUP(RaceDraconicAncestry,$U$15:$W$25,3,FALSE)=AC8,SorcererDraconicBloodlineLevel&gt;=6),TRUE,FALSE)</f>
        <v>0</v>
      </c>
      <c r="AE8" s="59" t="s">
        <v>2396</v>
      </c>
      <c r="AF8" s="455" t="s">
        <v>2404</v>
      </c>
      <c r="AG8" s="740" t="s">
        <v>3513</v>
      </c>
      <c r="AH8" s="59" t="s">
        <v>2405</v>
      </c>
      <c r="AI8" s="18">
        <v>2</v>
      </c>
      <c r="AJ8" s="59" t="s">
        <v>2406</v>
      </c>
      <c r="AK8" s="18">
        <v>2</v>
      </c>
      <c r="AL8" s="59" t="s">
        <v>187</v>
      </c>
      <c r="AM8" s="18">
        <v>0</v>
      </c>
      <c r="AN8" s="18">
        <v>6</v>
      </c>
      <c r="AO8" s="18">
        <f t="shared" si="119"/>
        <v>7</v>
      </c>
      <c r="AP8" s="59" t="str">
        <f t="shared" si="100"/>
        <v/>
      </c>
      <c r="AQ8" s="59" t="str">
        <f>""</f>
        <v/>
      </c>
      <c r="AR8" s="254" t="s">
        <v>1055</v>
      </c>
      <c r="AS8" s="385" t="s">
        <v>2426</v>
      </c>
      <c r="AT8" s="254" t="s">
        <v>1081</v>
      </c>
      <c r="AU8" s="385" t="s">
        <v>2460</v>
      </c>
      <c r="AV8" s="255" t="s">
        <v>1142</v>
      </c>
      <c r="AW8" s="385" t="s">
        <v>2506</v>
      </c>
      <c r="AX8" s="385" t="s">
        <v>2539</v>
      </c>
      <c r="AY8" s="58" t="s">
        <v>1151</v>
      </c>
      <c r="AZ8" s="58" t="s">
        <v>2575</v>
      </c>
      <c r="BA8" s="254" t="s">
        <v>1018</v>
      </c>
      <c r="BB8" s="385" t="s">
        <v>2601</v>
      </c>
      <c r="BC8" s="58" t="s">
        <v>1177</v>
      </c>
      <c r="BD8" s="58" t="s">
        <v>2369</v>
      </c>
      <c r="BE8" s="18" t="str">
        <f>""</f>
        <v/>
      </c>
      <c r="BF8" s="58" t="s">
        <v>42</v>
      </c>
      <c r="BG8" s="18" t="str">
        <f ca="1">IF(OR(BL12&gt;0,BL7&gt;0,BL15&gt;0,BL17&gt;0,BL18&gt;0,MonkLevel&gt;=14,AAP9&gt;0),BF8,"")</f>
        <v/>
      </c>
      <c r="BH8" s="58" t="str">
        <f ca="1">IF(BG8="","",IF(COUNTIF(BG8:$BG$8,"&gt;&lt;")&gt;1,BG8&amp;", ",BG8))</f>
        <v/>
      </c>
      <c r="BI8" s="58" t="s">
        <v>288</v>
      </c>
      <c r="BJ8" s="48">
        <v>10</v>
      </c>
      <c r="BK8" s="458" t="str">
        <f>IF(BL8=0,"",MAX($BK$6:BK7)+1)</f>
        <v/>
      </c>
      <c r="BL8" s="458">
        <f>COUNTIF(Start!$AF$20:$AF$39,Tables!BI8)</f>
        <v>0</v>
      </c>
      <c r="BM8" s="562" t="str">
        <f ca="1">IF(OR(BK8="",BO8=""),"",MAX($BM$6:BM7)+1)</f>
        <v/>
      </c>
      <c r="BN8" s="59" t="str">
        <f ca="1">IF(FighterEldritchKnightLevel&gt;0,"Fighter","")</f>
        <v/>
      </c>
      <c r="BO8" s="18" t="str">
        <f ca="1">IF(FighterEldritchKnightLevel&gt;0,"INT","")</f>
        <v/>
      </c>
      <c r="BP8" s="458" t="str">
        <f t="shared" si="120"/>
        <v/>
      </c>
      <c r="BQ8" s="744" t="s">
        <v>789</v>
      </c>
      <c r="BR8" s="458">
        <v>3</v>
      </c>
      <c r="BS8" s="458"/>
      <c r="BT8" s="458"/>
      <c r="BV8" s="458">
        <v>10</v>
      </c>
      <c r="BW8" s="458">
        <v>0</v>
      </c>
      <c r="BX8" s="458">
        <v>0</v>
      </c>
      <c r="BY8" s="458" t="str">
        <f>""</f>
        <v/>
      </c>
      <c r="BZ8" s="456" t="s">
        <v>341</v>
      </c>
      <c r="CA8" s="456" t="s">
        <v>335</v>
      </c>
      <c r="CB8" s="59" t="s">
        <v>336</v>
      </c>
      <c r="CC8" s="59" t="s">
        <v>336</v>
      </c>
      <c r="CD8" s="59" t="s">
        <v>187</v>
      </c>
      <c r="CE8" s="18">
        <v>0</v>
      </c>
      <c r="CF8" s="59" t="s">
        <v>187</v>
      </c>
      <c r="CG8" s="18">
        <v>0</v>
      </c>
      <c r="CH8" s="59" t="s">
        <v>337</v>
      </c>
      <c r="CI8" s="59" t="s">
        <v>788</v>
      </c>
      <c r="CJ8" s="18">
        <v>2</v>
      </c>
      <c r="CK8" s="59" t="s">
        <v>187</v>
      </c>
      <c r="CL8" s="18">
        <v>0</v>
      </c>
      <c r="CM8" s="59" t="e">
        <f ca="1">"• Fighting Style ("&amp;VLOOKUP($BI8,$FZ$2:$GA$5,2,FALSE)&amp;")
"&amp;VLOOKUP(VLOOKUP($BI8,$FZ$2:$GA$5,2,FALSE),$FX$24:$FY$30,2,FALSE)&amp;"
• Second Wind (1d10+"&amp;FighterLevel&amp;")
"</f>
        <v>#N/A</v>
      </c>
      <c r="CN8" s="59" t="str">
        <f>IF(FighterLevel&gt;=DC$6,"• Action Surge (Two Uses)","• Action Surge (One Use)")&amp;"
"</f>
        <v xml:space="preserve">• Action Surge (One Use)
</v>
      </c>
      <c r="CO8" s="59" t="e">
        <f>"• Martial Archetype ("&amp;VLOOKUP($BI8,$BN$3:$BQ$5,4,FALSE)&amp;")
"&amp;VLOOKUP($BI8,$DM$3:$EH$5,DQ$2-1,FALSE)</f>
        <v>#N/A</v>
      </c>
      <c r="CP8" s="59" t="str">
        <f>IF(FighterLevel&gt;=DE$6,"• Ability Score Improvement / Feat: level "&amp;DE$6&amp;", "&amp;DB$6&amp;", "&amp;CZ$6&amp;", "&amp;CX$6&amp;", "&amp;CT$6&amp;", "&amp;CR$6&amp;", "&amp;CP$6,IF(FighterLevel&gt;=DB$6,"• Ability Score Improvement / Feat: level "&amp;DB$6&amp;", "&amp;CZ$6&amp;", "&amp;CX$6&amp;", "&amp;CT$6&amp;", "&amp;CR$6&amp;", "&amp;CP$6,IF(FighterLevel&gt;=CZ$6,"• Ability Score Improvement / Feat: level "&amp;CZ$6&amp;", "&amp;CX$6&amp;", "&amp;CT$6&amp;", "&amp;CR$6&amp;", "&amp;CP$6,IF(FighterLevel&gt;=CX$6,"• Ability Score Improvement / Feat: level "&amp;CX$6&amp;", "&amp;CT$6&amp;", "&amp;CR$6&amp;", "&amp;CP$6,IF(FighterLevel&gt;=CT$6,"• Ability Score Improvement / Feat: level "&amp;CT$6&amp;", "&amp;CR$6&amp;", "&amp;CP$6,IF(FighterLevel&gt;=CR$6,"• Ability Score Improvement / Feat : level "&amp;CR$6&amp;", "&amp;CP$6,"• Ability Score Improvement / Feat: level "&amp;CP$6))))))&amp;"
"</f>
        <v xml:space="preserve">• Ability Score Improvement / Feat: level 4
</v>
      </c>
      <c r="CQ8" s="59" t="str">
        <f>IF(FighterLevel&gt;=DF6,"• Extra Attack (3)",IF(FighterLevel&gt;=CW6,"• Extra Attack (2)","• Extra Attack"))&amp;"
"</f>
        <v xml:space="preserve">• Extra Attack
</v>
      </c>
      <c r="CR8" s="59" t="str">
        <f>""</f>
        <v/>
      </c>
      <c r="CS8" s="59" t="e">
        <f>VLOOKUP($BI8,$DM$3:$EH$5,DU$2-1,FALSE)</f>
        <v>#N/A</v>
      </c>
      <c r="CT8" s="59" t="str">
        <f>""</f>
        <v/>
      </c>
      <c r="CU8" s="59" t="str">
        <f>IF(FighterLevel&gt;=DC6,"• Indomitable (Three Uses)",IF(FighterLevel&gt;=CY6,"• Indomitable (Two Uses)","• Indomitable (One Use)"))&amp;"
"</f>
        <v xml:space="preserve">• Indomitable (One Use)
</v>
      </c>
      <c r="CV8" s="59" t="e">
        <f>VLOOKUP($BI8,$DM$3:$EH$5,DX$2-1,FALSE)</f>
        <v>#N/A</v>
      </c>
      <c r="CW8" s="59" t="str">
        <f>""</f>
        <v/>
      </c>
      <c r="CX8" s="59" t="str">
        <f>""</f>
        <v/>
      </c>
      <c r="CY8" s="59" t="str">
        <f>""</f>
        <v/>
      </c>
      <c r="CZ8" s="59" t="str">
        <f>""</f>
        <v/>
      </c>
      <c r="DA8" s="59" t="e">
        <f>VLOOKUP($BI8,$DM$3:$EH$5,EC$2-1,FALSE)</f>
        <v>#N/A</v>
      </c>
      <c r="DB8" s="59" t="str">
        <f>""</f>
        <v/>
      </c>
      <c r="DC8" s="59" t="str">
        <f>""</f>
        <v/>
      </c>
      <c r="DD8" s="59" t="e">
        <f>VLOOKUP($BI8,$DM$3:$EH$5,EF$2-1,FALSE)</f>
        <v>#N/A</v>
      </c>
      <c r="DE8" s="59" t="str">
        <f>""</f>
        <v/>
      </c>
      <c r="DF8" s="59" t="str">
        <f>""</f>
        <v/>
      </c>
      <c r="DK8" s="103" t="s">
        <v>230</v>
      </c>
      <c r="DL8" s="59" t="s">
        <v>282</v>
      </c>
      <c r="DM8" s="18" t="s">
        <v>226</v>
      </c>
      <c r="DN8" s="18">
        <f t="shared" ref="DN8:DN46" ca="1" si="121">IF(OR(SubClass1=DL8,SubClass2=DL8,SubClass3=DL8),INDIRECT(TEXT(DM8&amp;"level",0)),0)</f>
        <v>0</v>
      </c>
      <c r="DO8" s="215" t="str">
        <f>"Bonus Proficiency (Heavy Armor)
• Divine Domain Feature (Disciple of Life: healing spells add additional 2+spellls level HP)
• Domain Spells"&amp;"
"&amp;EI8</f>
        <v xml:space="preserve">Bonus Proficiency (Heavy Armor)
• Divine Domain Feature (Disciple of Life: healing spells add additional 2+spellls level HP)
• Domain Spells
</v>
      </c>
      <c r="DP8" s="59" t="s">
        <v>787</v>
      </c>
      <c r="DQ8" s="58" t="str">
        <f>""</f>
        <v/>
      </c>
      <c r="DR8" s="59" t="str">
        <f>""</f>
        <v/>
      </c>
      <c r="DS8" s="59" t="str">
        <f>""</f>
        <v/>
      </c>
      <c r="DT8" s="59" t="s">
        <v>791</v>
      </c>
      <c r="DU8" s="59" t="str">
        <f>""</f>
        <v/>
      </c>
      <c r="DV8" s="59" t="str">
        <f>IF(ClericLevel&gt;=14,"Divine Strike 2d8","Divine Strike 1d8")</f>
        <v>Divine Strike 1d8</v>
      </c>
      <c r="DW8" s="59" t="str">
        <f>""</f>
        <v/>
      </c>
      <c r="DX8" s="59" t="str">
        <f>""</f>
        <v/>
      </c>
      <c r="DY8" s="59" t="str">
        <f>""</f>
        <v/>
      </c>
      <c r="DZ8" s="59" t="str">
        <f>""</f>
        <v/>
      </c>
      <c r="EA8" s="59" t="str">
        <f>""</f>
        <v/>
      </c>
      <c r="EB8" s="59" t="str">
        <f>""</f>
        <v/>
      </c>
      <c r="EC8" s="59" t="str">
        <f>""</f>
        <v/>
      </c>
      <c r="ED8" s="59" t="str">
        <f>""</f>
        <v/>
      </c>
      <c r="EE8" s="142" t="s">
        <v>422</v>
      </c>
      <c r="EF8" s="59" t="str">
        <f>""</f>
        <v/>
      </c>
      <c r="EG8" s="59" t="str">
        <f>""</f>
        <v/>
      </c>
      <c r="EH8" s="59" t="str">
        <f>""</f>
        <v/>
      </c>
      <c r="EI8" s="103" t="str">
        <f>IF(ClericLevel&gt;=9,"  1st (bless, cure wounds)
  3rd (lesser restoration, spiritual weapon)
  5th (beacon of hope, revivify)
  7th (death war, guardian of faith)
  9th (mass cure wounds, raise dead)",IF(ClericLevel&gt;=7,"  1st (bless, cure wounds)
  3rd (lesser restoration, spiritual weapon)
  5th (beacon of hope, revivify)
  7th (death war, guardian of faith)",IF(ClericLevel&gt;=5,"  1st (bless, cure wounds)
  3rd (lesser restoration, spiritual weapon)
  5th (beacon of hope, revivify)",IF(ClericLevel&gt;=3,"  1st (bless, cure wounds)
  3rd (lesser restoration, spiritual weapon)",IF(ClericLevel&gt;=1,"  1st (bless, cure wounds)","")))))</f>
        <v/>
      </c>
      <c r="EJ8" s="442" t="str">
        <f>IF(ClericLevel&gt;=1,$DM8&amp;" (bless, cure wounds)
","")</f>
        <v/>
      </c>
      <c r="EK8" s="442"/>
      <c r="EL8" s="442" t="str">
        <f>IF(ClericLevel&gt;=3,$DM8&amp;" (lesser restoration, spiritual weapon)
","")</f>
        <v/>
      </c>
      <c r="EM8" s="442"/>
      <c r="EN8" s="442" t="str">
        <f>IF(ClericLevel&gt;=5,$DM8&amp;" (beacon of hope, revivify)
","")</f>
        <v/>
      </c>
      <c r="EO8" s="442"/>
      <c r="EP8" s="442" t="str">
        <f>IF(ClericLevel&gt;=7,$DM8&amp;" (death war, guardian of faith)
","")</f>
        <v/>
      </c>
      <c r="EQ8" s="442"/>
      <c r="ER8" s="442" t="str">
        <f>IF(ClericLevel&gt;=9,$DM8&amp;" (mass cure wounds, raise dead)
","")</f>
        <v/>
      </c>
      <c r="ES8" s="442"/>
      <c r="ET8" s="59" t="str">
        <f>""</f>
        <v/>
      </c>
      <c r="EU8" s="18" t="str">
        <f>""</f>
        <v/>
      </c>
      <c r="EV8" s="59" t="str">
        <f>""</f>
        <v/>
      </c>
      <c r="EW8" s="18" t="str">
        <f>""</f>
        <v/>
      </c>
      <c r="EX8" s="59" t="str">
        <f>""</f>
        <v/>
      </c>
      <c r="EY8" s="18" t="str">
        <f>""</f>
        <v/>
      </c>
      <c r="EZ8" s="18"/>
      <c r="FA8" s="18" t="str">
        <f>IF($DM8=FB$5,MAX(FA$6:FA7)+1,"")</f>
        <v/>
      </c>
      <c r="FB8" s="58" t="str">
        <f t="shared" ref="FB8:FB46" si="122">IF(FA8="","",$DL8)</f>
        <v/>
      </c>
      <c r="FC8" s="18">
        <v>3</v>
      </c>
      <c r="FD8" s="58" t="str">
        <f t="shared" si="112"/>
        <v/>
      </c>
      <c r="FE8" s="18" t="str">
        <f>IF($DM8=FF$5,MAX(FE$6:FE7)+1,"")</f>
        <v/>
      </c>
      <c r="FF8" s="58" t="str">
        <f t="shared" ref="FF8:FF46" si="123">IF(FE8="","",$DL8)</f>
        <v/>
      </c>
      <c r="FG8" s="18">
        <v>3</v>
      </c>
      <c r="FH8" s="58" t="str">
        <f t="shared" si="113"/>
        <v/>
      </c>
      <c r="FI8" s="18" t="str">
        <f>IF($DM8=FJ$5,MAX(FI$6:FI7)+1,"")</f>
        <v/>
      </c>
      <c r="FJ8" s="58" t="str">
        <f t="shared" ref="FJ8:FJ35" si="124">IF(FI8="","",$DL8)</f>
        <v/>
      </c>
      <c r="FK8" s="18">
        <v>3</v>
      </c>
      <c r="FL8" s="58" t="str">
        <f t="shared" si="114"/>
        <v/>
      </c>
      <c r="FM8" s="58" t="s">
        <v>1887</v>
      </c>
      <c r="FN8" s="59">
        <f>Start!L69</f>
        <v>0</v>
      </c>
      <c r="FO8" s="18" t="str">
        <f>IF($FM8=$FP8,MAX(FO$3:FO7)+1,"")</f>
        <v/>
      </c>
      <c r="FP8" s="59" t="str">
        <f t="shared" si="101"/>
        <v/>
      </c>
      <c r="FQ8" s="18">
        <f t="shared" si="102"/>
        <v>6</v>
      </c>
      <c r="FR8" s="59" t="str">
        <f t="shared" si="75"/>
        <v/>
      </c>
      <c r="FS8" s="59"/>
      <c r="FT8" s="59"/>
      <c r="FU8" s="59"/>
      <c r="FV8" s="18"/>
      <c r="FW8" s="18">
        <v>1</v>
      </c>
      <c r="FX8" s="59" t="str">
        <f t="shared" ref="FX8:FX13" si="125">IF(ISERROR(VLOOKUP(FW8,$FW$16:$FX$21,2,FALSE)),"",VLOOKUP(FW8,$FW$16:$FX$21,2,FALSE))</f>
        <v/>
      </c>
      <c r="GB8" s="59" t="s">
        <v>3420</v>
      </c>
      <c r="GC8" s="142" t="s">
        <v>3475</v>
      </c>
      <c r="GD8" s="142">
        <v>6</v>
      </c>
      <c r="GE8" s="59">
        <v>7</v>
      </c>
      <c r="GF8" s="59" t="str">
        <f t="shared" si="40"/>
        <v/>
      </c>
      <c r="GG8" s="59" t="str">
        <f t="shared" si="41"/>
        <v>MANEUVER 6</v>
      </c>
      <c r="GH8" s="732" t="str">
        <f>Start!AJ83</f>
        <v>Select…</v>
      </c>
      <c r="GI8" s="732" t="str">
        <f t="shared" si="42"/>
        <v/>
      </c>
      <c r="GJ8" s="99" t="str">
        <f t="shared" si="43"/>
        <v/>
      </c>
      <c r="GK8" s="59" t="str">
        <f>""</f>
        <v/>
      </c>
      <c r="GL8" s="18"/>
      <c r="GM8" s="18"/>
      <c r="GN8" s="18"/>
      <c r="GO8" s="18"/>
      <c r="GP8" s="18"/>
      <c r="GQ8" s="59" t="s">
        <v>2803</v>
      </c>
      <c r="GR8" s="58" t="s">
        <v>3490</v>
      </c>
      <c r="GS8" s="18">
        <v>3</v>
      </c>
      <c r="GT8" s="18">
        <v>2</v>
      </c>
      <c r="GU8" s="18" t="str">
        <f ca="1">IF(GV8="","",MAX($GU$3:GU7)+1)</f>
        <v/>
      </c>
      <c r="GV8" s="59" t="str">
        <f t="shared" ca="1" si="76"/>
        <v/>
      </c>
      <c r="GW8" s="18">
        <f t="shared" si="103"/>
        <v>6</v>
      </c>
      <c r="GX8" s="59" t="str">
        <f t="shared" ca="1" si="44"/>
        <v/>
      </c>
      <c r="GY8" s="59"/>
      <c r="HK8" s="58" t="s">
        <v>2896</v>
      </c>
      <c r="HL8" s="59" t="str">
        <f>""</f>
        <v/>
      </c>
      <c r="HM8" s="58" t="s">
        <v>2910</v>
      </c>
      <c r="HT8" s="103" t="s">
        <v>733</v>
      </c>
      <c r="HX8" s="59" t="s">
        <v>2959</v>
      </c>
      <c r="IB8" s="59" t="s">
        <v>3119</v>
      </c>
      <c r="IC8" s="142" t="s">
        <v>3465</v>
      </c>
      <c r="ID8" s="58" t="str">
        <f>""</f>
        <v/>
      </c>
      <c r="IH8" s="18" t="str">
        <f>IF(IJ8=1,MAX($IH$2:IH7)+1,"")</f>
        <v/>
      </c>
      <c r="II8" s="58" t="s">
        <v>3298</v>
      </c>
      <c r="IJ8" s="59" t="str">
        <f>IF(WarlockLevel&gt;=7,1,"")</f>
        <v/>
      </c>
      <c r="IK8" s="58" t="s">
        <v>3338</v>
      </c>
      <c r="IL8" s="18">
        <f t="shared" si="105"/>
        <v>6</v>
      </c>
      <c r="IM8" s="59" t="str">
        <f t="shared" si="77"/>
        <v>Eyes of the Rune Keeper</v>
      </c>
      <c r="IN8" s="59">
        <v>5</v>
      </c>
      <c r="IO8" s="59" t="str">
        <f t="shared" si="106"/>
        <v/>
      </c>
      <c r="IP8" s="59" t="str">
        <f>IF($IO$3&gt;=IN8,"Warlock Level 9","INVOCATION 5")</f>
        <v>INVOCATION 5</v>
      </c>
      <c r="IQ8" s="142" t="str">
        <f>Start!AJ117</f>
        <v>Select…</v>
      </c>
      <c r="IR8" s="142" t="str">
        <f t="shared" si="78"/>
        <v/>
      </c>
      <c r="IS8" s="59"/>
      <c r="IT8" s="59"/>
      <c r="IU8" s="18" t="s">
        <v>3526</v>
      </c>
      <c r="IV8" s="59" t="s">
        <v>203</v>
      </c>
      <c r="IW8" s="58" t="s">
        <v>206</v>
      </c>
      <c r="IX8" s="59" t="s">
        <v>1474</v>
      </c>
      <c r="IY8" s="59" t="s">
        <v>934</v>
      </c>
      <c r="IZ8" s="59" t="s">
        <v>202</v>
      </c>
      <c r="JA8" s="59" t="s">
        <v>888</v>
      </c>
      <c r="JB8" s="59" t="s">
        <v>889</v>
      </c>
      <c r="JC8" s="18">
        <f>IF(JD8="","",MAX($JC$1:JC7)+1)</f>
        <v>6</v>
      </c>
      <c r="JD8" s="58" t="s">
        <v>265</v>
      </c>
      <c r="JE8" s="58" t="s">
        <v>262</v>
      </c>
      <c r="JF8" s="18">
        <v>7</v>
      </c>
      <c r="JG8" s="59" t="str">
        <f t="shared" si="27"/>
        <v>Goblin</v>
      </c>
      <c r="JH8" s="18">
        <v>7</v>
      </c>
      <c r="JI8" s="60">
        <v>23000</v>
      </c>
      <c r="JJ8" s="18">
        <v>7</v>
      </c>
      <c r="JK8" s="18">
        <v>3</v>
      </c>
      <c r="JL8" s="18"/>
      <c r="JM8" s="18">
        <v>6</v>
      </c>
      <c r="JN8" s="80">
        <f t="shared" ca="1" si="45"/>
        <v>4</v>
      </c>
      <c r="JO8" s="80">
        <f t="shared" ca="1" si="45"/>
        <v>3</v>
      </c>
      <c r="JP8" s="80">
        <f t="shared" ca="1" si="45"/>
        <v>3</v>
      </c>
      <c r="JQ8" s="80" t="str">
        <f t="shared" ca="1" si="45"/>
        <v>-</v>
      </c>
      <c r="JR8" s="80" t="str">
        <f t="shared" ca="1" si="45"/>
        <v>-</v>
      </c>
      <c r="JS8" s="80" t="str">
        <f t="shared" ca="1" si="45"/>
        <v>-</v>
      </c>
      <c r="JT8" s="80" t="str">
        <f t="shared" ca="1" si="45"/>
        <v>-</v>
      </c>
      <c r="JU8" s="80" t="str">
        <f t="shared" ca="1" si="45"/>
        <v>-</v>
      </c>
      <c r="JV8" s="80" t="str">
        <f t="shared" ca="1" si="45"/>
        <v>-</v>
      </c>
      <c r="JW8" s="80">
        <f t="shared" ca="1" si="45"/>
        <v>3</v>
      </c>
      <c r="JX8" s="18" t="s">
        <v>3279</v>
      </c>
      <c r="JY8" s="73" t="s">
        <v>279</v>
      </c>
      <c r="JZ8" s="98" t="s">
        <v>42</v>
      </c>
      <c r="KA8" s="98" t="s">
        <v>3276</v>
      </c>
      <c r="KB8" s="98" t="e">
        <f>VLOOKUP(BardLevel,$KD$1:$KJ$22,$KC8,FALSE)</f>
        <v>#N/A</v>
      </c>
      <c r="KC8" s="98">
        <v>3</v>
      </c>
      <c r="KD8" s="18">
        <v>6</v>
      </c>
      <c r="KE8" s="302">
        <v>4</v>
      </c>
      <c r="KF8" s="302">
        <v>9</v>
      </c>
      <c r="KG8" s="302">
        <v>4</v>
      </c>
      <c r="KH8" s="302">
        <v>4</v>
      </c>
      <c r="KI8" s="302">
        <v>7</v>
      </c>
      <c r="KJ8" s="302">
        <v>7</v>
      </c>
      <c r="KK8" s="18">
        <v>6</v>
      </c>
      <c r="KL8" s="98">
        <v>4</v>
      </c>
      <c r="KM8" s="98">
        <v>4</v>
      </c>
      <c r="KN8" s="98">
        <v>2</v>
      </c>
      <c r="KO8" s="98">
        <v>3</v>
      </c>
      <c r="KP8" s="98">
        <v>3</v>
      </c>
      <c r="KQ8" s="98">
        <v>5</v>
      </c>
      <c r="KR8" s="80">
        <v>3</v>
      </c>
      <c r="KS8" s="73"/>
      <c r="KU8" s="983"/>
      <c r="KV8" s="18"/>
      <c r="KW8" s="968"/>
      <c r="KX8" s="968"/>
      <c r="KY8" s="968"/>
      <c r="KZ8" s="968"/>
      <c r="LA8" s="967"/>
      <c r="LB8" s="967"/>
      <c r="LC8" s="967"/>
      <c r="LD8" s="967"/>
      <c r="LE8" s="967"/>
      <c r="LF8" s="967"/>
      <c r="LG8" s="968"/>
      <c r="LH8" s="968"/>
      <c r="LI8" s="968"/>
      <c r="LJ8" s="968"/>
      <c r="LK8" s="968"/>
      <c r="LL8" s="967"/>
      <c r="LM8" s="967"/>
      <c r="LN8" s="967"/>
      <c r="LO8" s="967"/>
      <c r="LP8" s="967"/>
      <c r="LQ8" s="967"/>
      <c r="LR8" s="968"/>
      <c r="LS8" s="968"/>
      <c r="LT8" s="968"/>
      <c r="LU8" s="968"/>
      <c r="LV8" s="968"/>
      <c r="LW8" s="968"/>
      <c r="LX8" s="968"/>
      <c r="LY8" s="968"/>
      <c r="LZ8" s="968"/>
      <c r="MA8" s="968"/>
      <c r="MB8" s="968"/>
      <c r="MC8" s="968"/>
      <c r="MD8" s="967"/>
      <c r="ME8" s="967"/>
      <c r="MF8" s="967"/>
      <c r="MG8" s="967"/>
      <c r="MH8" s="967"/>
      <c r="MI8" s="967"/>
      <c r="MJ8" s="985"/>
      <c r="MK8" s="985"/>
      <c r="ML8" s="968"/>
      <c r="MM8" s="968"/>
      <c r="MN8" s="968"/>
      <c r="MO8" s="968"/>
      <c r="MP8" s="968"/>
      <c r="MQ8" s="968"/>
      <c r="MR8" s="968"/>
      <c r="MS8" s="968"/>
      <c r="MT8" s="968"/>
      <c r="MU8" s="968"/>
      <c r="MV8" s="968"/>
      <c r="MW8" s="968"/>
      <c r="MX8" s="968"/>
      <c r="MY8" s="968"/>
      <c r="MZ8" s="968"/>
      <c r="NA8" s="968"/>
      <c r="NB8" s="968"/>
      <c r="NC8" s="968"/>
      <c r="ND8" s="968"/>
      <c r="NE8" s="968"/>
      <c r="NF8" s="968"/>
      <c r="NG8" s="968"/>
      <c r="NH8" s="967"/>
      <c r="NI8" s="967"/>
      <c r="NJ8" s="967"/>
      <c r="NK8" s="967"/>
      <c r="NL8" s="967"/>
      <c r="NM8" s="967"/>
      <c r="NN8" s="967"/>
      <c r="NO8" s="967"/>
      <c r="NP8" s="967"/>
      <c r="NQ8" s="967"/>
      <c r="NR8" s="967"/>
      <c r="NS8" s="967"/>
      <c r="NT8" s="967"/>
      <c r="NU8" s="967"/>
      <c r="NV8" s="967"/>
      <c r="NW8" s="967"/>
      <c r="NX8" s="967"/>
      <c r="NY8" s="967"/>
      <c r="NZ8" s="967"/>
      <c r="OA8" s="324"/>
      <c r="OB8" s="968"/>
      <c r="OC8" s="968"/>
      <c r="OD8" s="968"/>
      <c r="OE8" s="968"/>
      <c r="OF8" s="968"/>
      <c r="OG8" s="968"/>
      <c r="OH8" s="968"/>
      <c r="OI8" s="968"/>
      <c r="OJ8" s="968"/>
      <c r="OK8" s="968"/>
      <c r="OL8" s="968"/>
      <c r="OM8" s="968"/>
      <c r="ON8" s="968"/>
      <c r="OO8" s="968"/>
      <c r="OP8" s="968"/>
      <c r="OQ8" s="968"/>
      <c r="OR8" s="968"/>
      <c r="OS8" s="968"/>
      <c r="OT8" s="968"/>
      <c r="OU8" s="968"/>
      <c r="OV8" s="968"/>
      <c r="OW8" s="968"/>
      <c r="OX8" s="968"/>
      <c r="OY8" s="968"/>
      <c r="OZ8" s="968"/>
      <c r="PA8" s="968"/>
      <c r="PB8" s="968"/>
      <c r="PC8" s="968"/>
      <c r="PD8" s="968"/>
      <c r="PE8" s="968"/>
      <c r="PF8" s="968"/>
      <c r="PG8" s="968"/>
      <c r="PH8" s="968"/>
      <c r="PI8" s="968"/>
      <c r="PJ8" s="968"/>
      <c r="PK8" s="968"/>
      <c r="PL8" s="968"/>
      <c r="PM8" s="968"/>
      <c r="PN8" s="968"/>
      <c r="PO8" s="968"/>
      <c r="PP8" s="968"/>
      <c r="PQ8" s="968"/>
      <c r="PR8" s="968"/>
      <c r="PS8" s="968"/>
      <c r="PT8" s="324"/>
      <c r="PU8" s="971"/>
      <c r="PV8" s="320"/>
      <c r="PW8" s="320"/>
      <c r="PX8" s="320"/>
      <c r="PY8" s="18"/>
      <c r="PZ8" s="28" t="s">
        <v>348</v>
      </c>
      <c r="QA8" s="28" t="s">
        <v>87</v>
      </c>
      <c r="QB8" s="30" t="str">
        <f t="shared" ca="1" si="79"/>
        <v>not proficient</v>
      </c>
      <c r="QC8" s="31" t="s">
        <v>104</v>
      </c>
      <c r="QD8" s="28" t="s">
        <v>106</v>
      </c>
      <c r="QE8" s="229" t="s">
        <v>109</v>
      </c>
      <c r="QF8" s="29">
        <v>3</v>
      </c>
      <c r="QG8" s="29" t="s">
        <v>135</v>
      </c>
      <c r="QH8" s="29" t="str">
        <f>""</f>
        <v/>
      </c>
      <c r="QI8" s="29" t="str">
        <f>""</f>
        <v/>
      </c>
      <c r="QJ8" s="29" t="s">
        <v>138</v>
      </c>
      <c r="QK8" s="29" t="s">
        <v>139</v>
      </c>
      <c r="QL8" s="29" t="str">
        <f>""</f>
        <v/>
      </c>
      <c r="QM8" s="29" t="str">
        <f>""</f>
        <v/>
      </c>
      <c r="QN8" s="29" t="str">
        <f>""</f>
        <v/>
      </c>
      <c r="QO8" s="29" t="str">
        <f>""</f>
        <v/>
      </c>
      <c r="QP8" s="29" t="str">
        <f>""</f>
        <v/>
      </c>
      <c r="QQ8" s="30" t="str">
        <f>""</f>
        <v/>
      </c>
      <c r="QR8" s="30" t="s">
        <v>779</v>
      </c>
      <c r="QT8" s="733">
        <f t="shared" si="46"/>
        <v>8</v>
      </c>
      <c r="QU8" s="727" t="s">
        <v>100</v>
      </c>
      <c r="QV8" s="727"/>
      <c r="QW8" s="727"/>
      <c r="QX8" s="727"/>
      <c r="QY8" s="727"/>
      <c r="QZ8" s="727" t="str">
        <f>VLOOKUP(Start!AV$137,Tables!$PZ$2:$QQ$500,$QT8,FALSE)</f>
        <v/>
      </c>
      <c r="RA8" s="727"/>
      <c r="RB8" s="729"/>
      <c r="RC8" s="727"/>
      <c r="RD8" s="727"/>
      <c r="RE8" s="727"/>
      <c r="RF8" s="727"/>
      <c r="RG8" s="727"/>
      <c r="RH8" s="727" t="str">
        <f>VLOOKUP(Start!BD$137,Tables!$PZ$2:$QQ$500,$QT8,FALSE)</f>
        <v/>
      </c>
      <c r="RI8" s="727"/>
      <c r="RJ8" s="727"/>
      <c r="RK8" s="727"/>
      <c r="RL8" s="727"/>
      <c r="RM8" s="727"/>
      <c r="RN8" s="729"/>
      <c r="RO8" s="729"/>
      <c r="RP8" s="727" t="str">
        <f>VLOOKUP(Start!BL$137,Tables!$PZ$2:$QQ$500,$QT8,FALSE)</f>
        <v/>
      </c>
      <c r="RQ8" s="729"/>
      <c r="RR8" s="729"/>
      <c r="RS8" s="729"/>
      <c r="RT8" s="729"/>
      <c r="RU8" s="729"/>
      <c r="RV8" s="729"/>
      <c r="RW8" s="729"/>
      <c r="RX8" s="727" t="str">
        <f>VLOOKUP(Start!BT$137,Tables!$PZ$2:$QQ$500,$QT8,FALSE)</f>
        <v/>
      </c>
      <c r="RY8" s="729"/>
      <c r="RZ8" s="729"/>
      <c r="SA8" s="729"/>
      <c r="SB8" s="729"/>
      <c r="SC8" s="729"/>
      <c r="SD8" s="729"/>
      <c r="SE8" s="729"/>
      <c r="SF8" s="727" t="str">
        <f>VLOOKUP(Start!CB$137,Tables!$PZ$2:$QQ$500,$QT8,FALSE)</f>
        <v/>
      </c>
      <c r="SG8" s="729"/>
      <c r="SH8" s="729"/>
      <c r="SI8" s="729"/>
      <c r="SJ8" s="729"/>
      <c r="SK8" s="729"/>
      <c r="SL8" s="729"/>
      <c r="SM8" s="634"/>
      <c r="SN8" s="727" t="str">
        <f>VLOOKUP(Start!CJ$137,Tables!$PZ$2:$QQ$500,$QT8,FALSE)</f>
        <v/>
      </c>
      <c r="SO8" s="729"/>
      <c r="SP8" s="729"/>
      <c r="SQ8" s="729"/>
      <c r="SR8" s="28" t="s">
        <v>238</v>
      </c>
      <c r="SS8" s="28" t="s">
        <v>1003</v>
      </c>
      <c r="ST8" s="29" t="str">
        <f ca="1">IF(SR8="","",IF(Start!$Y$157=$QS$12,$QS$12&amp;" (disadvantage)",IF(Start!$Y$157=$QS$11,$QS$11,IF(VLOOKUP(SR8,$KT$60:$KV$78,2,FALSE)="No",$QS$12&amp;" (disadvantage)",$QS$11))))</f>
        <v>not proficient (disadvantage)</v>
      </c>
      <c r="SU8" s="69">
        <v>12</v>
      </c>
      <c r="SV8" s="42">
        <f>IF($OY$1&gt;0,IF(DEXMod&gt;3,3,DEXMod),IF(DEXMod&gt;2,2,DEXMod))</f>
        <v>-5</v>
      </c>
      <c r="SW8" s="232" t="s">
        <v>140</v>
      </c>
      <c r="SX8" s="46" t="s">
        <v>140</v>
      </c>
      <c r="SY8" s="30">
        <v>12</v>
      </c>
      <c r="SZ8" s="29" t="str">
        <f ca="1">ST8&amp;", Don: 5min, Doff: 1min"</f>
        <v>not proficient (disadvantage), Don: 5min, Doff: 1min</v>
      </c>
      <c r="TA8" s="28"/>
      <c r="TB8" s="28"/>
      <c r="TC8" s="28"/>
      <c r="TD8" s="42"/>
      <c r="TE8" s="29"/>
      <c r="TF8" s="232"/>
      <c r="TG8" s="29"/>
      <c r="TH8" s="30"/>
      <c r="TI8" s="30"/>
      <c r="TJ8" s="18">
        <f t="shared" si="115"/>
        <v>6</v>
      </c>
      <c r="TK8" s="58" t="s">
        <v>500</v>
      </c>
      <c r="TL8" s="58" t="s">
        <v>459</v>
      </c>
      <c r="TM8" s="18">
        <v>2</v>
      </c>
      <c r="TN8" s="59" t="str">
        <f t="shared" si="47"/>
        <v xml:space="preserve">Animal Messenger ᴴ </v>
      </c>
      <c r="TO8" s="350" t="s">
        <v>2991</v>
      </c>
      <c r="TP8" s="18" t="str">
        <f t="shared" si="48"/>
        <v/>
      </c>
      <c r="TQ8" s="18" t="str">
        <f>IF(OR(TK8=Spellcasting!$AC$18,TK8=Spellcasting!$AC$19),"ᵐ","")</f>
        <v/>
      </c>
      <c r="TR8" s="18" t="str">
        <f>IF(OR(TK8=Spellcasting!$AC$20,TK8=Spellcasting!$AC$21),"ˢ","")</f>
        <v/>
      </c>
      <c r="TS8" s="18" t="s">
        <v>477</v>
      </c>
      <c r="TT8" s="18" t="s">
        <v>501</v>
      </c>
      <c r="TU8" s="18" t="s">
        <v>851</v>
      </c>
      <c r="TV8" s="18" t="s">
        <v>497</v>
      </c>
      <c r="TW8" s="18" t="s">
        <v>495</v>
      </c>
      <c r="TX8" s="59" t="s">
        <v>1281</v>
      </c>
      <c r="TY8" s="18" t="s">
        <v>498</v>
      </c>
      <c r="TZ8" s="18" t="s">
        <v>499</v>
      </c>
      <c r="UA8" s="142" t="s">
        <v>3136</v>
      </c>
      <c r="UB8" s="319" t="s">
        <v>3228</v>
      </c>
      <c r="UC8" s="18" t="str">
        <f ca="1">IF(UC$1&gt;=$TM8,1,"0")</f>
        <v>0</v>
      </c>
      <c r="UE8" s="18" t="str">
        <f ca="1">IF(UE$1&gt;=$TM8,1,"0")</f>
        <v>0</v>
      </c>
      <c r="UI8" s="18" t="str">
        <f ca="1">IF(UI$1&gt;=$TM8,1,"0")</f>
        <v>0</v>
      </c>
      <c r="WD8" s="18" t="str">
        <f ca="1">IF(SUM($VZ$1:$WC$1)&gt;0,IF(AND(SUM($VZ8:$WC8)&gt;0,$TM8=WE$1),MAX(WD$2:WD7)+1,""),IF(AND(SUM($UC8:$VY8)&gt;0,$TM8=WE$1),MAX(WD$2:WD7)+1,""))</f>
        <v/>
      </c>
      <c r="WE8" s="59" t="str">
        <f t="shared" ca="1" si="80"/>
        <v/>
      </c>
      <c r="WF8" s="18" t="str">
        <f ca="1">IF(AND(SUM($UB8:$VY8)&gt;0,$TM8=WG$1),MAX(WF$2:WF7)+1,"")</f>
        <v/>
      </c>
      <c r="WG8" s="59" t="str">
        <f t="shared" ca="1" si="81"/>
        <v/>
      </c>
      <c r="WH8" s="18" t="str">
        <f ca="1">IF(AND(SUM($UB8:$VY8)&gt;0,$TM8=WI$1),MAX(WH$2:WH7)+1,"")</f>
        <v/>
      </c>
      <c r="WI8" s="59" t="str">
        <f t="shared" ca="1" si="82"/>
        <v/>
      </c>
      <c r="WJ8" s="18" t="str">
        <f ca="1">IF(AND(SUM($UB8:$VY8)&gt;0,$TM8=WK$1),MAX(WJ$2:WJ7)+1,"")</f>
        <v/>
      </c>
      <c r="WK8" s="59" t="str">
        <f t="shared" ca="1" si="83"/>
        <v/>
      </c>
      <c r="WL8" s="18" t="str">
        <f ca="1">IF(AND(SUM($UB8:$VY8)&gt;0,$TM8=WM$1),MAX(WL$2:WL7)+1,"")</f>
        <v/>
      </c>
      <c r="WM8" s="59" t="str">
        <f t="shared" ca="1" si="84"/>
        <v/>
      </c>
      <c r="WN8" s="18" t="str">
        <f ca="1">IF(AND(SUM($UB8:$VY8)&gt;0,$TM8=WO$1),MAX(WN$2:WN7)+1,"")</f>
        <v/>
      </c>
      <c r="WO8" s="59" t="str">
        <f t="shared" ca="1" si="85"/>
        <v/>
      </c>
      <c r="WP8" s="18" t="str">
        <f ca="1">IF(AND(SUM($UB8:$VY8)&gt;0,$TM8=WQ$1),MAX(WP$2:WP7)+1,"")</f>
        <v/>
      </c>
      <c r="WQ8" s="59" t="str">
        <f t="shared" ca="1" si="86"/>
        <v/>
      </c>
      <c r="WR8" s="18" t="str">
        <f ca="1">IF(AND(SUM($UB8:$VY8)&gt;0,$TM8=WS$1),MAX(WR$2:WR7)+1,"")</f>
        <v/>
      </c>
      <c r="WS8" s="59" t="str">
        <f t="shared" ca="1" si="87"/>
        <v/>
      </c>
      <c r="WT8" s="18" t="str">
        <f ca="1">IF(AND(SUM($UB8:$VY8)&gt;0,$TM8=WU$1),MAX(WT$2:WT7)+1,"")</f>
        <v/>
      </c>
      <c r="WU8" s="59" t="str">
        <f t="shared" ca="1" si="88"/>
        <v/>
      </c>
      <c r="WV8" s="18" t="str">
        <f ca="1">IF(AND(SUM($UB8:$VY8)&gt;0,$TM8=WW$1),MAX(WV$2:WV7)+1,"")</f>
        <v/>
      </c>
      <c r="WW8" s="59" t="str">
        <f t="shared" ca="1" si="89"/>
        <v/>
      </c>
      <c r="WX8" s="18" t="str">
        <f ca="1">IF(AND(SUM($UB8:$VY8)&gt;0,$TM8=WY$1),MAX(WX$2:WX7)+1,"")</f>
        <v/>
      </c>
      <c r="WY8" s="59" t="str">
        <f t="shared" ca="1" si="90"/>
        <v/>
      </c>
      <c r="WZ8" s="18">
        <v>7</v>
      </c>
      <c r="XA8" s="59" t="str">
        <f t="shared" ca="1" si="91"/>
        <v/>
      </c>
      <c r="XB8" s="59" t="str">
        <f t="shared" ca="1" si="28"/>
        <v/>
      </c>
      <c r="XC8" s="59" t="str">
        <f t="shared" ca="1" si="29"/>
        <v/>
      </c>
      <c r="XD8" s="59" t="str">
        <f t="shared" ca="1" si="60"/>
        <v/>
      </c>
      <c r="XE8" s="59" t="str">
        <f t="shared" ca="1" si="61"/>
        <v/>
      </c>
      <c r="XF8" s="59" t="str">
        <f t="shared" ca="1" si="62"/>
        <v/>
      </c>
      <c r="XG8" s="59" t="str">
        <f t="shared" ca="1" si="63"/>
        <v/>
      </c>
      <c r="XH8" s="59" t="str">
        <f t="shared" ca="1" si="64"/>
        <v/>
      </c>
      <c r="XI8" s="59" t="str">
        <f t="shared" ca="1" si="65"/>
        <v/>
      </c>
      <c r="XJ8" s="59" t="str">
        <f t="shared" ca="1" si="66"/>
        <v/>
      </c>
      <c r="XK8" s="59" t="str">
        <f t="shared" ca="1" si="67"/>
        <v/>
      </c>
      <c r="XL8" s="59"/>
      <c r="XM8" s="18">
        <f t="shared" si="116"/>
        <v>4</v>
      </c>
      <c r="XN8" s="142" t="str">
        <f t="shared" si="107"/>
        <v>Crab</v>
      </c>
      <c r="XO8" s="142" t="str">
        <f t="shared" si="107"/>
        <v>Beast</v>
      </c>
      <c r="XP8" s="249" t="str">
        <f t="shared" si="107"/>
        <v>Tiny</v>
      </c>
      <c r="XQ8" s="249">
        <f t="shared" si="107"/>
        <v>11</v>
      </c>
      <c r="XR8" s="249">
        <f t="shared" si="107"/>
        <v>2</v>
      </c>
      <c r="XS8" s="142" t="str">
        <f t="shared" si="107"/>
        <v>20ft, swim 20ft</v>
      </c>
      <c r="XT8" s="249">
        <f t="shared" si="107"/>
        <v>2</v>
      </c>
      <c r="XU8" s="249">
        <f t="shared" si="107"/>
        <v>11</v>
      </c>
      <c r="XV8" s="249">
        <f t="shared" si="107"/>
        <v>10</v>
      </c>
      <c r="XW8" s="249">
        <f t="shared" si="107"/>
        <v>1</v>
      </c>
      <c r="XX8" s="249">
        <f t="shared" si="107"/>
        <v>8</v>
      </c>
      <c r="XY8" s="249">
        <f t="shared" si="107"/>
        <v>2</v>
      </c>
      <c r="XZ8" s="142" t="str">
        <f t="shared" si="107"/>
        <v>Stealth +2</v>
      </c>
      <c r="YA8" s="142" t="str">
        <f t="shared" si="107"/>
        <v>passive Perception 9, blindsight 30ft</v>
      </c>
      <c r="YB8" s="142" t="str">
        <f t="shared" si="107"/>
        <v>Claw Melee +0, reach 5ft, 1 bludgeoning</v>
      </c>
      <c r="YC8" s="142" t="str">
        <f t="shared" si="107"/>
        <v>Amphibious. Can breathe air and water</v>
      </c>
      <c r="YD8" s="18"/>
      <c r="YE8" s="18" t="str">
        <f t="shared" ca="1" si="92"/>
        <v/>
      </c>
      <c r="YF8" s="18">
        <f t="shared" si="108"/>
        <v>6</v>
      </c>
      <c r="YG8" s="59" t="str">
        <f t="shared" ca="1" si="70"/>
        <v>FEAT 6</v>
      </c>
      <c r="YH8" s="59" t="str">
        <f>IF(OR(Start!I118="",Start!I118=SelectText),"",Start!I118)</f>
        <v/>
      </c>
      <c r="YI8" s="59" t="str">
        <f t="shared" si="93"/>
        <v/>
      </c>
      <c r="YJ8" s="59" t="str">
        <f t="shared" si="94"/>
        <v/>
      </c>
      <c r="YK8" s="59" t="str">
        <f>""</f>
        <v/>
      </c>
      <c r="YM8" s="18" t="str">
        <f t="shared" si="95"/>
        <v/>
      </c>
      <c r="YN8" s="18" t="str">
        <f t="shared" si="96"/>
        <v/>
      </c>
      <c r="YR8" s="18"/>
      <c r="YS8" s="18" t="str">
        <f t="shared" ca="1" si="97"/>
        <v/>
      </c>
      <c r="YT8" s="18" t="s">
        <v>279</v>
      </c>
      <c r="YU8" s="18">
        <v>4</v>
      </c>
      <c r="YV8" s="18" t="str">
        <f ca="1">VLOOKUP(YY8,$ZE$2:$ZP$23,$ZE$1,FALSE)</f>
        <v/>
      </c>
      <c r="YW8" s="18" t="str">
        <f ca="1">IF(YX8="","",MAX($YW$1:YW7)+1)</f>
        <v/>
      </c>
      <c r="YX8" s="59" t="str">
        <f t="shared" ca="1" si="71"/>
        <v/>
      </c>
      <c r="YY8" s="18" t="str">
        <f t="shared" ca="1" si="72"/>
        <v/>
      </c>
      <c r="YZ8" s="18">
        <f t="shared" si="117"/>
        <v>5</v>
      </c>
      <c r="ZA8" s="18" t="str">
        <f ca="1">IF(ZB8="","",MAX($ZA$2:ZA7)+1)</f>
        <v/>
      </c>
      <c r="ZB8" s="18" t="str">
        <f t="shared" ca="1" si="98"/>
        <v/>
      </c>
      <c r="ZC8" s="18" t="str">
        <f>IF(Start!AF24=SelectText,"",Start!AF24)</f>
        <v/>
      </c>
      <c r="ZD8" s="18" t="str">
        <f>IF(OR(COUNTIF($ZC$4:$ZC8,ZD$2)=0,COUNTIF($ZC$4:$ZC8,ZD$2)=MAX(ZD$2:ZD7)),"-",COUNTIF($ZC$4:$ZC8,ZD$2))</f>
        <v>-</v>
      </c>
      <c r="ZE8" s="18" t="str">
        <f>IF(OR(COUNTIF($ZC$4:$ZC8,ZE$2)=0,COUNTIF($ZC$4:$ZC8,ZE$2)=MAX(ZE$2:ZE7)),"-",COUNTIF($ZC$4:$ZC8,ZE$2))</f>
        <v>-</v>
      </c>
      <c r="ZF8" s="18" t="str">
        <f>IF(OR(COUNTIF($ZC$4:$ZC8,ZF$2)=0,COUNTIF($ZC$4:$ZC8,ZF$2)=MAX(ZF$2:ZF7)),"-",COUNTIF($ZC$4:$ZC8,ZF$2))</f>
        <v>-</v>
      </c>
      <c r="ZG8" s="18" t="str">
        <f>IF(OR(COUNTIF($ZC$4:$ZC8,ZG$2)=0,COUNTIF($ZC$4:$ZC8,ZG$2)=MAX(ZG$2:ZG7)),"-",COUNTIF($ZC$4:$ZC8,ZG$2))</f>
        <v>-</v>
      </c>
      <c r="ZH8" s="18" t="str">
        <f>IF(OR(COUNTIF($ZC$4:$ZC8,ZH$2)=0,COUNTIF($ZC$4:$ZC8,ZH$2)=MAX(ZH$2:ZH7)),"-",COUNTIF($ZC$4:$ZC8,ZH$2))</f>
        <v>-</v>
      </c>
      <c r="ZI8" s="18" t="str">
        <f>IF(OR(COUNTIF($ZC$4:$ZC8,ZI$2)=0,COUNTIF($ZC$4:$ZC8,ZI$2)=MAX(ZI$2:ZI7)),"-",COUNTIF($ZC$4:$ZC8,ZI$2))</f>
        <v>-</v>
      </c>
      <c r="ZJ8" s="18" t="str">
        <f>IF(OR(COUNTIF($ZC$4:$ZC8,ZJ$2)=0,COUNTIF($ZC$4:$ZC8,ZJ$2)=MAX(ZJ$2:ZJ7)),"-",COUNTIF($ZC$4:$ZC8,ZJ$2))</f>
        <v>-</v>
      </c>
      <c r="ZK8" s="18" t="str">
        <f>IF(OR(COUNTIF($ZC$4:$ZC8,ZK$2)=0,COUNTIF($ZC$4:$ZC8,ZK$2)=MAX(ZK$2:ZK7)),"-",COUNTIF($ZC$4:$ZC8,ZK$2))</f>
        <v>-</v>
      </c>
      <c r="ZL8" s="18" t="str">
        <f>IF(OR(COUNTIF($ZC$4:$ZC8,ZL$2)=0,COUNTIF($ZC$4:$ZC8,ZL$2)=MAX(ZL$2:ZL7)),"-",COUNTIF($ZC$4:$ZC8,ZL$2))</f>
        <v>-</v>
      </c>
      <c r="ZM8" s="18" t="str">
        <f>IF(OR(COUNTIF($ZC$4:$ZC8,ZM$2)=0,COUNTIF($ZC$4:$ZC8,ZM$2)=MAX(ZM$2:ZM7)),"-",COUNTIF($ZC$4:$ZC8,ZM$2))</f>
        <v>-</v>
      </c>
      <c r="ZN8" s="18" t="str">
        <f>IF(OR(COUNTIF($ZC$4:$ZC8,ZN$2)=0,COUNTIF($ZC$4:$ZC8,ZN$2)=MAX(ZN$2:ZN7)),"-",COUNTIF($ZC$4:$ZC8,ZN$2))</f>
        <v>-</v>
      </c>
      <c r="ZO8" s="18" t="str">
        <f>IF(OR(COUNTIF($ZC$4:$ZC8,ZO$2)=0,COUNTIF($ZC$4:$ZC8,ZO$2)=MAX(ZO$2:ZO7)),"-",COUNTIF($ZC$4:$ZC8,ZO$2))</f>
        <v>-</v>
      </c>
      <c r="ZP8" s="18">
        <f t="shared" si="118"/>
        <v>5</v>
      </c>
      <c r="ZQ8" s="18" t="s">
        <v>309</v>
      </c>
      <c r="ZR8" s="18">
        <f t="shared" si="31"/>
        <v>5</v>
      </c>
      <c r="ZS8" s="58" t="s">
        <v>1798</v>
      </c>
      <c r="ZT8" s="59" t="str">
        <f>IF(COUNTIF($YH$3:$YH$10,ZS8)&gt;0,$ZS8&amp;"
"&amp;VLOOKUP($ZS8,$YG$14:$YK$77,5,FALSE)&amp;"
","")</f>
        <v/>
      </c>
      <c r="ZU8" s="59" t="str">
        <f>Start!C9</f>
        <v>WISDOM</v>
      </c>
      <c r="ZV8" s="18" t="str">
        <f ca="1">IF(ZV$2=1,IF(VLOOKUP($ZU8,Start!$C$5:$AN$10,18+ZV$3,FALSE)="","",VLOOKUP($ZU8,Start!$C$5:$AN$10,18+ZV$3,FALSE)),"")</f>
        <v/>
      </c>
      <c r="ZW8" s="18" t="str">
        <f ca="1">IF(ZW$2=1,IF(VLOOKUP($ZU8,Start!$C$5:$AN$10,18+ZW$3,FALSE)="","",VLOOKUP($ZU8,Start!$C$5:$AN$10,18+ZW$3,FALSE)),"")</f>
        <v/>
      </c>
      <c r="ZX8" s="18" t="str">
        <f ca="1">IF(ZX$2=1,IF(VLOOKUP($ZU8,Start!$C$5:$AN$10,18+ZX$3,FALSE)="","",VLOOKUP($ZU8,Start!$C$5:$AN$10,18+ZX$3,FALSE)),"")</f>
        <v/>
      </c>
      <c r="ZY8" s="18" t="str">
        <f ca="1">IF(ZY$2=1,IF(VLOOKUP($ZU8,Start!$C$5:$AN$10,18+ZY$3,FALSE)="","",VLOOKUP($ZU8,Start!$C$5:$AN$10,18+ZY$3,FALSE)),"")</f>
        <v/>
      </c>
      <c r="ZZ8" s="18" t="str">
        <f ca="1">IF(ZZ$2=1,IF(VLOOKUP($ZU8,Start!$C$5:$AN$10,18+ZZ$3,FALSE)="","",VLOOKUP($ZU8,Start!$C$5:$AN$10,18+ZZ$3,FALSE)),"")</f>
        <v/>
      </c>
      <c r="AAA8" s="18" t="str">
        <f ca="1">IF(AAA$2=1,IF(VLOOKUP($ZU8,Start!$C$5:$AN$10,18+AAA$3,FALSE)="","",VLOOKUP($ZU8,Start!$C$5:$AN$10,18+AAA$3,FALSE)),"")</f>
        <v/>
      </c>
      <c r="AAB8" s="18" t="str">
        <f ca="1">IF(AAB$2=1,IF(VLOOKUP($ZU8,Start!$C$5:$AN$10,18+AAB$3,FALSE)="","",VLOOKUP($ZU8,Start!$C$5:$AN$10,18+AAB$3,FALSE)),"")</f>
        <v/>
      </c>
      <c r="AAC8" s="18" t="str">
        <f ca="1">IF(AAC$2=1,IF(VLOOKUP($ZU8,Start!$C$5:$AN$10,18+AAC$3,FALSE)="","",VLOOKUP($ZU8,Start!$C$5:$AN$10,18+AAC$3,FALSE)),"")</f>
        <v/>
      </c>
      <c r="AAD8" s="18" t="str">
        <f ca="1">IF(AAD$2=1,IF(VLOOKUP($ZU8,Start!$C$5:$AN$10,18+AAD$3,FALSE)="","",VLOOKUP($ZU8,Start!$C$5:$AN$10,18+AAD$3,FALSE)),"")</f>
        <v/>
      </c>
      <c r="AAE8" s="18" t="str">
        <f ca="1">IF(AAE$2=1,IF(VLOOKUP($ZU8,Start!$C$5:$AN$10,18+AAE$3,FALSE)="","",VLOOKUP($ZU8,Start!$C$5:$AN$10,18+AAE$3,FALSE)),"")</f>
        <v/>
      </c>
      <c r="AAF8" s="18" t="str">
        <f ca="1">IF(AAF$2=1,IF(VLOOKUP($ZU8,Start!$C$5:$AN$10,18+AAF$3,FALSE)="","",VLOOKUP($ZU8,Start!$C$5:$AN$10,18+AAF$3,FALSE)),"")</f>
        <v/>
      </c>
      <c r="AAG8" s="18" t="str">
        <f ca="1">IF(AAG$2=1,IF(VLOOKUP($ZU8,Start!$C$5:$AN$10,18+AAG$3,FALSE)="","",VLOOKUP($ZU8,Start!$C$5:$AN$10,18+AAG$3,FALSE)),"")</f>
        <v/>
      </c>
      <c r="AAH8" s="18" t="str">
        <f ca="1">IF(AAH$2=1,IF(VLOOKUP($ZU8,Start!$C$5:$AN$10,18+AAH$3,FALSE)="","",VLOOKUP($ZU8,Start!$C$5:$AN$10,18+AAH$3,FALSE)),"")</f>
        <v/>
      </c>
      <c r="AAI8" s="18" t="str">
        <f ca="1">IF(AAI$2=1,IF(VLOOKUP($ZU8,Start!$C$5:$AN$10,18+AAI$3,FALSE)="","",VLOOKUP($ZU8,Start!$C$5:$AN$10,18+AAI$3,FALSE)),"")</f>
        <v/>
      </c>
      <c r="AAJ8" s="18" t="str">
        <f ca="1">IF(AAJ$2=1,IF(VLOOKUP($ZU8,Start!$C$5:$AN$10,18+AAJ$3,FALSE)="","",VLOOKUP($ZU8,Start!$C$5:$AN$10,18+AAJ$3,FALSE)),"")</f>
        <v/>
      </c>
      <c r="AAK8" s="18" t="str">
        <f ca="1">IF(AAK$2=1,IF(VLOOKUP($ZU8,Start!$C$5:$AN$10,18+AAK$3,FALSE)="","",VLOOKUP($ZU8,Start!$C$5:$AN$10,18+AAK$3,FALSE)),"")</f>
        <v/>
      </c>
      <c r="AAL8" s="18" t="str">
        <f ca="1">IF(AAL$2=1,IF(VLOOKUP($ZU8,Start!$C$5:$AN$10,18+AAL$3,FALSE)="","",VLOOKUP($ZU8,Start!$C$5:$AN$10,18+AAL$3,FALSE)),"")</f>
        <v/>
      </c>
      <c r="AAM8" s="18" t="str">
        <f ca="1">IF(AAM$2=1,IF(VLOOKUP($ZU8,Start!$C$5:$AN$10,18+AAM$3,FALSE)="","",VLOOKUP($ZU8,Start!$C$5:$AN$10,18+AAM$3,FALSE)),"")</f>
        <v/>
      </c>
      <c r="AAN8" s="18" t="str">
        <f ca="1">IF(AAN$2=1,IF(VLOOKUP($ZU8,Start!$C$5:$AN$10,18+AAN$3,FALSE)="","",VLOOKUP($ZU8,Start!$C$5:$AN$10,18+AAN$3,FALSE)),"")</f>
        <v/>
      </c>
      <c r="AAO8" s="18" t="str">
        <f ca="1">IF(AAO$2=1,IF(VLOOKUP($ZU8,Start!$C$5:$AN$10,18+AAO$3,FALSE)="","",VLOOKUP($ZU8,Start!$C$5:$AN$10,18+AAO$3,FALSE)),"")</f>
        <v/>
      </c>
      <c r="AAP8" s="18">
        <f t="shared" ca="1" si="99"/>
        <v>0</v>
      </c>
    </row>
    <row r="9" spans="1:718" ht="9.9499999999999993" customHeight="1" x14ac:dyDescent="0.25">
      <c r="A9" s="391" t="s">
        <v>212</v>
      </c>
      <c r="B9" s="391" t="s">
        <v>195</v>
      </c>
      <c r="C9" s="391">
        <v>30</v>
      </c>
      <c r="D9" s="391" t="s">
        <v>319</v>
      </c>
      <c r="E9" s="399" t="str">
        <f>"• +2 Strength, +1 Charisma
• Size: Medium
• Speed: 30ft
• Draconic Ancestry: "&amp;IF(Race=A9,Subrace,"Choose Draconic Ancestry")&amp;"
• Breath Weapon: use your action to exhale destructive energy. Short rest to reuse.
• Damage Resistance: "&amp;IF(Race=A9,VLOOKUP(Subrace,U16:W25,3,FALSE),"Choose Draconic Ancestry")&amp;"
• Languages: Draconic, Common"</f>
        <v>• +2 Strength, +1 Charisma
• Size: Medium
• Speed: 30ft
• Draconic Ancestry: Choose Draconic Ancestry
• Breath Weapon: use your action to exhale destructive energy. Short rest to reuse.
• Damage Resistance: Choose Draconic Ancestry
• Languages: Draconic, Common</v>
      </c>
      <c r="F9" s="393" t="s">
        <v>356</v>
      </c>
      <c r="G9" s="393">
        <v>2</v>
      </c>
      <c r="H9" s="393" t="s">
        <v>187</v>
      </c>
      <c r="I9" s="393">
        <v>0</v>
      </c>
      <c r="J9" s="393" t="s">
        <v>187</v>
      </c>
      <c r="K9" s="391">
        <v>0</v>
      </c>
      <c r="L9" s="402">
        <v>2</v>
      </c>
      <c r="M9" s="402" t="str">
        <f>""</f>
        <v/>
      </c>
      <c r="N9" s="402" t="str">
        <f>""</f>
        <v/>
      </c>
      <c r="O9" s="402" t="str">
        <f>""</f>
        <v/>
      </c>
      <c r="P9" s="402" t="str">
        <f>""</f>
        <v/>
      </c>
      <c r="Q9" s="402">
        <v>1</v>
      </c>
      <c r="R9" s="742" t="s">
        <v>3125</v>
      </c>
      <c r="S9" s="742" t="s">
        <v>2669</v>
      </c>
      <c r="T9" s="742" t="s">
        <v>2670</v>
      </c>
      <c r="U9" s="393" t="s">
        <v>213</v>
      </c>
      <c r="V9" s="399" t="str">
        <f>"• +1 Charisma
• Sunlight Sensitivity: disadvantage on attack rolls and Wisdom [Perception] checks in sunlight
• Drow Magic: dancing lights"&amp;IF(CharacterLevel&gt;=3,", farie fire","")&amp;IF(CharacterLevel&gt;=5,", darkness","")&amp;" (Cha)
• Drow Weapon Training: proficiency with rapiers, shortswords and hand crossbows"</f>
        <v>• +1 Charisma
• Sunlight Sensitivity: disadvantage on attack rolls and Wisdom [Perception] checks in sunlight
• Drow Magic: dancing lights (Cha)
• Drow Weapon Training: proficiency with rapiers, shortswords and hand crossbows</v>
      </c>
      <c r="W9" s="399"/>
      <c r="X9" s="18" t="str">
        <f>IF(Y9="","",MAX($X$3:X8)+1)</f>
        <v/>
      </c>
      <c r="Y9" s="58" t="str">
        <f>IF(A6=$A$3,U9,"")</f>
        <v/>
      </c>
      <c r="Z9" s="18">
        <f t="shared" si="109"/>
        <v>6</v>
      </c>
      <c r="AA9" s="18" t="str">
        <f t="shared" si="74"/>
        <v/>
      </c>
      <c r="AB9" s="18"/>
      <c r="AC9"/>
      <c r="AD9" s="18"/>
      <c r="AE9" s="59" t="s">
        <v>823</v>
      </c>
      <c r="AF9" s="59" t="s">
        <v>830</v>
      </c>
      <c r="AG9" s="59" t="s">
        <v>2850</v>
      </c>
      <c r="AH9" s="59" t="s">
        <v>824</v>
      </c>
      <c r="AI9" s="18">
        <v>2</v>
      </c>
      <c r="AJ9" s="59" t="s">
        <v>825</v>
      </c>
      <c r="AK9" s="18">
        <v>2</v>
      </c>
      <c r="AL9" s="59" t="s">
        <v>187</v>
      </c>
      <c r="AM9" s="18">
        <v>0</v>
      </c>
      <c r="AN9" s="18"/>
      <c r="AO9" s="18">
        <f t="shared" si="119"/>
        <v>8</v>
      </c>
      <c r="AP9" s="59" t="str">
        <f t="shared" si="100"/>
        <v/>
      </c>
      <c r="AQ9" s="59" t="str">
        <f>""</f>
        <v/>
      </c>
      <c r="AR9" s="59" t="s">
        <v>1056</v>
      </c>
      <c r="AS9" s="59" t="s">
        <v>2427</v>
      </c>
      <c r="AT9" s="59" t="s">
        <v>1082</v>
      </c>
      <c r="AU9" s="59" t="s">
        <v>2461</v>
      </c>
      <c r="AV9" s="59" t="s">
        <v>1125</v>
      </c>
      <c r="AW9" s="59" t="s">
        <v>2507</v>
      </c>
      <c r="AX9" s="59" t="s">
        <v>2540</v>
      </c>
      <c r="AY9" s="58" t="s">
        <v>1152</v>
      </c>
      <c r="AZ9" s="58" t="s">
        <v>2576</v>
      </c>
      <c r="BA9" s="59" t="s">
        <v>1019</v>
      </c>
      <c r="BB9" s="59" t="s">
        <v>2602</v>
      </c>
      <c r="BC9" s="58" t="s">
        <v>1178</v>
      </c>
      <c r="BD9" s="58" t="s">
        <v>2370</v>
      </c>
      <c r="BE9" s="18" t="str">
        <f>""</f>
        <v/>
      </c>
      <c r="BI9" s="58" t="s">
        <v>315</v>
      </c>
      <c r="BJ9" s="48">
        <v>8</v>
      </c>
      <c r="BK9" s="49" t="str">
        <f>IF(BL9=0,"",MAX($BK$6:BK8)+1)</f>
        <v/>
      </c>
      <c r="BL9" s="388">
        <f>COUNTIF(Start!$AF$20:$AF$39,Tables!BI9)</f>
        <v>0</v>
      </c>
      <c r="BM9" s="220" t="str">
        <f ca="1">IF(OR(BK9="",BO9=""),"",MAX($BM$6:BM8)+1)</f>
        <v/>
      </c>
      <c r="BN9" s="59" t="str">
        <f ca="1">IF(RogueArcaneTricksterLevel&gt;0,"Rogue","")</f>
        <v/>
      </c>
      <c r="BO9" s="18" t="str">
        <f ca="1">IF(RogueArcaneTricksterLevel&gt;0,"INT","")</f>
        <v/>
      </c>
      <c r="BP9" s="49" t="str">
        <f t="shared" si="120"/>
        <v/>
      </c>
      <c r="BQ9" s="744" t="s">
        <v>796</v>
      </c>
      <c r="BR9" s="49">
        <v>3</v>
      </c>
      <c r="BS9" s="458"/>
      <c r="BT9" s="458"/>
      <c r="BV9" s="49">
        <v>10</v>
      </c>
      <c r="BW9" s="437">
        <v>0</v>
      </c>
      <c r="BX9" s="458">
        <v>0</v>
      </c>
      <c r="BY9" s="458" t="str">
        <f>""</f>
        <v/>
      </c>
      <c r="BZ9" s="94" t="s">
        <v>338</v>
      </c>
      <c r="CA9" s="94" t="s">
        <v>338</v>
      </c>
      <c r="CB9" s="456" t="s">
        <v>793</v>
      </c>
      <c r="CC9" s="456" t="s">
        <v>187</v>
      </c>
      <c r="CD9" s="456" t="s">
        <v>342</v>
      </c>
      <c r="CE9" s="458">
        <v>1</v>
      </c>
      <c r="CF9" s="456" t="s">
        <v>342</v>
      </c>
      <c r="CG9" s="458">
        <v>1</v>
      </c>
      <c r="CH9" s="456" t="s">
        <v>794</v>
      </c>
      <c r="CI9" s="456" t="s">
        <v>795</v>
      </c>
      <c r="CJ9" s="458">
        <v>4</v>
      </c>
      <c r="CK9" s="456" t="s">
        <v>1901</v>
      </c>
      <c r="CL9" s="458">
        <v>1</v>
      </c>
      <c r="CM9" s="59" t="str">
        <f>"• Expertise ("&amp;Start!AJ63&amp;", "&amp;Start!AJ64&amp;"), Sneak Attack ("&amp;IF(RogueLevel&gt;DD6,"10d6)",IF(RogueLevel&gt;DB6,"9d6)",IF(RogueLevel&gt;CZ6,"8d6)",IF(RogueLevel&gt;CX6,"7d6)",IF(RogueLevel&gt;CV6,"6d6)",IF(RogueLevel&gt;CT6,"5d6)",IF(RogueLevel&gt;CR6,"4d6)",IF(RogueLevel&gt;CP6,"3d6)",IF(RogueLevel&gt;CN6,"2d6)","1d6)")))))))))&amp;", Thieves' Cant"&amp;"
"</f>
        <v xml:space="preserve">• Expertise (Select…, Select…), Sneak Attack (1d6), Thieves' Cant
</v>
      </c>
      <c r="CN9" s="59" t="str">
        <f>"• Cunning Action
"</f>
        <v xml:space="preserve">• Cunning Action
</v>
      </c>
      <c r="CO9" s="59" t="e">
        <f>"• Roguish Archetype ("&amp;VLOOKUP($BI9,$BN$3:$BQ$5,4,FALSE)&amp;")
• Roguish Archetype Feature ("&amp;VLOOKUP($BI9,$DM$3:$EH$5,DQ$2-1,FALSE)&amp;")
"</f>
        <v>#N/A</v>
      </c>
      <c r="CP9" s="59" t="str">
        <f>IF(RogueLevel&gt;=DE$6,"• Ability Score Improvement / Feat: level "&amp;DE$6&amp;", "&amp;DB$6&amp;", "&amp;CX$6&amp;", "&amp;CV$6&amp;", "&amp;CT$6&amp;", "&amp;CP$6,IF(RogueLevel&gt;=DB$6,"• Ability Score Improvement / Feat: level "&amp;DB$6&amp;", "&amp;CX$6&amp;", "&amp;CV$6&amp;", "&amp;CT$6&amp;", "&amp;CP$6,IF(RogueLevel&gt;=CX$6,"• Ability Score Improvement / Feat: level "&amp;CX$6&amp;", "&amp;CV$6&amp;", "&amp;CT$6&amp;", "&amp;CP$6,IF(RogueLevel&gt;=CV$6,"• Ability Score Improvement / Feat: level "&amp;CV$6&amp;", "&amp;CT$6&amp;", "&amp;CP$6,IF(RogueLevel&gt;=CT$6,"• Ability Score Improvement / Feat : level "&amp;CT$6&amp;", "&amp;CP$6,"• Ability Score Improvement / Feat: level "&amp;CP$6)))))&amp;"
"</f>
        <v xml:space="preserve">• Ability Score Improvement / Feat: level 4
</v>
      </c>
      <c r="CQ9" s="59" t="str">
        <f>"• Uncanny Dodge
"</f>
        <v xml:space="preserve">• Uncanny Dodge
</v>
      </c>
      <c r="CR9" s="59" t="str">
        <f>"• Expertise ("&amp;Start!AJ65&amp;", "&amp;Start!AJ66&amp;")
"</f>
        <v xml:space="preserve">• Expertise (Select…, Select…)
</v>
      </c>
      <c r="CS9" s="59" t="str">
        <f>"• Evasion
"</f>
        <v xml:space="preserve">• Evasion
</v>
      </c>
      <c r="CT9" s="59" t="str">
        <f>""</f>
        <v/>
      </c>
      <c r="CU9" s="59" t="e">
        <f>"• Roguish Archetype Feature ("&amp;VLOOKUP($BI9,$DM$3:$EH$5,DW$2-1,FALSE)&amp;")
"</f>
        <v>#N/A</v>
      </c>
      <c r="CV9" s="59" t="str">
        <f>""</f>
        <v/>
      </c>
      <c r="CW9" s="59" t="str">
        <f>"• Reliable Talent
"</f>
        <v xml:space="preserve">• Reliable Talent
</v>
      </c>
      <c r="CX9" s="59" t="str">
        <f>""</f>
        <v/>
      </c>
      <c r="CY9" s="59" t="e">
        <f>"• Roguish Archetype Feature ("&amp;VLOOKUP($BI9,$DM$3:$EH$5,EA$2-1,FALSE)&amp;")
"</f>
        <v>#N/A</v>
      </c>
      <c r="CZ9" s="59" t="str">
        <f>"• Blindsense
"</f>
        <v xml:space="preserve">• Blindsense
</v>
      </c>
      <c r="DA9" s="59" t="str">
        <f>"• Slippery Mind
"</f>
        <v xml:space="preserve">• Slippery Mind
</v>
      </c>
      <c r="DB9" s="59" t="str">
        <f>""</f>
        <v/>
      </c>
      <c r="DC9" s="59" t="e">
        <f>"• Rogue Style Feature ("&amp;VLOOKUP($BI9,$DM$3:$EH$5,EE$2-1,FALSE)&amp;")
"</f>
        <v>#N/A</v>
      </c>
      <c r="DD9" s="59" t="str">
        <f>"• Elusive
"</f>
        <v xml:space="preserve">• Elusive
</v>
      </c>
      <c r="DE9" s="59" t="str">
        <f>""</f>
        <v/>
      </c>
      <c r="DF9" s="59" t="str">
        <f>"• Stroke of Luck
"</f>
        <v xml:space="preserve">• Stroke of Luck
</v>
      </c>
      <c r="DK9" s="103" t="s">
        <v>734</v>
      </c>
      <c r="DL9" s="59" t="s">
        <v>91</v>
      </c>
      <c r="DM9" s="18" t="s">
        <v>226</v>
      </c>
      <c r="DN9" s="18">
        <f t="shared" ca="1" si="121"/>
        <v>0</v>
      </c>
      <c r="DO9" s="58" t="str">
        <f>"Bonus cantrip (light)
• Divine Domain Feature (Warding Flare: "&amp;IF(WISMod&lt;1,1,WISMod)&amp;" times per day, reaction disadvantage to attack)
• Domain Spells"&amp;"
"&amp;EI9</f>
        <v xml:space="preserve">Bonus cantrip (light)
• Divine Domain Feature (Warding Flare: 1 times per day, reaction disadvantage to attack)
• Domain Spells
</v>
      </c>
      <c r="DP9" s="59" t="s">
        <v>439</v>
      </c>
      <c r="DQ9" s="58" t="str">
        <f>""</f>
        <v/>
      </c>
      <c r="DR9" s="59" t="str">
        <f>""</f>
        <v/>
      </c>
      <c r="DS9" s="59" t="str">
        <f>""</f>
        <v/>
      </c>
      <c r="DT9" s="59" t="s">
        <v>1844</v>
      </c>
      <c r="DU9" s="59" t="str">
        <f>""</f>
        <v/>
      </c>
      <c r="DV9" s="59" t="s">
        <v>1835</v>
      </c>
      <c r="DW9" s="59" t="str">
        <f>""</f>
        <v/>
      </c>
      <c r="DX9" s="59" t="str">
        <f>""</f>
        <v/>
      </c>
      <c r="DY9" s="59" t="str">
        <f>""</f>
        <v/>
      </c>
      <c r="DZ9" s="59" t="str">
        <f>""</f>
        <v/>
      </c>
      <c r="EA9" s="59" t="str">
        <f>""</f>
        <v/>
      </c>
      <c r="EB9" s="59" t="str">
        <f>""</f>
        <v/>
      </c>
      <c r="EC9" s="59" t="str">
        <f>""</f>
        <v/>
      </c>
      <c r="ED9" s="59" t="str">
        <f>""</f>
        <v/>
      </c>
      <c r="EE9" s="59" t="s">
        <v>421</v>
      </c>
      <c r="EF9" s="59" t="str">
        <f>""</f>
        <v/>
      </c>
      <c r="EG9" s="59" t="str">
        <f>""</f>
        <v/>
      </c>
      <c r="EH9" s="58" t="str">
        <f>""</f>
        <v/>
      </c>
      <c r="EI9" s="103" t="str">
        <f>IF(ClericLevel&gt;=9,"  1st (burning hands, faerie fire)
  3rd (flaming sphere, scorching ray)
  5th (daylight, fireball)
  7th (guardian of faith, wall of fire)
  9th (flame strike, scrying)",IF(ClericLevel&gt;=7,"  1st (burning hands, faerie fire)
  3rd (flaming sphere, scorching ray)
  5th (daylight, fireball)
  7th (guardian of faith, wall of fire)",IF(ClericLevel&gt;=5,"  1st (burning hands, faerie fire)
  3rd (flaming sphere, scorching ray)
  5th (daylight, fireball)",IF(ClericLevel&gt;=3,"  1st (burning hands, faerie fire)
  3rd (flaming sphere, scorching ray)",IF(ClericLevel&gt;=1,"  1st (burning hands, faerie fire)","")))))</f>
        <v/>
      </c>
      <c r="EJ9" s="442" t="str">
        <f>IF(ClericLevel&gt;=1,$DM9&amp;" (burning hands, faerie fire)
","")</f>
        <v/>
      </c>
      <c r="EK9" s="442"/>
      <c r="EL9" s="442" t="str">
        <f>IF(ClericLevel&gt;=3,$DM9&amp;" (flaming sphere, scorching ray)
","")</f>
        <v/>
      </c>
      <c r="EM9" s="442"/>
      <c r="EN9" s="442" t="str">
        <f>IF(ClericLevel&gt;=5,$DM9&amp;" (daylight, fireball)
","")</f>
        <v/>
      </c>
      <c r="EO9" s="442"/>
      <c r="EP9" s="442" t="str">
        <f>IF(ClericLevel&gt;=7,$DM9&amp;" (guardian of faith, wall of fire)
","")</f>
        <v/>
      </c>
      <c r="EQ9" s="442"/>
      <c r="ER9" s="442" t="str">
        <f>IF(ClericLevel&gt;=9,$DM9&amp;" (flame strike, scrying)
","")</f>
        <v/>
      </c>
      <c r="ES9" s="442"/>
      <c r="ET9" s="59" t="str">
        <f>""</f>
        <v/>
      </c>
      <c r="EU9" s="18" t="str">
        <f>""</f>
        <v/>
      </c>
      <c r="EV9" s="59" t="str">
        <f>""</f>
        <v/>
      </c>
      <c r="EW9" s="18" t="str">
        <f>""</f>
        <v/>
      </c>
      <c r="EX9" s="59" t="str">
        <f>""</f>
        <v/>
      </c>
      <c r="EY9" s="18" t="str">
        <f>""</f>
        <v/>
      </c>
      <c r="EZ9" s="18"/>
      <c r="FA9" s="18" t="str">
        <f>IF($DM9=FB$5,MAX(FA$6:FA8)+1,"")</f>
        <v/>
      </c>
      <c r="FB9" s="58" t="str">
        <f t="shared" si="122"/>
        <v/>
      </c>
      <c r="FC9" s="18">
        <v>4</v>
      </c>
      <c r="FD9" s="58" t="str">
        <f t="shared" si="112"/>
        <v/>
      </c>
      <c r="FE9" s="18" t="str">
        <f>IF($DM9=FF$5,MAX(FE$6:FE8)+1,"")</f>
        <v/>
      </c>
      <c r="FF9" s="58" t="str">
        <f t="shared" si="123"/>
        <v/>
      </c>
      <c r="FG9" s="18">
        <v>4</v>
      </c>
      <c r="FH9" s="58" t="str">
        <f t="shared" si="113"/>
        <v/>
      </c>
      <c r="FI9" s="18" t="str">
        <f>IF($DM9=FJ$5,MAX(FI$6:FI8)+1,"")</f>
        <v/>
      </c>
      <c r="FJ9" s="58" t="str">
        <f t="shared" si="124"/>
        <v/>
      </c>
      <c r="FK9" s="18">
        <v>4</v>
      </c>
      <c r="FL9" s="58" t="str">
        <f t="shared" si="114"/>
        <v/>
      </c>
      <c r="FM9" s="58" t="s">
        <v>1888</v>
      </c>
      <c r="FN9" s="59">
        <f>Start!L70</f>
        <v>0</v>
      </c>
      <c r="FO9" s="18" t="str">
        <f>IF($FM9=$FP9,MAX(FO$3:FO8)+1,"")</f>
        <v/>
      </c>
      <c r="FP9" s="59" t="str">
        <f t="shared" si="101"/>
        <v/>
      </c>
      <c r="FQ9" s="18">
        <f t="shared" si="102"/>
        <v>7</v>
      </c>
      <c r="FR9" s="59" t="str">
        <f t="shared" si="75"/>
        <v/>
      </c>
      <c r="FS9" s="18"/>
      <c r="FT9" s="18"/>
      <c r="FU9" s="18"/>
      <c r="FV9" s="18"/>
      <c r="FW9" s="18">
        <v>2</v>
      </c>
      <c r="FX9" s="59" t="str">
        <f t="shared" si="125"/>
        <v/>
      </c>
      <c r="GB9" s="59" t="s">
        <v>3421</v>
      </c>
      <c r="GC9" s="142" t="s">
        <v>3476</v>
      </c>
      <c r="GD9" s="142">
        <v>7</v>
      </c>
      <c r="GE9" s="59">
        <v>7</v>
      </c>
      <c r="GF9" s="59" t="str">
        <f t="shared" si="40"/>
        <v/>
      </c>
      <c r="GG9" s="59" t="str">
        <f t="shared" si="41"/>
        <v>MANEUVER 7</v>
      </c>
      <c r="GH9" s="732" t="str">
        <f>Start!AJ84</f>
        <v>Select…</v>
      </c>
      <c r="GI9" s="732" t="str">
        <f t="shared" si="42"/>
        <v/>
      </c>
      <c r="GJ9" s="99" t="str">
        <f t="shared" si="43"/>
        <v/>
      </c>
      <c r="GK9" s="59" t="str">
        <f>""</f>
        <v/>
      </c>
      <c r="GL9" s="18"/>
      <c r="GM9" s="18"/>
      <c r="GN9" s="18"/>
      <c r="GO9" s="18"/>
      <c r="GP9" s="18"/>
      <c r="GQ9" s="59" t="s">
        <v>2804</v>
      </c>
      <c r="GR9" s="142" t="s">
        <v>3491</v>
      </c>
      <c r="GS9" s="18">
        <v>3</v>
      </c>
      <c r="GT9" s="18">
        <v>2</v>
      </c>
      <c r="GU9" s="18" t="str">
        <f ca="1">IF(GV9="","",MAX($GU$3:GU8)+1)</f>
        <v/>
      </c>
      <c r="GV9" s="59" t="str">
        <f t="shared" ca="1" si="76"/>
        <v/>
      </c>
      <c r="GW9" s="18">
        <f t="shared" si="103"/>
        <v>7</v>
      </c>
      <c r="GX9" s="59" t="str">
        <f t="shared" ca="1" si="44"/>
        <v/>
      </c>
      <c r="GY9" s="59"/>
      <c r="HK9" s="58" t="s">
        <v>2897</v>
      </c>
      <c r="HL9" s="59" t="str">
        <f>""</f>
        <v/>
      </c>
      <c r="HM9" s="58" t="s">
        <v>2911</v>
      </c>
      <c r="HT9" s="103" t="s">
        <v>230</v>
      </c>
      <c r="HX9" s="59" t="str">
        <f>SelectText</f>
        <v>Select…</v>
      </c>
      <c r="IB9" s="59" t="s">
        <v>3120</v>
      </c>
      <c r="IC9" s="142" t="s">
        <v>3468</v>
      </c>
      <c r="ID9" s="58" t="str">
        <f>""</f>
        <v/>
      </c>
      <c r="IH9" s="18" t="str">
        <f>IF(IJ9=1,MAX($IH$2:IH8)+1,"")</f>
        <v/>
      </c>
      <c r="II9" s="58" t="s">
        <v>3299</v>
      </c>
      <c r="IJ9" s="59" t="str">
        <f>IF(Start!AJ54="Pact of the Tome",1,"")</f>
        <v/>
      </c>
      <c r="IK9" s="215" t="str">
        <f>"   You can now inscribe magical rituals in your Book of Shadows. Choose two 1st-level spells that have the ritual tag from any
   class’s spell list. The spells appear in the book and don’t count against the number of spells you know."&amp;" With your Book of
   Shadows in hand, you can cast the chosen spells as rituals. You can’t cast the spells except as rituals, unless you’ve learned
   them by some other means."&amp;" You can also cast a warlock spell you know as a ritual if it has the ritual tag. On your
   adventures, you can add other ritual spells to your Book of Shadows. When you find such a spell, "&amp;"you can add it to the
   book if the spell’s level is equal to or less than "&amp;ROUNDUP(WarlockLevel/2,0)&amp;" and if you can spare the time to transcribe the spell."&amp;" For each
   level of the spell, the transcription process takes 2 hours and costs 50 gp for the rare inks needed to inscribe it."</f>
        <v xml:space="preserve">   You can now inscribe magical rituals in your Book of Shadows. Choose two 1st-level spells that have the ritual tag from any
   class’s spell list. The spells appear in the book and don’t count against the number of spells you know. With your Book of
   Shadows in hand, you can cast the chosen spells as rituals. You can’t cast the spells except as rituals, unless you’ve learned
   them by some other means. You can also cast a warlock spell you know as a ritual if it has the ritual tag. On your
   adventures, you can add other ritual spells to your Book of Shadows. When you find such a spell, you can add it to the
   book if the spell’s level is equal to or less than 0 and if you can spare the time to transcribe the spell. For each
   level of the spell, the transcription process takes 2 hours and costs 50 gp for the rare inks needed to inscribe it.</v>
      </c>
      <c r="IL9" s="18">
        <f t="shared" si="105"/>
        <v>7</v>
      </c>
      <c r="IM9" s="59" t="str">
        <f t="shared" si="77"/>
        <v>Fiendish Vigor</v>
      </c>
      <c r="IN9" s="59">
        <v>6</v>
      </c>
      <c r="IO9" s="59" t="str">
        <f t="shared" si="106"/>
        <v/>
      </c>
      <c r="IP9" s="59" t="str">
        <f>IF($IO$3&gt;=IN9,"Warlock Level 11","INVOCATION 6")</f>
        <v>INVOCATION 6</v>
      </c>
      <c r="IQ9" s="142" t="str">
        <f>Start!AJ118</f>
        <v>Select…</v>
      </c>
      <c r="IR9" s="142" t="str">
        <f t="shared" si="78"/>
        <v/>
      </c>
      <c r="IS9" s="59"/>
      <c r="IT9" s="59"/>
      <c r="IU9" s="18" t="s">
        <v>3559</v>
      </c>
      <c r="IV9" s="59" t="s">
        <v>199</v>
      </c>
      <c r="IW9" s="58" t="s">
        <v>207</v>
      </c>
      <c r="IX9" s="59" t="s">
        <v>1475</v>
      </c>
      <c r="IY9" s="59" t="s">
        <v>935</v>
      </c>
      <c r="IZ9" s="59" t="s">
        <v>201</v>
      </c>
      <c r="JA9" s="59" t="s">
        <v>890</v>
      </c>
      <c r="JB9" s="59" t="s">
        <v>891</v>
      </c>
      <c r="JC9" s="18">
        <f>IF(JD9="","",MAX($JC$1:JC8)+1)</f>
        <v>7</v>
      </c>
      <c r="JD9" s="58" t="s">
        <v>266</v>
      </c>
      <c r="JE9" s="58" t="s">
        <v>262</v>
      </c>
      <c r="JF9" s="18">
        <v>8</v>
      </c>
      <c r="JG9" s="59" t="str">
        <f t="shared" si="27"/>
        <v>Halfling</v>
      </c>
      <c r="JH9" s="18">
        <v>8</v>
      </c>
      <c r="JI9" s="60">
        <v>34000</v>
      </c>
      <c r="JJ9" s="18">
        <v>8</v>
      </c>
      <c r="JK9" s="18">
        <v>3</v>
      </c>
      <c r="JL9" s="18"/>
      <c r="JM9" s="18">
        <v>7</v>
      </c>
      <c r="JN9" s="80">
        <f t="shared" ca="1" si="45"/>
        <v>4</v>
      </c>
      <c r="JO9" s="80">
        <f t="shared" ca="1" si="45"/>
        <v>3</v>
      </c>
      <c r="JP9" s="80">
        <f t="shared" ca="1" si="45"/>
        <v>3</v>
      </c>
      <c r="JQ9" s="80">
        <f t="shared" ca="1" si="45"/>
        <v>1</v>
      </c>
      <c r="JR9" s="80" t="str">
        <f t="shared" ca="1" si="45"/>
        <v>-</v>
      </c>
      <c r="JS9" s="80" t="str">
        <f t="shared" ca="1" si="45"/>
        <v>-</v>
      </c>
      <c r="JT9" s="80" t="str">
        <f t="shared" ca="1" si="45"/>
        <v>-</v>
      </c>
      <c r="JU9" s="80" t="str">
        <f t="shared" ca="1" si="45"/>
        <v>-</v>
      </c>
      <c r="JV9" s="80" t="str">
        <f t="shared" ca="1" si="45"/>
        <v>-</v>
      </c>
      <c r="JW9" s="80">
        <f t="shared" ca="1" si="45"/>
        <v>4</v>
      </c>
      <c r="JX9" s="18" t="b">
        <f ca="1">IF(OR(AND(SUMPRODUCT(--(LEN($BO$3:$BO$5)&gt;1))&gt;=3,WarlockLevel&gt;0),AND(SUMPRODUCT(--(LEN($BO$3:$BO$5)&gt;1))&gt;=2,WarlockLevel=0)),TRUE,FALSE)</f>
        <v>0</v>
      </c>
      <c r="JY9" s="73" t="s">
        <v>288</v>
      </c>
      <c r="JZ9" s="18" t="s">
        <v>34</v>
      </c>
      <c r="KA9" s="98" t="s">
        <v>3276</v>
      </c>
      <c r="KB9" s="98" t="e">
        <f ca="1">VLOOKUP(FighterEldritchKnightLevel,$KD$1:$KJ$22,$KC9,FALSE)</f>
        <v>#N/A</v>
      </c>
      <c r="KC9" s="18">
        <v>4</v>
      </c>
      <c r="KD9" s="18">
        <v>7</v>
      </c>
      <c r="KE9" s="302">
        <v>5</v>
      </c>
      <c r="KF9" s="302">
        <v>10</v>
      </c>
      <c r="KG9" s="302">
        <v>5</v>
      </c>
      <c r="KH9" s="302">
        <v>5</v>
      </c>
      <c r="KI9" s="302">
        <v>8</v>
      </c>
      <c r="KJ9" s="302">
        <v>8</v>
      </c>
      <c r="KK9" s="18">
        <v>7</v>
      </c>
      <c r="KL9" s="98">
        <v>4</v>
      </c>
      <c r="KM9" s="98">
        <v>4</v>
      </c>
      <c r="KN9" s="98">
        <v>2</v>
      </c>
      <c r="KO9" s="98">
        <v>3</v>
      </c>
      <c r="KP9" s="98">
        <v>3</v>
      </c>
      <c r="KQ9" s="98">
        <v>5</v>
      </c>
      <c r="KR9" s="80">
        <v>3</v>
      </c>
      <c r="KS9" s="73"/>
      <c r="KT9" s="18"/>
      <c r="KU9" s="983"/>
      <c r="KV9" s="18"/>
      <c r="KW9" s="968"/>
      <c r="KX9" s="968"/>
      <c r="KY9" s="968"/>
      <c r="KZ9" s="968"/>
      <c r="LA9" s="967"/>
      <c r="LB9" s="967"/>
      <c r="LC9" s="967"/>
      <c r="LD9" s="967"/>
      <c r="LE9" s="967"/>
      <c r="LF9" s="967"/>
      <c r="LG9" s="968"/>
      <c r="LH9" s="968"/>
      <c r="LI9" s="968"/>
      <c r="LJ9" s="968"/>
      <c r="LK9" s="968"/>
      <c r="LL9" s="967"/>
      <c r="LM9" s="967"/>
      <c r="LN9" s="967"/>
      <c r="LO9" s="967"/>
      <c r="LP9" s="967"/>
      <c r="LQ9" s="967"/>
      <c r="LR9" s="968"/>
      <c r="LS9" s="968"/>
      <c r="LT9" s="968"/>
      <c r="LU9" s="968"/>
      <c r="LV9" s="968"/>
      <c r="LW9" s="968"/>
      <c r="LX9" s="968"/>
      <c r="LY9" s="968"/>
      <c r="LZ9" s="968"/>
      <c r="MA9" s="968"/>
      <c r="MB9" s="968"/>
      <c r="MC9" s="968"/>
      <c r="MD9" s="967"/>
      <c r="ME9" s="967"/>
      <c r="MF9" s="967"/>
      <c r="MG9" s="967"/>
      <c r="MH9" s="967"/>
      <c r="MI9" s="967"/>
      <c r="MJ9" s="985"/>
      <c r="MK9" s="985"/>
      <c r="ML9" s="968"/>
      <c r="MM9" s="968"/>
      <c r="MN9" s="968"/>
      <c r="MO9" s="968"/>
      <c r="MP9" s="968"/>
      <c r="MQ9" s="968"/>
      <c r="MR9" s="968"/>
      <c r="MS9" s="968"/>
      <c r="MT9" s="968"/>
      <c r="MU9" s="968"/>
      <c r="MV9" s="968"/>
      <c r="MW9" s="968"/>
      <c r="MX9" s="968"/>
      <c r="MY9" s="968"/>
      <c r="MZ9" s="968"/>
      <c r="NA9" s="968"/>
      <c r="NB9" s="968"/>
      <c r="NC9" s="968"/>
      <c r="ND9" s="968"/>
      <c r="NE9" s="968"/>
      <c r="NF9" s="968"/>
      <c r="NG9" s="968"/>
      <c r="NH9" s="967"/>
      <c r="NI9" s="967"/>
      <c r="NJ9" s="967"/>
      <c r="NK9" s="967"/>
      <c r="NL9" s="967"/>
      <c r="NM9" s="967"/>
      <c r="NN9" s="967"/>
      <c r="NO9" s="967"/>
      <c r="NP9" s="967"/>
      <c r="NQ9" s="967"/>
      <c r="NR9" s="967"/>
      <c r="NS9" s="967"/>
      <c r="NT9" s="967"/>
      <c r="NU9" s="967"/>
      <c r="NV9" s="967"/>
      <c r="NW9" s="967"/>
      <c r="NX9" s="967"/>
      <c r="NY9" s="967"/>
      <c r="NZ9" s="967"/>
      <c r="OA9" s="324"/>
      <c r="OB9" s="968"/>
      <c r="OC9" s="968"/>
      <c r="OD9" s="968"/>
      <c r="OE9" s="968"/>
      <c r="OF9" s="968"/>
      <c r="OG9" s="968"/>
      <c r="OH9" s="968"/>
      <c r="OI9" s="968"/>
      <c r="OJ9" s="968"/>
      <c r="OK9" s="968"/>
      <c r="OL9" s="968"/>
      <c r="OM9" s="968"/>
      <c r="ON9" s="968"/>
      <c r="OO9" s="968"/>
      <c r="OP9" s="968"/>
      <c r="OQ9" s="968"/>
      <c r="OR9" s="968"/>
      <c r="OS9" s="968"/>
      <c r="OT9" s="968"/>
      <c r="OU9" s="968"/>
      <c r="OV9" s="968"/>
      <c r="OW9" s="968"/>
      <c r="OX9" s="968"/>
      <c r="OY9" s="968"/>
      <c r="OZ9" s="968"/>
      <c r="PA9" s="968"/>
      <c r="PB9" s="968"/>
      <c r="PC9" s="968"/>
      <c r="PD9" s="968"/>
      <c r="PE9" s="968"/>
      <c r="PF9" s="968"/>
      <c r="PG9" s="968"/>
      <c r="PH9" s="968"/>
      <c r="PI9" s="968"/>
      <c r="PJ9" s="968"/>
      <c r="PK9" s="968"/>
      <c r="PL9" s="968"/>
      <c r="PM9" s="968"/>
      <c r="PN9" s="968"/>
      <c r="PO9" s="968"/>
      <c r="PP9" s="968"/>
      <c r="PQ9" s="968"/>
      <c r="PR9" s="968"/>
      <c r="PS9" s="968"/>
      <c r="PT9" s="324"/>
      <c r="PU9" s="971"/>
      <c r="PV9" s="320"/>
      <c r="PW9" s="320"/>
      <c r="PX9" s="320"/>
      <c r="PY9" s="18"/>
      <c r="PZ9" s="19" t="s">
        <v>349</v>
      </c>
      <c r="QA9" s="19" t="s">
        <v>87</v>
      </c>
      <c r="QB9" s="27" t="str">
        <f t="shared" ca="1" si="79"/>
        <v>not proficient</v>
      </c>
      <c r="QC9" s="67" t="s">
        <v>105</v>
      </c>
      <c r="QD9" s="19" t="s">
        <v>106</v>
      </c>
      <c r="QE9" s="228" t="s">
        <v>110</v>
      </c>
      <c r="QF9" s="26">
        <v>18</v>
      </c>
      <c r="QG9" s="26" t="s">
        <v>135</v>
      </c>
      <c r="QH9" s="26" t="str">
        <f>""</f>
        <v/>
      </c>
      <c r="QI9" s="26" t="s">
        <v>137</v>
      </c>
      <c r="QJ9" s="26" t="str">
        <f>""</f>
        <v/>
      </c>
      <c r="QK9" s="26" t="s">
        <v>139</v>
      </c>
      <c r="QL9" s="26" t="str">
        <f>""</f>
        <v/>
      </c>
      <c r="QM9" s="26" t="str">
        <f>""</f>
        <v/>
      </c>
      <c r="QN9" s="26" t="str">
        <f>""</f>
        <v/>
      </c>
      <c r="QO9" s="26" t="s">
        <v>147</v>
      </c>
      <c r="QP9" s="26" t="str">
        <f>""</f>
        <v/>
      </c>
      <c r="QQ9" s="27" t="str">
        <f>""</f>
        <v/>
      </c>
      <c r="QR9" s="27" t="s">
        <v>779</v>
      </c>
      <c r="QS9" s="18"/>
      <c r="QT9" s="733">
        <f t="shared" si="46"/>
        <v>9</v>
      </c>
      <c r="QU9" s="727" t="s">
        <v>92</v>
      </c>
      <c r="QV9" s="727"/>
      <c r="QW9" s="727"/>
      <c r="QX9" s="727"/>
      <c r="QY9" s="727"/>
      <c r="QZ9" s="727" t="str">
        <f>VLOOKUP(Start!AV$137,Tables!$PZ$2:$QQ$500,$QT9,FALSE)</f>
        <v/>
      </c>
      <c r="RA9" s="727"/>
      <c r="RB9" s="729"/>
      <c r="RC9" s="727"/>
      <c r="RD9" s="727"/>
      <c r="RE9" s="727"/>
      <c r="RF9" s="727"/>
      <c r="RG9" s="727"/>
      <c r="RH9" s="727" t="str">
        <f>VLOOKUP(Start!BD$137,Tables!$PZ$2:$QQ$500,$QT9,FALSE)</f>
        <v/>
      </c>
      <c r="RI9" s="727"/>
      <c r="RJ9" s="727"/>
      <c r="RK9" s="727"/>
      <c r="RL9" s="727"/>
      <c r="RM9" s="727"/>
      <c r="RN9" s="729"/>
      <c r="RO9" s="729"/>
      <c r="RP9" s="727" t="str">
        <f>VLOOKUP(Start!BL$137,Tables!$PZ$2:$QQ$500,$QT9,FALSE)</f>
        <v/>
      </c>
      <c r="RQ9" s="729"/>
      <c r="RR9" s="729"/>
      <c r="RS9" s="729"/>
      <c r="RT9" s="729"/>
      <c r="RU9" s="729"/>
      <c r="RV9" s="729"/>
      <c r="RW9" s="729"/>
      <c r="RX9" s="727" t="str">
        <f>VLOOKUP(Start!BT$137,Tables!$PZ$2:$QQ$500,$QT9,FALSE)</f>
        <v/>
      </c>
      <c r="RY9" s="729"/>
      <c r="RZ9" s="729"/>
      <c r="SA9" s="729"/>
      <c r="SB9" s="729"/>
      <c r="SC9" s="729"/>
      <c r="SD9" s="729"/>
      <c r="SE9" s="729"/>
      <c r="SF9" s="727" t="str">
        <f>VLOOKUP(Start!CB$137,Tables!$PZ$2:$QQ$500,$QT9,FALSE)</f>
        <v/>
      </c>
      <c r="SG9" s="729"/>
      <c r="SH9" s="729"/>
      <c r="SI9" s="729"/>
      <c r="SJ9" s="729"/>
      <c r="SK9" s="729"/>
      <c r="SL9" s="729"/>
      <c r="SM9" s="634"/>
      <c r="SN9" s="727" t="str">
        <f>VLOOKUP(Start!CJ$137,Tables!$PZ$2:$QQ$500,$QT9,FALSE)</f>
        <v/>
      </c>
      <c r="SO9" s="729"/>
      <c r="SP9" s="729"/>
      <c r="SQ9" s="729"/>
      <c r="SR9" s="19" t="s">
        <v>838</v>
      </c>
      <c r="SS9" s="19" t="s">
        <v>1003</v>
      </c>
      <c r="ST9" s="26" t="str">
        <f ca="1">IF(SR9="","",IF(Start!$Y$157=$QS$12,$QS$12&amp;" (disadvantage)",IF(Start!$Y$157=$QS$11,$QS$11,IF(VLOOKUP(SR9,$KT$60:$KV$78,2,FALSE)="No",$QS$12&amp;" (disadvantage)",$QS$11))))</f>
        <v>not proficient (disadvantage)</v>
      </c>
      <c r="SU9" s="68">
        <v>13</v>
      </c>
      <c r="SV9" s="44">
        <f>IF($OY$1&gt;0,IF(DEXMod&gt;3,3,DEXMod),IF(DEXMod&gt;2,2,DEXMod))</f>
        <v>-5</v>
      </c>
      <c r="SW9" s="231" t="s">
        <v>140</v>
      </c>
      <c r="SX9" s="45" t="s">
        <v>140</v>
      </c>
      <c r="SY9" s="27">
        <v>20</v>
      </c>
      <c r="SZ9" s="26" t="str">
        <f ca="1">ST9&amp;", Don: 5min, Doff: 1min"</f>
        <v>not proficient (disadvantage), Don: 5min, Doff: 1min</v>
      </c>
      <c r="TA9" s="19"/>
      <c r="TB9" s="19"/>
      <c r="TC9" s="19"/>
      <c r="TD9" s="44"/>
      <c r="TE9" s="26"/>
      <c r="TF9" s="231"/>
      <c r="TG9" s="26"/>
      <c r="TH9" s="27"/>
      <c r="TI9" s="27"/>
      <c r="TJ9" s="18">
        <f t="shared" si="115"/>
        <v>7</v>
      </c>
      <c r="TK9" s="58" t="s">
        <v>1282</v>
      </c>
      <c r="TL9" s="58" t="s">
        <v>465</v>
      </c>
      <c r="TM9" s="18">
        <v>8</v>
      </c>
      <c r="TN9" s="59" t="str">
        <f t="shared" si="47"/>
        <v xml:space="preserve">Animal Shapes </v>
      </c>
      <c r="TO9" s="18" t="str">
        <f>""</f>
        <v/>
      </c>
      <c r="TP9" s="18" t="str">
        <f t="shared" si="48"/>
        <v/>
      </c>
      <c r="TQ9" s="18" t="str">
        <f>IF(OR(TK9=Spellcasting!$AC$18,TK9=Spellcasting!$AC$19),"ᵐ","")</f>
        <v/>
      </c>
      <c r="TR9" s="18" t="str">
        <f>IF(OR(TK9=Spellcasting!$AC$20,TK9=Spellcasting!$AC$21),"ˢ","")</f>
        <v/>
      </c>
      <c r="TS9" s="18" t="str">
        <f>""</f>
        <v/>
      </c>
      <c r="TT9" s="18" t="s">
        <v>484</v>
      </c>
      <c r="TU9" s="18" t="s">
        <v>851</v>
      </c>
      <c r="TV9" s="18" t="s">
        <v>1283</v>
      </c>
      <c r="TW9" s="18" t="s">
        <v>486</v>
      </c>
      <c r="TX9" s="59" t="str">
        <f>""</f>
        <v/>
      </c>
      <c r="TY9" s="18" t="s">
        <v>491</v>
      </c>
      <c r="TZ9" s="18" t="s">
        <v>492</v>
      </c>
      <c r="UA9" s="142" t="s">
        <v>1284</v>
      </c>
      <c r="UB9" s="319" t="s">
        <v>3134</v>
      </c>
      <c r="UI9" s="18" t="str">
        <f ca="1">IF(UI$1&gt;=$TM9,1,"0")</f>
        <v>0</v>
      </c>
      <c r="WD9" s="18" t="str">
        <f ca="1">IF(SUM($VZ$1:$WC$1)&gt;0,IF(AND(SUM($VZ9:$WC9)&gt;0,$TM9=WE$1),MAX(WD$2:WD8)+1,""),IF(AND(SUM($UC9:$VY9)&gt;0,$TM9=WE$1),MAX(WD$2:WD8)+1,""))</f>
        <v/>
      </c>
      <c r="WE9" s="59" t="str">
        <f t="shared" ca="1" si="80"/>
        <v/>
      </c>
      <c r="WF9" s="18" t="str">
        <f ca="1">IF(AND(SUM($UB9:$VY9)&gt;0,$TM9=WG$1),MAX(WF$2:WF8)+1,"")</f>
        <v/>
      </c>
      <c r="WG9" s="59" t="str">
        <f t="shared" ca="1" si="81"/>
        <v/>
      </c>
      <c r="WH9" s="18" t="str">
        <f ca="1">IF(AND(SUM($UB9:$VY9)&gt;0,$TM9=WI$1),MAX(WH$2:WH8)+1,"")</f>
        <v/>
      </c>
      <c r="WI9" s="59" t="str">
        <f t="shared" ca="1" si="82"/>
        <v/>
      </c>
      <c r="WJ9" s="18" t="str">
        <f ca="1">IF(AND(SUM($UB9:$VY9)&gt;0,$TM9=WK$1),MAX(WJ$2:WJ8)+1,"")</f>
        <v/>
      </c>
      <c r="WK9" s="59" t="str">
        <f t="shared" ca="1" si="83"/>
        <v/>
      </c>
      <c r="WL9" s="18" t="str">
        <f ca="1">IF(AND(SUM($UB9:$VY9)&gt;0,$TM9=WM$1),MAX(WL$2:WL8)+1,"")</f>
        <v/>
      </c>
      <c r="WM9" s="59" t="str">
        <f t="shared" ca="1" si="84"/>
        <v/>
      </c>
      <c r="WN9" s="18" t="str">
        <f ca="1">IF(AND(SUM($UB9:$VY9)&gt;0,$TM9=WO$1),MAX(WN$2:WN8)+1,"")</f>
        <v/>
      </c>
      <c r="WO9" s="59" t="str">
        <f t="shared" ca="1" si="85"/>
        <v/>
      </c>
      <c r="WP9" s="18" t="str">
        <f ca="1">IF(AND(SUM($UB9:$VY9)&gt;0,$TM9=WQ$1),MAX(WP$2:WP8)+1,"")</f>
        <v/>
      </c>
      <c r="WQ9" s="59" t="str">
        <f t="shared" ca="1" si="86"/>
        <v/>
      </c>
      <c r="WR9" s="18" t="str">
        <f ca="1">IF(AND(SUM($UB9:$VY9)&gt;0,$TM9=WS$1),MAX(WR$2:WR8)+1,"")</f>
        <v/>
      </c>
      <c r="WS9" s="59" t="str">
        <f t="shared" ca="1" si="87"/>
        <v/>
      </c>
      <c r="WT9" s="18" t="str">
        <f ca="1">IF(AND(SUM($UB9:$VY9)&gt;0,$TM9=WU$1),MAX(WT$2:WT8)+1,"")</f>
        <v/>
      </c>
      <c r="WU9" s="59" t="str">
        <f t="shared" ca="1" si="88"/>
        <v/>
      </c>
      <c r="WV9" s="18" t="str">
        <f ca="1">IF(AND(SUM($UB9:$VY9)&gt;0,$TM9=WW$1),MAX(WV$2:WV8)+1,"")</f>
        <v/>
      </c>
      <c r="WW9" s="59" t="str">
        <f t="shared" ca="1" si="89"/>
        <v/>
      </c>
      <c r="WX9" s="18" t="str">
        <f ca="1">IF(AND(SUM($UB9:$VY9)&gt;0,$TM9=WY$1),MAX(WX$2:WX8)+1,"")</f>
        <v/>
      </c>
      <c r="WY9" s="59" t="str">
        <f t="shared" ca="1" si="90"/>
        <v/>
      </c>
      <c r="WZ9" s="18">
        <v>8</v>
      </c>
      <c r="XA9" s="59" t="str">
        <f t="shared" ca="1" si="91"/>
        <v/>
      </c>
      <c r="XB9" s="59" t="str">
        <f t="shared" ca="1" si="28"/>
        <v/>
      </c>
      <c r="XC9" s="59" t="str">
        <f t="shared" ca="1" si="29"/>
        <v/>
      </c>
      <c r="XD9" s="59" t="str">
        <f t="shared" ca="1" si="60"/>
        <v/>
      </c>
      <c r="XE9" s="59" t="str">
        <f t="shared" ca="1" si="61"/>
        <v/>
      </c>
      <c r="XF9" s="59" t="str">
        <f t="shared" ca="1" si="62"/>
        <v/>
      </c>
      <c r="XG9" s="59" t="str">
        <f t="shared" ca="1" si="63"/>
        <v/>
      </c>
      <c r="XH9" s="59" t="str">
        <f t="shared" ca="1" si="64"/>
        <v/>
      </c>
      <c r="XI9" s="59" t="str">
        <f t="shared" ca="1" si="65"/>
        <v/>
      </c>
      <c r="XJ9" s="59" t="str">
        <f t="shared" ca="1" si="66"/>
        <v/>
      </c>
      <c r="XK9" s="59" t="str">
        <f t="shared" ca="1" si="67"/>
        <v/>
      </c>
      <c r="XL9" s="59" t="str">
        <f>SelectText</f>
        <v>Select…</v>
      </c>
      <c r="XM9" s="18">
        <f t="shared" si="116"/>
        <v>5</v>
      </c>
      <c r="XN9" s="142" t="str">
        <f t="shared" si="107"/>
        <v>Frog</v>
      </c>
      <c r="XO9" s="142" t="str">
        <f t="shared" si="107"/>
        <v>Beast</v>
      </c>
      <c r="XP9" s="249" t="str">
        <f t="shared" si="107"/>
        <v>Tiny</v>
      </c>
      <c r="XQ9" s="249">
        <f t="shared" si="107"/>
        <v>11</v>
      </c>
      <c r="XR9" s="249">
        <f t="shared" si="107"/>
        <v>1</v>
      </c>
      <c r="XS9" s="142" t="str">
        <f t="shared" si="107"/>
        <v>20 ft, swim 20 ft</v>
      </c>
      <c r="XT9" s="249">
        <f t="shared" si="107"/>
        <v>1</v>
      </c>
      <c r="XU9" s="249">
        <f t="shared" si="107"/>
        <v>13</v>
      </c>
      <c r="XV9" s="249">
        <f t="shared" si="107"/>
        <v>8</v>
      </c>
      <c r="XW9" s="249">
        <f t="shared" si="107"/>
        <v>1</v>
      </c>
      <c r="XX9" s="249">
        <f t="shared" si="107"/>
        <v>8</v>
      </c>
      <c r="XY9" s="249">
        <f t="shared" si="107"/>
        <v>3</v>
      </c>
      <c r="XZ9" s="142" t="str">
        <f t="shared" si="107"/>
        <v>Perception +1, Stealth +3</v>
      </c>
      <c r="YA9" s="142" t="str">
        <f t="shared" si="107"/>
        <v>passive Perception 11, darkvision 30 ft</v>
      </c>
      <c r="YB9" s="142" t="str">
        <f t="shared" si="107"/>
        <v>none</v>
      </c>
      <c r="YC9" s="142" t="str">
        <f t="shared" si="107"/>
        <v>Amphibious. Can breathe air and water
Standing Leap. Can long jump up to 10 feet and high jump up to 5 feet</v>
      </c>
      <c r="YD9" s="18"/>
      <c r="YE9" s="18" t="str">
        <f t="shared" ca="1" si="92"/>
        <v/>
      </c>
      <c r="YF9" s="18">
        <f t="shared" si="108"/>
        <v>7</v>
      </c>
      <c r="YG9" s="59" t="str">
        <f t="shared" ca="1" si="70"/>
        <v>FEAT 7</v>
      </c>
      <c r="YH9" s="59" t="str">
        <f>IF(OR(Start!I119="",Start!I119=SelectText),"",Start!I119)</f>
        <v/>
      </c>
      <c r="YI9" s="59" t="str">
        <f t="shared" si="93"/>
        <v/>
      </c>
      <c r="YJ9" s="59" t="str">
        <f t="shared" si="94"/>
        <v/>
      </c>
      <c r="YK9" s="59" t="str">
        <f>""</f>
        <v/>
      </c>
      <c r="YM9" s="18" t="str">
        <f t="shared" si="95"/>
        <v/>
      </c>
      <c r="YN9" s="18" t="str">
        <f t="shared" si="96"/>
        <v/>
      </c>
      <c r="YR9" s="18"/>
      <c r="YS9" s="18" t="str">
        <f t="shared" ca="1" si="97"/>
        <v/>
      </c>
      <c r="YT9" s="18" t="s">
        <v>279</v>
      </c>
      <c r="YU9" s="18">
        <v>8</v>
      </c>
      <c r="YV9" s="18" t="str">
        <f ca="1">VLOOKUP(YY9,$ZE$2:$ZP$23,$ZE$1,FALSE)</f>
        <v/>
      </c>
      <c r="YW9" s="18" t="str">
        <f ca="1">IF(YX9="","",MAX($YW$1:YW8)+1)</f>
        <v/>
      </c>
      <c r="YX9" s="59" t="str">
        <f t="shared" ca="1" si="71"/>
        <v/>
      </c>
      <c r="YY9" s="18" t="str">
        <f t="shared" ca="1" si="72"/>
        <v/>
      </c>
      <c r="YZ9" s="18">
        <f t="shared" si="117"/>
        <v>6</v>
      </c>
      <c r="ZA9" s="18" t="str">
        <f ca="1">IF(ZB9="","",MAX($ZA$2:ZA8)+1)</f>
        <v/>
      </c>
      <c r="ZB9" s="18" t="str">
        <f t="shared" ca="1" si="98"/>
        <v/>
      </c>
      <c r="ZC9" s="18" t="str">
        <f>IF(Start!AF25=SelectText,"",Start!AF25)</f>
        <v/>
      </c>
      <c r="ZD9" s="18" t="str">
        <f>IF(OR(COUNTIF($ZC$4:$ZC9,ZD$2)=0,COUNTIF($ZC$4:$ZC9,ZD$2)=MAX(ZD$2:ZD8)),"-",COUNTIF($ZC$4:$ZC9,ZD$2))</f>
        <v>-</v>
      </c>
      <c r="ZE9" s="18" t="str">
        <f>IF(OR(COUNTIF($ZC$4:$ZC9,ZE$2)=0,COUNTIF($ZC$4:$ZC9,ZE$2)=MAX(ZE$2:ZE8)),"-",COUNTIF($ZC$4:$ZC9,ZE$2))</f>
        <v>-</v>
      </c>
      <c r="ZF9" s="18" t="str">
        <f>IF(OR(COUNTIF($ZC$4:$ZC9,ZF$2)=0,COUNTIF($ZC$4:$ZC9,ZF$2)=MAX(ZF$2:ZF8)),"-",COUNTIF($ZC$4:$ZC9,ZF$2))</f>
        <v>-</v>
      </c>
      <c r="ZG9" s="18" t="str">
        <f>IF(OR(COUNTIF($ZC$4:$ZC9,ZG$2)=0,COUNTIF($ZC$4:$ZC9,ZG$2)=MAX(ZG$2:ZG8)),"-",COUNTIF($ZC$4:$ZC9,ZG$2))</f>
        <v>-</v>
      </c>
      <c r="ZH9" s="18" t="str">
        <f>IF(OR(COUNTIF($ZC$4:$ZC9,ZH$2)=0,COUNTIF($ZC$4:$ZC9,ZH$2)=MAX(ZH$2:ZH8)),"-",COUNTIF($ZC$4:$ZC9,ZH$2))</f>
        <v>-</v>
      </c>
      <c r="ZI9" s="18" t="str">
        <f>IF(OR(COUNTIF($ZC$4:$ZC9,ZI$2)=0,COUNTIF($ZC$4:$ZC9,ZI$2)=MAX(ZI$2:ZI8)),"-",COUNTIF($ZC$4:$ZC9,ZI$2))</f>
        <v>-</v>
      </c>
      <c r="ZJ9" s="18" t="str">
        <f>IF(OR(COUNTIF($ZC$4:$ZC9,ZJ$2)=0,COUNTIF($ZC$4:$ZC9,ZJ$2)=MAX(ZJ$2:ZJ8)),"-",COUNTIF($ZC$4:$ZC9,ZJ$2))</f>
        <v>-</v>
      </c>
      <c r="ZK9" s="18" t="str">
        <f>IF(OR(COUNTIF($ZC$4:$ZC9,ZK$2)=0,COUNTIF($ZC$4:$ZC9,ZK$2)=MAX(ZK$2:ZK8)),"-",COUNTIF($ZC$4:$ZC9,ZK$2))</f>
        <v>-</v>
      </c>
      <c r="ZL9" s="18" t="str">
        <f>IF(OR(COUNTIF($ZC$4:$ZC9,ZL$2)=0,COUNTIF($ZC$4:$ZC9,ZL$2)=MAX(ZL$2:ZL8)),"-",COUNTIF($ZC$4:$ZC9,ZL$2))</f>
        <v>-</v>
      </c>
      <c r="ZM9" s="18" t="str">
        <f>IF(OR(COUNTIF($ZC$4:$ZC9,ZM$2)=0,COUNTIF($ZC$4:$ZC9,ZM$2)=MAX(ZM$2:ZM8)),"-",COUNTIF($ZC$4:$ZC9,ZM$2))</f>
        <v>-</v>
      </c>
      <c r="ZN9" s="18" t="str">
        <f>IF(OR(COUNTIF($ZC$4:$ZC9,ZN$2)=0,COUNTIF($ZC$4:$ZC9,ZN$2)=MAX(ZN$2:ZN8)),"-",COUNTIF($ZC$4:$ZC9,ZN$2))</f>
        <v>-</v>
      </c>
      <c r="ZO9" s="18" t="str">
        <f>IF(OR(COUNTIF($ZC$4:$ZC9,ZO$2)=0,COUNTIF($ZC$4:$ZC9,ZO$2)=MAX(ZO$2:ZO8)),"-",COUNTIF($ZC$4:$ZC9,ZO$2))</f>
        <v>-</v>
      </c>
      <c r="ZP9" s="18">
        <f t="shared" si="118"/>
        <v>6</v>
      </c>
      <c r="ZQ9" s="18" t="s">
        <v>312</v>
      </c>
      <c r="ZR9" s="18">
        <f t="shared" si="31"/>
        <v>5</v>
      </c>
      <c r="ZS9" s="59" t="s">
        <v>764</v>
      </c>
      <c r="ZT9" s="59" t="str">
        <f>IF(COUNTIF($YH$3:$YH$10,ZS9)&gt;0,$ZS9&amp;"
"&amp;VLOOKUP($ZS9,$YG$14:$YK$77,5,FALSE)&amp;"
","")</f>
        <v/>
      </c>
      <c r="ZU9" s="59" t="str">
        <f>Start!C10</f>
        <v>CHARISMA</v>
      </c>
      <c r="ZV9" s="18" t="str">
        <f ca="1">IF(ZV$2=1,IF(VLOOKUP($ZU9,Start!$C$5:$AN$10,18+ZV$3,FALSE)="","",VLOOKUP($ZU9,Start!$C$5:$AN$10,18+ZV$3,FALSE)),"")</f>
        <v/>
      </c>
      <c r="ZW9" s="18" t="str">
        <f ca="1">IF(ZW$2=1,IF(VLOOKUP($ZU9,Start!$C$5:$AN$10,18+ZW$3,FALSE)="","",VLOOKUP($ZU9,Start!$C$5:$AN$10,18+ZW$3,FALSE)),"")</f>
        <v/>
      </c>
      <c r="ZX9" s="18" t="str">
        <f ca="1">IF(ZX$2=1,IF(VLOOKUP($ZU9,Start!$C$5:$AN$10,18+ZX$3,FALSE)="","",VLOOKUP($ZU9,Start!$C$5:$AN$10,18+ZX$3,FALSE)),"")</f>
        <v/>
      </c>
      <c r="ZY9" s="18" t="str">
        <f ca="1">IF(ZY$2=1,IF(VLOOKUP($ZU9,Start!$C$5:$AN$10,18+ZY$3,FALSE)="","",VLOOKUP($ZU9,Start!$C$5:$AN$10,18+ZY$3,FALSE)),"")</f>
        <v/>
      </c>
      <c r="ZZ9" s="18" t="str">
        <f ca="1">IF(ZZ$2=1,IF(VLOOKUP($ZU9,Start!$C$5:$AN$10,18+ZZ$3,FALSE)="","",VLOOKUP($ZU9,Start!$C$5:$AN$10,18+ZZ$3,FALSE)),"")</f>
        <v/>
      </c>
      <c r="AAA9" s="18" t="str">
        <f ca="1">IF(AAA$2=1,IF(VLOOKUP($ZU9,Start!$C$5:$AN$10,18+AAA$3,FALSE)="","",VLOOKUP($ZU9,Start!$C$5:$AN$10,18+AAA$3,FALSE)),"")</f>
        <v/>
      </c>
      <c r="AAB9" s="18" t="str">
        <f ca="1">IF(AAB$2=1,IF(VLOOKUP($ZU9,Start!$C$5:$AN$10,18+AAB$3,FALSE)="","",VLOOKUP($ZU9,Start!$C$5:$AN$10,18+AAB$3,FALSE)),"")</f>
        <v/>
      </c>
      <c r="AAC9" s="18" t="str">
        <f ca="1">IF(AAC$2=1,IF(VLOOKUP($ZU9,Start!$C$5:$AN$10,18+AAC$3,FALSE)="","",VLOOKUP($ZU9,Start!$C$5:$AN$10,18+AAC$3,FALSE)),"")</f>
        <v/>
      </c>
      <c r="AAD9" s="18" t="str">
        <f ca="1">IF(AAD$2=1,IF(VLOOKUP($ZU9,Start!$C$5:$AN$10,18+AAD$3,FALSE)="","",VLOOKUP($ZU9,Start!$C$5:$AN$10,18+AAD$3,FALSE)),"")</f>
        <v/>
      </c>
      <c r="AAE9" s="18" t="str">
        <f ca="1">IF(AAE$2=1,IF(VLOOKUP($ZU9,Start!$C$5:$AN$10,18+AAE$3,FALSE)="","",VLOOKUP($ZU9,Start!$C$5:$AN$10,18+AAE$3,FALSE)),"")</f>
        <v/>
      </c>
      <c r="AAF9" s="18" t="str">
        <f ca="1">IF(AAF$2=1,IF(VLOOKUP($ZU9,Start!$C$5:$AN$10,18+AAF$3,FALSE)="","",VLOOKUP($ZU9,Start!$C$5:$AN$10,18+AAF$3,FALSE)),"")</f>
        <v/>
      </c>
      <c r="AAG9" s="18" t="str">
        <f ca="1">IF(AAG$2=1,IF(VLOOKUP($ZU9,Start!$C$5:$AN$10,18+AAG$3,FALSE)="","",VLOOKUP($ZU9,Start!$C$5:$AN$10,18+AAG$3,FALSE)),"")</f>
        <v/>
      </c>
      <c r="AAH9" s="18" t="str">
        <f ca="1">IF(AAH$2=1,IF(VLOOKUP($ZU9,Start!$C$5:$AN$10,18+AAH$3,FALSE)="","",VLOOKUP($ZU9,Start!$C$5:$AN$10,18+AAH$3,FALSE)),"")</f>
        <v/>
      </c>
      <c r="AAI9" s="18" t="str">
        <f ca="1">IF(AAI$2=1,IF(VLOOKUP($ZU9,Start!$C$5:$AN$10,18+AAI$3,FALSE)="","",VLOOKUP($ZU9,Start!$C$5:$AN$10,18+AAI$3,FALSE)),"")</f>
        <v/>
      </c>
      <c r="AAJ9" s="18" t="str">
        <f ca="1">IF(AAJ$2=1,IF(VLOOKUP($ZU9,Start!$C$5:$AN$10,18+AAJ$3,FALSE)="","",VLOOKUP($ZU9,Start!$C$5:$AN$10,18+AAJ$3,FALSE)),"")</f>
        <v/>
      </c>
      <c r="AAK9" s="18" t="str">
        <f ca="1">IF(AAK$2=1,IF(VLOOKUP($ZU9,Start!$C$5:$AN$10,18+AAK$3,FALSE)="","",VLOOKUP($ZU9,Start!$C$5:$AN$10,18+AAK$3,FALSE)),"")</f>
        <v/>
      </c>
      <c r="AAL9" s="18" t="str">
        <f ca="1">IF(AAL$2=1,IF(VLOOKUP($ZU9,Start!$C$5:$AN$10,18+AAL$3,FALSE)="","",VLOOKUP($ZU9,Start!$C$5:$AN$10,18+AAL$3,FALSE)),"")</f>
        <v/>
      </c>
      <c r="AAM9" s="18" t="str">
        <f ca="1">IF(AAM$2=1,IF(VLOOKUP($ZU9,Start!$C$5:$AN$10,18+AAM$3,FALSE)="","",VLOOKUP($ZU9,Start!$C$5:$AN$10,18+AAM$3,FALSE)),"")</f>
        <v/>
      </c>
      <c r="AAN9" s="18" t="str">
        <f ca="1">IF(AAN$2=1,IF(VLOOKUP($ZU9,Start!$C$5:$AN$10,18+AAN$3,FALSE)="","",VLOOKUP($ZU9,Start!$C$5:$AN$10,18+AAN$3,FALSE)),"")</f>
        <v/>
      </c>
      <c r="AAO9" s="18" t="str">
        <f ca="1">IF(AAO$2=1,IF(VLOOKUP($ZU9,Start!$C$5:$AN$10,18+AAO$3,FALSE)="","",VLOOKUP($ZU9,Start!$C$5:$AN$10,18+AAO$3,FALSE)),"")</f>
        <v/>
      </c>
      <c r="AAP9" s="18">
        <f t="shared" ca="1" si="99"/>
        <v>0</v>
      </c>
    </row>
    <row r="10" spans="1:718" ht="9.9499999999999993" customHeight="1" x14ac:dyDescent="0.25">
      <c r="A10" s="391" t="s">
        <v>214</v>
      </c>
      <c r="B10" s="391" t="s">
        <v>260</v>
      </c>
      <c r="C10" s="391">
        <v>25</v>
      </c>
      <c r="D10" s="391" t="s">
        <v>318</v>
      </c>
      <c r="E10" s="399" t="s">
        <v>2631</v>
      </c>
      <c r="F10" s="393" t="s">
        <v>357</v>
      </c>
      <c r="G10" s="393">
        <v>2</v>
      </c>
      <c r="H10" s="393" t="s">
        <v>187</v>
      </c>
      <c r="I10" s="393">
        <v>0</v>
      </c>
      <c r="J10" s="393" t="s">
        <v>2633</v>
      </c>
      <c r="K10" s="391">
        <v>1</v>
      </c>
      <c r="L10" s="402" t="str">
        <f>""</f>
        <v/>
      </c>
      <c r="M10" s="402" t="str">
        <f>IF(Subrace=$U13,1,"")</f>
        <v/>
      </c>
      <c r="N10" s="402" t="str">
        <f>IF(Subrace=$U14,1,"")</f>
        <v/>
      </c>
      <c r="O10" s="402">
        <v>2</v>
      </c>
      <c r="P10" s="402" t="str">
        <f>""</f>
        <v/>
      </c>
      <c r="Q10" s="402" t="str">
        <f>""</f>
        <v/>
      </c>
      <c r="R10" s="742" t="s">
        <v>3126</v>
      </c>
      <c r="S10" s="742" t="s">
        <v>2671</v>
      </c>
      <c r="T10" s="742" t="s">
        <v>2672</v>
      </c>
      <c r="U10" s="393" t="s">
        <v>3681</v>
      </c>
      <c r="V10" s="399" t="s">
        <v>3682</v>
      </c>
      <c r="W10" s="399"/>
      <c r="X10" s="18" t="str">
        <f>IF(Y10="","",MAX($X$3:X9)+1)</f>
        <v/>
      </c>
      <c r="Y10" s="58" t="str">
        <f>IF(A6=$A$3,U10,"")</f>
        <v/>
      </c>
      <c r="Z10" s="18">
        <f t="shared" si="109"/>
        <v>7</v>
      </c>
      <c r="AA10" s="18" t="str">
        <f t="shared" si="74"/>
        <v/>
      </c>
      <c r="AB10" s="18"/>
      <c r="AC10"/>
      <c r="AD10" s="18"/>
      <c r="AE10" s="59" t="s">
        <v>2397</v>
      </c>
      <c r="AF10" s="455" t="s">
        <v>2407</v>
      </c>
      <c r="AG10" s="740" t="s">
        <v>3514</v>
      </c>
      <c r="AH10" s="455" t="s">
        <v>2408</v>
      </c>
      <c r="AI10" s="383">
        <v>2</v>
      </c>
      <c r="AJ10" s="455" t="s">
        <v>2409</v>
      </c>
      <c r="AK10" s="383">
        <v>1</v>
      </c>
      <c r="AL10" s="455" t="s">
        <v>1834</v>
      </c>
      <c r="AM10" s="383">
        <v>1</v>
      </c>
      <c r="AN10" s="18"/>
      <c r="AO10" s="18">
        <f t="shared" si="119"/>
        <v>9</v>
      </c>
      <c r="AP10" s="59" t="str">
        <f t="shared" si="100"/>
        <v/>
      </c>
      <c r="AQ10" s="59" t="str">
        <f>""</f>
        <v/>
      </c>
      <c r="AR10" s="59" t="s">
        <v>1057</v>
      </c>
      <c r="AS10" s="59" t="s">
        <v>2428</v>
      </c>
      <c r="AT10" s="59" t="s">
        <v>1083</v>
      </c>
      <c r="AU10" s="59" t="s">
        <v>2462</v>
      </c>
      <c r="AV10" s="59" t="s">
        <v>1126</v>
      </c>
      <c r="AW10" s="59" t="s">
        <v>2508</v>
      </c>
      <c r="AX10" s="59" t="s">
        <v>2541</v>
      </c>
      <c r="AY10" s="58" t="s">
        <v>1153</v>
      </c>
      <c r="AZ10" s="58" t="s">
        <v>2577</v>
      </c>
      <c r="BA10" s="59" t="s">
        <v>1020</v>
      </c>
      <c r="BB10" s="59" t="s">
        <v>2603</v>
      </c>
      <c r="BC10" s="58" t="s">
        <v>1179</v>
      </c>
      <c r="BD10" s="58" t="s">
        <v>2371</v>
      </c>
      <c r="BE10" s="18" t="str">
        <f>""</f>
        <v/>
      </c>
      <c r="BI10" s="58" t="s">
        <v>801</v>
      </c>
      <c r="BJ10" s="48">
        <v>6</v>
      </c>
      <c r="BK10" s="458" t="str">
        <f>IF(BL10=0,"",MAX($BK$6:BK9)+1)</f>
        <v/>
      </c>
      <c r="BL10" s="458">
        <f>COUNTIF(Start!$AF$20:$AF$39,Tables!BI10)</f>
        <v>0</v>
      </c>
      <c r="BM10" s="562" t="str">
        <f>IF(OR(BK10="",BO10=""),"",MAX($BM$6:BM9)+1)</f>
        <v/>
      </c>
      <c r="BN10" s="59" t="s">
        <v>801</v>
      </c>
      <c r="BO10" s="18" t="s">
        <v>34</v>
      </c>
      <c r="BP10" s="458" t="str">
        <f t="shared" si="120"/>
        <v/>
      </c>
      <c r="BQ10" s="744" t="s">
        <v>806</v>
      </c>
      <c r="BR10" s="458">
        <v>2</v>
      </c>
      <c r="BS10" s="458"/>
      <c r="BT10" s="458"/>
      <c r="BV10" s="458">
        <v>10</v>
      </c>
      <c r="BW10" s="458">
        <v>0</v>
      </c>
      <c r="BX10" s="458">
        <v>0</v>
      </c>
      <c r="BY10" s="458" t="str">
        <f>""</f>
        <v/>
      </c>
      <c r="BZ10" s="456" t="s">
        <v>187</v>
      </c>
      <c r="CA10" s="456" t="s">
        <v>187</v>
      </c>
      <c r="CB10" s="456" t="s">
        <v>803</v>
      </c>
      <c r="CC10" s="456" t="s">
        <v>187</v>
      </c>
      <c r="CD10" s="456" t="s">
        <v>187</v>
      </c>
      <c r="CE10" s="458">
        <v>0</v>
      </c>
      <c r="CF10" s="456" t="s">
        <v>187</v>
      </c>
      <c r="CG10" s="458">
        <v>0</v>
      </c>
      <c r="CH10" s="456" t="s">
        <v>442</v>
      </c>
      <c r="CI10" s="456" t="s">
        <v>805</v>
      </c>
      <c r="CJ10" s="458">
        <v>2</v>
      </c>
      <c r="CK10" s="456" t="s">
        <v>187</v>
      </c>
      <c r="CL10" s="458">
        <v>0</v>
      </c>
      <c r="CM10" s="59" t="str">
        <f>"• Spellcasting, Arcane Recovery
"</f>
        <v xml:space="preserve">• Spellcasting, Arcane Recovery
</v>
      </c>
      <c r="CN10" s="59" t="e">
        <f>"• Arcane Tradition ("&amp;VLOOKUP($BN10,$BN$3:$BQ$5,4,FALSE)&amp;")
• Arcane Tradition Feature ("&amp;VLOOKUP($BI10,$DM$3:$EH$5,DP$2-1,FALSE)&amp;")
"</f>
        <v>#N/A</v>
      </c>
      <c r="CO10" s="59" t="str">
        <f>""</f>
        <v/>
      </c>
      <c r="CP10" s="59" t="str">
        <f>IF(WizardLevel&gt;=DE$6,"• Ability Score Improvement / Feat: level "&amp;DE$6&amp;", "&amp;DB$6&amp;", "&amp;CX$6&amp;", "&amp;CT$6&amp;", "&amp;CP$6,IF(WizardLevel&gt;=DB$6,"• Ability Score Improvement / Feat: level "&amp;DB$6&amp;", "&amp;CX$6&amp;", "&amp;CT$6&amp;", "&amp;CP$6,IF(WizardLevel&gt;=CX$6,"• Ability Score Improvement / Feat: level "&amp;CX$6&amp;", "&amp;CT$6&amp;", "&amp;CP$6,IF(WizardLevel&gt;=CT$6,"• Ability Score Improvement / Feat : level "&amp;CT$6&amp;", "&amp;CP$6,"• Ability Score Improvement / Feat: level "&amp;CP$6))))&amp;"
"</f>
        <v xml:space="preserve">• Ability Score Improvement / Feat: level 4
</v>
      </c>
      <c r="CQ10" s="59" t="str">
        <f>""</f>
        <v/>
      </c>
      <c r="CR10" s="59" t="e">
        <f>"• Arcane Tradition Feature ("&amp;VLOOKUP($BI10,$DM$3:$EH$5,DT$2-1,FALSE)&amp;")
"</f>
        <v>#N/A</v>
      </c>
      <c r="CS10" s="59" t="str">
        <f>""</f>
        <v/>
      </c>
      <c r="CT10" s="59" t="str">
        <f>""</f>
        <v/>
      </c>
      <c r="CU10" s="59" t="str">
        <f>""</f>
        <v/>
      </c>
      <c r="CV10" s="59" t="e">
        <f>"• Arcane Tradition Feature ("&amp;VLOOKUP($BI10,$DM$3:$EH$5,DX$2-1,FALSE)&amp;")
"</f>
        <v>#N/A</v>
      </c>
      <c r="CW10" s="59" t="str">
        <f>""</f>
        <v/>
      </c>
      <c r="CX10" s="59" t="str">
        <f>""</f>
        <v/>
      </c>
      <c r="CY10" s="59" t="str">
        <f>""</f>
        <v/>
      </c>
      <c r="CZ10" s="59" t="e">
        <f>"• Arcane Tradition Feature ("&amp;VLOOKUP($BI10,$DM$3:$EH$5,EB$2-1,FALSE)&amp;")
"</f>
        <v>#N/A</v>
      </c>
      <c r="DA10" s="59" t="str">
        <f>""</f>
        <v/>
      </c>
      <c r="DB10" s="59" t="str">
        <f>""</f>
        <v/>
      </c>
      <c r="DC10" s="59" t="str">
        <f>""</f>
        <v/>
      </c>
      <c r="DD10" s="59" t="str">
        <f>"• Spell Mastery: "&amp;Spellcasting!AC18&amp;", "&amp;Spellcasting!AC19&amp;"
"</f>
        <v xml:space="preserve">• Spell Mastery: Select…, Select…
</v>
      </c>
      <c r="DE10" s="59" t="str">
        <f>""</f>
        <v/>
      </c>
      <c r="DF10" s="59" t="str">
        <f>"• Signature Spell: "&amp;Spellcasting!AC20&amp;", "&amp;Spellcasting!AC21&amp;"
"</f>
        <v xml:space="preserve">• Signature Spell: Select…, Select…
</v>
      </c>
      <c r="DK10" s="103" t="s">
        <v>2664</v>
      </c>
      <c r="DL10" s="59" t="s">
        <v>283</v>
      </c>
      <c r="DM10" s="18" t="s">
        <v>226</v>
      </c>
      <c r="DN10" s="18">
        <f t="shared" ca="1" si="121"/>
        <v>0</v>
      </c>
      <c r="DO10" s="58" t="str">
        <f>"Bonus Proficiency (Heavy Armor)
• Divine Domain Feature (Acolyte of Nature: choose one druid cantrip)
• Domain Spells"&amp;"
"&amp;EI10</f>
        <v xml:space="preserve">Bonus Proficiency (Heavy Armor)
• Divine Domain Feature (Acolyte of Nature: choose one druid cantrip)
• Domain Spells
</v>
      </c>
      <c r="DP10" s="59" t="s">
        <v>1842</v>
      </c>
      <c r="DQ10" s="58" t="str">
        <f>""</f>
        <v/>
      </c>
      <c r="DR10" s="59" t="str">
        <f>""</f>
        <v/>
      </c>
      <c r="DS10" s="59" t="str">
        <f>""</f>
        <v/>
      </c>
      <c r="DT10" s="59" t="s">
        <v>1843</v>
      </c>
      <c r="DU10" s="59" t="str">
        <f>""</f>
        <v/>
      </c>
      <c r="DV10" s="59" t="str">
        <f>IF(ClericLevel&gt;=14,"Divine Strike 2d8","Divine Strike 1d8")</f>
        <v>Divine Strike 1d8</v>
      </c>
      <c r="DW10" s="59" t="str">
        <f>""</f>
        <v/>
      </c>
      <c r="DX10" s="59" t="str">
        <f>""</f>
        <v/>
      </c>
      <c r="DY10" s="59" t="str">
        <f>""</f>
        <v/>
      </c>
      <c r="DZ10" s="59" t="str">
        <f>""</f>
        <v/>
      </c>
      <c r="EA10" s="59" t="str">
        <f>""</f>
        <v/>
      </c>
      <c r="EB10" s="59" t="str">
        <f>""</f>
        <v/>
      </c>
      <c r="EC10" s="59" t="str">
        <f>""</f>
        <v/>
      </c>
      <c r="ED10" s="59" t="str">
        <f>""</f>
        <v/>
      </c>
      <c r="EE10" s="59" t="s">
        <v>1845</v>
      </c>
      <c r="EF10" s="59" t="str">
        <f>""</f>
        <v/>
      </c>
      <c r="EG10" s="59" t="str">
        <f>""</f>
        <v/>
      </c>
      <c r="EH10" s="59" t="str">
        <f>""</f>
        <v/>
      </c>
      <c r="EI10" s="103" t="str">
        <f>IF(ClericLevel&gt;=9,"  1st (animal friendship, speak with animals)
  3rd (barkskin, spike growth)
  5th (plant growth, wind wall)
  7th (dominate beast, grasping vine)
  9th (insect plague, tree stride)",IF(ClericLevel&gt;=7,"  1st (animal friendship, speak with animals)
  3rd (barkskin, spike growth)
  5th (plant growth, wind wall)
  7th (dominate beast, grasping vine)",IF(ClericLevel&gt;=5,"  1st (animal friendship, speak with animals)
  3rd (barkskin, spike growth)
  5th (plant growth, wind wall)",IF(ClericLevel&gt;=3,"  1st (animal friendship, speak with animals)
  3rd (barkskin, spike growth)",IF(ClericLevel&gt;=1,"  1st (animal friendship, speak with animals)","")))))</f>
        <v/>
      </c>
      <c r="EJ10" s="442" t="str">
        <f>IF(ClericLevel&gt;=1,$DM10&amp;" (animal friendship, speak with animals)
","")</f>
        <v/>
      </c>
      <c r="EK10" s="442"/>
      <c r="EL10" s="442" t="str">
        <f>IF(ClericLevel&gt;=3,$DM10&amp;" (barkskin, spike growth)
","")</f>
        <v/>
      </c>
      <c r="EM10" s="442"/>
      <c r="EN10" s="442" t="str">
        <f>IF(ClericLevel&gt;=5,$DM10&amp;" (plant growth, wind wall)
","")</f>
        <v/>
      </c>
      <c r="EO10" s="442"/>
      <c r="EP10" s="442" t="str">
        <f>IF(ClericLevel&gt;=7,$DM10&amp;" (dominate beast, grasping vine)
","")</f>
        <v/>
      </c>
      <c r="EQ10" s="442"/>
      <c r="ER10" s="442" t="str">
        <f>IF(ClericLevel&gt;=9,$DM10&amp;" (insect plague, tree stride)
","")</f>
        <v/>
      </c>
      <c r="ES10" s="442"/>
      <c r="ET10" s="59" t="str">
        <f>""</f>
        <v/>
      </c>
      <c r="EU10" s="18" t="str">
        <f>""</f>
        <v/>
      </c>
      <c r="EV10" s="59" t="str">
        <f>IF(ClericLevel&gt;=1,DL10&amp;"
• Choose 1 skill from Animal Handling, Nature or Survival.
","")</f>
        <v/>
      </c>
      <c r="EW10" s="18" t="str">
        <f>IF(ClericLevel&gt;=1,1,"")</f>
        <v/>
      </c>
      <c r="EX10" s="59" t="str">
        <f>""</f>
        <v/>
      </c>
      <c r="EY10" s="18" t="str">
        <f>""</f>
        <v/>
      </c>
      <c r="EZ10" s="18"/>
      <c r="FA10" s="18" t="str">
        <f>IF($DM10=FB$5,MAX(FA$6:FA9)+1,"")</f>
        <v/>
      </c>
      <c r="FB10" s="58" t="str">
        <f t="shared" si="122"/>
        <v/>
      </c>
      <c r="FC10" s="18">
        <v>5</v>
      </c>
      <c r="FD10" s="58" t="str">
        <f t="shared" si="112"/>
        <v/>
      </c>
      <c r="FE10" s="18" t="str">
        <f>IF($DM10=FF$5,MAX(FE$6:FE9)+1,"")</f>
        <v/>
      </c>
      <c r="FF10" s="58" t="str">
        <f t="shared" si="123"/>
        <v/>
      </c>
      <c r="FG10" s="18">
        <v>5</v>
      </c>
      <c r="FH10" s="58" t="str">
        <f t="shared" si="113"/>
        <v/>
      </c>
      <c r="FI10" s="18" t="str">
        <f>IF($DM10=FJ$5,MAX(FI$6:FI9)+1,"")</f>
        <v/>
      </c>
      <c r="FJ10" s="58" t="str">
        <f t="shared" si="124"/>
        <v/>
      </c>
      <c r="FK10" s="18">
        <v>5</v>
      </c>
      <c r="FL10" s="58" t="str">
        <f t="shared" si="114"/>
        <v/>
      </c>
      <c r="FM10" s="58" t="s">
        <v>1889</v>
      </c>
      <c r="FN10" s="59">
        <f>Start!L71</f>
        <v>0</v>
      </c>
      <c r="FO10" s="18" t="str">
        <f>IF($FM10=$FP10,MAX(FO$3:FO9)+1,"")</f>
        <v/>
      </c>
      <c r="FP10" s="59" t="str">
        <f t="shared" si="101"/>
        <v/>
      </c>
      <c r="FQ10" s="18">
        <f t="shared" si="102"/>
        <v>8</v>
      </c>
      <c r="FR10" s="59" t="str">
        <f t="shared" si="75"/>
        <v/>
      </c>
      <c r="FS10" s="18"/>
      <c r="FT10" s="18"/>
      <c r="FU10" s="18"/>
      <c r="FV10" s="18"/>
      <c r="FW10" s="18">
        <v>3</v>
      </c>
      <c r="FX10" s="59" t="str">
        <f t="shared" si="125"/>
        <v/>
      </c>
      <c r="GB10" s="59" t="s">
        <v>3422</v>
      </c>
      <c r="GC10" s="142" t="s">
        <v>3477</v>
      </c>
      <c r="GD10" s="142">
        <v>8</v>
      </c>
      <c r="GE10" s="59">
        <v>10</v>
      </c>
      <c r="GF10" s="59" t="str">
        <f t="shared" si="40"/>
        <v/>
      </c>
      <c r="GG10" s="59" t="str">
        <f t="shared" si="41"/>
        <v>MANEUVER 8</v>
      </c>
      <c r="GH10" s="732" t="str">
        <f>Start!AJ85</f>
        <v>Select…</v>
      </c>
      <c r="GI10" s="732" t="str">
        <f t="shared" si="42"/>
        <v/>
      </c>
      <c r="GJ10" s="99" t="str">
        <f t="shared" si="43"/>
        <v/>
      </c>
      <c r="GK10" s="59" t="str">
        <f>""</f>
        <v/>
      </c>
      <c r="GL10" s="18"/>
      <c r="GM10" s="18"/>
      <c r="GN10" s="18"/>
      <c r="GO10" s="18"/>
      <c r="GP10" s="18"/>
      <c r="GQ10" s="59" t="s">
        <v>2812</v>
      </c>
      <c r="GR10" s="59" t="s">
        <v>3492</v>
      </c>
      <c r="GS10" s="18">
        <v>11</v>
      </c>
      <c r="GT10" s="18">
        <v>4</v>
      </c>
      <c r="GU10" s="18" t="str">
        <f ca="1">IF(GV10="","",MAX($GU$3:GU9)+1)</f>
        <v/>
      </c>
      <c r="GV10" s="59" t="str">
        <f t="shared" ca="1" si="76"/>
        <v/>
      </c>
      <c r="GW10" s="18">
        <f t="shared" si="103"/>
        <v>8</v>
      </c>
      <c r="GX10" s="59" t="str">
        <f t="shared" ca="1" si="44"/>
        <v/>
      </c>
      <c r="GY10" s="59"/>
      <c r="HK10" s="58" t="s">
        <v>2898</v>
      </c>
      <c r="HL10" s="59" t="str">
        <f>""</f>
        <v/>
      </c>
      <c r="HM10" s="58" t="s">
        <v>2912</v>
      </c>
      <c r="HT10" s="103" t="s">
        <v>734</v>
      </c>
      <c r="HX10" s="59" t="s">
        <v>2967</v>
      </c>
      <c r="IB10" s="59" t="s">
        <v>3121</v>
      </c>
      <c r="IC10" s="59" t="s">
        <v>3469</v>
      </c>
      <c r="ID10" s="58" t="str">
        <f>""</f>
        <v/>
      </c>
      <c r="IH10" s="18" t="str">
        <f>IF(IJ10=1,MAX($IH$2:IH9)+1,"")</f>
        <v/>
      </c>
      <c r="II10" s="58" t="s">
        <v>3300</v>
      </c>
      <c r="IJ10" s="59" t="str">
        <f>IF(AND(WarlockLevel&gt;=15,Start!AJ54="Pact of the Chain"),1,"")</f>
        <v/>
      </c>
      <c r="IK10" s="215" t="s">
        <v>3359</v>
      </c>
      <c r="IL10" s="18">
        <f t="shared" si="105"/>
        <v>8</v>
      </c>
      <c r="IM10" s="59" t="str">
        <f t="shared" si="77"/>
        <v>Gaze of Two Minds</v>
      </c>
      <c r="IN10" s="59">
        <v>7</v>
      </c>
      <c r="IO10" s="59" t="str">
        <f t="shared" si="106"/>
        <v/>
      </c>
      <c r="IP10" s="59" t="str">
        <f>IF($IO$3&gt;=IN10,"Warlock Level 14","INVOCATION 7")</f>
        <v>INVOCATION 7</v>
      </c>
      <c r="IQ10" s="142" t="str">
        <f>Start!AJ119</f>
        <v>Select…</v>
      </c>
      <c r="IR10" s="142" t="str">
        <f t="shared" si="78"/>
        <v/>
      </c>
      <c r="IS10" s="59"/>
      <c r="IT10" s="59"/>
      <c r="IU10" s="18" t="s">
        <v>3576</v>
      </c>
      <c r="IV10" s="59" t="s">
        <v>200</v>
      </c>
      <c r="IW10" s="58" t="s">
        <v>208</v>
      </c>
      <c r="IX10" s="59" t="s">
        <v>1476</v>
      </c>
      <c r="IY10" s="59" t="s">
        <v>936</v>
      </c>
      <c r="IZ10" s="59" t="s">
        <v>194</v>
      </c>
      <c r="JA10" s="59" t="s">
        <v>282</v>
      </c>
      <c r="JB10" s="59" t="s">
        <v>892</v>
      </c>
      <c r="JC10" s="18">
        <f>IF(JD10="","",MAX($JC$1:JC9)+1)</f>
        <v>8</v>
      </c>
      <c r="JD10" s="58" t="s">
        <v>211</v>
      </c>
      <c r="JE10" s="58" t="s">
        <v>261</v>
      </c>
      <c r="JF10" s="18">
        <v>9</v>
      </c>
      <c r="JG10" s="59" t="str">
        <f t="shared" si="27"/>
        <v>Orc</v>
      </c>
      <c r="JH10" s="18">
        <v>9</v>
      </c>
      <c r="JI10" s="60">
        <v>48000</v>
      </c>
      <c r="JJ10" s="18">
        <v>9</v>
      </c>
      <c r="JK10" s="18">
        <v>4</v>
      </c>
      <c r="JL10" s="18"/>
      <c r="JM10" s="18">
        <v>8</v>
      </c>
      <c r="JN10" s="80">
        <f t="shared" ca="1" si="45"/>
        <v>4</v>
      </c>
      <c r="JO10" s="80">
        <f t="shared" ca="1" si="45"/>
        <v>3</v>
      </c>
      <c r="JP10" s="80">
        <f t="shared" ca="1" si="45"/>
        <v>3</v>
      </c>
      <c r="JQ10" s="80">
        <f t="shared" ca="1" si="45"/>
        <v>2</v>
      </c>
      <c r="JR10" s="80" t="str">
        <f t="shared" ca="1" si="45"/>
        <v>-</v>
      </c>
      <c r="JS10" s="80" t="str">
        <f t="shared" ca="1" si="45"/>
        <v>-</v>
      </c>
      <c r="JT10" s="80" t="str">
        <f t="shared" ca="1" si="45"/>
        <v>-</v>
      </c>
      <c r="JU10" s="80" t="str">
        <f t="shared" ca="1" si="45"/>
        <v>-</v>
      </c>
      <c r="JV10" s="80" t="str">
        <f t="shared" ca="1" si="45"/>
        <v>-</v>
      </c>
      <c r="JW10" s="80">
        <f t="shared" ca="1" si="45"/>
        <v>4</v>
      </c>
      <c r="JX10" s="98" t="s">
        <v>3280</v>
      </c>
      <c r="JY10" s="59" t="s">
        <v>312</v>
      </c>
      <c r="JZ10" s="18" t="s">
        <v>39</v>
      </c>
      <c r="KA10" s="98" t="s">
        <v>3276</v>
      </c>
      <c r="KB10" s="98" t="e">
        <f>VLOOKUP(RangerLevel,$KD$1:$KJ$22,$KC10,FALSE)</f>
        <v>#N/A</v>
      </c>
      <c r="KC10" s="98">
        <v>5</v>
      </c>
      <c r="KD10" s="18">
        <v>8</v>
      </c>
      <c r="KE10" s="302">
        <v>6</v>
      </c>
      <c r="KF10" s="302">
        <v>11</v>
      </c>
      <c r="KG10" s="302">
        <v>6</v>
      </c>
      <c r="KH10" s="302">
        <v>5</v>
      </c>
      <c r="KI10" s="302">
        <v>9</v>
      </c>
      <c r="KJ10" s="302">
        <v>9</v>
      </c>
      <c r="KK10" s="18">
        <v>8</v>
      </c>
      <c r="KL10" s="98">
        <v>4</v>
      </c>
      <c r="KM10" s="98">
        <v>4</v>
      </c>
      <c r="KN10" s="98">
        <v>2</v>
      </c>
      <c r="KO10" s="98">
        <v>3</v>
      </c>
      <c r="KP10" s="98">
        <v>3</v>
      </c>
      <c r="KQ10" s="98">
        <v>5</v>
      </c>
      <c r="KR10" s="80">
        <v>3</v>
      </c>
      <c r="KS10" s="73"/>
      <c r="KT10" s="18"/>
      <c r="KU10" s="983"/>
      <c r="KV10" s="18"/>
      <c r="KW10" s="968"/>
      <c r="KX10" s="968"/>
      <c r="KY10" s="968"/>
      <c r="KZ10" s="968"/>
      <c r="LA10" s="967"/>
      <c r="LB10" s="967"/>
      <c r="LC10" s="967"/>
      <c r="LD10" s="967"/>
      <c r="LE10" s="967"/>
      <c r="LF10" s="967"/>
      <c r="LG10" s="968"/>
      <c r="LH10" s="968"/>
      <c r="LI10" s="968"/>
      <c r="LJ10" s="968"/>
      <c r="LK10" s="968"/>
      <c r="LL10" s="967"/>
      <c r="LM10" s="967"/>
      <c r="LN10" s="967"/>
      <c r="LO10" s="967"/>
      <c r="LP10" s="967"/>
      <c r="LQ10" s="967"/>
      <c r="LR10" s="968"/>
      <c r="LS10" s="968"/>
      <c r="LT10" s="968"/>
      <c r="LU10" s="968"/>
      <c r="LV10" s="968"/>
      <c r="LW10" s="968"/>
      <c r="LX10" s="968"/>
      <c r="LY10" s="968"/>
      <c r="LZ10" s="968"/>
      <c r="MA10" s="968"/>
      <c r="MB10" s="968"/>
      <c r="MC10" s="968"/>
      <c r="MD10" s="967"/>
      <c r="ME10" s="967"/>
      <c r="MF10" s="967"/>
      <c r="MG10" s="967"/>
      <c r="MH10" s="967"/>
      <c r="MI10" s="967"/>
      <c r="MJ10" s="985"/>
      <c r="MK10" s="985"/>
      <c r="ML10" s="968"/>
      <c r="MM10" s="968"/>
      <c r="MN10" s="968"/>
      <c r="MO10" s="968"/>
      <c r="MP10" s="968"/>
      <c r="MQ10" s="968"/>
      <c r="MR10" s="968"/>
      <c r="MS10" s="968"/>
      <c r="MT10" s="968"/>
      <c r="MU10" s="968"/>
      <c r="MV10" s="968"/>
      <c r="MW10" s="968"/>
      <c r="MX10" s="968"/>
      <c r="MY10" s="968"/>
      <c r="MZ10" s="968"/>
      <c r="NA10" s="968"/>
      <c r="NB10" s="968"/>
      <c r="NC10" s="968"/>
      <c r="ND10" s="968"/>
      <c r="NE10" s="968"/>
      <c r="NF10" s="968"/>
      <c r="NG10" s="968"/>
      <c r="NH10" s="967"/>
      <c r="NI10" s="967"/>
      <c r="NJ10" s="967"/>
      <c r="NK10" s="967"/>
      <c r="NL10" s="967"/>
      <c r="NM10" s="967"/>
      <c r="NN10" s="967"/>
      <c r="NO10" s="967"/>
      <c r="NP10" s="967"/>
      <c r="NQ10" s="967"/>
      <c r="NR10" s="967"/>
      <c r="NS10" s="967"/>
      <c r="NT10" s="967"/>
      <c r="NU10" s="967"/>
      <c r="NV10" s="967"/>
      <c r="NW10" s="967"/>
      <c r="NX10" s="967"/>
      <c r="NY10" s="967"/>
      <c r="NZ10" s="967"/>
      <c r="OA10" s="324"/>
      <c r="OB10" s="968"/>
      <c r="OC10" s="968"/>
      <c r="OD10" s="968"/>
      <c r="OE10" s="968"/>
      <c r="OF10" s="968"/>
      <c r="OG10" s="968"/>
      <c r="OH10" s="968"/>
      <c r="OI10" s="968"/>
      <c r="OJ10" s="968"/>
      <c r="OK10" s="968"/>
      <c r="OL10" s="968"/>
      <c r="OM10" s="968"/>
      <c r="ON10" s="968"/>
      <c r="OO10" s="968"/>
      <c r="OP10" s="968"/>
      <c r="OQ10" s="968"/>
      <c r="OR10" s="968"/>
      <c r="OS10" s="968"/>
      <c r="OT10" s="968"/>
      <c r="OU10" s="968"/>
      <c r="OV10" s="968"/>
      <c r="OW10" s="968"/>
      <c r="OX10" s="968"/>
      <c r="OY10" s="968"/>
      <c r="OZ10" s="968"/>
      <c r="PA10" s="968"/>
      <c r="PB10" s="968"/>
      <c r="PC10" s="968"/>
      <c r="PD10" s="968"/>
      <c r="PE10" s="968"/>
      <c r="PF10" s="968"/>
      <c r="PG10" s="968"/>
      <c r="PH10" s="968"/>
      <c r="PI10" s="968"/>
      <c r="PJ10" s="968"/>
      <c r="PK10" s="968"/>
      <c r="PL10" s="968"/>
      <c r="PM10" s="968"/>
      <c r="PN10" s="968"/>
      <c r="PO10" s="968"/>
      <c r="PP10" s="968"/>
      <c r="PQ10" s="968"/>
      <c r="PR10" s="968"/>
      <c r="PS10" s="968"/>
      <c r="PT10" s="324"/>
      <c r="PU10" s="971"/>
      <c r="PV10" s="320"/>
      <c r="PW10" s="320"/>
      <c r="PX10" s="320"/>
      <c r="PY10" s="18"/>
      <c r="PZ10" s="28" t="s">
        <v>350</v>
      </c>
      <c r="QA10" s="28" t="s">
        <v>168</v>
      </c>
      <c r="QB10" s="30" t="str">
        <f t="shared" ca="1" si="79"/>
        <v>not proficient</v>
      </c>
      <c r="QC10" s="31" t="s">
        <v>88</v>
      </c>
      <c r="QD10" s="28" t="s">
        <v>106</v>
      </c>
      <c r="QE10" s="29" t="s">
        <v>170</v>
      </c>
      <c r="QF10" s="29">
        <v>5</v>
      </c>
      <c r="QG10" s="29" t="s">
        <v>135</v>
      </c>
      <c r="QH10" s="29" t="str">
        <f>""</f>
        <v/>
      </c>
      <c r="QI10" s="29" t="str">
        <f>""</f>
        <v/>
      </c>
      <c r="QJ10" s="29" t="str">
        <f>""</f>
        <v/>
      </c>
      <c r="QK10" s="29" t="s">
        <v>139</v>
      </c>
      <c r="QL10" s="29" t="str">
        <f>""</f>
        <v/>
      </c>
      <c r="QM10" s="29" t="str">
        <f>""</f>
        <v/>
      </c>
      <c r="QN10" s="29" t="str">
        <f>""</f>
        <v/>
      </c>
      <c r="QO10" s="29" t="s">
        <v>147</v>
      </c>
      <c r="QP10" s="29" t="str">
        <f>""</f>
        <v/>
      </c>
      <c r="QQ10" s="30" t="str">
        <f>""</f>
        <v/>
      </c>
      <c r="QR10" s="30" t="s">
        <v>779</v>
      </c>
      <c r="QS10" s="64" t="s">
        <v>3412</v>
      </c>
      <c r="QT10" s="733">
        <f t="shared" si="46"/>
        <v>10</v>
      </c>
      <c r="QU10" s="727" t="s">
        <v>90</v>
      </c>
      <c r="QV10" s="727"/>
      <c r="QW10" s="727"/>
      <c r="QX10" s="727"/>
      <c r="QY10" s="727"/>
      <c r="QZ10" s="727" t="str">
        <f>VLOOKUP(Start!AV$137,Tables!$PZ$2:$QQ$500,$QT10,FALSE)</f>
        <v/>
      </c>
      <c r="RA10" s="727"/>
      <c r="RB10" s="729"/>
      <c r="RC10" s="727"/>
      <c r="RD10" s="727"/>
      <c r="RE10" s="727"/>
      <c r="RF10" s="727"/>
      <c r="RG10" s="727"/>
      <c r="RH10" s="727" t="str">
        <f>VLOOKUP(Start!BD$137,Tables!$PZ$2:$QQ$500,$QT10,FALSE)</f>
        <v/>
      </c>
      <c r="RI10" s="727"/>
      <c r="RJ10" s="727"/>
      <c r="RK10" s="727"/>
      <c r="RL10" s="727"/>
      <c r="RM10" s="727"/>
      <c r="RN10" s="729"/>
      <c r="RO10" s="729"/>
      <c r="RP10" s="727" t="str">
        <f>VLOOKUP(Start!BL$137,Tables!$PZ$2:$QQ$500,$QT10,FALSE)</f>
        <v/>
      </c>
      <c r="RQ10" s="729"/>
      <c r="RR10" s="729"/>
      <c r="RS10" s="729"/>
      <c r="RT10" s="729"/>
      <c r="RU10" s="729"/>
      <c r="RV10" s="729"/>
      <c r="RW10" s="729"/>
      <c r="RX10" s="727" t="str">
        <f>VLOOKUP(Start!BT$137,Tables!$PZ$2:$QQ$500,$QT10,FALSE)</f>
        <v/>
      </c>
      <c r="RY10" s="729"/>
      <c r="RZ10" s="729"/>
      <c r="SA10" s="729"/>
      <c r="SB10" s="729"/>
      <c r="SC10" s="729"/>
      <c r="SD10" s="729"/>
      <c r="SE10" s="729"/>
      <c r="SF10" s="727" t="str">
        <f>VLOOKUP(Start!CB$137,Tables!$PZ$2:$QQ$500,$QT10,FALSE)</f>
        <v/>
      </c>
      <c r="SG10" s="729"/>
      <c r="SH10" s="729"/>
      <c r="SI10" s="729"/>
      <c r="SJ10" s="729"/>
      <c r="SK10" s="729"/>
      <c r="SL10" s="729"/>
      <c r="SM10" s="634"/>
      <c r="SN10" s="727" t="str">
        <f>VLOOKUP(Start!CJ$137,Tables!$PZ$2:$QQ$500,$QT10,FALSE)</f>
        <v/>
      </c>
      <c r="SO10" s="729"/>
      <c r="SP10" s="729"/>
      <c r="SQ10" s="729"/>
      <c r="SR10" s="28" t="s">
        <v>242</v>
      </c>
      <c r="SS10" s="28" t="s">
        <v>1003</v>
      </c>
      <c r="ST10" s="29" t="str">
        <f ca="1">IF(SR10="","",IF(Start!$Y$157=$QS$12,$QS$12&amp;" (disadvantage)",IF(Start!$Y$157=$QS$11,$QS$11,IF(VLOOKUP(SR10,$KT$60:$KV$78,2,FALSE)="No",$QS$12&amp;" (disadvantage)",$QS$11))))</f>
        <v>not proficient (disadvantage)</v>
      </c>
      <c r="SU10" s="69">
        <v>14</v>
      </c>
      <c r="SV10" s="42">
        <f>IF($OY$1&gt;0,IF(DEXMod&gt;3,3,DEXMod),IF(DEXMod&gt;2,2,DEXMod))</f>
        <v>-5</v>
      </c>
      <c r="SW10" s="232" t="s">
        <v>140</v>
      </c>
      <c r="SX10" s="46" t="s">
        <v>249</v>
      </c>
      <c r="SY10" s="30">
        <v>45</v>
      </c>
      <c r="SZ10" s="29" t="str">
        <f ca="1">ST10&amp;", Don: 5min, Doff: 1min"</f>
        <v>not proficient (disadvantage), Don: 5min, Doff: 1min</v>
      </c>
      <c r="TA10" s="28"/>
      <c r="TB10" s="28"/>
      <c r="TC10" s="28"/>
      <c r="TD10" s="42"/>
      <c r="TE10" s="29"/>
      <c r="TF10" s="232"/>
      <c r="TG10" s="29"/>
      <c r="TH10" s="30"/>
      <c r="TI10" s="30"/>
      <c r="TJ10" s="18">
        <f t="shared" si="115"/>
        <v>8</v>
      </c>
      <c r="TK10" s="58" t="s">
        <v>502</v>
      </c>
      <c r="TL10" s="58" t="s">
        <v>460</v>
      </c>
      <c r="TM10" s="18">
        <v>3</v>
      </c>
      <c r="TN10" s="59" t="str">
        <f t="shared" si="47"/>
        <v xml:space="preserve">Animate Dead ᴴ </v>
      </c>
      <c r="TO10" s="350" t="s">
        <v>2991</v>
      </c>
      <c r="TP10" s="18" t="str">
        <f t="shared" si="48"/>
        <v/>
      </c>
      <c r="TQ10" s="18" t="str">
        <f>IF(OR(TK10=Spellcasting!$AC$18,TK10=Spellcasting!$AC$19),"ᵐ","")</f>
        <v/>
      </c>
      <c r="TR10" s="18" t="str">
        <f>IF(OR(TK10=Spellcasting!$AC$20,TK10=Spellcasting!$AC$21),"ˢ","")</f>
        <v/>
      </c>
      <c r="TS10" s="18" t="str">
        <f>""</f>
        <v/>
      </c>
      <c r="TT10" s="18" t="s">
        <v>503</v>
      </c>
      <c r="TU10" s="18" t="s">
        <v>504</v>
      </c>
      <c r="TV10" s="18" t="s">
        <v>505</v>
      </c>
      <c r="TW10" s="18" t="s">
        <v>495</v>
      </c>
      <c r="TX10" s="59" t="s">
        <v>1285</v>
      </c>
      <c r="TY10" s="18" t="s">
        <v>506</v>
      </c>
      <c r="TZ10" s="18" t="s">
        <v>507</v>
      </c>
      <c r="UA10" s="142" t="s">
        <v>3137</v>
      </c>
      <c r="UB10" s="319" t="s">
        <v>3135</v>
      </c>
      <c r="UH10" s="18" t="str">
        <f ca="1">IF(UH$1&gt;=$TM10,1,"0")</f>
        <v>0</v>
      </c>
      <c r="UL10" s="18" t="str">
        <f ca="1">IF(UL$1&gt;=$TM10,1,"0")</f>
        <v>0</v>
      </c>
      <c r="WD10" s="18" t="str">
        <f ca="1">IF(SUM($VZ$1:$WC$1)&gt;0,IF(AND(SUM($VZ10:$WC10)&gt;0,$TM10=WE$1),MAX(WD$2:WD9)+1,""),IF(AND(SUM($UC10:$VY10)&gt;0,$TM10=WE$1),MAX(WD$2:WD9)+1,""))</f>
        <v/>
      </c>
      <c r="WE10" s="59" t="str">
        <f t="shared" ca="1" si="80"/>
        <v/>
      </c>
      <c r="WF10" s="18" t="str">
        <f ca="1">IF(AND(SUM($UB10:$VY10)&gt;0,$TM10=WG$1),MAX(WF$2:WF9)+1,"")</f>
        <v/>
      </c>
      <c r="WG10" s="59" t="str">
        <f t="shared" ca="1" si="81"/>
        <v/>
      </c>
      <c r="WH10" s="18" t="str">
        <f ca="1">IF(AND(SUM($UB10:$VY10)&gt;0,$TM10=WI$1),MAX(WH$2:WH9)+1,"")</f>
        <v/>
      </c>
      <c r="WI10" s="59" t="str">
        <f t="shared" ca="1" si="82"/>
        <v/>
      </c>
      <c r="WJ10" s="18" t="str">
        <f ca="1">IF(AND(SUM($UB10:$VY10)&gt;0,$TM10=WK$1),MAX(WJ$2:WJ9)+1,"")</f>
        <v/>
      </c>
      <c r="WK10" s="59" t="str">
        <f t="shared" ca="1" si="83"/>
        <v/>
      </c>
      <c r="WL10" s="18" t="str">
        <f ca="1">IF(AND(SUM($UB10:$VY10)&gt;0,$TM10=WM$1),MAX(WL$2:WL9)+1,"")</f>
        <v/>
      </c>
      <c r="WM10" s="59" t="str">
        <f t="shared" ca="1" si="84"/>
        <v/>
      </c>
      <c r="WN10" s="18" t="str">
        <f ca="1">IF(AND(SUM($UB10:$VY10)&gt;0,$TM10=WO$1),MAX(WN$2:WN9)+1,"")</f>
        <v/>
      </c>
      <c r="WO10" s="59" t="str">
        <f t="shared" ca="1" si="85"/>
        <v/>
      </c>
      <c r="WP10" s="18" t="str">
        <f ca="1">IF(AND(SUM($UB10:$VY10)&gt;0,$TM10=WQ$1),MAX(WP$2:WP9)+1,"")</f>
        <v/>
      </c>
      <c r="WQ10" s="59" t="str">
        <f t="shared" ca="1" si="86"/>
        <v/>
      </c>
      <c r="WR10" s="18" t="str">
        <f ca="1">IF(AND(SUM($UB10:$VY10)&gt;0,$TM10=WS$1),MAX(WR$2:WR9)+1,"")</f>
        <v/>
      </c>
      <c r="WS10" s="59" t="str">
        <f t="shared" ca="1" si="87"/>
        <v/>
      </c>
      <c r="WT10" s="18" t="str">
        <f ca="1">IF(AND(SUM($UB10:$VY10)&gt;0,$TM10=WU$1),MAX(WT$2:WT9)+1,"")</f>
        <v/>
      </c>
      <c r="WU10" s="59" t="str">
        <f t="shared" ca="1" si="88"/>
        <v/>
      </c>
      <c r="WV10" s="18" t="str">
        <f ca="1">IF(AND(SUM($UB10:$VY10)&gt;0,$TM10=WW$1),MAX(WV$2:WV9)+1,"")</f>
        <v/>
      </c>
      <c r="WW10" s="59" t="str">
        <f t="shared" ca="1" si="89"/>
        <v/>
      </c>
      <c r="WX10" s="18" t="str">
        <f ca="1">IF(AND(SUM($UB10:$VY10)&gt;0,$TM10=WY$1),MAX(WX$2:WX9)+1,"")</f>
        <v/>
      </c>
      <c r="WY10" s="59" t="str">
        <f t="shared" ca="1" si="90"/>
        <v/>
      </c>
      <c r="WZ10" s="18">
        <v>9</v>
      </c>
      <c r="XA10" s="59" t="str">
        <f t="shared" ca="1" si="91"/>
        <v/>
      </c>
      <c r="XB10" s="59" t="str">
        <f t="shared" ca="1" si="28"/>
        <v/>
      </c>
      <c r="XC10" s="59" t="str">
        <f t="shared" ca="1" si="29"/>
        <v/>
      </c>
      <c r="XD10" s="59" t="str">
        <f t="shared" ca="1" si="60"/>
        <v/>
      </c>
      <c r="XE10" s="59" t="str">
        <f t="shared" ca="1" si="61"/>
        <v/>
      </c>
      <c r="XF10" s="59" t="str">
        <f t="shared" ca="1" si="62"/>
        <v/>
      </c>
      <c r="XG10" s="59" t="str">
        <f t="shared" ca="1" si="63"/>
        <v/>
      </c>
      <c r="XH10" s="59" t="str">
        <f t="shared" ca="1" si="64"/>
        <v/>
      </c>
      <c r="XI10" s="59" t="str">
        <f t="shared" ca="1" si="65"/>
        <v/>
      </c>
      <c r="XJ10" s="59" t="str">
        <f t="shared" ca="1" si="66"/>
        <v/>
      </c>
      <c r="XK10" s="59" t="str">
        <f t="shared" ca="1" si="67"/>
        <v/>
      </c>
      <c r="XL10" s="59" t="s">
        <v>3070</v>
      </c>
      <c r="XM10" s="18">
        <f t="shared" si="116"/>
        <v>6</v>
      </c>
      <c r="XN10" s="142" t="str">
        <f t="shared" si="107"/>
        <v>Hawk</v>
      </c>
      <c r="XO10" s="142" t="str">
        <f t="shared" si="107"/>
        <v>Beast</v>
      </c>
      <c r="XP10" s="249" t="str">
        <f t="shared" si="107"/>
        <v>Tiny</v>
      </c>
      <c r="XQ10" s="249">
        <f t="shared" si="107"/>
        <v>13</v>
      </c>
      <c r="XR10" s="249">
        <f t="shared" si="107"/>
        <v>1</v>
      </c>
      <c r="XS10" s="142" t="str">
        <f t="shared" si="107"/>
        <v>10 ft, fly 60 ft</v>
      </c>
      <c r="XT10" s="249">
        <f t="shared" si="107"/>
        <v>5</v>
      </c>
      <c r="XU10" s="249">
        <f t="shared" si="107"/>
        <v>16</v>
      </c>
      <c r="XV10" s="249">
        <f t="shared" si="107"/>
        <v>8</v>
      </c>
      <c r="XW10" s="249">
        <f t="shared" si="107"/>
        <v>2</v>
      </c>
      <c r="XX10" s="249">
        <f t="shared" si="107"/>
        <v>14</v>
      </c>
      <c r="XY10" s="249">
        <f t="shared" si="107"/>
        <v>6</v>
      </c>
      <c r="XZ10" s="142" t="str">
        <f t="shared" si="107"/>
        <v>Perception +4</v>
      </c>
      <c r="YA10" s="142" t="str">
        <f t="shared" si="107"/>
        <v>passive Perception 14</v>
      </c>
      <c r="YB10" s="142" t="str">
        <f t="shared" si="107"/>
        <v>Talons melee +5, reach 5ft, 1 slashing</v>
      </c>
      <c r="YC10" s="142" t="str">
        <f t="shared" si="107"/>
        <v>Keen Sight. Advantage on Wisdom (Perception) checks that rely on sight</v>
      </c>
      <c r="YE10" s="18" t="str">
        <f t="shared" ca="1" si="92"/>
        <v/>
      </c>
      <c r="YF10" s="18">
        <f t="shared" si="108"/>
        <v>8</v>
      </c>
      <c r="YG10" s="59" t="str">
        <f t="shared" ca="1" si="70"/>
        <v>FEAT 8</v>
      </c>
      <c r="YH10" s="59" t="str">
        <f>IF(OR(Start!I120="",Start!I120=SelectText),"",Start!I120)</f>
        <v/>
      </c>
      <c r="YI10" s="59" t="str">
        <f t="shared" si="93"/>
        <v/>
      </c>
      <c r="YJ10" s="59" t="str">
        <f>IF(YH10="","",IF(YI9="","","
"&amp;YG10&amp;" - "&amp;YH10&amp;"
"&amp;YI10))</f>
        <v/>
      </c>
      <c r="YK10" s="59" t="str">
        <f>""</f>
        <v/>
      </c>
      <c r="YM10" s="18" t="str">
        <f t="shared" si="95"/>
        <v/>
      </c>
      <c r="YN10" s="18" t="str">
        <f t="shared" si="96"/>
        <v/>
      </c>
      <c r="YR10" s="18"/>
      <c r="YS10" s="18" t="str">
        <f t="shared" ca="1" si="97"/>
        <v/>
      </c>
      <c r="YT10" s="548" t="s">
        <v>279</v>
      </c>
      <c r="YU10" s="18">
        <v>12</v>
      </c>
      <c r="YV10" s="18" t="str">
        <f ca="1">VLOOKUP(YY10,$ZE$2:$ZP$23,$ZE$1,FALSE)</f>
        <v/>
      </c>
      <c r="YW10" s="18" t="str">
        <f ca="1">IF(YX10="","",MAX($YW$1:YW9)+1)</f>
        <v/>
      </c>
      <c r="YX10" s="59" t="str">
        <f t="shared" ca="1" si="71"/>
        <v/>
      </c>
      <c r="YY10" s="18" t="str">
        <f t="shared" ca="1" si="72"/>
        <v/>
      </c>
      <c r="YZ10" s="18">
        <f t="shared" si="117"/>
        <v>7</v>
      </c>
      <c r="ZA10" s="18" t="str">
        <f ca="1">IF(ZB10="","",MAX($ZA$2:ZA9)+1)</f>
        <v/>
      </c>
      <c r="ZB10" s="18" t="str">
        <f t="shared" ca="1" si="98"/>
        <v/>
      </c>
      <c r="ZC10" s="18" t="str">
        <f>IF(Start!AF26=SelectText,"",Start!AF26)</f>
        <v/>
      </c>
      <c r="ZD10" s="18" t="str">
        <f>IF(OR(COUNTIF($ZC$4:$ZC10,ZD$2)=0,COUNTIF($ZC$4:$ZC10,ZD$2)=MAX(ZD$2:ZD9)),"-",COUNTIF($ZC$4:$ZC10,ZD$2))</f>
        <v>-</v>
      </c>
      <c r="ZE10" s="18" t="str">
        <f>IF(OR(COUNTIF($ZC$4:$ZC10,ZE$2)=0,COUNTIF($ZC$4:$ZC10,ZE$2)=MAX(ZE$2:ZE9)),"-",COUNTIF($ZC$4:$ZC10,ZE$2))</f>
        <v>-</v>
      </c>
      <c r="ZF10" s="18" t="str">
        <f>IF(OR(COUNTIF($ZC$4:$ZC10,ZF$2)=0,COUNTIF($ZC$4:$ZC10,ZF$2)=MAX(ZF$2:ZF9)),"-",COUNTIF($ZC$4:$ZC10,ZF$2))</f>
        <v>-</v>
      </c>
      <c r="ZG10" s="18" t="str">
        <f>IF(OR(COUNTIF($ZC$4:$ZC10,ZG$2)=0,COUNTIF($ZC$4:$ZC10,ZG$2)=MAX(ZG$2:ZG9)),"-",COUNTIF($ZC$4:$ZC10,ZG$2))</f>
        <v>-</v>
      </c>
      <c r="ZH10" s="18" t="str">
        <f>IF(OR(COUNTIF($ZC$4:$ZC10,ZH$2)=0,COUNTIF($ZC$4:$ZC10,ZH$2)=MAX(ZH$2:ZH9)),"-",COUNTIF($ZC$4:$ZC10,ZH$2))</f>
        <v>-</v>
      </c>
      <c r="ZI10" s="18" t="str">
        <f>IF(OR(COUNTIF($ZC$4:$ZC10,ZI$2)=0,COUNTIF($ZC$4:$ZC10,ZI$2)=MAX(ZI$2:ZI9)),"-",COUNTIF($ZC$4:$ZC10,ZI$2))</f>
        <v>-</v>
      </c>
      <c r="ZJ10" s="18" t="str">
        <f>IF(OR(COUNTIF($ZC$4:$ZC10,ZJ$2)=0,COUNTIF($ZC$4:$ZC10,ZJ$2)=MAX(ZJ$2:ZJ9)),"-",COUNTIF($ZC$4:$ZC10,ZJ$2))</f>
        <v>-</v>
      </c>
      <c r="ZK10" s="18" t="str">
        <f>IF(OR(COUNTIF($ZC$4:$ZC10,ZK$2)=0,COUNTIF($ZC$4:$ZC10,ZK$2)=MAX(ZK$2:ZK9)),"-",COUNTIF($ZC$4:$ZC10,ZK$2))</f>
        <v>-</v>
      </c>
      <c r="ZL10" s="18" t="str">
        <f>IF(OR(COUNTIF($ZC$4:$ZC10,ZL$2)=0,COUNTIF($ZC$4:$ZC10,ZL$2)=MAX(ZL$2:ZL9)),"-",COUNTIF($ZC$4:$ZC10,ZL$2))</f>
        <v>-</v>
      </c>
      <c r="ZM10" s="18" t="str">
        <f>IF(OR(COUNTIF($ZC$4:$ZC10,ZM$2)=0,COUNTIF($ZC$4:$ZC10,ZM$2)=MAX(ZM$2:ZM9)),"-",COUNTIF($ZC$4:$ZC10,ZM$2))</f>
        <v>-</v>
      </c>
      <c r="ZN10" s="18" t="str">
        <f>IF(OR(COUNTIF($ZC$4:$ZC10,ZN$2)=0,COUNTIF($ZC$4:$ZC10,ZN$2)=MAX(ZN$2:ZN9)),"-",COUNTIF($ZC$4:$ZC10,ZN$2))</f>
        <v>-</v>
      </c>
      <c r="ZO10" s="18" t="str">
        <f>IF(OR(COUNTIF($ZC$4:$ZC10,ZO$2)=0,COUNTIF($ZC$4:$ZC10,ZO$2)=MAX(ZO$2:ZO9)),"-",COUNTIF($ZC$4:$ZC10,ZO$2))</f>
        <v>-</v>
      </c>
      <c r="ZP10" s="18">
        <f t="shared" si="118"/>
        <v>7</v>
      </c>
      <c r="ZQ10" s="18" t="s">
        <v>315</v>
      </c>
      <c r="ZR10" s="18">
        <f t="shared" si="31"/>
        <v>6</v>
      </c>
    </row>
    <row r="11" spans="1:718" ht="9.9499999999999993" customHeight="1" x14ac:dyDescent="0.25">
      <c r="A11" s="391" t="s">
        <v>215</v>
      </c>
      <c r="B11" s="391" t="s">
        <v>195</v>
      </c>
      <c r="C11" s="391">
        <v>30</v>
      </c>
      <c r="D11" s="391" t="s">
        <v>318</v>
      </c>
      <c r="E11" s="399" t="s">
        <v>2629</v>
      </c>
      <c r="F11" s="393" t="str">
        <f>"Elvish, Common, +1 extra language"</f>
        <v>Elvish, Common, +1 extra language</v>
      </c>
      <c r="G11" s="393">
        <v>3</v>
      </c>
      <c r="H11" s="393" t="s">
        <v>2632</v>
      </c>
      <c r="I11" s="393">
        <v>2</v>
      </c>
      <c r="J11" s="393" t="s">
        <v>187</v>
      </c>
      <c r="K11" s="391">
        <v>0</v>
      </c>
      <c r="L11" s="402" t="str">
        <f>IF(AND(Race=$A$11,OR(Start!$N$11=L$1,Start!$N$12=L$1)),1,"")</f>
        <v/>
      </c>
      <c r="M11" s="402" t="str">
        <f>IF(AND(Race=$A$11,OR(Start!$N$11=M$1,Start!$N$12=M$1)),1,"")</f>
        <v/>
      </c>
      <c r="N11" s="402" t="str">
        <f>IF(AND(Race=$A$11,OR(Start!$N$11=N$1,Start!$N$12=N$1)),1,"")</f>
        <v/>
      </c>
      <c r="O11" s="402" t="str">
        <f>IF(AND(Race=$A$11,OR(Start!$N$11=O$1,Start!$N$12=O$1)),1,"")</f>
        <v/>
      </c>
      <c r="P11" s="402" t="str">
        <f>IF(AND(Race=$A$11,OR(Start!$N$11=P$1,Start!$N$12=P$1)),1,"")</f>
        <v/>
      </c>
      <c r="Q11" s="402">
        <v>2</v>
      </c>
      <c r="R11" s="742" t="s">
        <v>3127</v>
      </c>
      <c r="S11" s="742" t="s">
        <v>2673</v>
      </c>
      <c r="T11" s="742" t="s">
        <v>810</v>
      </c>
      <c r="U11" s="59" t="s">
        <v>231</v>
      </c>
      <c r="V11" s="142" t="s">
        <v>2720</v>
      </c>
      <c r="W11" s="142"/>
      <c r="X11" s="18" t="str">
        <f>IF(Y11="","",MAX($X$3:X10)+1)</f>
        <v/>
      </c>
      <c r="Y11" s="58" t="str">
        <f>IF(A7=$A$3,U11,"")</f>
        <v/>
      </c>
      <c r="Z11" s="18">
        <f t="shared" si="109"/>
        <v>8</v>
      </c>
      <c r="AA11" s="18" t="str">
        <f t="shared" si="74"/>
        <v/>
      </c>
      <c r="AB11" s="18"/>
      <c r="AC11"/>
      <c r="AD11" s="18"/>
      <c r="AE11" s="59" t="s">
        <v>2398</v>
      </c>
      <c r="AF11" s="455" t="s">
        <v>2410</v>
      </c>
      <c r="AG11" s="740" t="s">
        <v>3515</v>
      </c>
      <c r="AH11" s="455" t="s">
        <v>2411</v>
      </c>
      <c r="AI11" s="287">
        <v>2</v>
      </c>
      <c r="AJ11" s="455" t="s">
        <v>340</v>
      </c>
      <c r="AK11" s="267">
        <v>1</v>
      </c>
      <c r="AL11" s="455" t="s">
        <v>1834</v>
      </c>
      <c r="AM11" s="17">
        <v>1</v>
      </c>
      <c r="AN11" s="18"/>
      <c r="AO11" s="18">
        <f t="shared" si="119"/>
        <v>10</v>
      </c>
      <c r="AP11" s="59" t="str">
        <f t="shared" si="100"/>
        <v/>
      </c>
      <c r="AQ11" s="59" t="str">
        <f>""</f>
        <v/>
      </c>
      <c r="AR11" s="254" t="s">
        <v>1058</v>
      </c>
      <c r="AS11" s="385" t="s">
        <v>2429</v>
      </c>
      <c r="AT11" s="254" t="s">
        <v>1084</v>
      </c>
      <c r="AU11" s="385" t="s">
        <v>2463</v>
      </c>
      <c r="AV11" s="255" t="s">
        <v>1127</v>
      </c>
      <c r="AW11" s="385" t="s">
        <v>2509</v>
      </c>
      <c r="AX11" s="385" t="s">
        <v>2542</v>
      </c>
      <c r="AY11" s="58" t="s">
        <v>1154</v>
      </c>
      <c r="AZ11" s="58" t="s">
        <v>2578</v>
      </c>
      <c r="BA11" s="254" t="s">
        <v>1021</v>
      </c>
      <c r="BB11" s="385" t="s">
        <v>2604</v>
      </c>
      <c r="BC11" s="58" t="s">
        <v>1180</v>
      </c>
      <c r="BD11" s="58" t="s">
        <v>2372</v>
      </c>
      <c r="BE11" s="18" t="str">
        <f>""</f>
        <v/>
      </c>
      <c r="BI11" s="743" t="s">
        <v>276</v>
      </c>
      <c r="BJ11" s="395">
        <v>12</v>
      </c>
      <c r="BK11" s="396" t="str">
        <f>IF(BL11=0,"",MAX($BK$6:BK10)+1)</f>
        <v/>
      </c>
      <c r="BL11" s="396">
        <f>COUNTIF(Start!$AF$20:$AF$39,Tables!BI11)</f>
        <v>0</v>
      </c>
      <c r="BM11" s="394" t="str">
        <f>IF(OR(BK11="",BO11=""),"",MAX($BM$6:BM10)+1)</f>
        <v/>
      </c>
      <c r="BN11" s="390" t="str">
        <f>""</f>
        <v/>
      </c>
      <c r="BO11" s="394" t="str">
        <f>""</f>
        <v/>
      </c>
      <c r="BP11" s="396" t="str">
        <f t="shared" si="120"/>
        <v/>
      </c>
      <c r="BQ11" s="745" t="s">
        <v>2635</v>
      </c>
      <c r="BR11" s="396">
        <v>3</v>
      </c>
      <c r="BS11" s="396"/>
      <c r="BT11" s="396"/>
      <c r="BU11" s="392"/>
      <c r="BV11" s="396">
        <f>IF(OR(ArmorName="",ArmorName="none"),10+WISMod+CONMod,10)</f>
        <v>0</v>
      </c>
      <c r="BW11" s="396">
        <f>IF(OR(BarbarianLevel&lt;5,ArmorGroup="heavy"),0,10)</f>
        <v>0</v>
      </c>
      <c r="BX11" s="396">
        <v>0</v>
      </c>
      <c r="BY11" s="458" t="str">
        <f>""</f>
        <v/>
      </c>
      <c r="BZ11" s="397" t="s">
        <v>335</v>
      </c>
      <c r="CA11" s="397" t="s">
        <v>344</v>
      </c>
      <c r="CB11" s="393" t="s">
        <v>336</v>
      </c>
      <c r="CC11" s="393" t="s">
        <v>336</v>
      </c>
      <c r="CD11" s="393" t="s">
        <v>187</v>
      </c>
      <c r="CE11" s="391">
        <v>0</v>
      </c>
      <c r="CF11" s="393" t="s">
        <v>187</v>
      </c>
      <c r="CG11" s="391">
        <v>0</v>
      </c>
      <c r="CH11" s="393" t="s">
        <v>337</v>
      </c>
      <c r="CI11" s="393" t="s">
        <v>2636</v>
      </c>
      <c r="CJ11" s="391">
        <v>2</v>
      </c>
      <c r="CK11" s="393" t="s">
        <v>187</v>
      </c>
      <c r="CL11" s="391">
        <v>0</v>
      </c>
      <c r="CM11" s="393" t="str">
        <f>"• Rage ("&amp;IF(BarbarianLevel&lt;3,2,IF(BarbarianLevel&lt;6,3,IF(BarbarianLevel&lt;12,4,IF(BarbarianLevel&lt;17,5,IF(BarbarianLevel&lt;20,6,"Unlimited")))))&amp;"), Unarmoured Defense
"</f>
        <v xml:space="preserve">• Rage (2), Unarmoured Defense
</v>
      </c>
      <c r="CN11" s="393" t="str">
        <f>"• Reckless Attack, Danger Sense
"</f>
        <v xml:space="preserve">• Reckless Attack, Danger Sense
</v>
      </c>
      <c r="CO11" s="393" t="e">
        <f ca="1">"• Primal Path ("&amp;VLOOKUP($BI11,$BN$3:$BQ$5,4,FALSE)&amp;")
• Primal Path Feature ("&amp;VLOOKUP($BI11,$DM$3:$EH$5,DQ$2-1,FALSE)&amp;")"&amp;IF(BarbarianTotemWarriorLevel&gt;=3,"
• Totem Spirits
"&amp;HI3&amp;"
","
")</f>
        <v>#N/A</v>
      </c>
      <c r="CP11" s="393" t="str">
        <f>IF(BarbarianLevel&gt;=DE$6,"• Ability Score Improvement / Feat: level "&amp;DE$6&amp;", "&amp;DB$6&amp;", "&amp;CX$6&amp;", "&amp;CT$6&amp;", "&amp;CP$6,IF(BarbarianLevel&gt;=DB$6,"• Ability Score Improvement / Feat: level "&amp;DB$6&amp;", "&amp;CX$6&amp;", "&amp;CT$6&amp;", "&amp;CP$6,IF(BarbarianLevel&gt;=CX$6,"• Ability Score Improvement / Feat: level "&amp;CX$6&amp;", "&amp;CT$6&amp;", "&amp;CP$6,IF(BarbarianLevel&gt;=CT$6,"• Ability Score Improvement / Feat : level "&amp;CT$6&amp;", "&amp;CP$6,"• Ability Score Improvement / Feat: level "&amp;CP$6))))&amp;"
"</f>
        <v xml:space="preserve">• Ability Score Improvement / Feat: level 4
</v>
      </c>
      <c r="CQ11" s="393" t="str">
        <f>"• Extra Attack, Fast Movement (+10ft)
"</f>
        <v xml:space="preserve">• Extra Attack, Fast Movement (+10ft)
</v>
      </c>
      <c r="CR11" s="393" t="e">
        <f>"• Primal Path Feature ("&amp;VLOOKUP($BI11,$DM$3:$EH$5,DT$2-1,FALSE)&amp;")
"</f>
        <v>#N/A</v>
      </c>
      <c r="CS11" s="393" t="str">
        <f>"• Feral Instinct
"</f>
        <v xml:space="preserve">• Feral Instinct
</v>
      </c>
      <c r="CT11" s="393" t="str">
        <f>""</f>
        <v/>
      </c>
      <c r="CU11" s="393" t="str">
        <f>IF(BarbarianLevel&gt;=DC6,"• Brutal Critical (3 dice)",IF(BarbarianLevel&gt;=CY6,"• Brutal Critical (2 dice)",IF(BarbarianLevel&gt;=CU6,"• Brutal Critical (1 dice)","")))&amp;"
"</f>
        <v xml:space="preserve">
</v>
      </c>
      <c r="CV11" s="393" t="e">
        <f>"• Primal Path Feature ("&amp;VLOOKUP($BI11,$DM$3:$EH$5,DX$2-1,FALSE)&amp;")
"</f>
        <v>#N/A</v>
      </c>
      <c r="CW11" s="393" t="str">
        <f>"• Relentless Rage"&amp;"
"</f>
        <v xml:space="preserve">• Relentless Rage
</v>
      </c>
      <c r="CX11" s="393" t="str">
        <f>""</f>
        <v/>
      </c>
      <c r="CY11" s="393" t="str">
        <f>""</f>
        <v/>
      </c>
      <c r="CZ11" s="393" t="e">
        <f>"• Primal Path Feature ("&amp;VLOOKUP($BI11,$DM$3:$EH$5,EB$2-1,FALSE)&amp;")
"</f>
        <v>#N/A</v>
      </c>
      <c r="DA11" s="393" t="str">
        <f>"• Persistent Rage
"</f>
        <v xml:space="preserve">• Persistent Rage
</v>
      </c>
      <c r="DB11" s="393" t="str">
        <f>""</f>
        <v/>
      </c>
      <c r="DC11" s="393" t="str">
        <f>""</f>
        <v/>
      </c>
      <c r="DD11" s="393" t="str">
        <f>"• Indomitable Might
"</f>
        <v xml:space="preserve">• Indomitable Might
</v>
      </c>
      <c r="DE11" s="393" t="str">
        <f>""</f>
        <v/>
      </c>
      <c r="DF11" s="393" t="str">
        <f>"• Primal Champion
"</f>
        <v xml:space="preserve">• Primal Champion
</v>
      </c>
      <c r="DL11" s="59" t="s">
        <v>922</v>
      </c>
      <c r="DM11" s="18" t="s">
        <v>226</v>
      </c>
      <c r="DN11" s="18">
        <f t="shared" ca="1" si="121"/>
        <v>0</v>
      </c>
      <c r="DO11" s="58" t="str">
        <f>"Bonus Proficiency (Martial Weapons, Heavy Armor)
• Divine Domain Feature (Wrath of the Storm: "&amp;IF(WISMod&lt;1,1,WISMod)&amp;" times per day, reaction 2d8 lightning or thunder, dex save ½)
• Domain Spells"&amp;"
"&amp;EI11</f>
        <v xml:space="preserve">Bonus Proficiency (Martial Weapons, Heavy Armor)
• Divine Domain Feature (Wrath of the Storm: 1 times per day, reaction 2d8 lightning or thunder, dex save ½)
• Domain Spells
</v>
      </c>
      <c r="DP11" s="59" t="s">
        <v>1846</v>
      </c>
      <c r="DQ11" s="58" t="str">
        <f>""</f>
        <v/>
      </c>
      <c r="DR11" s="58" t="str">
        <f>""</f>
        <v/>
      </c>
      <c r="DS11" s="58" t="str">
        <f>""</f>
        <v/>
      </c>
      <c r="DT11" s="58" t="s">
        <v>1847</v>
      </c>
      <c r="DU11" s="58" t="str">
        <f>""</f>
        <v/>
      </c>
      <c r="DV11" s="59" t="str">
        <f>IF(ClericLevel&gt;=14,"Divine Strike 2d8","Divine Strike 1d8")</f>
        <v>Divine Strike 1d8</v>
      </c>
      <c r="DW11" s="58" t="str">
        <f>""</f>
        <v/>
      </c>
      <c r="DX11" s="58" t="str">
        <f>""</f>
        <v/>
      </c>
      <c r="DY11" s="58" t="str">
        <f>""</f>
        <v/>
      </c>
      <c r="DZ11" s="58" t="str">
        <f>""</f>
        <v/>
      </c>
      <c r="EA11" s="58" t="str">
        <f>""</f>
        <v/>
      </c>
      <c r="EB11" s="58" t="str">
        <f>""</f>
        <v/>
      </c>
      <c r="EC11" s="58" t="str">
        <f>""</f>
        <v/>
      </c>
      <c r="ED11" s="58" t="str">
        <f>""</f>
        <v/>
      </c>
      <c r="EE11" s="58" t="s">
        <v>1848</v>
      </c>
      <c r="EF11" s="58" t="str">
        <f>""</f>
        <v/>
      </c>
      <c r="EG11" s="58" t="str">
        <f>""</f>
        <v/>
      </c>
      <c r="EH11" s="58" t="str">
        <f>""</f>
        <v/>
      </c>
      <c r="EI11" s="443" t="str">
        <f>IF(ClericLevel&gt;=9,"  1st (fog cloud, thunderwave)
  3rd (gust of wind, shatter)
  5th (call lightning, sleet storm)
  7th (control water, ice storm)
  9th (destructive wave, insect plague)",IF(ClericLevel&gt;=7,"  1st (fog cloud, thunderwave)
  3rd (gust of wind, shatter)
  5th (call lightning, sleet storm)
  7th (control water, ice storm)",IF(ClericLevel&gt;=5,"  1st (fog cloud, thunderwave)
  3rd (gust of wind, shatter)
  5th (call lightning, sleet storm)",IF(ClericLevel&gt;=3,"  1st (fog cloud, thunderwave)
  3rd (gust of wind, shatter)",IF(ClericLevel&gt;=1,"  1st (fog cloud, thunderwave)","")))))</f>
        <v/>
      </c>
      <c r="EJ11" s="442" t="str">
        <f>IF(ClericLevel&gt;=1,$DM11&amp;" (fog cloud, thunderwave)
","")</f>
        <v/>
      </c>
      <c r="EK11" s="442"/>
      <c r="EL11" s="442" t="str">
        <f>IF(ClericLevel&gt;=3,$DM11&amp;" (gust of wind, shatter)
","")</f>
        <v/>
      </c>
      <c r="EM11" s="442"/>
      <c r="EN11" s="442" t="str">
        <f>IF(ClericLevel&gt;=5,$DM11&amp;" (call lightning, sleet storm)
","")</f>
        <v/>
      </c>
      <c r="EO11" s="442"/>
      <c r="EP11" s="442" t="str">
        <f>IF(ClericLevel&gt;=7,$DM11&amp;" (control water, ice storm)
","")</f>
        <v/>
      </c>
      <c r="EQ11" s="442"/>
      <c r="ER11" s="442" t="str">
        <f>IF(ClericLevel&gt;=9,$DM11&amp;" (destructive wave, insect plague)
","")</f>
        <v/>
      </c>
      <c r="ES11" s="442"/>
      <c r="ET11" s="59" t="str">
        <f>""</f>
        <v/>
      </c>
      <c r="EU11" s="18" t="str">
        <f>""</f>
        <v/>
      </c>
      <c r="EV11" s="59" t="str">
        <f>""</f>
        <v/>
      </c>
      <c r="EW11" s="18" t="str">
        <f>""</f>
        <v/>
      </c>
      <c r="EX11" s="59" t="str">
        <f>""</f>
        <v/>
      </c>
      <c r="EY11" s="18" t="str">
        <f>""</f>
        <v/>
      </c>
      <c r="EZ11" s="18"/>
      <c r="FA11" s="18" t="str">
        <f>IF($DM11=FB$5,MAX(FA$6:FA10)+1,"")</f>
        <v/>
      </c>
      <c r="FB11" s="58" t="str">
        <f t="shared" si="122"/>
        <v/>
      </c>
      <c r="FC11" s="18">
        <v>6</v>
      </c>
      <c r="FD11" s="58" t="str">
        <f t="shared" si="112"/>
        <v/>
      </c>
      <c r="FE11" s="18" t="str">
        <f>IF($DM11=FF$5,MAX(FE$6:FE10)+1,"")</f>
        <v/>
      </c>
      <c r="FF11" s="58" t="str">
        <f t="shared" si="123"/>
        <v/>
      </c>
      <c r="FG11" s="18">
        <v>6</v>
      </c>
      <c r="FH11" s="58" t="str">
        <f t="shared" si="113"/>
        <v/>
      </c>
      <c r="FI11" s="18" t="str">
        <f>IF($DM11=FJ$5,MAX(FI$6:FI10)+1,"")</f>
        <v/>
      </c>
      <c r="FJ11" s="58" t="str">
        <f t="shared" si="124"/>
        <v/>
      </c>
      <c r="FK11" s="18">
        <v>6</v>
      </c>
      <c r="FL11" s="58" t="str">
        <f t="shared" si="114"/>
        <v/>
      </c>
      <c r="FM11" s="58" t="s">
        <v>1890</v>
      </c>
      <c r="FN11" s="59">
        <f>Start!L72</f>
        <v>0</v>
      </c>
      <c r="FO11" s="18" t="str">
        <f>IF($FM11=$FP11,MAX(FO$3:FO10)+1,"")</f>
        <v/>
      </c>
      <c r="FP11" s="59" t="str">
        <f t="shared" si="101"/>
        <v/>
      </c>
      <c r="FQ11" s="18">
        <f t="shared" si="102"/>
        <v>9</v>
      </c>
      <c r="FR11" s="59" t="str">
        <f t="shared" si="75"/>
        <v/>
      </c>
      <c r="FS11" s="18"/>
      <c r="FT11" s="18"/>
      <c r="FU11" s="18"/>
      <c r="FV11" s="18"/>
      <c r="FW11" s="18">
        <v>4</v>
      </c>
      <c r="FX11" s="59" t="str">
        <f t="shared" si="125"/>
        <v/>
      </c>
      <c r="GB11" s="59" t="s">
        <v>3423</v>
      </c>
      <c r="GC11" s="142" t="s">
        <v>3478</v>
      </c>
      <c r="GD11" s="142">
        <v>9</v>
      </c>
      <c r="GE11" s="59">
        <v>10</v>
      </c>
      <c r="GF11" s="59" t="str">
        <f t="shared" si="40"/>
        <v/>
      </c>
      <c r="GG11" s="59" t="str">
        <f t="shared" si="41"/>
        <v>MANEUVER 9</v>
      </c>
      <c r="GH11" s="732" t="str">
        <f>Start!AJ86</f>
        <v>Select…</v>
      </c>
      <c r="GI11" s="732" t="str">
        <f t="shared" si="42"/>
        <v/>
      </c>
      <c r="GJ11" s="99" t="str">
        <f t="shared" si="43"/>
        <v/>
      </c>
      <c r="GK11" s="59" t="str">
        <f>""</f>
        <v/>
      </c>
      <c r="GL11" s="18"/>
      <c r="GM11" s="18"/>
      <c r="GN11" s="18"/>
      <c r="GO11" s="18"/>
      <c r="GP11" s="18"/>
      <c r="GQ11" s="59" t="s">
        <v>2810</v>
      </c>
      <c r="GR11" s="59" t="s">
        <v>3493</v>
      </c>
      <c r="GS11" s="18">
        <v>6</v>
      </c>
      <c r="GT11" s="18">
        <v>3</v>
      </c>
      <c r="GU11" s="18" t="str">
        <f ca="1">IF(GV11="","",MAX($GU$3:GU10)+1)</f>
        <v/>
      </c>
      <c r="GV11" s="59" t="str">
        <f t="shared" ca="1" si="76"/>
        <v/>
      </c>
      <c r="GW11" s="18">
        <f t="shared" si="103"/>
        <v>9</v>
      </c>
      <c r="GX11" s="59" t="str">
        <f t="shared" ca="1" si="44"/>
        <v/>
      </c>
      <c r="GY11" s="59"/>
      <c r="HK11" s="58" t="s">
        <v>2899</v>
      </c>
      <c r="HL11" s="59" t="str">
        <f>""</f>
        <v/>
      </c>
      <c r="HM11" s="58" t="s">
        <v>2913</v>
      </c>
      <c r="HT11" s="103" t="s">
        <v>2664</v>
      </c>
      <c r="HX11" s="59" t="s">
        <v>2968</v>
      </c>
      <c r="IB11" s="59" t="s">
        <v>3122</v>
      </c>
      <c r="IC11" s="142" t="s">
        <v>3470</v>
      </c>
      <c r="ID11" s="58" t="str">
        <f>""</f>
        <v/>
      </c>
      <c r="IH11" s="18">
        <f>IF(IJ11=1,MAX($IH$2:IH10)+1,"")</f>
        <v>4</v>
      </c>
      <c r="II11" s="58" t="s">
        <v>3301</v>
      </c>
      <c r="IJ11" s="59">
        <f>1</f>
        <v>1</v>
      </c>
      <c r="IK11" s="58" t="s">
        <v>3347</v>
      </c>
      <c r="IL11" s="18">
        <f t="shared" si="105"/>
        <v>9</v>
      </c>
      <c r="IM11" s="59" t="str">
        <f t="shared" si="77"/>
        <v>Mask of Many Faces</v>
      </c>
      <c r="IN11" s="59">
        <v>8</v>
      </c>
      <c r="IO11" s="59" t="str">
        <f t="shared" si="106"/>
        <v/>
      </c>
      <c r="IP11" s="59" t="str">
        <f>IF($IO$3&gt;=IN11,"Warlock Level 17","INVOCATION 8")</f>
        <v>INVOCATION 8</v>
      </c>
      <c r="IQ11" s="142" t="str">
        <f>Start!AJ120</f>
        <v>Select…</v>
      </c>
      <c r="IR11" s="142" t="str">
        <f t="shared" si="78"/>
        <v/>
      </c>
      <c r="IS11" s="59"/>
      <c r="IT11" s="59"/>
      <c r="IU11" s="18" t="s">
        <v>3548</v>
      </c>
      <c r="IV11" s="59" t="s">
        <v>201</v>
      </c>
      <c r="IW11" s="58" t="s">
        <v>816</v>
      </c>
      <c r="IX11" s="59" t="s">
        <v>1477</v>
      </c>
      <c r="IY11" s="59" t="s">
        <v>937</v>
      </c>
      <c r="IZ11" s="59" t="s">
        <v>202</v>
      </c>
      <c r="JA11" s="59" t="s">
        <v>888</v>
      </c>
      <c r="JB11" s="59" t="s">
        <v>893</v>
      </c>
      <c r="JC11" s="18">
        <f>IF(JD11="","",MAX($JC$1:JC10)+1)</f>
        <v>9</v>
      </c>
      <c r="JD11" s="58" t="s">
        <v>267</v>
      </c>
      <c r="JE11" s="58" t="s">
        <v>262</v>
      </c>
      <c r="JF11" s="18">
        <v>10</v>
      </c>
      <c r="JG11" s="59" t="str">
        <f t="shared" si="27"/>
        <v>Abyssal</v>
      </c>
      <c r="JH11" s="18">
        <v>10</v>
      </c>
      <c r="JI11" s="60">
        <v>64000</v>
      </c>
      <c r="JJ11" s="18">
        <v>10</v>
      </c>
      <c r="JK11" s="18">
        <v>4</v>
      </c>
      <c r="JL11" s="18"/>
      <c r="JM11" s="18">
        <v>9</v>
      </c>
      <c r="JN11" s="80">
        <f t="shared" ca="1" si="45"/>
        <v>4</v>
      </c>
      <c r="JO11" s="80">
        <f t="shared" ca="1" si="45"/>
        <v>3</v>
      </c>
      <c r="JP11" s="80">
        <f t="shared" ca="1" si="45"/>
        <v>3</v>
      </c>
      <c r="JQ11" s="80">
        <f t="shared" ca="1" si="45"/>
        <v>3</v>
      </c>
      <c r="JR11" s="80">
        <f t="shared" ca="1" si="45"/>
        <v>1</v>
      </c>
      <c r="JS11" s="80" t="str">
        <f t="shared" ca="1" si="45"/>
        <v>-</v>
      </c>
      <c r="JT11" s="80" t="str">
        <f t="shared" ca="1" si="45"/>
        <v>-</v>
      </c>
      <c r="JU11" s="80" t="str">
        <f t="shared" ca="1" si="45"/>
        <v>-</v>
      </c>
      <c r="JV11" s="80" t="str">
        <f t="shared" ca="1" si="45"/>
        <v>-</v>
      </c>
      <c r="JW11" s="80">
        <f t="shared" ca="1" si="45"/>
        <v>5</v>
      </c>
      <c r="JX11" s="98" t="b">
        <f ca="1">IF(AND(SUMPRODUCT(--(LEN($BO$3:$BO$5)&gt;1))&gt;=2,WarlockLevel&gt;1),TRUE,FALSE)</f>
        <v>0</v>
      </c>
      <c r="JY11" s="73" t="s">
        <v>2698</v>
      </c>
      <c r="JZ11" s="98" t="s">
        <v>42</v>
      </c>
      <c r="KA11" s="98" t="s">
        <v>3276</v>
      </c>
      <c r="KB11" s="98" t="e">
        <f>VLOOKUP(SorcererLevel,$KD$1:$KJ$22,$KC11,FALSE)</f>
        <v>#N/A</v>
      </c>
      <c r="KC11" s="98">
        <v>6</v>
      </c>
      <c r="KD11" s="18">
        <v>9</v>
      </c>
      <c r="KE11" s="302">
        <v>6</v>
      </c>
      <c r="KF11" s="302">
        <v>12</v>
      </c>
      <c r="KG11" s="302">
        <v>6</v>
      </c>
      <c r="KH11" s="302">
        <v>6</v>
      </c>
      <c r="KI11" s="302">
        <v>10</v>
      </c>
      <c r="KJ11" s="302">
        <v>10</v>
      </c>
      <c r="KK11" s="18">
        <v>9</v>
      </c>
      <c r="KL11" s="98">
        <v>4</v>
      </c>
      <c r="KM11" s="98">
        <v>4</v>
      </c>
      <c r="KN11" s="98">
        <v>2</v>
      </c>
      <c r="KO11" s="98">
        <v>3</v>
      </c>
      <c r="KP11" s="98">
        <v>3</v>
      </c>
      <c r="KQ11" s="98">
        <v>5</v>
      </c>
      <c r="KR11" s="80">
        <v>3</v>
      </c>
      <c r="KS11" s="73"/>
      <c r="KT11" s="61" t="s">
        <v>148</v>
      </c>
      <c r="KU11" s="983"/>
      <c r="KV11" s="61" t="s">
        <v>152</v>
      </c>
      <c r="PU11" s="59"/>
      <c r="PV11" s="59"/>
      <c r="PW11" s="18"/>
      <c r="PX11" s="18"/>
      <c r="PY11" s="18"/>
      <c r="PZ11" s="19" t="s">
        <v>154</v>
      </c>
      <c r="QA11" s="19" t="s">
        <v>167</v>
      </c>
      <c r="QB11" s="27" t="str">
        <f t="shared" ca="1" si="79"/>
        <v>not proficient</v>
      </c>
      <c r="QC11" s="67" t="s">
        <v>133</v>
      </c>
      <c r="QD11" s="19" t="s">
        <v>106</v>
      </c>
      <c r="QE11" s="26" t="s">
        <v>142</v>
      </c>
      <c r="QF11" s="26">
        <v>1</v>
      </c>
      <c r="QG11" s="26" t="str">
        <f>""</f>
        <v/>
      </c>
      <c r="QH11" s="26" t="s">
        <v>136</v>
      </c>
      <c r="QI11" s="26" t="str">
        <f>""</f>
        <v/>
      </c>
      <c r="QJ11" s="26" t="s">
        <v>138</v>
      </c>
      <c r="QK11" s="26" t="str">
        <f>""</f>
        <v/>
      </c>
      <c r="QL11" s="26" t="str">
        <f>""</f>
        <v/>
      </c>
      <c r="QM11" s="26" t="str">
        <f>""</f>
        <v/>
      </c>
      <c r="QN11" s="26" t="s">
        <v>146</v>
      </c>
      <c r="QO11" s="26" t="str">
        <f>""</f>
        <v/>
      </c>
      <c r="QP11" s="26" t="str">
        <f>""</f>
        <v/>
      </c>
      <c r="QQ11" s="27" t="str">
        <f>""</f>
        <v/>
      </c>
      <c r="QR11" s="27" t="str">
        <f>""</f>
        <v/>
      </c>
      <c r="QS11" s="64" t="s">
        <v>3411</v>
      </c>
      <c r="QT11" s="733">
        <f t="shared" si="46"/>
        <v>11</v>
      </c>
      <c r="QU11" s="727" t="s">
        <v>91</v>
      </c>
      <c r="QV11" s="727"/>
      <c r="QW11" s="727"/>
      <c r="QX11" s="727"/>
      <c r="QY11" s="727"/>
      <c r="QZ11" s="727" t="str">
        <f>VLOOKUP(Start!AV$137,Tables!$PZ$2:$QQ$500,$QT11,FALSE)</f>
        <v/>
      </c>
      <c r="RA11" s="727"/>
      <c r="RB11" s="729"/>
      <c r="RC11" s="727"/>
      <c r="RD11" s="727"/>
      <c r="RE11" s="727"/>
      <c r="RF11" s="727"/>
      <c r="RG11" s="727"/>
      <c r="RH11" s="727" t="str">
        <f>VLOOKUP(Start!BD$137,Tables!$PZ$2:$QQ$500,$QT11,FALSE)</f>
        <v/>
      </c>
      <c r="RI11" s="727"/>
      <c r="RJ11" s="727"/>
      <c r="RK11" s="727"/>
      <c r="RL11" s="727"/>
      <c r="RM11" s="727"/>
      <c r="RN11" s="729"/>
      <c r="RO11" s="729"/>
      <c r="RP11" s="727" t="str">
        <f>VLOOKUP(Start!BL$137,Tables!$PZ$2:$QQ$500,$QT11,FALSE)</f>
        <v/>
      </c>
      <c r="RQ11" s="729"/>
      <c r="RR11" s="729"/>
      <c r="RS11" s="729"/>
      <c r="RT11" s="729"/>
      <c r="RU11" s="729"/>
      <c r="RV11" s="729"/>
      <c r="RW11" s="729"/>
      <c r="RX11" s="727" t="str">
        <f>VLOOKUP(Start!BT$137,Tables!$PZ$2:$QQ$500,$QT11,FALSE)</f>
        <v/>
      </c>
      <c r="RY11" s="729"/>
      <c r="RZ11" s="729"/>
      <c r="SA11" s="729"/>
      <c r="SB11" s="729"/>
      <c r="SC11" s="729"/>
      <c r="SD11" s="729"/>
      <c r="SE11" s="729"/>
      <c r="SF11" s="727" t="str">
        <f>VLOOKUP(Start!CB$137,Tables!$PZ$2:$QQ$500,$QT11,FALSE)</f>
        <v/>
      </c>
      <c r="SG11" s="729"/>
      <c r="SH11" s="729"/>
      <c r="SI11" s="729"/>
      <c r="SJ11" s="729"/>
      <c r="SK11" s="729"/>
      <c r="SL11" s="729"/>
      <c r="SM11" s="634"/>
      <c r="SN11" s="727" t="str">
        <f>VLOOKUP(Start!CJ$137,Tables!$PZ$2:$QQ$500,$QT11,FALSE)</f>
        <v/>
      </c>
      <c r="SO11" s="729"/>
      <c r="SP11" s="729"/>
      <c r="SQ11" s="729"/>
      <c r="SR11" s="19" t="s">
        <v>840</v>
      </c>
      <c r="SS11" s="19" t="s">
        <v>1003</v>
      </c>
      <c r="ST11" s="26" t="str">
        <f ca="1">IF(SR11="","",IF(Start!$Y$157=$QS$12,$QS$12&amp;" (disadvantage)",IF(Start!$Y$157=$QS$11,$QS$11,IF(VLOOKUP(SR11,$KT$60:$KV$78,2,FALSE)="No",$QS$12&amp;" (disadvantage)",$QS$11))))</f>
        <v>not proficient (disadvantage)</v>
      </c>
      <c r="SU11" s="68">
        <v>14</v>
      </c>
      <c r="SV11" s="44">
        <f>IF($OY$1&gt;0,IF(DEXMod&gt;3,3,DEXMod),IF(DEXMod&gt;2,2,DEXMod))</f>
        <v>-5</v>
      </c>
      <c r="SW11" s="231" t="s">
        <v>140</v>
      </c>
      <c r="SX11" s="45" t="s">
        <v>140</v>
      </c>
      <c r="SY11" s="27">
        <v>20</v>
      </c>
      <c r="SZ11" s="26" t="str">
        <f ca="1">ST11&amp;", Don: 5min, Doff: 1min"</f>
        <v>not proficient (disadvantage), Don: 5min, Doff: 1min</v>
      </c>
      <c r="TA11" s="19"/>
      <c r="TB11" s="19"/>
      <c r="TC11" s="19"/>
      <c r="TD11" s="44"/>
      <c r="TE11" s="26"/>
      <c r="TF11" s="231"/>
      <c r="TG11" s="26"/>
      <c r="TH11" s="27"/>
      <c r="TI11" s="27"/>
      <c r="TJ11" s="18">
        <f t="shared" si="115"/>
        <v>9</v>
      </c>
      <c r="TK11" s="58" t="s">
        <v>1286</v>
      </c>
      <c r="TL11" s="58" t="s">
        <v>462</v>
      </c>
      <c r="TM11" s="18">
        <v>5</v>
      </c>
      <c r="TN11" s="59" t="str">
        <f t="shared" si="47"/>
        <v xml:space="preserve">Animate Objects ᴴ </v>
      </c>
      <c r="TO11" s="350" t="s">
        <v>2991</v>
      </c>
      <c r="TP11" s="18" t="str">
        <f t="shared" si="48"/>
        <v/>
      </c>
      <c r="TQ11" s="18" t="str">
        <f>IF(OR(TK11=Spellcasting!$AC$18,TK11=Spellcasting!$AC$19),"ᵐ","")</f>
        <v/>
      </c>
      <c r="TR11" s="18" t="str">
        <f>IF(OR(TK11=Spellcasting!$AC$20,TK11=Spellcasting!$AC$21),"ˢ","")</f>
        <v/>
      </c>
      <c r="TS11" s="18" t="str">
        <f>""</f>
        <v/>
      </c>
      <c r="TT11" s="18" t="s">
        <v>484</v>
      </c>
      <c r="TU11" s="18" t="s">
        <v>848</v>
      </c>
      <c r="TV11" s="18" t="s">
        <v>558</v>
      </c>
      <c r="TW11" s="18" t="s">
        <v>486</v>
      </c>
      <c r="TX11" s="59" t="str">
        <f>""</f>
        <v/>
      </c>
      <c r="TY11" s="18" t="s">
        <v>491</v>
      </c>
      <c r="TZ11" s="18" t="s">
        <v>492</v>
      </c>
      <c r="UA11" s="142" t="s">
        <v>3215</v>
      </c>
      <c r="UB11" s="319" t="s">
        <v>3037</v>
      </c>
      <c r="UC11" s="18" t="str">
        <f ca="1">IF(UC$1&gt;=$TM11,1,"0")</f>
        <v>0</v>
      </c>
      <c r="UF11" s="18" t="str">
        <f ca="1">IF(UF$1&gt;=$TM11,1,"0")</f>
        <v>0</v>
      </c>
      <c r="UL11" s="18" t="str">
        <f ca="1">IF(UL$1&gt;=$TM11,1,"0")</f>
        <v>0</v>
      </c>
      <c r="WD11" s="18" t="str">
        <f ca="1">IF(SUM($VZ$1:$WC$1)&gt;0,IF(AND(SUM($VZ11:$WC11)&gt;0,$TM11=WE$1),MAX(WD$2:WD10)+1,""),IF(AND(SUM($UC11:$VY11)&gt;0,$TM11=WE$1),MAX(WD$2:WD10)+1,""))</f>
        <v/>
      </c>
      <c r="WE11" s="59" t="str">
        <f t="shared" ca="1" si="80"/>
        <v/>
      </c>
      <c r="WF11" s="18" t="str">
        <f ca="1">IF(AND(SUM($UB11:$VY11)&gt;0,$TM11=WG$1),MAX(WF$2:WF10)+1,"")</f>
        <v/>
      </c>
      <c r="WG11" s="59" t="str">
        <f t="shared" ca="1" si="81"/>
        <v/>
      </c>
      <c r="WH11" s="18" t="str">
        <f ca="1">IF(AND(SUM($UB11:$VY11)&gt;0,$TM11=WI$1),MAX(WH$2:WH10)+1,"")</f>
        <v/>
      </c>
      <c r="WI11" s="59" t="str">
        <f t="shared" ca="1" si="82"/>
        <v/>
      </c>
      <c r="WJ11" s="18" t="str">
        <f ca="1">IF(AND(SUM($UB11:$VY11)&gt;0,$TM11=WK$1),MAX(WJ$2:WJ10)+1,"")</f>
        <v/>
      </c>
      <c r="WK11" s="59" t="str">
        <f t="shared" ca="1" si="83"/>
        <v/>
      </c>
      <c r="WL11" s="18" t="str">
        <f ca="1">IF(AND(SUM($UB11:$VY11)&gt;0,$TM11=WM$1),MAX(WL$2:WL10)+1,"")</f>
        <v/>
      </c>
      <c r="WM11" s="59" t="str">
        <f t="shared" ca="1" si="84"/>
        <v/>
      </c>
      <c r="WN11" s="18" t="str">
        <f ca="1">IF(AND(SUM($UB11:$VY11)&gt;0,$TM11=WO$1),MAX(WN$2:WN10)+1,"")</f>
        <v/>
      </c>
      <c r="WO11" s="59" t="str">
        <f t="shared" ca="1" si="85"/>
        <v/>
      </c>
      <c r="WP11" s="18" t="str">
        <f ca="1">IF(AND(SUM($UB11:$VY11)&gt;0,$TM11=WQ$1),MAX(WP$2:WP10)+1,"")</f>
        <v/>
      </c>
      <c r="WQ11" s="59" t="str">
        <f t="shared" ca="1" si="86"/>
        <v/>
      </c>
      <c r="WR11" s="18" t="str">
        <f ca="1">IF(AND(SUM($UB11:$VY11)&gt;0,$TM11=WS$1),MAX(WR$2:WR10)+1,"")</f>
        <v/>
      </c>
      <c r="WS11" s="59" t="str">
        <f t="shared" ca="1" si="87"/>
        <v/>
      </c>
      <c r="WT11" s="18" t="str">
        <f ca="1">IF(AND(SUM($UB11:$VY11)&gt;0,$TM11=WU$1),MAX(WT$2:WT10)+1,"")</f>
        <v/>
      </c>
      <c r="WU11" s="59" t="str">
        <f t="shared" ca="1" si="88"/>
        <v/>
      </c>
      <c r="WV11" s="18" t="str">
        <f ca="1">IF(AND(SUM($UB11:$VY11)&gt;0,$TM11=WW$1),MAX(WV$2:WV10)+1,"")</f>
        <v/>
      </c>
      <c r="WW11" s="59" t="str">
        <f t="shared" ca="1" si="89"/>
        <v/>
      </c>
      <c r="WX11" s="18" t="str">
        <f ca="1">IF(AND(SUM($UB11:$VY11)&gt;0,$TM11=WY$1),MAX(WX$2:WX10)+1,"")</f>
        <v/>
      </c>
      <c r="WY11" s="59" t="str">
        <f t="shared" ca="1" si="90"/>
        <v/>
      </c>
      <c r="WZ11" s="18">
        <v>10</v>
      </c>
      <c r="XA11" s="59" t="str">
        <f t="shared" ca="1" si="91"/>
        <v/>
      </c>
      <c r="XB11" s="59" t="str">
        <f t="shared" ca="1" si="28"/>
        <v/>
      </c>
      <c r="XC11" s="59" t="str">
        <f t="shared" ca="1" si="29"/>
        <v/>
      </c>
      <c r="XD11" s="59" t="str">
        <f t="shared" ca="1" si="60"/>
        <v/>
      </c>
      <c r="XE11" s="59" t="str">
        <f t="shared" ca="1" si="61"/>
        <v/>
      </c>
      <c r="XF11" s="59" t="str">
        <f t="shared" ca="1" si="62"/>
        <v/>
      </c>
      <c r="XG11" s="59" t="str">
        <f t="shared" ca="1" si="63"/>
        <v/>
      </c>
      <c r="XH11" s="59" t="str">
        <f t="shared" ca="1" si="64"/>
        <v/>
      </c>
      <c r="XI11" s="59" t="str">
        <f t="shared" ca="1" si="65"/>
        <v/>
      </c>
      <c r="XJ11" s="59" t="str">
        <f t="shared" ca="1" si="66"/>
        <v/>
      </c>
      <c r="XK11" s="59" t="str">
        <f t="shared" ca="1" si="67"/>
        <v/>
      </c>
      <c r="XL11" s="59" t="s">
        <v>260</v>
      </c>
      <c r="XM11" s="18">
        <f t="shared" si="116"/>
        <v>7</v>
      </c>
      <c r="XN11" s="142" t="str">
        <f t="shared" si="107"/>
        <v>Lizard</v>
      </c>
      <c r="XO11" s="142" t="str">
        <f t="shared" si="107"/>
        <v>Beast</v>
      </c>
      <c r="XP11" s="249" t="str">
        <f t="shared" si="107"/>
        <v>Tiny</v>
      </c>
      <c r="XQ11" s="249">
        <f t="shared" si="107"/>
        <v>10</v>
      </c>
      <c r="XR11" s="249">
        <f t="shared" si="107"/>
        <v>2</v>
      </c>
      <c r="XS11" s="142" t="str">
        <f t="shared" si="107"/>
        <v>20 ft, climb 20 ft</v>
      </c>
      <c r="XT11" s="249">
        <f t="shared" si="107"/>
        <v>2</v>
      </c>
      <c r="XU11" s="249">
        <f t="shared" si="107"/>
        <v>11</v>
      </c>
      <c r="XV11" s="249">
        <f t="shared" si="107"/>
        <v>10</v>
      </c>
      <c r="XW11" s="249">
        <f t="shared" si="107"/>
        <v>1</v>
      </c>
      <c r="XX11" s="249">
        <f t="shared" si="107"/>
        <v>8</v>
      </c>
      <c r="XY11" s="249">
        <f t="shared" si="107"/>
        <v>3</v>
      </c>
      <c r="XZ11" s="142" t="str">
        <f t="shared" si="107"/>
        <v>none</v>
      </c>
      <c r="YA11" s="142" t="str">
        <f t="shared" si="107"/>
        <v>passive Perception 9, darkvision 30 ft</v>
      </c>
      <c r="YB11" s="142" t="str">
        <f t="shared" si="107"/>
        <v>Bite melee +0, reach 5ft, 1 piercing</v>
      </c>
      <c r="YC11" s="142" t="str">
        <f t="shared" si="107"/>
        <v>none</v>
      </c>
      <c r="YE11" s="18"/>
      <c r="YF11" s="58" t="str">
        <f>""</f>
        <v/>
      </c>
      <c r="YG11" s="59"/>
      <c r="YH11" s="59"/>
      <c r="YI11" s="59"/>
      <c r="YJ11" s="59"/>
      <c r="YK11" s="59"/>
      <c r="YN11" s="18"/>
      <c r="YR11" s="59"/>
      <c r="YS11" s="18"/>
      <c r="YT11" s="18" t="s">
        <v>279</v>
      </c>
      <c r="YU11" s="18">
        <v>16</v>
      </c>
      <c r="YV11" s="18" t="str">
        <f ca="1">VLOOKUP(YY11,$ZE$2:$ZP$23,$ZE$1,FALSE)</f>
        <v/>
      </c>
      <c r="YW11" s="18" t="str">
        <f ca="1">IF(YX11="","",MAX($YW$1:YW10)+1)</f>
        <v/>
      </c>
      <c r="YX11" s="59" t="str">
        <f t="shared" ca="1" si="71"/>
        <v/>
      </c>
      <c r="YY11" s="18" t="str">
        <f t="shared" ca="1" si="72"/>
        <v/>
      </c>
      <c r="YZ11" s="18">
        <f t="shared" si="117"/>
        <v>8</v>
      </c>
      <c r="ZA11" s="18" t="str">
        <f ca="1">IF(ZB11="","",MAX($ZA$2:ZA10)+1)</f>
        <v/>
      </c>
      <c r="ZB11" s="18" t="str">
        <f t="shared" ca="1" si="98"/>
        <v/>
      </c>
      <c r="ZC11" s="18" t="str">
        <f>IF(Start!AF27=SelectText,"",Start!AF27)</f>
        <v/>
      </c>
      <c r="ZD11" s="18" t="str">
        <f>IF(OR(COUNTIF($ZC$4:$ZC11,ZD$2)=0,COUNTIF($ZC$4:$ZC11,ZD$2)=MAX(ZD$2:ZD10)),"-",COUNTIF($ZC$4:$ZC11,ZD$2))</f>
        <v>-</v>
      </c>
      <c r="ZE11" s="18" t="str">
        <f>IF(OR(COUNTIF($ZC$4:$ZC11,ZE$2)=0,COUNTIF($ZC$4:$ZC11,ZE$2)=MAX(ZE$2:ZE10)),"-",COUNTIF($ZC$4:$ZC11,ZE$2))</f>
        <v>-</v>
      </c>
      <c r="ZF11" s="18" t="str">
        <f>IF(OR(COUNTIF($ZC$4:$ZC11,ZF$2)=0,COUNTIF($ZC$4:$ZC11,ZF$2)=MAX(ZF$2:ZF10)),"-",COUNTIF($ZC$4:$ZC11,ZF$2))</f>
        <v>-</v>
      </c>
      <c r="ZG11" s="18" t="str">
        <f>IF(OR(COUNTIF($ZC$4:$ZC11,ZG$2)=0,COUNTIF($ZC$4:$ZC11,ZG$2)=MAX(ZG$2:ZG10)),"-",COUNTIF($ZC$4:$ZC11,ZG$2))</f>
        <v>-</v>
      </c>
      <c r="ZH11" s="18" t="str">
        <f>IF(OR(COUNTIF($ZC$4:$ZC11,ZH$2)=0,COUNTIF($ZC$4:$ZC11,ZH$2)=MAX(ZH$2:ZH10)),"-",COUNTIF($ZC$4:$ZC11,ZH$2))</f>
        <v>-</v>
      </c>
      <c r="ZI11" s="18" t="str">
        <f>IF(OR(COUNTIF($ZC$4:$ZC11,ZI$2)=0,COUNTIF($ZC$4:$ZC11,ZI$2)=MAX(ZI$2:ZI10)),"-",COUNTIF($ZC$4:$ZC11,ZI$2))</f>
        <v>-</v>
      </c>
      <c r="ZJ11" s="18" t="str">
        <f>IF(OR(COUNTIF($ZC$4:$ZC11,ZJ$2)=0,COUNTIF($ZC$4:$ZC11,ZJ$2)=MAX(ZJ$2:ZJ10)),"-",COUNTIF($ZC$4:$ZC11,ZJ$2))</f>
        <v>-</v>
      </c>
      <c r="ZK11" s="18" t="str">
        <f>IF(OR(COUNTIF($ZC$4:$ZC11,ZK$2)=0,COUNTIF($ZC$4:$ZC11,ZK$2)=MAX(ZK$2:ZK10)),"-",COUNTIF($ZC$4:$ZC11,ZK$2))</f>
        <v>-</v>
      </c>
      <c r="ZL11" s="18" t="str">
        <f>IF(OR(COUNTIF($ZC$4:$ZC11,ZL$2)=0,COUNTIF($ZC$4:$ZC11,ZL$2)=MAX(ZL$2:ZL10)),"-",COUNTIF($ZC$4:$ZC11,ZL$2))</f>
        <v>-</v>
      </c>
      <c r="ZM11" s="18" t="str">
        <f>IF(OR(COUNTIF($ZC$4:$ZC11,ZM$2)=0,COUNTIF($ZC$4:$ZC11,ZM$2)=MAX(ZM$2:ZM10)),"-",COUNTIF($ZC$4:$ZC11,ZM$2))</f>
        <v>-</v>
      </c>
      <c r="ZN11" s="18" t="str">
        <f>IF(OR(COUNTIF($ZC$4:$ZC11,ZN$2)=0,COUNTIF($ZC$4:$ZC11,ZN$2)=MAX(ZN$2:ZN10)),"-",COUNTIF($ZC$4:$ZC11,ZN$2))</f>
        <v>-</v>
      </c>
      <c r="ZO11" s="18" t="str">
        <f>IF(OR(COUNTIF($ZC$4:$ZC11,ZO$2)=0,COUNTIF($ZC$4:$ZC11,ZO$2)=MAX(ZO$2:ZO10)),"-",COUNTIF($ZC$4:$ZC11,ZO$2))</f>
        <v>-</v>
      </c>
      <c r="ZP11" s="18">
        <f t="shared" si="118"/>
        <v>8</v>
      </c>
      <c r="ZQ11" s="18" t="s">
        <v>2698</v>
      </c>
      <c r="ZR11" s="18">
        <f t="shared" si="31"/>
        <v>5</v>
      </c>
    </row>
    <row r="12" spans="1:718" ht="9.9499999999999993" customHeight="1" x14ac:dyDescent="0.25">
      <c r="A12" s="391" t="s">
        <v>216</v>
      </c>
      <c r="B12" s="391" t="s">
        <v>195</v>
      </c>
      <c r="C12" s="391">
        <v>30</v>
      </c>
      <c r="D12" s="391" t="s">
        <v>318</v>
      </c>
      <c r="E12" s="399" t="s">
        <v>3510</v>
      </c>
      <c r="F12" s="393" t="s">
        <v>359</v>
      </c>
      <c r="G12" s="393">
        <v>2</v>
      </c>
      <c r="H12" s="393" t="s">
        <v>1890</v>
      </c>
      <c r="I12" s="393">
        <v>1</v>
      </c>
      <c r="J12" s="393" t="s">
        <v>187</v>
      </c>
      <c r="K12" s="391">
        <v>0</v>
      </c>
      <c r="L12" s="402">
        <v>2</v>
      </c>
      <c r="M12" s="402" t="str">
        <f>""</f>
        <v/>
      </c>
      <c r="N12" s="402">
        <v>1</v>
      </c>
      <c r="O12" s="402" t="str">
        <f>""</f>
        <v/>
      </c>
      <c r="P12" s="402" t="str">
        <f>""</f>
        <v/>
      </c>
      <c r="Q12" s="402" t="str">
        <f>""</f>
        <v/>
      </c>
      <c r="R12" s="742" t="s">
        <v>3128</v>
      </c>
      <c r="S12" s="742" t="s">
        <v>2674</v>
      </c>
      <c r="T12" s="742" t="s">
        <v>2675</v>
      </c>
      <c r="U12" s="59" t="s">
        <v>232</v>
      </c>
      <c r="V12" s="142" t="s">
        <v>2721</v>
      </c>
      <c r="W12" s="142"/>
      <c r="X12" s="18" t="str">
        <f>IF(Y12="","",MAX($X$3:X11)+1)</f>
        <v/>
      </c>
      <c r="Y12" s="58" t="str">
        <f>IF(A7=$A$3,U12,"")</f>
        <v/>
      </c>
      <c r="Z12" s="18">
        <f t="shared" si="109"/>
        <v>9</v>
      </c>
      <c r="AA12" s="18" t="str">
        <f t="shared" si="74"/>
        <v/>
      </c>
      <c r="AB12" s="18"/>
      <c r="AC12"/>
      <c r="AD12" s="18"/>
      <c r="AE12" s="59" t="s">
        <v>303</v>
      </c>
      <c r="AF12" s="455" t="s">
        <v>1005</v>
      </c>
      <c r="AG12" s="740" t="s">
        <v>3516</v>
      </c>
      <c r="AH12" s="455" t="s">
        <v>1006</v>
      </c>
      <c r="AI12" s="383">
        <v>2</v>
      </c>
      <c r="AJ12" s="59" t="s">
        <v>1007</v>
      </c>
      <c r="AK12" s="18">
        <v>1</v>
      </c>
      <c r="AL12" s="59" t="s">
        <v>1834</v>
      </c>
      <c r="AM12" s="383">
        <v>1</v>
      </c>
      <c r="AN12" s="18"/>
      <c r="AO12" s="18">
        <f t="shared" si="119"/>
        <v>11</v>
      </c>
      <c r="AP12" s="59" t="str">
        <f t="shared" si="100"/>
        <v/>
      </c>
      <c r="AQ12" s="59" t="str">
        <f>""</f>
        <v/>
      </c>
      <c r="AR12" s="254" t="s">
        <v>1059</v>
      </c>
      <c r="AS12" s="385" t="s">
        <v>2430</v>
      </c>
      <c r="AT12" s="254" t="s">
        <v>1085</v>
      </c>
      <c r="AU12" s="385" t="s">
        <v>2464</v>
      </c>
      <c r="AV12" s="255" t="s">
        <v>1128</v>
      </c>
      <c r="AW12" s="385" t="s">
        <v>2510</v>
      </c>
      <c r="AX12" s="385" t="s">
        <v>2543</v>
      </c>
      <c r="AY12" s="58" t="s">
        <v>1155</v>
      </c>
      <c r="AZ12" s="58" t="s">
        <v>2579</v>
      </c>
      <c r="BA12" s="254" t="s">
        <v>1022</v>
      </c>
      <c r="BB12" s="385" t="s">
        <v>2605</v>
      </c>
      <c r="BC12" s="58" t="s">
        <v>1181</v>
      </c>
      <c r="BD12" s="58" t="s">
        <v>2373</v>
      </c>
      <c r="BE12" s="18" t="str">
        <f>""</f>
        <v/>
      </c>
      <c r="BI12" s="392" t="s">
        <v>279</v>
      </c>
      <c r="BJ12" s="398">
        <v>8</v>
      </c>
      <c r="BK12" s="396" t="str">
        <f>IF(BL12=0,"",MAX($BK$6:BK11)+1)</f>
        <v/>
      </c>
      <c r="BL12" s="396">
        <f>COUNTIF(Start!$AF$20:$AF$39,Tables!BI12)</f>
        <v>0</v>
      </c>
      <c r="BM12" s="394" t="str">
        <f>IF(OR(BK12="",BO12=""),"",MAX($BM$6:BM11)+1)</f>
        <v/>
      </c>
      <c r="BN12" s="393" t="s">
        <v>279</v>
      </c>
      <c r="BO12" s="391" t="s">
        <v>42</v>
      </c>
      <c r="BP12" s="396" t="str">
        <f t="shared" si="120"/>
        <v/>
      </c>
      <c r="BQ12" s="745" t="s">
        <v>2647</v>
      </c>
      <c r="BR12" s="396">
        <v>3</v>
      </c>
      <c r="BS12" s="396"/>
      <c r="BT12" s="396"/>
      <c r="BU12" s="392"/>
      <c r="BV12" s="396">
        <f>10</f>
        <v>10</v>
      </c>
      <c r="BW12" s="396">
        <v>0</v>
      </c>
      <c r="BX12" s="396">
        <v>0</v>
      </c>
      <c r="BY12" s="458" t="str">
        <f>""</f>
        <v/>
      </c>
      <c r="BZ12" s="397" t="s">
        <v>338</v>
      </c>
      <c r="CA12" s="397" t="s">
        <v>338</v>
      </c>
      <c r="CB12" s="393" t="s">
        <v>440</v>
      </c>
      <c r="CC12" s="393" t="s">
        <v>187</v>
      </c>
      <c r="CD12" s="393" t="s">
        <v>339</v>
      </c>
      <c r="CE12" s="391">
        <v>3</v>
      </c>
      <c r="CF12" s="393" t="s">
        <v>2639</v>
      </c>
      <c r="CG12" s="391">
        <v>1</v>
      </c>
      <c r="CH12" s="393" t="s">
        <v>2646</v>
      </c>
      <c r="CI12" s="393" t="s">
        <v>3058</v>
      </c>
      <c r="CJ12" s="391">
        <v>3</v>
      </c>
      <c r="CK12" s="393" t="str">
        <f ca="1">IF(BardLoreLevel&gt;=3,"Choose 1 of your choice
Lore: Choose any 3","Choose 1 of your choice")</f>
        <v>Choose 1 of your choice</v>
      </c>
      <c r="CL12" s="391">
        <v>1</v>
      </c>
      <c r="CM12" s="393" t="str">
        <f>"• Spellcasting, "&amp;IF(BardLevel&gt;=DA6,"Bardic Inspiration (d12)",IF(BardLevel&gt;=CV6,"Bardic Inspiration (d10)",IF(BardLevel&gt;=CQ6,"Bardic Inspiration (d8)","Bardic Inspiration (d6)")))&amp;"
"</f>
        <v xml:space="preserve">• Spellcasting, Bardic Inspiration (d6)
</v>
      </c>
      <c r="CN12" s="393" t="str">
        <f>"• Jack of All Trades, "&amp;IF(BardLevel&gt;=DC6,"Songs of Rest (d12)",IF(BardLevel&gt;=CY6,"Songs of Rest (d10)",IF(BardLevel&gt;=CU6,"Songs of Rest (d8)","Songs of Rest (d6)")))&amp;"
"</f>
        <v xml:space="preserve">• Jack of All Trades, Songs of Rest (d6)
</v>
      </c>
      <c r="CO12" s="393" t="e">
        <f>"• Bard College ("&amp;VLOOKUP($BI12,$BN$3:$BQ$5,4,FALSE)&amp;"), Expertise ("&amp;Start!AJ63&amp;", "&amp;Start!AJ64&amp;")
• Bard College Feature ("&amp;VLOOKUP($BI12,$DM$3:$EH$5,DQ$2-1,FALSE)&amp;")
"</f>
        <v>#N/A</v>
      </c>
      <c r="CP12" s="393" t="str">
        <f>IF(BardLevel&gt;=DE$6,"• Ability Score Improvement / Feat: level "&amp;DE$6&amp;", "&amp;DB$6&amp;", "&amp;CX$6&amp;", "&amp;CT$6&amp;", "&amp;CP$6,IF(BardLevel&gt;=DB$6,"• Ability Score Improvement / Feat: level "&amp;DB$6&amp;", "&amp;CX$6&amp;", "&amp;CT$6&amp;", "&amp;CP$6,IF(BardLevel&gt;=CX$6,"• Ability Score Improvement / Feat: level "&amp;CX$6&amp;", "&amp;CT$6&amp;", "&amp;CP$6,IF(BardLevel&gt;=CT$6,"• Ability Score Improvement / Feat : level "&amp;CT$6&amp;", "&amp;CP$6,"• Ability Score Improvement / Feat: level "&amp;CP$6))))&amp;"
"</f>
        <v xml:space="preserve">• Ability Score Improvement / Feat: level 4
</v>
      </c>
      <c r="CQ12" s="393" t="str">
        <f>"• Fond of Inspiration
"</f>
        <v xml:space="preserve">• Fond of Inspiration
</v>
      </c>
      <c r="CR12" s="393" t="e">
        <f>"• Countercharm
• Bard College Feature ("&amp;VLOOKUP($BI12,$DM$3:$EH$5,DT$2-1,FALSE)&amp;")
"</f>
        <v>#N/A</v>
      </c>
      <c r="CS12" s="393" t="str">
        <f>""</f>
        <v/>
      </c>
      <c r="CT12" s="393" t="str">
        <f>""</f>
        <v/>
      </c>
      <c r="CU12" s="393" t="str">
        <f>""</f>
        <v/>
      </c>
      <c r="CV12" s="393" t="str">
        <f>"• Expertise ("&amp;Start!AJ65&amp;", "&amp;Start!AJ66&amp;"), Magical Secrets 1st
"</f>
        <v xml:space="preserve">• Expertise (Select…, Select…), Magical Secrets 1st
</v>
      </c>
      <c r="CW12" s="393" t="str">
        <f>""</f>
        <v/>
      </c>
      <c r="CX12" s="393" t="str">
        <f>""</f>
        <v/>
      </c>
      <c r="CY12" s="393" t="str">
        <f>""</f>
        <v/>
      </c>
      <c r="CZ12" s="393" t="e">
        <f>"• Magical Secrets 2nd
• Bard College Feature ("&amp;VLOOKUP($BI12,$DM$3:$EH$5,EB$2-1,FALSE)&amp;")
"</f>
        <v>#N/A</v>
      </c>
      <c r="DA12" s="393" t="str">
        <f>""</f>
        <v/>
      </c>
      <c r="DB12" s="393" t="str">
        <f>""</f>
        <v/>
      </c>
      <c r="DC12" s="393" t="str">
        <f>""</f>
        <v/>
      </c>
      <c r="DD12" s="393" t="str">
        <f>"• Magical Secrets 3rd
"</f>
        <v xml:space="preserve">• Magical Secrets 3rd
</v>
      </c>
      <c r="DE12" s="393" t="str">
        <f>""</f>
        <v/>
      </c>
      <c r="DF12" s="393" t="str">
        <f>"• Superior Inspiration
"</f>
        <v xml:space="preserve">• Superior Inspiration
</v>
      </c>
      <c r="DL12" s="59" t="s">
        <v>888</v>
      </c>
      <c r="DM12" s="18" t="s">
        <v>226</v>
      </c>
      <c r="DN12" s="18">
        <f t="shared" ca="1" si="121"/>
        <v>0</v>
      </c>
      <c r="DO12" s="58" t="str">
        <f>"
• Divine Domain Feature (Blessing of the Trickster)
• Domain Spells"&amp;"
"&amp;EI12</f>
        <v xml:space="preserve">
• Divine Domain Feature (Blessing of the Trickster)
• Domain Spells
</v>
      </c>
      <c r="DP12" s="59" t="s">
        <v>1849</v>
      </c>
      <c r="DQ12" s="58" t="str">
        <f>""</f>
        <v/>
      </c>
      <c r="DR12" s="58" t="str">
        <f>""</f>
        <v/>
      </c>
      <c r="DS12" s="58" t="str">
        <f>""</f>
        <v/>
      </c>
      <c r="DT12" s="58" t="s">
        <v>3065</v>
      </c>
      <c r="DU12" s="58" t="str">
        <f>""</f>
        <v/>
      </c>
      <c r="DV12" s="59" t="str">
        <f>IF(ClericLevel&gt;=14,"Divine Strike 2d8","Divine Strike 1d8")</f>
        <v>Divine Strike 1d8</v>
      </c>
      <c r="DW12" s="58" t="str">
        <f>""</f>
        <v/>
      </c>
      <c r="DX12" s="58" t="str">
        <f>""</f>
        <v/>
      </c>
      <c r="DY12" s="58" t="str">
        <f>""</f>
        <v/>
      </c>
      <c r="DZ12" s="58" t="str">
        <f>""</f>
        <v/>
      </c>
      <c r="EA12" s="58" t="str">
        <f>""</f>
        <v/>
      </c>
      <c r="EB12" s="58" t="str">
        <f>""</f>
        <v/>
      </c>
      <c r="EC12" s="58" t="str">
        <f>""</f>
        <v/>
      </c>
      <c r="ED12" s="58" t="str">
        <f>""</f>
        <v/>
      </c>
      <c r="EE12" s="58" t="s">
        <v>1850</v>
      </c>
      <c r="EF12" s="58" t="str">
        <f>""</f>
        <v/>
      </c>
      <c r="EG12" s="58" t="str">
        <f>""</f>
        <v/>
      </c>
      <c r="EH12" s="58" t="str">
        <f>""</f>
        <v/>
      </c>
      <c r="EI12" s="444" t="str">
        <f>IF(ClericLevel&gt;=9,"  1st (charm person, disguise self)
  3rd (mirror image, pass without trace)
  5th (blink, dispel magic)
  7th (dimension door, polymorph)
  9th (dominate person, modify memory)",IF(ClericLevel&gt;=7,"  1st (charm person, disguise self)
  3rd (mirror image, pass without trace)
  5th (blink, dispel magic)
  7th (dimension door, polymorph)",IF(ClericLevel&gt;=5,"  1st (charm person, disguise self)
  3rd (mirror image, pass without trace)
  5th (blink, dispel magic)",IF(ClericLevel&gt;=3,"1st (charm person, disguise self)
  3rd (mirror image, pass without trace)",IF(ClericLevel&gt;=1,"  1st (charm person, disguise self)","")))))</f>
        <v/>
      </c>
      <c r="EJ12" s="442" t="str">
        <f>IF(ClericLevel&gt;=1,$DM12&amp;" (charm person, disguise self)
","")</f>
        <v/>
      </c>
      <c r="EK12" s="442"/>
      <c r="EL12" s="442" t="str">
        <f>IF(ClericLevel&gt;=3,$DM12&amp;" (mirror image, pass without trace)
","")</f>
        <v/>
      </c>
      <c r="EM12" s="442"/>
      <c r="EN12" s="442" t="str">
        <f>IF(ClericLevel&gt;=5,$DM12&amp;" (blink, dispel magic)
","")</f>
        <v/>
      </c>
      <c r="EO12" s="442"/>
      <c r="EP12" s="442" t="str">
        <f>IF(ClericLevel&gt;=7,$DM12&amp;" (dimension door, polymorph)
","")</f>
        <v/>
      </c>
      <c r="EQ12" s="442"/>
      <c r="ER12" s="442" t="str">
        <f>IF(ClericLevel&gt;=9,$DM12&amp;" (dominate person, modify memory)
","")</f>
        <v/>
      </c>
      <c r="ES12" s="442"/>
      <c r="ET12" s="59" t="str">
        <f>""</f>
        <v/>
      </c>
      <c r="EU12" s="18" t="str">
        <f>""</f>
        <v/>
      </c>
      <c r="EV12" s="59" t="str">
        <f>""</f>
        <v/>
      </c>
      <c r="EW12" s="18" t="str">
        <f>""</f>
        <v/>
      </c>
      <c r="EX12" s="59" t="str">
        <f>""</f>
        <v/>
      </c>
      <c r="EY12" s="18" t="str">
        <f>""</f>
        <v/>
      </c>
      <c r="EZ12" s="18"/>
      <c r="FA12" s="18" t="str">
        <f>IF($DM12=FB$5,MAX(FA$6:FA11)+1,"")</f>
        <v/>
      </c>
      <c r="FB12" s="58" t="str">
        <f t="shared" si="122"/>
        <v/>
      </c>
      <c r="FC12" s="18">
        <v>7</v>
      </c>
      <c r="FD12" s="58" t="str">
        <f t="shared" si="112"/>
        <v/>
      </c>
      <c r="FE12" s="18" t="str">
        <f>IF($DM12=FF$5,MAX(FE$6:FE11)+1,"")</f>
        <v/>
      </c>
      <c r="FF12" s="58" t="str">
        <f t="shared" si="123"/>
        <v/>
      </c>
      <c r="FG12" s="18">
        <v>7</v>
      </c>
      <c r="FH12" s="58" t="str">
        <f t="shared" si="113"/>
        <v/>
      </c>
      <c r="FI12" s="18" t="str">
        <f>IF($DM12=FJ$5,MAX(FI$6:FI11)+1,"")</f>
        <v/>
      </c>
      <c r="FJ12" s="58" t="str">
        <f t="shared" si="124"/>
        <v/>
      </c>
      <c r="FK12" s="18">
        <v>7</v>
      </c>
      <c r="FL12" s="58" t="str">
        <f t="shared" si="114"/>
        <v/>
      </c>
      <c r="FM12" s="58" t="s">
        <v>1891</v>
      </c>
      <c r="FN12" s="59">
        <f>Start!L73</f>
        <v>0</v>
      </c>
      <c r="FO12" s="18" t="str">
        <f>IF($FM12=$FP12,MAX(FO$3:FO11)+1,"")</f>
        <v/>
      </c>
      <c r="FP12" s="59" t="str">
        <f t="shared" si="101"/>
        <v/>
      </c>
      <c r="FQ12" s="18">
        <f t="shared" si="102"/>
        <v>10</v>
      </c>
      <c r="FR12" s="59" t="str">
        <f t="shared" si="75"/>
        <v/>
      </c>
      <c r="FS12" s="18"/>
      <c r="FT12" s="18"/>
      <c r="FU12" s="18"/>
      <c r="FV12" s="18"/>
      <c r="FW12" s="18">
        <v>5</v>
      </c>
      <c r="FX12" s="59" t="str">
        <f t="shared" si="125"/>
        <v/>
      </c>
      <c r="GB12" s="59" t="s">
        <v>3424</v>
      </c>
      <c r="GC12" s="142" t="s">
        <v>3479</v>
      </c>
      <c r="GD12" s="142">
        <v>10</v>
      </c>
      <c r="GE12" s="59">
        <v>15</v>
      </c>
      <c r="GF12" s="59" t="str">
        <f t="shared" si="40"/>
        <v/>
      </c>
      <c r="GG12" s="59" t="str">
        <f t="shared" si="41"/>
        <v>MANEUVER 10</v>
      </c>
      <c r="GH12" s="732" t="str">
        <f>Start!AJ87</f>
        <v>Select…</v>
      </c>
      <c r="GI12" s="732" t="str">
        <f t="shared" si="42"/>
        <v/>
      </c>
      <c r="GJ12" s="99" t="str">
        <f t="shared" ref="GJ12:GJ13" si="126">IF(GF12=TRUE,"
 "&amp;GH12&amp;"
"&amp;GI12,"")</f>
        <v/>
      </c>
      <c r="GK12" s="18"/>
      <c r="GL12" s="18"/>
      <c r="GM12" s="18"/>
      <c r="GN12" s="18"/>
      <c r="GO12" s="18"/>
      <c r="GP12" s="18"/>
      <c r="GQ12" s="59" t="s">
        <v>2813</v>
      </c>
      <c r="GR12" s="59" t="s">
        <v>3494</v>
      </c>
      <c r="GS12" s="18">
        <v>11</v>
      </c>
      <c r="GT12" s="18">
        <v>4</v>
      </c>
      <c r="GU12" s="18" t="str">
        <f ca="1">IF(GV12="","",MAX($GU$3:GU11)+1)</f>
        <v/>
      </c>
      <c r="GV12" s="59" t="str">
        <f t="shared" ca="1" si="76"/>
        <v/>
      </c>
      <c r="GW12" s="18">
        <f t="shared" si="103"/>
        <v>10</v>
      </c>
      <c r="GX12" s="59" t="str">
        <f t="shared" ca="1" si="44"/>
        <v/>
      </c>
      <c r="GY12" s="59"/>
      <c r="HK12" s="58" t="s">
        <v>2900</v>
      </c>
      <c r="HL12" s="59" t="str">
        <f>""</f>
        <v/>
      </c>
      <c r="HM12" s="58" t="s">
        <v>2914</v>
      </c>
      <c r="HX12" s="59" t="s">
        <v>430</v>
      </c>
      <c r="IH12" s="18" t="str">
        <f>IF(IJ12=1,MAX($IH$2:IH11)+1,"")</f>
        <v/>
      </c>
      <c r="II12" s="58" t="s">
        <v>3302</v>
      </c>
      <c r="IJ12" s="59" t="str">
        <f>IF(WarlockLevel&gt;=7,1,"")</f>
        <v/>
      </c>
      <c r="IK12" s="58" t="s">
        <v>3348</v>
      </c>
      <c r="IL12" s="18">
        <f t="shared" si="105"/>
        <v>10</v>
      </c>
      <c r="IM12" s="59" t="str">
        <f t="shared" si="77"/>
        <v>Misty Visions</v>
      </c>
      <c r="IN12" s="59"/>
      <c r="IO12" s="59"/>
      <c r="IP12" s="59"/>
      <c r="IQ12" s="59"/>
      <c r="IR12" s="59"/>
      <c r="IS12" s="59"/>
      <c r="IT12" s="59"/>
      <c r="IU12" s="18" t="s">
        <v>3556</v>
      </c>
      <c r="IV12" s="59" t="s">
        <v>202</v>
      </c>
      <c r="IW12" s="58" t="s">
        <v>817</v>
      </c>
      <c r="IX12" s="59" t="s">
        <v>1478</v>
      </c>
      <c r="IY12" s="59" t="s">
        <v>938</v>
      </c>
      <c r="IZ12" s="59" t="s">
        <v>194</v>
      </c>
      <c r="JA12" s="59" t="s">
        <v>281</v>
      </c>
      <c r="JB12" s="59" t="s">
        <v>894</v>
      </c>
      <c r="JC12" s="18" t="str">
        <f>IF(JD12="","",MAX($JC$1:JC11)+1)</f>
        <v/>
      </c>
      <c r="JD12" s="58" t="str">
        <f>IF(RogueLevel&gt;=1,"Thieve's cant","")</f>
        <v/>
      </c>
      <c r="JF12" s="18">
        <v>11</v>
      </c>
      <c r="JG12" s="59" t="str">
        <f t="shared" si="27"/>
        <v>Celestial</v>
      </c>
      <c r="JH12" s="18">
        <v>11</v>
      </c>
      <c r="JI12" s="60">
        <v>85000</v>
      </c>
      <c r="JJ12" s="18">
        <v>11</v>
      </c>
      <c r="JK12" s="18">
        <v>4</v>
      </c>
      <c r="JL12" s="18"/>
      <c r="JM12" s="18">
        <v>10</v>
      </c>
      <c r="JN12" s="80">
        <f t="shared" ca="1" si="45"/>
        <v>4</v>
      </c>
      <c r="JO12" s="80">
        <f t="shared" ca="1" si="45"/>
        <v>3</v>
      </c>
      <c r="JP12" s="80">
        <f t="shared" ca="1" si="45"/>
        <v>3</v>
      </c>
      <c r="JQ12" s="80">
        <f t="shared" ca="1" si="45"/>
        <v>3</v>
      </c>
      <c r="JR12" s="80">
        <f t="shared" ca="1" si="45"/>
        <v>2</v>
      </c>
      <c r="JS12" s="80" t="str">
        <f t="shared" ca="1" si="45"/>
        <v>-</v>
      </c>
      <c r="JT12" s="80" t="str">
        <f t="shared" ca="1" si="45"/>
        <v>-</v>
      </c>
      <c r="JU12" s="80" t="str">
        <f t="shared" ca="1" si="45"/>
        <v>-</v>
      </c>
      <c r="JV12" s="80" t="str">
        <f t="shared" ca="1" si="45"/>
        <v>-</v>
      </c>
      <c r="JW12" s="80">
        <f t="shared" ca="1" si="45"/>
        <v>5</v>
      </c>
      <c r="JX12" s="18" t="s">
        <v>3286</v>
      </c>
      <c r="JY12" s="73" t="s">
        <v>2641</v>
      </c>
      <c r="JZ12" s="98" t="s">
        <v>42</v>
      </c>
      <c r="KA12" s="98" t="s">
        <v>3276</v>
      </c>
      <c r="KB12" s="98" t="e">
        <f>VLOOKUP(WarlockLevel,$KD$1:$KJ$22,$KC12,FALSE)</f>
        <v>#N/A</v>
      </c>
      <c r="KC12" s="18">
        <v>7</v>
      </c>
      <c r="KD12" s="18">
        <v>10</v>
      </c>
      <c r="KE12" s="302">
        <v>7</v>
      </c>
      <c r="KF12" s="302">
        <v>14</v>
      </c>
      <c r="KG12" s="302">
        <v>7</v>
      </c>
      <c r="KH12" s="302">
        <v>6</v>
      </c>
      <c r="KI12" s="302">
        <v>11</v>
      </c>
      <c r="KJ12" s="302">
        <v>10</v>
      </c>
      <c r="KK12" s="18">
        <v>10</v>
      </c>
      <c r="KL12" s="98">
        <v>5</v>
      </c>
      <c r="KM12" s="98">
        <v>5</v>
      </c>
      <c r="KN12" s="98">
        <v>3</v>
      </c>
      <c r="KO12" s="98">
        <v>4</v>
      </c>
      <c r="KP12" s="98">
        <v>4</v>
      </c>
      <c r="KQ12" s="98">
        <v>6</v>
      </c>
      <c r="KR12" s="80">
        <v>4</v>
      </c>
      <c r="KS12" s="73"/>
      <c r="KT12" s="274" t="str">
        <f>SelectText</f>
        <v>Select…</v>
      </c>
      <c r="KU12" s="269"/>
      <c r="KV12" s="61"/>
      <c r="PU12" s="59"/>
      <c r="PV12" s="59"/>
      <c r="PW12" s="18"/>
      <c r="PX12" s="18"/>
      <c r="PY12" s="18"/>
      <c r="PZ12" s="28" t="s">
        <v>163</v>
      </c>
      <c r="QA12" s="28" t="s">
        <v>168</v>
      </c>
      <c r="QB12" s="30" t="str">
        <f t="shared" ca="1" si="79"/>
        <v>not proficient</v>
      </c>
      <c r="QC12" s="31" t="s">
        <v>133</v>
      </c>
      <c r="QD12" s="28" t="s">
        <v>106</v>
      </c>
      <c r="QE12" s="29" t="s">
        <v>142</v>
      </c>
      <c r="QF12" s="29">
        <v>0.25</v>
      </c>
      <c r="QG12" s="29" t="str">
        <f>""</f>
        <v/>
      </c>
      <c r="QH12" s="29" t="s">
        <v>136</v>
      </c>
      <c r="QI12" s="29" t="str">
        <f>""</f>
        <v/>
      </c>
      <c r="QJ12" s="29" t="str">
        <f>""</f>
        <v/>
      </c>
      <c r="QK12" s="29" t="str">
        <f>""</f>
        <v/>
      </c>
      <c r="QL12" s="29" t="str">
        <f>""</f>
        <v/>
      </c>
      <c r="QM12" s="29" t="str">
        <f>""</f>
        <v/>
      </c>
      <c r="QN12" s="29" t="s">
        <v>146</v>
      </c>
      <c r="QO12" s="29" t="str">
        <f>""</f>
        <v/>
      </c>
      <c r="QP12" s="29" t="str">
        <f>""</f>
        <v/>
      </c>
      <c r="QQ12" s="30" t="str">
        <f>""</f>
        <v/>
      </c>
      <c r="QR12" s="30" t="str">
        <f>""</f>
        <v/>
      </c>
      <c r="QS12" s="64" t="s">
        <v>3413</v>
      </c>
      <c r="QT12" s="733">
        <f t="shared" si="46"/>
        <v>12</v>
      </c>
      <c r="QU12" s="727" t="s">
        <v>96</v>
      </c>
      <c r="QV12" s="727"/>
      <c r="QW12" s="727"/>
      <c r="QX12" s="727"/>
      <c r="QY12" s="727"/>
      <c r="QZ12" s="727" t="str">
        <f>VLOOKUP(Start!AV$137,Tables!$PZ$2:$QQ$500,$QT12,FALSE)</f>
        <v/>
      </c>
      <c r="RA12" s="727"/>
      <c r="RB12" s="729"/>
      <c r="RC12" s="727"/>
      <c r="RD12" s="727"/>
      <c r="RE12" s="727"/>
      <c r="RF12" s="727"/>
      <c r="RG12" s="727"/>
      <c r="RH12" s="727" t="str">
        <f>VLOOKUP(Start!BD$137,Tables!$PZ$2:$QQ$500,$QT12,FALSE)</f>
        <v/>
      </c>
      <c r="RI12" s="727"/>
      <c r="RJ12" s="727"/>
      <c r="RK12" s="727"/>
      <c r="RL12" s="727"/>
      <c r="RM12" s="727"/>
      <c r="RN12" s="729"/>
      <c r="RO12" s="729"/>
      <c r="RP12" s="727" t="str">
        <f>VLOOKUP(Start!BL$137,Tables!$PZ$2:$QQ$500,$QT12,FALSE)</f>
        <v/>
      </c>
      <c r="RQ12" s="729"/>
      <c r="RR12" s="729"/>
      <c r="RS12" s="729"/>
      <c r="RT12" s="729"/>
      <c r="RU12" s="729"/>
      <c r="RV12" s="729"/>
      <c r="RW12" s="729"/>
      <c r="RX12" s="727" t="str">
        <f>VLOOKUP(Start!BT$137,Tables!$PZ$2:$QQ$500,$QT12,FALSE)</f>
        <v/>
      </c>
      <c r="RY12" s="729"/>
      <c r="RZ12" s="729"/>
      <c r="SA12" s="729"/>
      <c r="SB12" s="729"/>
      <c r="SC12" s="729"/>
      <c r="SD12" s="729"/>
      <c r="SE12" s="729"/>
      <c r="SF12" s="727" t="str">
        <f>VLOOKUP(Start!CB$137,Tables!$PZ$2:$QQ$500,$QT12,FALSE)</f>
        <v/>
      </c>
      <c r="SG12" s="729"/>
      <c r="SH12" s="729"/>
      <c r="SI12" s="729"/>
      <c r="SJ12" s="729"/>
      <c r="SK12" s="729"/>
      <c r="SL12" s="729"/>
      <c r="SM12" s="634"/>
      <c r="SN12" s="727" t="str">
        <f>VLOOKUP(Start!CJ$137,Tables!$PZ$2:$QQ$500,$QT12,FALSE)</f>
        <v/>
      </c>
      <c r="SO12" s="729"/>
      <c r="SP12" s="729"/>
      <c r="SQ12" s="729"/>
      <c r="SR12" s="28" t="s">
        <v>839</v>
      </c>
      <c r="SS12" s="28" t="s">
        <v>1003</v>
      </c>
      <c r="ST12" s="29" t="str">
        <f ca="1">IF(SR12="","",IF(Start!$Y$157=$QS$12,$QS$12&amp;" (disadvantage)",IF(Start!$Y$157=$QS$11,$QS$11,IF(VLOOKUP(SR12,$KT$60:$KV$78,2,FALSE)="No",$QS$12&amp;" (disadvantage)",$QS$11))))</f>
        <v>not proficient (disadvantage)</v>
      </c>
      <c r="SU12" s="69">
        <v>15</v>
      </c>
      <c r="SV12" s="42">
        <f>IF($OY$1&gt;0,IF(DEXMod&gt;3,3,DEXMod),IF(DEXMod&gt;2,2,DEXMod))</f>
        <v>-5</v>
      </c>
      <c r="SW12" s="232" t="s">
        <v>140</v>
      </c>
      <c r="SX12" s="46" t="s">
        <v>249</v>
      </c>
      <c r="SY12" s="30">
        <v>40</v>
      </c>
      <c r="SZ12" s="29" t="str">
        <f ca="1">ST12&amp;", Don: 5min, Doff: 1min"</f>
        <v>not proficient (disadvantage), Don: 5min, Doff: 1min</v>
      </c>
      <c r="TA12" s="28"/>
      <c r="TB12" s="28"/>
      <c r="TC12" s="28"/>
      <c r="TD12" s="42"/>
      <c r="TE12" s="29"/>
      <c r="TF12" s="232"/>
      <c r="TG12" s="29"/>
      <c r="TH12" s="30"/>
      <c r="TI12" s="30"/>
      <c r="TJ12" s="18">
        <f t="shared" si="115"/>
        <v>10</v>
      </c>
      <c r="TK12" s="58" t="s">
        <v>1287</v>
      </c>
      <c r="TL12" s="58" t="s">
        <v>462</v>
      </c>
      <c r="TM12" s="18">
        <v>5</v>
      </c>
      <c r="TN12" s="59" t="str">
        <f t="shared" si="47"/>
        <v xml:space="preserve">Antilife Shell </v>
      </c>
      <c r="TO12" s="18" t="str">
        <f>""</f>
        <v/>
      </c>
      <c r="TP12" s="18" t="str">
        <f t="shared" si="48"/>
        <v/>
      </c>
      <c r="TQ12" s="18" t="str">
        <f>IF(OR(TK12=Spellcasting!$AC$18,TK12=Spellcasting!$AC$19),"ᵐ","")</f>
        <v/>
      </c>
      <c r="TR12" s="18" t="str">
        <f>IF(OR(TK12=Spellcasting!$AC$20,TK12=Spellcasting!$AC$21),"ˢ","")</f>
        <v/>
      </c>
      <c r="TS12" s="18" t="str">
        <f>""</f>
        <v/>
      </c>
      <c r="TT12" s="18" t="s">
        <v>484</v>
      </c>
      <c r="TU12" s="18" t="s">
        <v>509</v>
      </c>
      <c r="TV12" s="18" t="s">
        <v>490</v>
      </c>
      <c r="TW12" s="18" t="s">
        <v>486</v>
      </c>
      <c r="TX12" s="59" t="str">
        <f>""</f>
        <v/>
      </c>
      <c r="TY12" s="18" t="s">
        <v>487</v>
      </c>
      <c r="TZ12" s="18" t="s">
        <v>488</v>
      </c>
      <c r="UA12" s="142" t="s">
        <v>1288</v>
      </c>
      <c r="UB12" s="319" t="s">
        <v>3229</v>
      </c>
      <c r="UI12" s="18" t="str">
        <f ca="1">IF(UI$1&gt;=$TM12,1,"0")</f>
        <v>0</v>
      </c>
      <c r="WD12" s="18" t="str">
        <f ca="1">IF(SUM($VZ$1:$WC$1)&gt;0,IF(AND(SUM($VZ12:$WC12)&gt;0,$TM12=WE$1),MAX(WD$2:WD11)+1,""),IF(AND(SUM($UC12:$VY12)&gt;0,$TM12=WE$1),MAX(WD$2:WD11)+1,""))</f>
        <v/>
      </c>
      <c r="WE12" s="59" t="str">
        <f t="shared" ca="1" si="80"/>
        <v/>
      </c>
      <c r="WF12" s="18" t="str">
        <f ca="1">IF(AND(SUM($UB12:$VY12)&gt;0,$TM12=WG$1),MAX(WF$2:WF11)+1,"")</f>
        <v/>
      </c>
      <c r="WG12" s="59" t="str">
        <f t="shared" ca="1" si="81"/>
        <v/>
      </c>
      <c r="WH12" s="18" t="str">
        <f ca="1">IF(AND(SUM($UB12:$VY12)&gt;0,$TM12=WI$1),MAX(WH$2:WH11)+1,"")</f>
        <v/>
      </c>
      <c r="WI12" s="59" t="str">
        <f t="shared" ca="1" si="82"/>
        <v/>
      </c>
      <c r="WJ12" s="18" t="str">
        <f ca="1">IF(AND(SUM($UB12:$VY12)&gt;0,$TM12=WK$1),MAX(WJ$2:WJ11)+1,"")</f>
        <v/>
      </c>
      <c r="WK12" s="59" t="str">
        <f t="shared" ca="1" si="83"/>
        <v/>
      </c>
      <c r="WL12" s="18" t="str">
        <f ca="1">IF(AND(SUM($UB12:$VY12)&gt;0,$TM12=WM$1),MAX(WL$2:WL11)+1,"")</f>
        <v/>
      </c>
      <c r="WM12" s="59" t="str">
        <f t="shared" ca="1" si="84"/>
        <v/>
      </c>
      <c r="WN12" s="18" t="str">
        <f ca="1">IF(AND(SUM($UB12:$VY12)&gt;0,$TM12=WO$1),MAX(WN$2:WN11)+1,"")</f>
        <v/>
      </c>
      <c r="WO12" s="59" t="str">
        <f t="shared" ca="1" si="85"/>
        <v/>
      </c>
      <c r="WP12" s="18" t="str">
        <f ca="1">IF(AND(SUM($UB12:$VY12)&gt;0,$TM12=WQ$1),MAX(WP$2:WP11)+1,"")</f>
        <v/>
      </c>
      <c r="WQ12" s="59" t="str">
        <f t="shared" ca="1" si="86"/>
        <v/>
      </c>
      <c r="WR12" s="18" t="str">
        <f ca="1">IF(AND(SUM($UB12:$VY12)&gt;0,$TM12=WS$1),MAX(WR$2:WR11)+1,"")</f>
        <v/>
      </c>
      <c r="WS12" s="59" t="str">
        <f t="shared" ca="1" si="87"/>
        <v/>
      </c>
      <c r="WT12" s="18" t="str">
        <f ca="1">IF(AND(SUM($UB12:$VY12)&gt;0,$TM12=WU$1),MAX(WT$2:WT11)+1,"")</f>
        <v/>
      </c>
      <c r="WU12" s="59" t="str">
        <f t="shared" ca="1" si="88"/>
        <v/>
      </c>
      <c r="WV12" s="18" t="str">
        <f ca="1">IF(AND(SUM($UB12:$VY12)&gt;0,$TM12=WW$1),MAX(WV$2:WV11)+1,"")</f>
        <v/>
      </c>
      <c r="WW12" s="59" t="str">
        <f t="shared" ca="1" si="89"/>
        <v/>
      </c>
      <c r="WX12" s="18" t="str">
        <f ca="1">IF(AND(SUM($UB12:$VY12)&gt;0,$TM12=WY$1),MAX(WX$2:WX11)+1,"")</f>
        <v/>
      </c>
      <c r="WY12" s="59" t="str">
        <f t="shared" ca="1" si="90"/>
        <v/>
      </c>
      <c r="WZ12" s="18">
        <v>11</v>
      </c>
      <c r="XA12" s="59" t="str">
        <f t="shared" ca="1" si="91"/>
        <v/>
      </c>
      <c r="XB12" s="59" t="str">
        <f t="shared" ca="1" si="28"/>
        <v/>
      </c>
      <c r="XC12" s="59" t="str">
        <f t="shared" ca="1" si="29"/>
        <v/>
      </c>
      <c r="XD12" s="59" t="str">
        <f t="shared" ca="1" si="60"/>
        <v/>
      </c>
      <c r="XE12" s="59" t="str">
        <f t="shared" ca="1" si="61"/>
        <v/>
      </c>
      <c r="XF12" s="59" t="str">
        <f t="shared" ca="1" si="62"/>
        <v/>
      </c>
      <c r="XG12" s="59" t="str">
        <f t="shared" ca="1" si="63"/>
        <v/>
      </c>
      <c r="XH12" s="59" t="str">
        <f t="shared" ca="1" si="64"/>
        <v/>
      </c>
      <c r="XI12" s="59" t="str">
        <f t="shared" ca="1" si="65"/>
        <v/>
      </c>
      <c r="XJ12" s="59" t="str">
        <f t="shared" ca="1" si="66"/>
        <v/>
      </c>
      <c r="XK12" s="59" t="str">
        <f t="shared" ca="1" si="67"/>
        <v/>
      </c>
      <c r="XL12" s="59" t="s">
        <v>195</v>
      </c>
      <c r="XM12" s="18">
        <f t="shared" si="116"/>
        <v>8</v>
      </c>
      <c r="XN12" s="142" t="str">
        <f t="shared" ca="1" si="107"/>
        <v>Octopus</v>
      </c>
      <c r="XO12" s="142" t="str">
        <f t="shared" ca="1" si="107"/>
        <v>Beast</v>
      </c>
      <c r="XP12" s="249" t="str">
        <f t="shared" ca="1" si="107"/>
        <v>Tiny</v>
      </c>
      <c r="XQ12" s="249">
        <f t="shared" ca="1" si="107"/>
        <v>12</v>
      </c>
      <c r="XR12" s="249">
        <f t="shared" ca="1" si="107"/>
        <v>3</v>
      </c>
      <c r="XS12" s="142" t="str">
        <f t="shared" ca="1" si="107"/>
        <v>5 ft, swim 30ft</v>
      </c>
      <c r="XT12" s="249">
        <f t="shared" ca="1" si="107"/>
        <v>4</v>
      </c>
      <c r="XU12" s="249">
        <f t="shared" ca="1" si="107"/>
        <v>15</v>
      </c>
      <c r="XV12" s="249">
        <f t="shared" ca="1" si="107"/>
        <v>11</v>
      </c>
      <c r="XW12" s="249">
        <f t="shared" ca="1" si="107"/>
        <v>3</v>
      </c>
      <c r="XX12" s="249">
        <f t="shared" ca="1" si="107"/>
        <v>10</v>
      </c>
      <c r="XY12" s="249">
        <f t="shared" ca="1" si="107"/>
        <v>4</v>
      </c>
      <c r="XZ12" s="142" t="str">
        <f t="shared" ca="1" si="107"/>
        <v>Perception +2, Stealth +4</v>
      </c>
      <c r="YA12" s="142" t="str">
        <f t="shared" ca="1" si="107"/>
        <v>passive Perception 12, darkvision 30 ft</v>
      </c>
      <c r="YB12" s="142" t="str">
        <f t="shared" ca="1" si="107"/>
        <v>Tentacles melee +4, reach 5ft, 1 bludgeoning. [Ink Cloud 5ft rad. 1min]</v>
      </c>
      <c r="YC12" s="142" t="str">
        <f t="shared" ca="1" si="107"/>
        <v>Hold Breath. While out of water can hold its breath for 30 minutes
Underwater Camouflage. Advantage on Dexterity (Stealth) checks made while underwater
Water Breathing. Can breathe only underwater</v>
      </c>
      <c r="YF12" s="58" t="str">
        <f>""</f>
        <v/>
      </c>
      <c r="YG12" s="59" t="s">
        <v>148</v>
      </c>
      <c r="YH12" s="59" t="s">
        <v>3082</v>
      </c>
      <c r="YI12" s="59" t="s">
        <v>482</v>
      </c>
      <c r="YJ12" s="59" t="s">
        <v>3083</v>
      </c>
      <c r="YK12" s="59"/>
      <c r="YN12" s="18"/>
      <c r="YR12" s="59"/>
      <c r="YS12" s="59"/>
      <c r="YT12" s="18" t="s">
        <v>279</v>
      </c>
      <c r="YU12" s="18">
        <v>19</v>
      </c>
      <c r="YV12" s="18" t="str">
        <f ca="1">VLOOKUP(YY12,$ZE$2:$ZP$23,$ZE$1,FALSE)</f>
        <v/>
      </c>
      <c r="YW12" s="18" t="str">
        <f ca="1">IF(YX12="","",MAX($YW$1:YW11)+1)</f>
        <v/>
      </c>
      <c r="YX12" s="59" t="str">
        <f t="shared" ca="1" si="71"/>
        <v/>
      </c>
      <c r="YY12" s="18" t="str">
        <f t="shared" ca="1" si="72"/>
        <v/>
      </c>
      <c r="YZ12" s="18">
        <f t="shared" si="117"/>
        <v>9</v>
      </c>
      <c r="ZA12" s="18" t="str">
        <f ca="1">IF(ZB12="","",MAX($ZA$2:ZA11)+1)</f>
        <v/>
      </c>
      <c r="ZB12" s="18" t="str">
        <f t="shared" ca="1" si="98"/>
        <v/>
      </c>
      <c r="ZC12" s="18" t="str">
        <f>IF(Start!AF28=SelectText,"",Start!AF28)</f>
        <v/>
      </c>
      <c r="ZD12" s="18" t="str">
        <f>IF(OR(COUNTIF($ZC$4:$ZC12,ZD$2)=0,COUNTIF($ZC$4:$ZC12,ZD$2)=MAX(ZD$2:ZD11)),"-",COUNTIF($ZC$4:$ZC12,ZD$2))</f>
        <v>-</v>
      </c>
      <c r="ZE12" s="18" t="str">
        <f>IF(OR(COUNTIF($ZC$4:$ZC12,ZE$2)=0,COUNTIF($ZC$4:$ZC12,ZE$2)=MAX(ZE$2:ZE11)),"-",COUNTIF($ZC$4:$ZC12,ZE$2))</f>
        <v>-</v>
      </c>
      <c r="ZF12" s="18" t="str">
        <f>IF(OR(COUNTIF($ZC$4:$ZC12,ZF$2)=0,COUNTIF($ZC$4:$ZC12,ZF$2)=MAX(ZF$2:ZF11)),"-",COUNTIF($ZC$4:$ZC12,ZF$2))</f>
        <v>-</v>
      </c>
      <c r="ZG12" s="18" t="str">
        <f>IF(OR(COUNTIF($ZC$4:$ZC12,ZG$2)=0,COUNTIF($ZC$4:$ZC12,ZG$2)=MAX(ZG$2:ZG11)),"-",COUNTIF($ZC$4:$ZC12,ZG$2))</f>
        <v>-</v>
      </c>
      <c r="ZH12" s="18" t="str">
        <f>IF(OR(COUNTIF($ZC$4:$ZC12,ZH$2)=0,COUNTIF($ZC$4:$ZC12,ZH$2)=MAX(ZH$2:ZH11)),"-",COUNTIF($ZC$4:$ZC12,ZH$2))</f>
        <v>-</v>
      </c>
      <c r="ZI12" s="18" t="str">
        <f>IF(OR(COUNTIF($ZC$4:$ZC12,ZI$2)=0,COUNTIF($ZC$4:$ZC12,ZI$2)=MAX(ZI$2:ZI11)),"-",COUNTIF($ZC$4:$ZC12,ZI$2))</f>
        <v>-</v>
      </c>
      <c r="ZJ12" s="18" t="str">
        <f>IF(OR(COUNTIF($ZC$4:$ZC12,ZJ$2)=0,COUNTIF($ZC$4:$ZC12,ZJ$2)=MAX(ZJ$2:ZJ11)),"-",COUNTIF($ZC$4:$ZC12,ZJ$2))</f>
        <v>-</v>
      </c>
      <c r="ZK12" s="18" t="str">
        <f>IF(OR(COUNTIF($ZC$4:$ZC12,ZK$2)=0,COUNTIF($ZC$4:$ZC12,ZK$2)=MAX(ZK$2:ZK11)),"-",COUNTIF($ZC$4:$ZC12,ZK$2))</f>
        <v>-</v>
      </c>
      <c r="ZL12" s="18" t="str">
        <f>IF(OR(COUNTIF($ZC$4:$ZC12,ZL$2)=0,COUNTIF($ZC$4:$ZC12,ZL$2)=MAX(ZL$2:ZL11)),"-",COUNTIF($ZC$4:$ZC12,ZL$2))</f>
        <v>-</v>
      </c>
      <c r="ZM12" s="18" t="str">
        <f>IF(OR(COUNTIF($ZC$4:$ZC12,ZM$2)=0,COUNTIF($ZC$4:$ZC12,ZM$2)=MAX(ZM$2:ZM11)),"-",COUNTIF($ZC$4:$ZC12,ZM$2))</f>
        <v>-</v>
      </c>
      <c r="ZN12" s="18" t="str">
        <f>IF(OR(COUNTIF($ZC$4:$ZC12,ZN$2)=0,COUNTIF($ZC$4:$ZC12,ZN$2)=MAX(ZN$2:ZN11)),"-",COUNTIF($ZC$4:$ZC12,ZN$2))</f>
        <v>-</v>
      </c>
      <c r="ZO12" s="18" t="str">
        <f>IF(OR(COUNTIF($ZC$4:$ZC12,ZO$2)=0,COUNTIF($ZC$4:$ZC12,ZO$2)=MAX(ZO$2:ZO11)),"-",COUNTIF($ZC$4:$ZC12,ZO$2))</f>
        <v>-</v>
      </c>
      <c r="ZP12" s="18">
        <f t="shared" si="118"/>
        <v>9</v>
      </c>
      <c r="ZQ12" s="18" t="s">
        <v>2641</v>
      </c>
      <c r="ZR12" s="18">
        <f t="shared" si="31"/>
        <v>5</v>
      </c>
      <c r="ZS12" s="58" t="s">
        <v>1780</v>
      </c>
      <c r="ZT12" s="59" t="str">
        <f>IF(COUNTIF($YH$3:$YH$10,ZS12)&gt;0,ZS12&amp;" Level - "&amp;VLOOKUP(ZS12,YH3:YS10,12,FALSE),"")</f>
        <v/>
      </c>
    </row>
    <row r="13" spans="1:718" ht="9.9499999999999993" customHeight="1" x14ac:dyDescent="0.25">
      <c r="A13" s="391" t="s">
        <v>217</v>
      </c>
      <c r="B13" s="391" t="s">
        <v>195</v>
      </c>
      <c r="C13" s="391">
        <v>30</v>
      </c>
      <c r="D13" s="391" t="s">
        <v>318</v>
      </c>
      <c r="E13" s="399" t="str">
        <f>"• +1 Intelligence, +2 Charisma
• Size: Medium
• Speed: 30ft
• Darkvision 60ft
• Hellish Resistance: resistance to fire damage
• Infernal Legacy: know thaumaturgy cantrip"&amp;IF(CharacterLevel&gt;=3,", once per day - hellish rebuke as a 2nd-level spell","")&amp;IF(CharacterLevel&gt;=5,", darkness","")&amp;" (Cha)
• Languages: Infernal, Common"</f>
        <v>• +1 Intelligence, +2 Charisma
• Size: Medium
• Speed: 30ft
• Darkvision 60ft
• Hellish Resistance: resistance to fire damage
• Infernal Legacy: know thaumaturgy cantrip (Cha)
• Languages: Infernal, Common</v>
      </c>
      <c r="F13" s="393" t="s">
        <v>360</v>
      </c>
      <c r="G13" s="393">
        <v>2</v>
      </c>
      <c r="H13" s="393" t="s">
        <v>187</v>
      </c>
      <c r="I13" s="393">
        <v>0</v>
      </c>
      <c r="J13" s="393" t="s">
        <v>187</v>
      </c>
      <c r="K13" s="391">
        <v>0</v>
      </c>
      <c r="L13" s="402" t="str">
        <f>""</f>
        <v/>
      </c>
      <c r="M13" s="402" t="str">
        <f>""</f>
        <v/>
      </c>
      <c r="N13" s="402" t="str">
        <f>""</f>
        <v/>
      </c>
      <c r="O13" s="402">
        <v>1</v>
      </c>
      <c r="P13" s="402" t="str">
        <f>""</f>
        <v/>
      </c>
      <c r="Q13" s="402">
        <v>2</v>
      </c>
      <c r="R13" s="742" t="s">
        <v>2634</v>
      </c>
      <c r="S13" s="742" t="s">
        <v>2673</v>
      </c>
      <c r="T13" s="742" t="s">
        <v>810</v>
      </c>
      <c r="U13" s="393" t="s">
        <v>234</v>
      </c>
      <c r="V13" s="399" t="s">
        <v>2722</v>
      </c>
      <c r="W13" s="399"/>
      <c r="X13" s="18" t="str">
        <f>IF(Y13="","",MAX($X$3:X12)+1)</f>
        <v/>
      </c>
      <c r="Y13" s="58" t="str">
        <f>IF(A10=$A$3,U13,"")</f>
        <v/>
      </c>
      <c r="Z13" s="18">
        <f t="shared" si="109"/>
        <v>10</v>
      </c>
      <c r="AA13" s="18" t="str">
        <f t="shared" si="74"/>
        <v/>
      </c>
      <c r="AB13" s="18"/>
      <c r="AC13"/>
      <c r="AD13" s="18"/>
      <c r="AE13" s="59" t="s">
        <v>2399</v>
      </c>
      <c r="AF13" s="455" t="s">
        <v>2412</v>
      </c>
      <c r="AG13" s="740" t="s">
        <v>3517</v>
      </c>
      <c r="AH13" s="455" t="s">
        <v>2413</v>
      </c>
      <c r="AI13" s="287">
        <v>2</v>
      </c>
      <c r="AJ13" s="455" t="s">
        <v>2414</v>
      </c>
      <c r="AK13" s="267">
        <v>1</v>
      </c>
      <c r="AL13" s="455" t="s">
        <v>1834</v>
      </c>
      <c r="AM13" s="17">
        <v>1</v>
      </c>
      <c r="AN13" s="18"/>
      <c r="AO13" s="18">
        <f t="shared" si="119"/>
        <v>12</v>
      </c>
      <c r="AP13" s="59" t="str">
        <f>HLOOKUP(CharacterBackground,$AQ$2:$BD$53,$AO13,FALSE)</f>
        <v/>
      </c>
      <c r="AQ13" s="59" t="str">
        <f>""</f>
        <v/>
      </c>
      <c r="AR13" s="59" t="str">
        <f>""</f>
        <v/>
      </c>
      <c r="AS13" s="59" t="str">
        <f>""</f>
        <v/>
      </c>
      <c r="AT13" s="59" t="str">
        <f>""</f>
        <v/>
      </c>
      <c r="AU13" s="59" t="str">
        <f>""</f>
        <v/>
      </c>
      <c r="AV13" s="59" t="str">
        <f>""</f>
        <v/>
      </c>
      <c r="AW13" s="59" t="str">
        <f>""</f>
        <v/>
      </c>
      <c r="AX13" s="59" t="str">
        <f>""</f>
        <v/>
      </c>
      <c r="AY13" s="59" t="str">
        <f>""</f>
        <v/>
      </c>
      <c r="AZ13" s="59" t="str">
        <f>""</f>
        <v/>
      </c>
      <c r="BA13" s="59" t="str">
        <f>""</f>
        <v/>
      </c>
      <c r="BB13" s="59" t="str">
        <f>""</f>
        <v/>
      </c>
      <c r="BC13" s="59" t="str">
        <f>""</f>
        <v/>
      </c>
      <c r="BD13" s="59" t="str">
        <f>""</f>
        <v/>
      </c>
      <c r="BE13" s="18" t="str">
        <f>""</f>
        <v/>
      </c>
      <c r="BI13" s="392" t="s">
        <v>287</v>
      </c>
      <c r="BJ13" s="398">
        <v>8</v>
      </c>
      <c r="BK13" s="396" t="str">
        <f>IF(BL13=0,"",MAX($BK$6:BK12)+1)</f>
        <v/>
      </c>
      <c r="BL13" s="396">
        <f>COUNTIF(Start!$AF$20:$AF$39,Tables!BI13)</f>
        <v>0</v>
      </c>
      <c r="BM13" s="394" t="str">
        <f>IF(OR(BK13="",BO13=""),"",MAX($BM$6:BM12)+1)</f>
        <v/>
      </c>
      <c r="BN13" s="393" t="s">
        <v>287</v>
      </c>
      <c r="BO13" s="391" t="s">
        <v>39</v>
      </c>
      <c r="BP13" s="396" t="str">
        <f t="shared" si="120"/>
        <v/>
      </c>
      <c r="BQ13" s="745" t="s">
        <v>2655</v>
      </c>
      <c r="BR13" s="396">
        <v>2</v>
      </c>
      <c r="BS13" s="396"/>
      <c r="BT13" s="396"/>
      <c r="BU13" s="392"/>
      <c r="BV13" s="396">
        <v>10</v>
      </c>
      <c r="BW13" s="396">
        <v>0</v>
      </c>
      <c r="BX13" s="396">
        <v>0</v>
      </c>
      <c r="BY13" s="458" t="str">
        <f>""</f>
        <v/>
      </c>
      <c r="BZ13" s="397" t="s">
        <v>2638</v>
      </c>
      <c r="CA13" s="397" t="s">
        <v>2638</v>
      </c>
      <c r="CB13" s="393" t="s">
        <v>2656</v>
      </c>
      <c r="CC13" s="393" t="s">
        <v>187</v>
      </c>
      <c r="CD13" s="393" t="s">
        <v>340</v>
      </c>
      <c r="CE13" s="391">
        <v>1</v>
      </c>
      <c r="CF13" s="393" t="s">
        <v>187</v>
      </c>
      <c r="CG13" s="391">
        <v>0</v>
      </c>
      <c r="CH13" s="393" t="s">
        <v>442</v>
      </c>
      <c r="CI13" s="393" t="s">
        <v>2657</v>
      </c>
      <c r="CJ13" s="391">
        <v>2</v>
      </c>
      <c r="CK13" s="393" t="s">
        <v>187</v>
      </c>
      <c r="CL13" s="391">
        <v>0</v>
      </c>
      <c r="CM13" s="393" t="str">
        <f>"• Druidic, Spellcasting
"</f>
        <v xml:space="preserve">• Druidic, Spellcasting
</v>
      </c>
      <c r="CN13" s="393" t="e">
        <f ca="1">"• Druid Circle ("&amp;VLOOKUP($BI13,$BN$3:$BQ$5,4,FALSE)&amp;IF(DruidLandLevel&gt;=1," - "&amp;DruidLandOrigin,"")&amp;")
• Wild Shape: "&amp;IF(DruidLandLevel&gt;=8,"1 action, max CR 1, No limitations, "&amp;ROUNDDOWN(DruidLevel/2,0)&amp;" hours",IF(DruidLandLevel&gt;=4,"1 action, max CR ½, No flying, "&amp;ROUNDDOWN(DruidLevel/2,0)&amp;" hours",IF(DruidLandLevel&gt;=2,"1 action, max CR ¼, No flying or swimming speed, "&amp;ROUNDDOWN(DruidLevel/2,0)&amp;" hours","")))&amp;IF(DruidMoonLevel&gt;=8,"1 bonus action, max CR "&amp;ROUNDDOWN(DruidLevel/3,0)&amp;", No limitations, "&amp;ROUNDDOWN(DruidLevel/2,0)&amp;" hours",IF(DruidMoonLevel&gt;=4,"1 bonus action, max CR "&amp;ROUNDDOWN(DruidLevel/3,0)&amp;", No flying, "&amp;ROUNDDOWN(DruidLevel/2,0)&amp;" hours",IF(DruidMoonLevel&gt;=4,"1 bonus action, max CR 1, No flying, "&amp;ROUNDDOWN(DruidLevel/2,0)&amp;" hours",IF(DruidMoonLevel&gt;=2,"1 bonus action, max CR 1, No flying or swimming speed, "&amp;ROUNDDOWN(DruidLevel/2,0)&amp;" hours",""))))&amp;"
"&amp;VLOOKUP($BI13,$DM$3:$EH$5,DP$2-1,FALSE)&amp;"
"</f>
        <v>#N/A</v>
      </c>
      <c r="CO13" s="393" t="str">
        <f>""</f>
        <v/>
      </c>
      <c r="CP13" s="393" t="str">
        <f>IF(DruidLevel&gt;=DE$6,"• Ability Score Improvement / Feat: level "&amp;DE$6&amp;", "&amp;DB$6&amp;", "&amp;CX$6&amp;", "&amp;CT$6&amp;", "&amp;CP$6,IF(DruidLevel&gt;=DB$6,"• Ability Score Improvement / Feat: level "&amp;DB$6&amp;", "&amp;CX$6&amp;", "&amp;CT$6&amp;", "&amp;CP$6,IF(DruidLevel&gt;=CX$6,"• Ability Score Improvement / Feat: level "&amp;CX$6&amp;", "&amp;CT$6&amp;", "&amp;CP$6,IF(DruidLevel&gt;=CT$6,"• Ability Score Improvement / Feat : level "&amp;CT$6&amp;", "&amp;CP$6,"• Ability Score Improvement / Feat: level "&amp;CP$6))))&amp;"
"</f>
        <v xml:space="preserve">• Ability Score Improvement / Feat: level 4
</v>
      </c>
      <c r="CQ13" s="393" t="str">
        <f>""</f>
        <v/>
      </c>
      <c r="CR13" s="393" t="e">
        <f>"• Druid Circle Feature ("&amp;VLOOKUP($BI13,$DM$3:$EH$5,DT$2-1,FALSE)&amp;")"&amp;"
"</f>
        <v>#N/A</v>
      </c>
      <c r="CS13" s="393" t="str">
        <f>""</f>
        <v/>
      </c>
      <c r="CT13" s="393" t="str">
        <f>""</f>
        <v/>
      </c>
      <c r="CU13" s="393" t="str">
        <f>""</f>
        <v/>
      </c>
      <c r="CV13" s="393" t="e">
        <f>"• Druid Circle Feature ("&amp;VLOOKUP($BI13,$DM$3:$EH$5,DX$2-1,FALSE)&amp;")"&amp;"
"</f>
        <v>#N/A</v>
      </c>
      <c r="CW13" s="393" t="str">
        <f>""</f>
        <v/>
      </c>
      <c r="CX13" s="393" t="str">
        <f>""</f>
        <v/>
      </c>
      <c r="CY13" s="393" t="str">
        <f>""</f>
        <v/>
      </c>
      <c r="CZ13" s="393" t="e">
        <f>"• Druid Circle Feature ("&amp;VLOOKUP($BI13,$DM$3:$EH$5,EB$2-1,FALSE)&amp;")"&amp;"
"</f>
        <v>#N/A</v>
      </c>
      <c r="DA13" s="393" t="str">
        <f>""</f>
        <v/>
      </c>
      <c r="DB13" s="393" t="str">
        <f>""</f>
        <v/>
      </c>
      <c r="DC13" s="393" t="str">
        <f>""</f>
        <v/>
      </c>
      <c r="DD13" s="393" t="str">
        <f>"• Timeless Body, Beast Spells"&amp;"
"</f>
        <v xml:space="preserve">• Timeless Body, Beast Spells
</v>
      </c>
      <c r="DE13" s="393" t="str">
        <f>""</f>
        <v/>
      </c>
      <c r="DF13" s="393" t="str">
        <f>"• Archdruid: Wild Shape an unlimited number of times
"</f>
        <v xml:space="preserve">• Archdruid: Wild Shape an unlimited number of times
</v>
      </c>
      <c r="DL13" s="59" t="s">
        <v>284</v>
      </c>
      <c r="DM13" s="18" t="s">
        <v>226</v>
      </c>
      <c r="DN13" s="18">
        <f t="shared" ca="1" si="121"/>
        <v>0</v>
      </c>
      <c r="DO13" s="58" t="str">
        <f>"Bonus Proficiency (Martial Weapons, Heavy Armor)
• Divine Domain Feature (War Priest: additional attack "&amp;IF(WISMod&lt;1,1,WISMod)&amp;" times per day as a bonus action)
• Domain Spells"&amp;"
"&amp;EI13</f>
        <v xml:space="preserve">Bonus Proficiency (Martial Weapons, Heavy Armor)
• Divine Domain Feature (War Priest: additional attack 1 times per day as a bonus action)
• Domain Spells
</v>
      </c>
      <c r="DP13" s="59" t="s">
        <v>441</v>
      </c>
      <c r="DQ13" s="58" t="str">
        <f>""</f>
        <v/>
      </c>
      <c r="DR13" s="59" t="str">
        <f>""</f>
        <v/>
      </c>
      <c r="DS13" s="59" t="str">
        <f>""</f>
        <v/>
      </c>
      <c r="DT13" s="58" t="s">
        <v>3066</v>
      </c>
      <c r="DU13" s="59" t="str">
        <f>""</f>
        <v/>
      </c>
      <c r="DV13" s="59" t="str">
        <f>IF(ClericLevel&gt;=14,"Divine Strike 2d8","Divine Strike 1d8")</f>
        <v>Divine Strike 1d8</v>
      </c>
      <c r="DW13" s="59" t="str">
        <f>""</f>
        <v/>
      </c>
      <c r="DX13" s="59" t="str">
        <f>""</f>
        <v/>
      </c>
      <c r="DY13" s="59" t="str">
        <f>""</f>
        <v/>
      </c>
      <c r="DZ13" s="59" t="str">
        <f>""</f>
        <v/>
      </c>
      <c r="EA13" s="59" t="str">
        <f>""</f>
        <v/>
      </c>
      <c r="EB13" s="59" t="str">
        <f>""</f>
        <v/>
      </c>
      <c r="EC13" s="59" t="str">
        <f>""</f>
        <v/>
      </c>
      <c r="ED13" s="59" t="str">
        <f>""</f>
        <v/>
      </c>
      <c r="EE13" s="59" t="s">
        <v>420</v>
      </c>
      <c r="EF13" s="59" t="str">
        <f>""</f>
        <v/>
      </c>
      <c r="EG13" s="59" t="str">
        <f>""</f>
        <v/>
      </c>
      <c r="EH13" s="58" t="str">
        <f>""</f>
        <v/>
      </c>
      <c r="EI13" s="103" t="str">
        <f>IF(ClericLevel&gt;=9,"  1st (divine favor, shield of faith)
  3rd (magic weapon, spirtual weapon)
  5th (crusader's mantle, spirit guardians)
  7th (freedom of movement, stoneskin)
  9th (flame strike, hold monster)",IF(ClericLevel&gt;=7,"  1st (divine favor, shield of faith)
  3rd (magic weapon, spirtual weapon)
  5th (crusader's mantle, spirit guardians)
  7th (freedom of movement, stoneskin)",IF(ClericLevel&gt;=5,"  1st (divine favor, shield of faith)
  3rd (magic weapon, spirtual weapon)
  5th (crusader's mantle, spirit guardians)",IF(ClericLevel&gt;=3,"  1st (divine favor, shield of faith)
  3rd (magic weapon, spirtual weapon)",IF(ClericLevel&gt;=1,"  1st (divine favor, shield of faith)","")))))</f>
        <v/>
      </c>
      <c r="EJ13" s="442" t="str">
        <f>IF(ClericLevel&gt;=1,$DM13&amp;" (divine favor, shield of faith)
","")</f>
        <v/>
      </c>
      <c r="EK13" s="442"/>
      <c r="EL13" s="442" t="str">
        <f>IF(ClericLevel&gt;=3,$DM13&amp;" (magic weapon, spirtual weapon)
","")</f>
        <v/>
      </c>
      <c r="EM13" s="442"/>
      <c r="EN13" s="442" t="str">
        <f>IF(ClericLevel&gt;=5,$DM13&amp;" (crusader's mantle, spirit guardians)
","")</f>
        <v/>
      </c>
      <c r="EO13" s="442"/>
      <c r="EP13" s="442" t="str">
        <f>IF(ClericLevel&gt;=7,$DM13&amp;" (freedom of movement, stoneskin)
","")</f>
        <v/>
      </c>
      <c r="EQ13" s="442"/>
      <c r="ER13" s="442" t="str">
        <f>IF(ClericLevel&gt;=9,$DM13&amp;" (flame strike, hold monster)
","")</f>
        <v/>
      </c>
      <c r="ES13" s="442"/>
      <c r="ET13" s="59" t="str">
        <f>""</f>
        <v/>
      </c>
      <c r="EU13" s="18" t="str">
        <f>""</f>
        <v/>
      </c>
      <c r="EV13" s="59" t="str">
        <f>""</f>
        <v/>
      </c>
      <c r="EW13" s="18" t="str">
        <f>""</f>
        <v/>
      </c>
      <c r="EX13" s="59" t="str">
        <f>""</f>
        <v/>
      </c>
      <c r="EY13" s="18" t="str">
        <f>""</f>
        <v/>
      </c>
      <c r="EZ13" s="18"/>
      <c r="FA13" s="18" t="str">
        <f>IF($DM13=FB$5,MAX(FA$6:FA12)+1,"")</f>
        <v/>
      </c>
      <c r="FB13" s="58" t="str">
        <f t="shared" si="122"/>
        <v/>
      </c>
      <c r="FC13" s="18">
        <v>8</v>
      </c>
      <c r="FD13" s="58" t="str">
        <f t="shared" si="112"/>
        <v/>
      </c>
      <c r="FE13" s="18" t="str">
        <f>IF($DM13=FF$5,MAX(FE$6:FE12)+1,"")</f>
        <v/>
      </c>
      <c r="FF13" s="58" t="str">
        <f t="shared" si="123"/>
        <v/>
      </c>
      <c r="FG13" s="18">
        <v>8</v>
      </c>
      <c r="FH13" s="58" t="str">
        <f t="shared" si="113"/>
        <v/>
      </c>
      <c r="FI13" s="18" t="str">
        <f>IF($DM13=FJ$5,MAX(FI$6:FI12)+1,"")</f>
        <v/>
      </c>
      <c r="FJ13" s="58" t="str">
        <f t="shared" si="124"/>
        <v/>
      </c>
      <c r="FK13" s="18">
        <v>8</v>
      </c>
      <c r="FL13" s="58" t="str">
        <f t="shared" si="114"/>
        <v/>
      </c>
      <c r="FM13" s="58" t="s">
        <v>1892</v>
      </c>
      <c r="FN13" s="59">
        <f>Start!X65</f>
        <v>0</v>
      </c>
      <c r="FO13" s="18" t="str">
        <f>IF($FM13=$FP13,MAX(FO$3:FO12)+1,"")</f>
        <v/>
      </c>
      <c r="FP13" s="59" t="str">
        <f t="shared" si="101"/>
        <v/>
      </c>
      <c r="FQ13" s="18">
        <f t="shared" si="102"/>
        <v>11</v>
      </c>
      <c r="FR13" s="59" t="str">
        <f t="shared" si="75"/>
        <v/>
      </c>
      <c r="FS13" s="18"/>
      <c r="FT13" s="18"/>
      <c r="FU13" s="18"/>
      <c r="FV13" s="18"/>
      <c r="FW13" s="18">
        <v>6</v>
      </c>
      <c r="FX13" s="59" t="str">
        <f t="shared" si="125"/>
        <v/>
      </c>
      <c r="GB13" s="59" t="s">
        <v>3425</v>
      </c>
      <c r="GC13" s="142" t="s">
        <v>3480</v>
      </c>
      <c r="GD13" s="142">
        <v>11</v>
      </c>
      <c r="GE13" s="59">
        <v>15</v>
      </c>
      <c r="GF13" s="59" t="str">
        <f t="shared" si="40"/>
        <v/>
      </c>
      <c r="GG13" s="59" t="str">
        <f t="shared" si="41"/>
        <v>MANEUVER 11</v>
      </c>
      <c r="GH13" s="732" t="str">
        <f>Start!AJ88</f>
        <v>Select…</v>
      </c>
      <c r="GI13" s="732" t="str">
        <f t="shared" si="42"/>
        <v/>
      </c>
      <c r="GJ13" s="99" t="str">
        <f t="shared" si="126"/>
        <v/>
      </c>
      <c r="GK13" s="18"/>
      <c r="GL13" s="18"/>
      <c r="GM13" s="18"/>
      <c r="GN13" s="18"/>
      <c r="GO13" s="18"/>
      <c r="GP13" s="18"/>
      <c r="GQ13" s="59" t="s">
        <v>2814</v>
      </c>
      <c r="GR13" s="59" t="s">
        <v>3495</v>
      </c>
      <c r="GS13" s="18">
        <v>11</v>
      </c>
      <c r="GT13" s="18">
        <v>4</v>
      </c>
      <c r="GU13" s="18" t="str">
        <f ca="1">IF(GV13="","",MAX($GU$3:GU12)+1)</f>
        <v/>
      </c>
      <c r="GV13" s="59" t="str">
        <f t="shared" ca="1" si="76"/>
        <v/>
      </c>
      <c r="GW13" s="18">
        <f t="shared" si="103"/>
        <v>11</v>
      </c>
      <c r="GX13" s="59" t="str">
        <f t="shared" ca="1" si="44"/>
        <v/>
      </c>
      <c r="GY13" s="59"/>
      <c r="HK13" s="58" t="s">
        <v>2901</v>
      </c>
      <c r="HL13" s="59" t="str">
        <f>""</f>
        <v/>
      </c>
      <c r="HM13" s="58" t="s">
        <v>2915</v>
      </c>
      <c r="IH13" s="18">
        <f>IF(IJ13=1,MAX($IH$2:IH12)+1,"")</f>
        <v>5</v>
      </c>
      <c r="II13" s="58" t="s">
        <v>3303</v>
      </c>
      <c r="IJ13" s="59">
        <f>1</f>
        <v>1</v>
      </c>
      <c r="IK13" s="58" t="s">
        <v>3349</v>
      </c>
      <c r="IL13" s="18">
        <f t="shared" si="105"/>
        <v>11</v>
      </c>
      <c r="IM13" s="59" t="str">
        <f t="shared" si="77"/>
        <v>Repelling Blast</v>
      </c>
      <c r="IN13" s="59"/>
      <c r="IO13" s="59"/>
      <c r="IP13" s="59"/>
      <c r="IQ13" s="59"/>
      <c r="IR13" s="59"/>
      <c r="IS13" s="59"/>
      <c r="IT13" s="59"/>
      <c r="IU13" s="59"/>
      <c r="IV13" s="18"/>
      <c r="IX13" s="59" t="s">
        <v>1479</v>
      </c>
      <c r="IY13" s="59" t="s">
        <v>939</v>
      </c>
      <c r="IZ13" s="59" t="s">
        <v>194</v>
      </c>
      <c r="JA13" s="59" t="s">
        <v>895</v>
      </c>
      <c r="JB13" s="59" t="s">
        <v>896</v>
      </c>
      <c r="JC13" s="18">
        <f>IF(JD13="","",MAX($JC$1:JC12)+1)</f>
        <v>10</v>
      </c>
      <c r="JD13" s="58" t="s">
        <v>268</v>
      </c>
      <c r="JE13" s="58" t="s">
        <v>272</v>
      </c>
      <c r="JF13" s="18">
        <v>12</v>
      </c>
      <c r="JG13" s="59" t="str">
        <f t="shared" si="27"/>
        <v>Deep Speech</v>
      </c>
      <c r="JH13" s="18">
        <v>12</v>
      </c>
      <c r="JI13" s="60">
        <v>100000</v>
      </c>
      <c r="JJ13" s="18">
        <v>12</v>
      </c>
      <c r="JK13" s="18">
        <v>4</v>
      </c>
      <c r="JL13" s="18"/>
      <c r="JM13" s="18">
        <v>11</v>
      </c>
      <c r="JN13" s="80">
        <f t="shared" ref="JN13:JW22" ca="1" si="127">IF($JX$9=TRUE,VLOOKUP($JM13,$JM$33:$JW$52,JN$2+1),IF(OR(RogueArcaneTricksterLevel&gt;0,FighterEldritchKnightLevel&gt;0),VLOOKUP($JM13,$JM$56:$JW$75,JN$2+1,FALSE),IF(OR(PaladinLevel&gt;0,RangerLevel&gt;0),VLOOKUP($JM13,$JM$79:$JW$98,JN$2+1,FALSE),VLOOKUP($JM13,$JM$33:$JW$52,JN$2+1,FALSE))))</f>
        <v>4</v>
      </c>
      <c r="JO13" s="80">
        <f t="shared" ca="1" si="127"/>
        <v>3</v>
      </c>
      <c r="JP13" s="80">
        <f t="shared" ca="1" si="127"/>
        <v>3</v>
      </c>
      <c r="JQ13" s="80">
        <f t="shared" ca="1" si="127"/>
        <v>3</v>
      </c>
      <c r="JR13" s="80">
        <f t="shared" ca="1" si="127"/>
        <v>2</v>
      </c>
      <c r="JS13" s="80">
        <f t="shared" ca="1" si="127"/>
        <v>1</v>
      </c>
      <c r="JT13" s="80" t="str">
        <f t="shared" ca="1" si="127"/>
        <v>-</v>
      </c>
      <c r="JU13" s="80" t="str">
        <f t="shared" ca="1" si="127"/>
        <v>-</v>
      </c>
      <c r="JV13" s="80" t="str">
        <f t="shared" ca="1" si="127"/>
        <v>-</v>
      </c>
      <c r="JW13" s="80">
        <f t="shared" ca="1" si="127"/>
        <v>6</v>
      </c>
      <c r="JX13" s="98">
        <f ca="1">SUM(KL23:KR23)</f>
        <v>0</v>
      </c>
      <c r="KD13" s="18">
        <v>11</v>
      </c>
      <c r="KE13" s="302">
        <v>8</v>
      </c>
      <c r="KF13" s="302">
        <v>15</v>
      </c>
      <c r="KG13" s="302">
        <v>8</v>
      </c>
      <c r="KH13" s="302">
        <v>7</v>
      </c>
      <c r="KI13" s="302">
        <v>12</v>
      </c>
      <c r="KJ13" s="302">
        <v>11</v>
      </c>
      <c r="KK13" s="18">
        <v>11</v>
      </c>
      <c r="KL13" s="98">
        <v>5</v>
      </c>
      <c r="KM13" s="98">
        <v>5</v>
      </c>
      <c r="KN13" s="98">
        <v>3</v>
      </c>
      <c r="KO13" s="98">
        <v>4</v>
      </c>
      <c r="KP13" s="98">
        <v>4</v>
      </c>
      <c r="KQ13" s="98">
        <v>6</v>
      </c>
      <c r="KR13" s="80">
        <v>4</v>
      </c>
      <c r="KS13" s="73"/>
      <c r="KT13" s="275" t="s">
        <v>1521</v>
      </c>
      <c r="KU13" s="101" t="str">
        <f t="shared" ref="KU13:KU58" si="128">IF(COUNTIF(KW13:PT13,"&gt;&lt;"),"Yes","No")</f>
        <v>No</v>
      </c>
      <c r="KV13" s="87" t="s">
        <v>333</v>
      </c>
      <c r="KW13" s="40"/>
      <c r="KX13" s="40"/>
      <c r="KY13" s="40"/>
      <c r="KZ13" s="40"/>
      <c r="LA13" s="40"/>
      <c r="LB13" s="92"/>
      <c r="LC13" s="40"/>
      <c r="LD13" s="40"/>
      <c r="LE13" s="40"/>
      <c r="LF13" s="455"/>
      <c r="LG13" s="40"/>
      <c r="LH13" s="40"/>
      <c r="LI13" s="40"/>
      <c r="LJ13" s="40"/>
      <c r="LK13" s="40"/>
      <c r="LL13" s="406"/>
      <c r="LM13" s="455"/>
      <c r="LN13" s="40"/>
      <c r="LO13" s="40"/>
      <c r="LP13" s="40"/>
      <c r="LQ13" s="92"/>
      <c r="LR13" s="40"/>
      <c r="LS13" s="254"/>
      <c r="LT13" s="92"/>
      <c r="LU13" s="92"/>
      <c r="LV13" s="40"/>
      <c r="LW13" s="40"/>
      <c r="LX13" s="40"/>
      <c r="LY13" s="92"/>
      <c r="LZ13" s="92"/>
      <c r="MA13" s="92"/>
      <c r="MB13" s="92"/>
      <c r="MC13" s="92"/>
      <c r="MD13" s="92"/>
      <c r="ME13" s="92"/>
      <c r="MF13" s="92"/>
      <c r="MG13" s="92"/>
      <c r="MH13" s="92"/>
      <c r="MI13" s="92"/>
      <c r="MJ13" s="92"/>
      <c r="MK13" s="92"/>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438"/>
      <c r="NQ13" s="94"/>
      <c r="NR13" s="94"/>
      <c r="NS13" s="94"/>
      <c r="NT13" s="94"/>
      <c r="NU13" s="94"/>
      <c r="NV13" s="456"/>
      <c r="NW13" s="456"/>
      <c r="NX13" s="456"/>
      <c r="NY13" s="456"/>
      <c r="NZ13" s="456"/>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t="str">
        <f>IF(COUNTIF(Start!$AX$59:$BF$68,Tables!KT13)&gt;0,Tables!KT13,"")</f>
        <v/>
      </c>
      <c r="PT13" s="94"/>
      <c r="PU13" s="59" t="str">
        <f t="shared" ref="PU13:PU58" si="129">IF(COUNTIF(KW13:PT13,"&gt;&lt;"),KT13,"")</f>
        <v/>
      </c>
      <c r="PV13" s="59" t="str">
        <f>IF(PU13="","",IF(COUNTIF(PU13:$PU$57,"&gt;&lt;")&gt;1,PU13&amp;", ", PU13))</f>
        <v/>
      </c>
      <c r="PW13" s="59"/>
      <c r="PX13" s="59"/>
      <c r="PY13" s="18"/>
      <c r="PZ13" s="19" t="s">
        <v>113</v>
      </c>
      <c r="QA13" s="19" t="s">
        <v>129</v>
      </c>
      <c r="QB13" s="27" t="str">
        <f t="shared" ca="1" si="79"/>
        <v>not proficient</v>
      </c>
      <c r="QC13" s="67" t="s">
        <v>88</v>
      </c>
      <c r="QD13" s="19" t="s">
        <v>107</v>
      </c>
      <c r="QE13" s="26" t="s">
        <v>140</v>
      </c>
      <c r="QF13" s="26">
        <v>2</v>
      </c>
      <c r="QG13" s="26" t="str">
        <f>""</f>
        <v/>
      </c>
      <c r="QH13" s="26" t="str">
        <f>""</f>
        <v/>
      </c>
      <c r="QI13" s="26" t="str">
        <f>""</f>
        <v/>
      </c>
      <c r="QJ13" s="26" t="str">
        <f>""</f>
        <v/>
      </c>
      <c r="QK13" s="26" t="str">
        <f>""</f>
        <v/>
      </c>
      <c r="QL13" s="26" t="str">
        <f>""</f>
        <v/>
      </c>
      <c r="QM13" s="26" t="str">
        <f>""</f>
        <v/>
      </c>
      <c r="QN13" s="26" t="str">
        <f>""</f>
        <v/>
      </c>
      <c r="QO13" s="26" t="str">
        <f>""</f>
        <v/>
      </c>
      <c r="QP13" s="26" t="str">
        <f>""</f>
        <v/>
      </c>
      <c r="QQ13" s="27" t="str">
        <f>""</f>
        <v/>
      </c>
      <c r="QR13" s="27" t="str">
        <f>""</f>
        <v/>
      </c>
      <c r="QS13" s="64"/>
      <c r="QT13" s="733">
        <f t="shared" si="46"/>
        <v>13</v>
      </c>
      <c r="QU13" s="727" t="s">
        <v>97</v>
      </c>
      <c r="QV13" s="727"/>
      <c r="QW13" s="727"/>
      <c r="QX13" s="727"/>
      <c r="QY13" s="727"/>
      <c r="QZ13" s="727" t="str">
        <f>VLOOKUP(Start!AV$137,Tables!$PZ$2:$QQ$500,$QT13,FALSE)</f>
        <v/>
      </c>
      <c r="RA13" s="727"/>
      <c r="RB13" s="729"/>
      <c r="RC13" s="727"/>
      <c r="RD13" s="727"/>
      <c r="RE13" s="727"/>
      <c r="RF13" s="727"/>
      <c r="RG13" s="727"/>
      <c r="RH13" s="727" t="str">
        <f>VLOOKUP(Start!BD$137,Tables!$PZ$2:$QQ$500,$QT13,FALSE)</f>
        <v/>
      </c>
      <c r="RI13" s="727"/>
      <c r="RJ13" s="727"/>
      <c r="RK13" s="727"/>
      <c r="RL13" s="727"/>
      <c r="RM13" s="727"/>
      <c r="RN13" s="729"/>
      <c r="RO13" s="729"/>
      <c r="RP13" s="727" t="str">
        <f>VLOOKUP(Start!BL$137,Tables!$PZ$2:$QQ$500,$QT13,FALSE)</f>
        <v/>
      </c>
      <c r="RQ13" s="729"/>
      <c r="RR13" s="729"/>
      <c r="RS13" s="729"/>
      <c r="RT13" s="729"/>
      <c r="RU13" s="729"/>
      <c r="RV13" s="729"/>
      <c r="RW13" s="729"/>
      <c r="RX13" s="727" t="str">
        <f>VLOOKUP(Start!BT$137,Tables!$PZ$2:$QQ$500,$QT13,FALSE)</f>
        <v/>
      </c>
      <c r="RY13" s="729"/>
      <c r="RZ13" s="729"/>
      <c r="SA13" s="729"/>
      <c r="SB13" s="729"/>
      <c r="SC13" s="729"/>
      <c r="SD13" s="729"/>
      <c r="SE13" s="729"/>
      <c r="SF13" s="727" t="str">
        <f>VLOOKUP(Start!CB$137,Tables!$PZ$2:$QQ$500,$QT13,FALSE)</f>
        <v/>
      </c>
      <c r="SG13" s="729"/>
      <c r="SH13" s="729"/>
      <c r="SI13" s="729"/>
      <c r="SJ13" s="729"/>
      <c r="SK13" s="729"/>
      <c r="SL13" s="729"/>
      <c r="SM13" s="634"/>
      <c r="SN13" s="727" t="str">
        <f>VLOOKUP(Start!CJ$137,Tables!$PZ$2:$QQ$500,$QT13,FALSE)</f>
        <v/>
      </c>
      <c r="SO13" s="729"/>
      <c r="SP13" s="729"/>
      <c r="SQ13" s="729"/>
      <c r="SR13" s="19" t="s">
        <v>243</v>
      </c>
      <c r="SS13" s="19" t="s">
        <v>137</v>
      </c>
      <c r="ST13" s="26" t="str">
        <f ca="1">IF(SR13="","",IF(Start!$Y$157=$QS$12,$QS$12&amp;" (disadvantage)",IF(Start!$Y$157=$QS$11,$QS$11,IF(VLOOKUP(SR13,$KT$60:$KV$78,2,FALSE)="No",$QS$12&amp;" (disadvantage)",$QS$11))))</f>
        <v>not proficient (disadvantage)</v>
      </c>
      <c r="SU13" s="68">
        <v>14</v>
      </c>
      <c r="SV13" s="44">
        <v>0</v>
      </c>
      <c r="SW13" s="231" t="s">
        <v>140</v>
      </c>
      <c r="SX13" s="45" t="s">
        <v>249</v>
      </c>
      <c r="SY13" s="27">
        <v>40</v>
      </c>
      <c r="SZ13" s="26" t="str">
        <f ca="1">ST13&amp;", Don: 10min, Doff: 5min"</f>
        <v>not proficient (disadvantage), Don: 10min, Doff: 5min</v>
      </c>
      <c r="TA13" s="19"/>
      <c r="TB13" s="19"/>
      <c r="TC13" s="19"/>
      <c r="TD13" s="44"/>
      <c r="TE13" s="26"/>
      <c r="TF13" s="231"/>
      <c r="TG13" s="26"/>
      <c r="TH13" s="27"/>
      <c r="TI13" s="27"/>
      <c r="TJ13" s="18">
        <f t="shared" si="115"/>
        <v>11</v>
      </c>
      <c r="TK13" s="58" t="s">
        <v>508</v>
      </c>
      <c r="TL13" s="58" t="s">
        <v>465</v>
      </c>
      <c r="TM13" s="18">
        <v>8</v>
      </c>
      <c r="TN13" s="59" t="str">
        <f t="shared" si="47"/>
        <v xml:space="preserve">Antimagic Field </v>
      </c>
      <c r="TO13" s="18" t="str">
        <f>""</f>
        <v/>
      </c>
      <c r="TP13" s="18" t="str">
        <f t="shared" si="48"/>
        <v/>
      </c>
      <c r="TQ13" s="18" t="str">
        <f>IF(OR(TK13=Spellcasting!$AC$18,TK13=Spellcasting!$AC$19),"ᵐ","")</f>
        <v/>
      </c>
      <c r="TR13" s="18" t="str">
        <f>IF(OR(TK13=Spellcasting!$AC$20,TK13=Spellcasting!$AC$21),"ˢ","")</f>
        <v/>
      </c>
      <c r="TS13" s="18" t="str">
        <f>""</f>
        <v/>
      </c>
      <c r="TT13" s="18" t="s">
        <v>484</v>
      </c>
      <c r="TU13" s="18" t="s">
        <v>509</v>
      </c>
      <c r="TV13" s="18" t="s">
        <v>490</v>
      </c>
      <c r="TW13" s="18" t="s">
        <v>495</v>
      </c>
      <c r="TX13" s="59" t="s">
        <v>854</v>
      </c>
      <c r="TY13" s="18" t="s">
        <v>487</v>
      </c>
      <c r="TZ13" s="18" t="s">
        <v>488</v>
      </c>
      <c r="UA13" s="142" t="s">
        <v>1290</v>
      </c>
      <c r="UB13" s="319" t="s">
        <v>3230</v>
      </c>
      <c r="UH13" s="18" t="str">
        <f ca="1">IF(UH$1&gt;=$TM13,1,"0")</f>
        <v>0</v>
      </c>
      <c r="UL13" s="18" t="str">
        <f ca="1">IF(UL$1&gt;=$TM13,1,"0")</f>
        <v>0</v>
      </c>
      <c r="WD13" s="18" t="str">
        <f ca="1">IF(SUM($VZ$1:$WC$1)&gt;0,IF(AND(SUM($VZ13:$WC13)&gt;0,$TM13=WE$1),MAX(WD$2:WD12)+1,""),IF(AND(SUM($UC13:$VY13)&gt;0,$TM13=WE$1),MAX(WD$2:WD12)+1,""))</f>
        <v/>
      </c>
      <c r="WE13" s="59" t="str">
        <f t="shared" ca="1" si="80"/>
        <v/>
      </c>
      <c r="WF13" s="18" t="str">
        <f ca="1">IF(AND(SUM($UB13:$VY13)&gt;0,$TM13=WG$1),MAX(WF$2:WF12)+1,"")</f>
        <v/>
      </c>
      <c r="WG13" s="59" t="str">
        <f t="shared" ca="1" si="81"/>
        <v/>
      </c>
      <c r="WH13" s="18" t="str">
        <f ca="1">IF(AND(SUM($UB13:$VY13)&gt;0,$TM13=WI$1),MAX(WH$2:WH12)+1,"")</f>
        <v/>
      </c>
      <c r="WI13" s="59" t="str">
        <f t="shared" ca="1" si="82"/>
        <v/>
      </c>
      <c r="WJ13" s="18" t="str">
        <f ca="1">IF(AND(SUM($UB13:$VY13)&gt;0,$TM13=WK$1),MAX(WJ$2:WJ12)+1,"")</f>
        <v/>
      </c>
      <c r="WK13" s="59" t="str">
        <f t="shared" ca="1" si="83"/>
        <v/>
      </c>
      <c r="WL13" s="18" t="str">
        <f ca="1">IF(AND(SUM($UB13:$VY13)&gt;0,$TM13=WM$1),MAX(WL$2:WL12)+1,"")</f>
        <v/>
      </c>
      <c r="WM13" s="59" t="str">
        <f t="shared" ca="1" si="84"/>
        <v/>
      </c>
      <c r="WN13" s="18" t="str">
        <f ca="1">IF(AND(SUM($UB13:$VY13)&gt;0,$TM13=WO$1),MAX(WN$2:WN12)+1,"")</f>
        <v/>
      </c>
      <c r="WO13" s="59" t="str">
        <f t="shared" ca="1" si="85"/>
        <v/>
      </c>
      <c r="WP13" s="18" t="str">
        <f ca="1">IF(AND(SUM($UB13:$VY13)&gt;0,$TM13=WQ$1),MAX(WP$2:WP12)+1,"")</f>
        <v/>
      </c>
      <c r="WQ13" s="59" t="str">
        <f t="shared" ca="1" si="86"/>
        <v/>
      </c>
      <c r="WR13" s="18" t="str">
        <f ca="1">IF(AND(SUM($UB13:$VY13)&gt;0,$TM13=WS$1),MAX(WR$2:WR12)+1,"")</f>
        <v/>
      </c>
      <c r="WS13" s="59" t="str">
        <f t="shared" ca="1" si="87"/>
        <v/>
      </c>
      <c r="WT13" s="18" t="str">
        <f ca="1">IF(AND(SUM($UB13:$VY13)&gt;0,$TM13=WU$1),MAX(WT$2:WT12)+1,"")</f>
        <v/>
      </c>
      <c r="WU13" s="59" t="str">
        <f t="shared" ca="1" si="88"/>
        <v/>
      </c>
      <c r="WV13" s="18" t="str">
        <f ca="1">IF(AND(SUM($UB13:$VY13)&gt;0,$TM13=WW$1),MAX(WV$2:WV12)+1,"")</f>
        <v/>
      </c>
      <c r="WW13" s="59" t="str">
        <f t="shared" ca="1" si="89"/>
        <v/>
      </c>
      <c r="WX13" s="18" t="str">
        <f ca="1">IF(AND(SUM($UB13:$VY13)&gt;0,$TM13=WY$1),MAX(WX$2:WX12)+1,"")</f>
        <v/>
      </c>
      <c r="WY13" s="59" t="str">
        <f t="shared" ca="1" si="90"/>
        <v/>
      </c>
      <c r="WZ13" s="18">
        <v>12</v>
      </c>
      <c r="XA13" s="59" t="str">
        <f t="shared" ca="1" si="91"/>
        <v/>
      </c>
      <c r="XB13" s="59" t="str">
        <f t="shared" ca="1" si="28"/>
        <v/>
      </c>
      <c r="XC13" s="59" t="str">
        <f t="shared" ca="1" si="29"/>
        <v/>
      </c>
      <c r="XD13" s="59" t="str">
        <f t="shared" ca="1" si="60"/>
        <v/>
      </c>
      <c r="XE13" s="59" t="str">
        <f t="shared" ca="1" si="61"/>
        <v/>
      </c>
      <c r="XF13" s="59" t="str">
        <f t="shared" ca="1" si="62"/>
        <v/>
      </c>
      <c r="XG13" s="59" t="str">
        <f t="shared" ca="1" si="63"/>
        <v/>
      </c>
      <c r="XH13" s="59" t="str">
        <f t="shared" ca="1" si="64"/>
        <v/>
      </c>
      <c r="XI13" s="59" t="str">
        <f t="shared" ca="1" si="65"/>
        <v/>
      </c>
      <c r="XJ13" s="59" t="str">
        <f t="shared" ca="1" si="66"/>
        <v/>
      </c>
      <c r="XK13" s="59" t="str">
        <f t="shared" ca="1" si="67"/>
        <v/>
      </c>
      <c r="XL13" s="59" t="s">
        <v>3406</v>
      </c>
      <c r="XM13" s="18">
        <f t="shared" si="116"/>
        <v>9</v>
      </c>
      <c r="XN13" s="142" t="str">
        <f t="shared" ca="1" si="107"/>
        <v>Owl</v>
      </c>
      <c r="XO13" s="142" t="str">
        <f t="shared" ca="1" si="107"/>
        <v>Beast</v>
      </c>
      <c r="XP13" s="249" t="str">
        <f t="shared" ca="1" si="107"/>
        <v>Tiny</v>
      </c>
      <c r="XQ13" s="249">
        <f t="shared" ca="1" si="107"/>
        <v>11</v>
      </c>
      <c r="XR13" s="249">
        <f t="shared" ca="1" si="107"/>
        <v>1</v>
      </c>
      <c r="XS13" s="142" t="str">
        <f t="shared" ca="1" si="107"/>
        <v>5 ft, fly 60 ft</v>
      </c>
      <c r="XT13" s="249">
        <f t="shared" ca="1" si="107"/>
        <v>3</v>
      </c>
      <c r="XU13" s="249">
        <f t="shared" ca="1" si="107"/>
        <v>13</v>
      </c>
      <c r="XV13" s="249">
        <f t="shared" ca="1" si="107"/>
        <v>8</v>
      </c>
      <c r="XW13" s="249">
        <f t="shared" ca="1" si="107"/>
        <v>2</v>
      </c>
      <c r="XX13" s="249">
        <f t="shared" ca="1" si="107"/>
        <v>12</v>
      </c>
      <c r="XY13" s="249">
        <f t="shared" ca="1" si="107"/>
        <v>7</v>
      </c>
      <c r="XZ13" s="142" t="str">
        <f t="shared" ca="1" si="107"/>
        <v>Perception +3, Stealth +3</v>
      </c>
      <c r="YA13" s="142" t="str">
        <f t="shared" ca="1" si="107"/>
        <v>passive Perception 13, darkvision 120 ft</v>
      </c>
      <c r="YB13" s="142" t="str">
        <f t="shared" ca="1" si="107"/>
        <v>Talons melee +3, reach 5ft, 1 slashing</v>
      </c>
      <c r="YC13" s="142" t="str">
        <f t="shared" ca="1" si="107"/>
        <v>Flyby. Provokes no opportunity attacks when it flies out of an enemy’s reach
Keen Sight. Advantage on Wisdom (Perception) checks that rely on sight</v>
      </c>
      <c r="YG13" s="59" t="str">
        <f>SelectText</f>
        <v>Select…</v>
      </c>
      <c r="YH13" s="59" t="str">
        <f>""</f>
        <v/>
      </c>
      <c r="YI13" s="59" t="str">
        <f>""</f>
        <v/>
      </c>
      <c r="YJ13" s="59" t="str">
        <f>""</f>
        <v/>
      </c>
      <c r="YK13" s="59" t="str">
        <f>""</f>
        <v/>
      </c>
      <c r="YL13" s="59" t="str">
        <f>""</f>
        <v/>
      </c>
      <c r="YM13" s="59"/>
      <c r="YN13" s="18" t="str">
        <f>""</f>
        <v/>
      </c>
      <c r="YO13" s="59" t="str">
        <f>""</f>
        <v/>
      </c>
      <c r="YP13" s="59" t="str">
        <f>""</f>
        <v/>
      </c>
      <c r="YQ13" s="59" t="str">
        <f>""</f>
        <v/>
      </c>
      <c r="YR13" s="59" t="str">
        <f>""</f>
        <v/>
      </c>
      <c r="YS13" s="59"/>
      <c r="YT13" s="18" t="s">
        <v>226</v>
      </c>
      <c r="YU13" s="18">
        <v>4</v>
      </c>
      <c r="YV13" s="18" t="str">
        <f ca="1">VLOOKUP(YY13,$ZF$2:$ZP$23,$ZF$1,FALSE)</f>
        <v/>
      </c>
      <c r="YW13" s="18" t="str">
        <f ca="1">IF(YX13="","",MAX($YW$1:YW12)+1)</f>
        <v/>
      </c>
      <c r="YX13" s="59" t="str">
        <f t="shared" ca="1" si="71"/>
        <v/>
      </c>
      <c r="YY13" s="18" t="str">
        <f t="shared" ca="1" si="72"/>
        <v/>
      </c>
      <c r="YZ13" s="18">
        <f t="shared" si="117"/>
        <v>10</v>
      </c>
      <c r="ZA13" s="18" t="str">
        <f ca="1">IF(ZB13="","",MAX($ZA$2:ZA12)+1)</f>
        <v/>
      </c>
      <c r="ZB13" s="18" t="str">
        <f t="shared" ca="1" si="98"/>
        <v/>
      </c>
      <c r="ZC13" s="18" t="str">
        <f>IF(Start!AF29=SelectText,"",Start!AF29)</f>
        <v/>
      </c>
      <c r="ZD13" s="18" t="str">
        <f>IF(OR(COUNTIF($ZC$4:$ZC13,ZD$2)=0,COUNTIF($ZC$4:$ZC13,ZD$2)=MAX(ZD$2:ZD12)),"-",COUNTIF($ZC$4:$ZC13,ZD$2))</f>
        <v>-</v>
      </c>
      <c r="ZE13" s="18" t="str">
        <f>IF(OR(COUNTIF($ZC$4:$ZC13,ZE$2)=0,COUNTIF($ZC$4:$ZC13,ZE$2)=MAX(ZE$2:ZE12)),"-",COUNTIF($ZC$4:$ZC13,ZE$2))</f>
        <v>-</v>
      </c>
      <c r="ZF13" s="18" t="str">
        <f>IF(OR(COUNTIF($ZC$4:$ZC13,ZF$2)=0,COUNTIF($ZC$4:$ZC13,ZF$2)=MAX(ZF$2:ZF12)),"-",COUNTIF($ZC$4:$ZC13,ZF$2))</f>
        <v>-</v>
      </c>
      <c r="ZG13" s="18" t="str">
        <f>IF(OR(COUNTIF($ZC$4:$ZC13,ZG$2)=0,COUNTIF($ZC$4:$ZC13,ZG$2)=MAX(ZG$2:ZG12)),"-",COUNTIF($ZC$4:$ZC13,ZG$2))</f>
        <v>-</v>
      </c>
      <c r="ZH13" s="18" t="str">
        <f>IF(OR(COUNTIF($ZC$4:$ZC13,ZH$2)=0,COUNTIF($ZC$4:$ZC13,ZH$2)=MAX(ZH$2:ZH12)),"-",COUNTIF($ZC$4:$ZC13,ZH$2))</f>
        <v>-</v>
      </c>
      <c r="ZI13" s="18" t="str">
        <f>IF(OR(COUNTIF($ZC$4:$ZC13,ZI$2)=0,COUNTIF($ZC$4:$ZC13,ZI$2)=MAX(ZI$2:ZI12)),"-",COUNTIF($ZC$4:$ZC13,ZI$2))</f>
        <v>-</v>
      </c>
      <c r="ZJ13" s="18" t="str">
        <f>IF(OR(COUNTIF($ZC$4:$ZC13,ZJ$2)=0,COUNTIF($ZC$4:$ZC13,ZJ$2)=MAX(ZJ$2:ZJ12)),"-",COUNTIF($ZC$4:$ZC13,ZJ$2))</f>
        <v>-</v>
      </c>
      <c r="ZK13" s="18" t="str">
        <f>IF(OR(COUNTIF($ZC$4:$ZC13,ZK$2)=0,COUNTIF($ZC$4:$ZC13,ZK$2)=MAX(ZK$2:ZK12)),"-",COUNTIF($ZC$4:$ZC13,ZK$2))</f>
        <v>-</v>
      </c>
      <c r="ZL13" s="18" t="str">
        <f>IF(OR(COUNTIF($ZC$4:$ZC13,ZL$2)=0,COUNTIF($ZC$4:$ZC13,ZL$2)=MAX(ZL$2:ZL12)),"-",COUNTIF($ZC$4:$ZC13,ZL$2))</f>
        <v>-</v>
      </c>
      <c r="ZM13" s="18" t="str">
        <f>IF(OR(COUNTIF($ZC$4:$ZC13,ZM$2)=0,COUNTIF($ZC$4:$ZC13,ZM$2)=MAX(ZM$2:ZM12)),"-",COUNTIF($ZC$4:$ZC13,ZM$2))</f>
        <v>-</v>
      </c>
      <c r="ZN13" s="18" t="str">
        <f>IF(OR(COUNTIF($ZC$4:$ZC13,ZN$2)=0,COUNTIF($ZC$4:$ZC13,ZN$2)=MAX(ZN$2:ZN12)),"-",COUNTIF($ZC$4:$ZC13,ZN$2))</f>
        <v>-</v>
      </c>
      <c r="ZO13" s="18" t="str">
        <f>IF(OR(COUNTIF($ZC$4:$ZC13,ZO$2)=0,COUNTIF($ZC$4:$ZC13,ZO$2)=MAX(ZO$2:ZO12)),"-",COUNTIF($ZC$4:$ZC13,ZO$2))</f>
        <v>-</v>
      </c>
      <c r="ZP13" s="18">
        <f t="shared" si="118"/>
        <v>10</v>
      </c>
      <c r="ZQ13" s="18" t="s">
        <v>801</v>
      </c>
      <c r="ZR13" s="18">
        <f t="shared" si="31"/>
        <v>5</v>
      </c>
    </row>
    <row r="14" spans="1:718" ht="9.9499999999999993" customHeight="1" x14ac:dyDescent="0.25">
      <c r="A14" s="391" t="s">
        <v>3678</v>
      </c>
      <c r="B14" s="391" t="s">
        <v>195</v>
      </c>
      <c r="C14" s="391">
        <v>30</v>
      </c>
      <c r="D14" s="391" t="s">
        <v>318</v>
      </c>
      <c r="E14" s="399" t="str">
        <f>"• +1 Wisdom, +2 Charisma
• Size: Medium
• Speed: 30ft
• Darkvision 60ft
• Celestial Resistance: resistance to necrotic and radiant damage
• Celestial Legacy: know light cantrip"&amp;IF(CharacterLevel&gt;=3,", once per day - lesser restoration","")&amp;IF(CharacterLevel&gt;=5,", daylight as a 3rd level spell","")&amp;" (Cha)
• Languages: Celestial, Common"</f>
        <v>• +1 Wisdom, +2 Charisma
• Size: Medium
• Speed: 30ft
• Darkvision 60ft
• Celestial Resistance: resistance to necrotic and radiant damage
• Celestial Legacy: know light cantrip (Cha)
• Languages: Celestial, Common</v>
      </c>
      <c r="F14" s="393" t="s">
        <v>3679</v>
      </c>
      <c r="G14" s="393">
        <v>2</v>
      </c>
      <c r="H14" s="393" t="s">
        <v>187</v>
      </c>
      <c r="I14" s="393">
        <v>0</v>
      </c>
      <c r="J14" s="393" t="s">
        <v>187</v>
      </c>
      <c r="K14" s="391">
        <v>0</v>
      </c>
      <c r="L14" s="402" t="str">
        <f>""</f>
        <v/>
      </c>
      <c r="M14" s="402" t="str">
        <f>""</f>
        <v/>
      </c>
      <c r="N14" s="402" t="str">
        <f>""</f>
        <v/>
      </c>
      <c r="O14" s="402" t="str">
        <f>""</f>
        <v/>
      </c>
      <c r="P14" s="402">
        <v>1</v>
      </c>
      <c r="Q14" s="402">
        <v>2</v>
      </c>
      <c r="R14" s="742" t="s">
        <v>3680</v>
      </c>
      <c r="S14" s="742" t="s">
        <v>2673</v>
      </c>
      <c r="T14" s="742" t="s">
        <v>810</v>
      </c>
      <c r="U14" s="393" t="s">
        <v>235</v>
      </c>
      <c r="V14" s="399" t="s">
        <v>2723</v>
      </c>
      <c r="W14" s="399"/>
      <c r="X14" s="18" t="str">
        <f>IF(Y14="","",MAX($X$3:X13)+1)</f>
        <v/>
      </c>
      <c r="Y14" s="58" t="str">
        <f>IF(A10=$A$3,U14,"")</f>
        <v/>
      </c>
      <c r="Z14" s="18">
        <f t="shared" si="109"/>
        <v>11</v>
      </c>
      <c r="AA14" s="18" t="str">
        <f t="shared" si="74"/>
        <v/>
      </c>
      <c r="AB14" s="18"/>
      <c r="AC14" s="18"/>
      <c r="AD14" s="18"/>
      <c r="AE14" s="59" t="s">
        <v>304</v>
      </c>
      <c r="AF14" s="455" t="s">
        <v>306</v>
      </c>
      <c r="AG14" s="740" t="s">
        <v>3518</v>
      </c>
      <c r="AH14" s="59" t="s">
        <v>826</v>
      </c>
      <c r="AI14" s="18">
        <v>2</v>
      </c>
      <c r="AJ14" s="59" t="s">
        <v>187</v>
      </c>
      <c r="AK14" s="18">
        <v>0</v>
      </c>
      <c r="AL14" s="59" t="s">
        <v>2632</v>
      </c>
      <c r="AM14" s="18">
        <v>2</v>
      </c>
      <c r="AN14" s="18"/>
      <c r="AO14" s="18">
        <f t="shared" si="119"/>
        <v>13</v>
      </c>
      <c r="AP14" s="272" t="s">
        <v>1012</v>
      </c>
      <c r="AQ14" s="59" t="str">
        <f>""</f>
        <v/>
      </c>
      <c r="AR14" s="254"/>
      <c r="AS14" s="385"/>
      <c r="AT14" s="254"/>
      <c r="AU14" s="385"/>
      <c r="AV14" s="255"/>
      <c r="AW14" s="385"/>
      <c r="AX14" s="385"/>
      <c r="BA14" s="254"/>
      <c r="BB14" s="385"/>
      <c r="BE14" s="18" t="str">
        <f>""</f>
        <v/>
      </c>
      <c r="BI14" s="392" t="s">
        <v>308</v>
      </c>
      <c r="BJ14" s="398">
        <v>8</v>
      </c>
      <c r="BK14" s="396" t="str">
        <f>IF(BL14=0,"",MAX($BK$6:BK13)+1)</f>
        <v/>
      </c>
      <c r="BL14" s="396">
        <f>COUNTIF(Start!$AF$20:$AF$39,Tables!BI14)</f>
        <v>0</v>
      </c>
      <c r="BM14" s="394" t="str">
        <f>IF(OR(BK14="",BO14=""),"",MAX($BM$6:BM13)+1)</f>
        <v/>
      </c>
      <c r="BN14" s="393" t="str">
        <f>""</f>
        <v/>
      </c>
      <c r="BO14" s="391" t="str">
        <f>""</f>
        <v/>
      </c>
      <c r="BP14" s="396" t="str">
        <f t="shared" si="120"/>
        <v/>
      </c>
      <c r="BQ14" s="745" t="s">
        <v>367</v>
      </c>
      <c r="BR14" s="396">
        <v>3</v>
      </c>
      <c r="BS14" s="396"/>
      <c r="BT14" s="396"/>
      <c r="BU14" s="392"/>
      <c r="BV14" s="396">
        <f>IF(AND(OR(ArmorName="",ArmorName="none"),OR(ShieldName="",ShieldName="none")),10+DEXMod+WISMod,10)</f>
        <v>0</v>
      </c>
      <c r="BW14" s="396">
        <f>IF(AND(OR(ArmorName="",ArmorName="none"),OR(ShieldName="",ShieldName="none"),MonkLevel&gt;=2),10,0)</f>
        <v>0</v>
      </c>
      <c r="BX14" s="396">
        <v>0</v>
      </c>
      <c r="BY14" s="458" t="str">
        <f>""</f>
        <v/>
      </c>
      <c r="BZ14" s="397" t="s">
        <v>187</v>
      </c>
      <c r="CA14" s="397" t="s">
        <v>187</v>
      </c>
      <c r="CB14" s="397" t="s">
        <v>2640</v>
      </c>
      <c r="CC14" s="397" t="s">
        <v>2640</v>
      </c>
      <c r="CD14" s="397" t="s">
        <v>2793</v>
      </c>
      <c r="CE14" s="396">
        <v>1</v>
      </c>
      <c r="CF14" s="397" t="s">
        <v>187</v>
      </c>
      <c r="CG14" s="396">
        <v>0</v>
      </c>
      <c r="CH14" s="397" t="str">
        <f>IF(MonkLevel&gt;=14,"Strength, Dexterity, Constitution, Intelligence, Wisdom, Charisma","Strength, Dexterity")</f>
        <v>Strength, Dexterity</v>
      </c>
      <c r="CI14" s="397" t="s">
        <v>2795</v>
      </c>
      <c r="CJ14" s="396">
        <v>2</v>
      </c>
      <c r="CK14" s="397" t="s">
        <v>187</v>
      </c>
      <c r="CL14" s="396">
        <v>0</v>
      </c>
      <c r="CM14" s="393" t="str">
        <f>"• Unarmored Defense, Martial Arts
"</f>
        <v xml:space="preserve">• Unarmored Defense, Martial Arts
</v>
      </c>
      <c r="CN14" s="393" t="str">
        <f>"• Ki ("&amp;MonkLevel&amp;" points - DC "&amp;10+ProfBonus+WISMod&amp;") , Unarmoured Movement
"</f>
        <v xml:space="preserve">• Ki (0 points - DC 7) , Unarmoured Movement
</v>
      </c>
      <c r="CO14" s="393" t="e">
        <f>"• Monastic Tradition ("&amp;VLOOKUP($BI14,$BN$3:$BQ$5,4,FALSE)&amp;")
• Deflect Missiles: reaction, ranged weapon damage reduced by 1d10+"&amp;DEXMod+MonkLevel&amp;"
"&amp;VLOOKUP($BI14,$DM$3:$EH$5,DQ$2-1,FALSE)</f>
        <v>#N/A</v>
      </c>
      <c r="CP14" s="393" t="str">
        <f>"• Slow Fall ("&amp;5*MonkLevel&amp;" ft)
"&amp;IF(MonkLevel&gt;=DE$6,"• Ability Score Improvement / Feat: level "&amp;DE$6&amp;", "&amp;DB$6&amp;", "&amp;CX$6&amp;", "&amp;CT$6&amp;", "&amp;CP$6,IF(MonkLevel&gt;=DB$6,"• Ability Score Improvement / Feat: level "&amp;DB$6&amp;", "&amp;CX$6&amp;", "&amp;CT$6&amp;", "&amp;CP$6,IF(MonkLevel&gt;=CX$6,"• Ability Score Improvement / Feat: level "&amp;CX$6&amp;", "&amp;CT$6&amp;", "&amp;CP$6,IF(MonkLevel&gt;=CT$6,"• Ability Score Improvement / Feat : level "&amp;CT$6&amp;", "&amp;CP$6,"• Ability Score Improvement / Feat: level "&amp;CP$6))))&amp;"
"</f>
        <v xml:space="preserve">• Slow Fall (0 ft)
• Ability Score Improvement / Feat: level 4
</v>
      </c>
      <c r="CQ14" s="393" t="str">
        <f>"• Extra Attack, Stunning Strike
"</f>
        <v xml:space="preserve">• Extra Attack, Stunning Strike
</v>
      </c>
      <c r="CR14" s="393" t="e">
        <f>"• Ki-Empowered Strikes
"&amp;VLOOKUP($BI14,$DM$3:$EH$5,DT$2-1,FALSE)</f>
        <v>#N/A</v>
      </c>
      <c r="CS14" s="393" t="str">
        <f>"• Evasion, Stillness of Mind
"</f>
        <v xml:space="preserve">• Evasion, Stillness of Mind
</v>
      </c>
      <c r="CT14" s="393" t="str">
        <f>""</f>
        <v/>
      </c>
      <c r="CU14" s="393" t="str">
        <f>"• Unarmoured Movement Improvement
"</f>
        <v xml:space="preserve">• Unarmoured Movement Improvement
</v>
      </c>
      <c r="CV14" s="393" t="str">
        <f>"• Purity of Body
"</f>
        <v xml:space="preserve">• Purity of Body
</v>
      </c>
      <c r="CW14" s="393" t="e">
        <f>VLOOKUP($BI14,$DM$3:$EH$5,DY$2-1,FALSE)</f>
        <v>#N/A</v>
      </c>
      <c r="CX14" s="393" t="str">
        <f>""</f>
        <v/>
      </c>
      <c r="CY14" s="393" t="str">
        <f>"• Tongue of Sun and Moon
"</f>
        <v xml:space="preserve">• Tongue of Sun and Moon
</v>
      </c>
      <c r="CZ14" s="393" t="str">
        <f>"• Diamond Soul
"</f>
        <v xml:space="preserve">• Diamond Soul
</v>
      </c>
      <c r="DA14" s="393" t="str">
        <f>"• Timeless Body
"</f>
        <v xml:space="preserve">• Timeless Body
</v>
      </c>
      <c r="DB14" s="393" t="str">
        <f>""</f>
        <v/>
      </c>
      <c r="DC14" s="393" t="e">
        <f>VLOOKUP($BI14,$DM$3:$EH$5,EE$2-1,FALSE)</f>
        <v>#N/A</v>
      </c>
      <c r="DD14" s="393" t="str">
        <f>"• Empty Body
"</f>
        <v xml:space="preserve">• Empty Body
</v>
      </c>
      <c r="DE14" s="393" t="str">
        <f>""</f>
        <v/>
      </c>
      <c r="DF14" s="393" t="str">
        <f>"• Perfect Self
"</f>
        <v xml:space="preserve">• Perfect Self
</v>
      </c>
      <c r="DL14" s="59" t="s">
        <v>1514</v>
      </c>
      <c r="DM14" s="18" t="s">
        <v>288</v>
      </c>
      <c r="DN14" s="18">
        <f t="shared" ca="1" si="121"/>
        <v>0</v>
      </c>
      <c r="DO14" s="58" t="str">
        <f>""</f>
        <v/>
      </c>
      <c r="DP14" s="59" t="str">
        <f>""</f>
        <v/>
      </c>
      <c r="DQ14" s="58" t="str">
        <f>"• Student of War: gain proficiency with one type of artisan’s tools of your choice
• Martial Archetype Feature ("&amp;IF(FighterLevel&gt;=10,"Improved Combat Superiority","Combat Superiority")&amp;")
  - "&amp;IF(FighterLevel&gt;=18,"Superiority Dice "&amp;6+IF($ZT$12="",0,1)&amp;"d12",IF(FighterLevel&gt;=15,"Superiority Dice "&amp;6+IF($ZT$12="",0,1)&amp;"d10",IF(FighterLevel&gt;=10,"Superiority Dice "&amp;5+IF($ZT$12="",0,1)&amp;"d10",IF(FighterLevel&gt;=7,"Superiority Dice "&amp;5+IF($ZT$12="",0,1)&amp;"d8","Superiority Dice "&amp;4+IF($ZT$12="",0,1)&amp;"d8"))))&amp;"
  - "&amp;IF(FighterLevel&gt;=15,9+IF($ZT$12="",0,2)&amp;" Manuevers",IF(FighterLevel&gt;=10,7+IF($ZT$12="",0,2)&amp;" Manuevers",IF(FighterLevel&gt;=7,5+IF($ZT$12="",0,2)&amp;" Manuevers","3 Manuevers")))&amp;" - use only one maneuver per attack."&amp;GJ2&amp;"
"</f>
        <v xml:space="preserve">• Student of War: gain proficiency with one type of artisan’s tools of your choice
• Martial Archetype Feature (Combat Superiority)
  - Superiority Dice 4d8
  - 3 Manuevers - use only one maneuver per attack.
</v>
      </c>
      <c r="DR14" s="59" t="str">
        <f>""</f>
        <v/>
      </c>
      <c r="DS14" s="59" t="str">
        <f>""</f>
        <v/>
      </c>
      <c r="DT14" s="59" t="str">
        <f>""</f>
        <v/>
      </c>
      <c r="DU14" s="59" t="str">
        <f>"• Martial Archetype Feature (Know Your Enemy)
"</f>
        <v xml:space="preserve">• Martial Archetype Feature (Know Your Enemy)
</v>
      </c>
      <c r="DV14" s="59" t="str">
        <f>""</f>
        <v/>
      </c>
      <c r="DW14" s="59" t="str">
        <f>""</f>
        <v/>
      </c>
      <c r="DX14" s="58" t="str">
        <f>""</f>
        <v/>
      </c>
      <c r="DY14" s="59" t="str">
        <f>""</f>
        <v/>
      </c>
      <c r="DZ14" s="59" t="str">
        <f>""</f>
        <v/>
      </c>
      <c r="EA14" s="59" t="str">
        <f>""</f>
        <v/>
      </c>
      <c r="EB14" s="59" t="str">
        <f>""</f>
        <v/>
      </c>
      <c r="EC14" s="59" t="str">
        <f>"• Martial Archetype Feature (Relentless)
"</f>
        <v xml:space="preserve">• Martial Archetype Feature (Relentless)
</v>
      </c>
      <c r="ED14" s="59" t="str">
        <f>""</f>
        <v/>
      </c>
      <c r="EE14" s="59" t="str">
        <f>""</f>
        <v/>
      </c>
      <c r="EF14" s="59" t="str">
        <f>""</f>
        <v/>
      </c>
      <c r="EG14" s="59" t="str">
        <f>""</f>
        <v/>
      </c>
      <c r="EH14" s="59" t="str">
        <f>""</f>
        <v/>
      </c>
      <c r="EI14" s="103" t="str">
        <f>""</f>
        <v/>
      </c>
      <c r="EJ14" s="103" t="str">
        <f>""</f>
        <v/>
      </c>
      <c r="EK14" s="103"/>
      <c r="EL14" s="103" t="str">
        <f>""</f>
        <v/>
      </c>
      <c r="EM14" s="103"/>
      <c r="EN14" s="103" t="str">
        <f>""</f>
        <v/>
      </c>
      <c r="EO14" s="103"/>
      <c r="EP14" s="103" t="str">
        <f>""</f>
        <v/>
      </c>
      <c r="EQ14" s="103"/>
      <c r="ER14" s="103" t="str">
        <f>""</f>
        <v/>
      </c>
      <c r="ES14" s="103"/>
      <c r="ET14" s="59" t="str">
        <f>IF(FighterLevel&gt;=1,"One type of artisan’s tools of your choice.
","")</f>
        <v/>
      </c>
      <c r="EU14" s="18" t="str">
        <f>IF(FighterLevel&gt;=1,1,"")</f>
        <v/>
      </c>
      <c r="EV14" s="59" t="str">
        <f>""</f>
        <v/>
      </c>
      <c r="EW14" s="18" t="str">
        <f>""</f>
        <v/>
      </c>
      <c r="EX14" s="59" t="str">
        <f>""</f>
        <v/>
      </c>
      <c r="EY14" s="18" t="str">
        <f>""</f>
        <v/>
      </c>
      <c r="EZ14" s="18"/>
      <c r="FA14" s="18" t="str">
        <f>IF($DM14=FB$5,MAX(FA$6:FA13)+1,"")</f>
        <v/>
      </c>
      <c r="FB14" s="58" t="str">
        <f t="shared" si="122"/>
        <v/>
      </c>
      <c r="FC14" s="18">
        <v>9</v>
      </c>
      <c r="FD14" s="58" t="str">
        <f t="shared" si="112"/>
        <v/>
      </c>
      <c r="FE14" s="18" t="str">
        <f>IF($DM14=FF$5,MAX(FE$6:FE13)+1,"")</f>
        <v/>
      </c>
      <c r="FF14" s="58" t="str">
        <f t="shared" si="123"/>
        <v/>
      </c>
      <c r="FG14" s="18">
        <v>9</v>
      </c>
      <c r="FH14" s="58" t="str">
        <f t="shared" si="113"/>
        <v/>
      </c>
      <c r="FI14" s="18" t="str">
        <f>IF($DM14=FJ$5,MAX(FI$6:FI13)+1,"")</f>
        <v/>
      </c>
      <c r="FJ14" s="58" t="str">
        <f t="shared" si="124"/>
        <v/>
      </c>
      <c r="FK14" s="18">
        <v>9</v>
      </c>
      <c r="FL14" s="58" t="str">
        <f t="shared" si="114"/>
        <v/>
      </c>
      <c r="FM14" s="58" t="s">
        <v>283</v>
      </c>
      <c r="FN14" s="59">
        <f>Start!X66</f>
        <v>0</v>
      </c>
      <c r="FO14" s="18" t="str">
        <f>IF($FM14=$FP14,MAX(FO$3:FO13)+1,"")</f>
        <v/>
      </c>
      <c r="FP14" s="59" t="str">
        <f t="shared" si="101"/>
        <v/>
      </c>
      <c r="FQ14" s="18">
        <f t="shared" si="102"/>
        <v>12</v>
      </c>
      <c r="FR14" s="59" t="str">
        <f t="shared" si="75"/>
        <v/>
      </c>
      <c r="FS14" s="18"/>
      <c r="FT14" s="18"/>
      <c r="FU14" s="18"/>
      <c r="FV14" s="18"/>
      <c r="GB14" s="59" t="s">
        <v>3426</v>
      </c>
      <c r="GC14" s="142" t="s">
        <v>3481</v>
      </c>
      <c r="GD14" s="142"/>
      <c r="GE14" s="59">
        <v>15</v>
      </c>
      <c r="GK14" s="18"/>
      <c r="GL14" s="18"/>
      <c r="GM14" s="18"/>
      <c r="GN14" s="18"/>
      <c r="GO14" s="18"/>
      <c r="GP14" s="18"/>
      <c r="GQ14" s="59" t="s">
        <v>2816</v>
      </c>
      <c r="GR14" s="59" t="s">
        <v>3496</v>
      </c>
      <c r="GS14" s="18">
        <v>17</v>
      </c>
      <c r="GT14" s="18">
        <v>5</v>
      </c>
      <c r="GU14" s="18" t="str">
        <f ca="1">IF(GV14="","",MAX($GU$3:GU13)+1)</f>
        <v/>
      </c>
      <c r="GV14" s="59" t="str">
        <f t="shared" ca="1" si="76"/>
        <v/>
      </c>
      <c r="GW14" s="18">
        <f t="shared" si="103"/>
        <v>12</v>
      </c>
      <c r="GX14" s="59" t="str">
        <f t="shared" ca="1" si="44"/>
        <v/>
      </c>
      <c r="GY14" s="59"/>
      <c r="HK14" s="58" t="s">
        <v>2902</v>
      </c>
      <c r="HL14" s="59" t="str">
        <f>""</f>
        <v/>
      </c>
      <c r="HM14" s="58" t="s">
        <v>2916</v>
      </c>
      <c r="HX14" s="59" t="s">
        <v>2960</v>
      </c>
      <c r="IH14" s="18" t="str">
        <f>IF(IJ14=1,MAX($IH$2:IH13)+1,"")</f>
        <v/>
      </c>
      <c r="II14" s="58" t="s">
        <v>3304</v>
      </c>
      <c r="IJ14" s="59" t="str">
        <f>IF(COUNTIF(Spellcasting!$AC$6:$AL$15,"=Eldritch Blast")&gt;0,1,"")</f>
        <v/>
      </c>
      <c r="IK14" s="58" t="s">
        <v>3350</v>
      </c>
      <c r="IL14" s="18">
        <f t="shared" si="105"/>
        <v>12</v>
      </c>
      <c r="IM14" s="59" t="str">
        <f t="shared" si="77"/>
        <v>Thief of Five Fates</v>
      </c>
      <c r="IN14" s="59"/>
      <c r="IO14" s="59"/>
      <c r="IP14" s="59"/>
      <c r="IQ14" s="59"/>
      <c r="IR14" s="59"/>
      <c r="IS14" s="59"/>
      <c r="IT14" s="59"/>
      <c r="IU14" s="59"/>
      <c r="IV14" s="18"/>
      <c r="IX14" s="59" t="s">
        <v>1480</v>
      </c>
      <c r="IY14" s="59" t="s">
        <v>940</v>
      </c>
      <c r="IZ14" s="59" t="s">
        <v>203</v>
      </c>
      <c r="JA14" s="59" t="s">
        <v>281</v>
      </c>
      <c r="JB14" s="59" t="s">
        <v>897</v>
      </c>
      <c r="JC14" s="18">
        <f>IF(JD14="","",MAX($JC$1:JC13)+1)</f>
        <v>11</v>
      </c>
      <c r="JD14" s="58" t="s">
        <v>269</v>
      </c>
      <c r="JE14" s="58" t="s">
        <v>269</v>
      </c>
      <c r="JF14" s="18">
        <v>13</v>
      </c>
      <c r="JG14" s="59" t="str">
        <f t="shared" si="27"/>
        <v>Draconic</v>
      </c>
      <c r="JH14" s="18">
        <v>13</v>
      </c>
      <c r="JI14" s="60">
        <v>120000</v>
      </c>
      <c r="JJ14" s="18">
        <v>13</v>
      </c>
      <c r="JK14" s="18">
        <v>5</v>
      </c>
      <c r="JL14" s="18"/>
      <c r="JM14" s="18">
        <v>12</v>
      </c>
      <c r="JN14" s="80">
        <f t="shared" ca="1" si="127"/>
        <v>4</v>
      </c>
      <c r="JO14" s="80">
        <f t="shared" ca="1" si="127"/>
        <v>3</v>
      </c>
      <c r="JP14" s="80">
        <f t="shared" ca="1" si="127"/>
        <v>3</v>
      </c>
      <c r="JQ14" s="80">
        <f t="shared" ca="1" si="127"/>
        <v>3</v>
      </c>
      <c r="JR14" s="80">
        <f t="shared" ca="1" si="127"/>
        <v>2</v>
      </c>
      <c r="JS14" s="80">
        <f t="shared" ca="1" si="127"/>
        <v>1</v>
      </c>
      <c r="JT14" s="80" t="str">
        <f t="shared" ca="1" si="127"/>
        <v>-</v>
      </c>
      <c r="JU14" s="80" t="str">
        <f t="shared" ca="1" si="127"/>
        <v>-</v>
      </c>
      <c r="JV14" s="80" t="str">
        <f t="shared" ca="1" si="127"/>
        <v>-</v>
      </c>
      <c r="JW14" s="80">
        <f t="shared" ca="1" si="127"/>
        <v>6</v>
      </c>
      <c r="KD14" s="18">
        <v>12</v>
      </c>
      <c r="KE14" s="302">
        <v>8</v>
      </c>
      <c r="KF14" s="302">
        <v>15</v>
      </c>
      <c r="KG14" s="302">
        <v>8</v>
      </c>
      <c r="KH14" s="302">
        <v>7</v>
      </c>
      <c r="KI14" s="302">
        <v>12</v>
      </c>
      <c r="KJ14" s="302">
        <v>11</v>
      </c>
      <c r="KK14" s="18">
        <v>12</v>
      </c>
      <c r="KL14" s="98">
        <v>5</v>
      </c>
      <c r="KM14" s="98">
        <v>5</v>
      </c>
      <c r="KN14" s="98">
        <v>3</v>
      </c>
      <c r="KO14" s="98">
        <v>4</v>
      </c>
      <c r="KP14" s="98">
        <v>4</v>
      </c>
      <c r="KQ14" s="98">
        <v>6</v>
      </c>
      <c r="KR14" s="80">
        <v>4</v>
      </c>
      <c r="KS14" s="73"/>
      <c r="KT14" s="93" t="s">
        <v>1522</v>
      </c>
      <c r="KU14" s="80" t="str">
        <f t="shared" si="128"/>
        <v>No</v>
      </c>
      <c r="KV14" s="89" t="s">
        <v>333</v>
      </c>
      <c r="KW14" s="270"/>
      <c r="KX14" s="270"/>
      <c r="KY14" s="270"/>
      <c r="KZ14" s="270"/>
      <c r="LA14" s="270"/>
      <c r="LB14" s="92"/>
      <c r="LC14" s="270"/>
      <c r="LD14" s="270"/>
      <c r="LE14" s="270"/>
      <c r="LF14" s="455"/>
      <c r="LG14" s="270"/>
      <c r="LH14" s="270"/>
      <c r="LI14" s="270"/>
      <c r="LJ14" s="270"/>
      <c r="LK14" s="270"/>
      <c r="LL14" s="406"/>
      <c r="LM14" s="455"/>
      <c r="LN14" s="270"/>
      <c r="LO14" s="270"/>
      <c r="LP14" s="270"/>
      <c r="LQ14" s="92"/>
      <c r="LR14" s="270"/>
      <c r="LS14" s="270"/>
      <c r="LT14" s="92"/>
      <c r="LU14" s="92"/>
      <c r="LV14" s="270"/>
      <c r="LW14" s="270"/>
      <c r="LX14" s="270"/>
      <c r="LY14" s="92"/>
      <c r="LZ14" s="92"/>
      <c r="MA14" s="92"/>
      <c r="MB14" s="92"/>
      <c r="MC14" s="92"/>
      <c r="MD14" s="92"/>
      <c r="ME14" s="92"/>
      <c r="MF14" s="92"/>
      <c r="MG14" s="92"/>
      <c r="MH14" s="92"/>
      <c r="MI14" s="92"/>
      <c r="MJ14" s="92"/>
      <c r="MK14" s="92"/>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438"/>
      <c r="NQ14" s="94"/>
      <c r="NR14" s="94"/>
      <c r="NS14" s="94"/>
      <c r="NT14" s="94"/>
      <c r="NU14" s="94"/>
      <c r="NV14" s="456"/>
      <c r="NW14" s="456"/>
      <c r="NX14" s="456"/>
      <c r="NY14" s="456"/>
      <c r="NZ14" s="456"/>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t="str">
        <f>IF(COUNTIF(Start!$AX$59:$BF$68,Tables!KT14)&gt;0,Tables!KT14,"")</f>
        <v/>
      </c>
      <c r="PT14" s="94"/>
      <c r="PU14" s="59" t="str">
        <f t="shared" si="129"/>
        <v/>
      </c>
      <c r="PV14" s="59" t="str">
        <f>IF(PU14="","",IF(COUNTIF(PU14:$PU$57,"&gt;&lt;")&gt;1,PU14&amp;", ", PU14))</f>
        <v/>
      </c>
      <c r="PW14" s="59"/>
      <c r="PX14" s="59"/>
      <c r="PY14" s="18"/>
      <c r="PZ14" s="28" t="s">
        <v>114</v>
      </c>
      <c r="QA14" s="28" t="s">
        <v>129</v>
      </c>
      <c r="QB14" s="30" t="str">
        <f t="shared" ca="1" si="79"/>
        <v>not proficient</v>
      </c>
      <c r="QC14" s="31" t="s">
        <v>105</v>
      </c>
      <c r="QD14" s="28" t="s">
        <v>134</v>
      </c>
      <c r="QE14" s="29" t="s">
        <v>140</v>
      </c>
      <c r="QF14" s="29">
        <v>6</v>
      </c>
      <c r="QG14" s="29" t="str">
        <f>""</f>
        <v/>
      </c>
      <c r="QH14" s="29" t="str">
        <f>""</f>
        <v/>
      </c>
      <c r="QI14" s="29" t="s">
        <v>137</v>
      </c>
      <c r="QJ14" s="29" t="str">
        <f>""</f>
        <v/>
      </c>
      <c r="QK14" s="29" t="str">
        <f>""</f>
        <v/>
      </c>
      <c r="QL14" s="29" t="str">
        <f>""</f>
        <v/>
      </c>
      <c r="QM14" s="29" t="s">
        <v>144</v>
      </c>
      <c r="QN14" s="29" t="str">
        <f>""</f>
        <v/>
      </c>
      <c r="QO14" s="29" t="s">
        <v>147</v>
      </c>
      <c r="QP14" s="29" t="str">
        <f>""</f>
        <v/>
      </c>
      <c r="QQ14" s="30" t="str">
        <f>""</f>
        <v/>
      </c>
      <c r="QR14" s="30" t="str">
        <f>""</f>
        <v/>
      </c>
      <c r="QS14" s="64"/>
      <c r="QT14" s="733">
        <f t="shared" si="46"/>
        <v>14</v>
      </c>
      <c r="QU14" s="727" t="s">
        <v>98</v>
      </c>
      <c r="QV14" s="727"/>
      <c r="QW14" s="727"/>
      <c r="QX14" s="727"/>
      <c r="QY14" s="727"/>
      <c r="QZ14" s="727" t="str">
        <f>VLOOKUP(Start!AV$137,Tables!$PZ$2:$QQ$500,$QT14,FALSE)</f>
        <v/>
      </c>
      <c r="RA14" s="727"/>
      <c r="RB14" s="729"/>
      <c r="RC14" s="727"/>
      <c r="RD14" s="727"/>
      <c r="RE14" s="727"/>
      <c r="RF14" s="727"/>
      <c r="RG14" s="727"/>
      <c r="RH14" s="727" t="str">
        <f>VLOOKUP(Start!BD$137,Tables!$PZ$2:$QQ$500,$QT14,FALSE)</f>
        <v/>
      </c>
      <c r="RI14" s="727"/>
      <c r="RJ14" s="727"/>
      <c r="RK14" s="727"/>
      <c r="RL14" s="727"/>
      <c r="RM14" s="727"/>
      <c r="RN14" s="729"/>
      <c r="RO14" s="729"/>
      <c r="RP14" s="727" t="str">
        <f>VLOOKUP(Start!BL$137,Tables!$PZ$2:$QQ$500,$QT14,FALSE)</f>
        <v/>
      </c>
      <c r="RQ14" s="729"/>
      <c r="RR14" s="729"/>
      <c r="RS14" s="729"/>
      <c r="RT14" s="729"/>
      <c r="RU14" s="729"/>
      <c r="RV14" s="729"/>
      <c r="RW14" s="729"/>
      <c r="RX14" s="727" t="str">
        <f>VLOOKUP(Start!BT$137,Tables!$PZ$2:$QQ$500,$QT14,FALSE)</f>
        <v/>
      </c>
      <c r="RY14" s="729"/>
      <c r="RZ14" s="729"/>
      <c r="SA14" s="729"/>
      <c r="SB14" s="729"/>
      <c r="SC14" s="729"/>
      <c r="SD14" s="729"/>
      <c r="SE14" s="729"/>
      <c r="SF14" s="727" t="str">
        <f>VLOOKUP(Start!CB$137,Tables!$PZ$2:$QQ$500,$QT14,FALSE)</f>
        <v/>
      </c>
      <c r="SG14" s="729"/>
      <c r="SH14" s="729"/>
      <c r="SI14" s="729"/>
      <c r="SJ14" s="729"/>
      <c r="SK14" s="729"/>
      <c r="SL14" s="729"/>
      <c r="SM14" s="634"/>
      <c r="SN14" s="727" t="str">
        <f>VLOOKUP(Start!CJ$137,Tables!$PZ$2:$QQ$500,$QT14,FALSE)</f>
        <v/>
      </c>
      <c r="SO14" s="729"/>
      <c r="SP14" s="729"/>
      <c r="SQ14" s="729"/>
      <c r="SR14" s="28" t="s">
        <v>244</v>
      </c>
      <c r="SS14" s="28" t="s">
        <v>137</v>
      </c>
      <c r="ST14" s="29" t="str">
        <f ca="1">IF(SR14="","",IF(Start!$Y$157=$QS$12,$QS$12&amp;" (disadvantage)",IF(Start!$Y$157=$QS$11,$QS$11,IF(VLOOKUP(SR14,$KT$60:$KV$78,2,FALSE)="No",$QS$12&amp;" (disadvantage)",$QS$11))))</f>
        <v>not proficient (disadvantage)</v>
      </c>
      <c r="SU14" s="69">
        <v>16</v>
      </c>
      <c r="SV14" s="42">
        <v>0</v>
      </c>
      <c r="SW14" s="232">
        <v>13</v>
      </c>
      <c r="SX14" s="46" t="s">
        <v>249</v>
      </c>
      <c r="SY14" s="30">
        <v>55</v>
      </c>
      <c r="SZ14" s="29" t="str">
        <f ca="1">ST14&amp;", Don: 10min, Doff: 5min"</f>
        <v>not proficient (disadvantage), Don: 10min, Doff: 5min</v>
      </c>
      <c r="TA14" s="28"/>
      <c r="TB14" s="28"/>
      <c r="TC14" s="28"/>
      <c r="TD14" s="42"/>
      <c r="TE14" s="29"/>
      <c r="TF14" s="232"/>
      <c r="TG14" s="29"/>
      <c r="TH14" s="30"/>
      <c r="TI14" s="30"/>
      <c r="TJ14" s="18">
        <f t="shared" si="115"/>
        <v>12</v>
      </c>
      <c r="TK14" s="58" t="s">
        <v>1291</v>
      </c>
      <c r="TL14" s="58" t="s">
        <v>465</v>
      </c>
      <c r="TM14" s="18">
        <v>8</v>
      </c>
      <c r="TN14" s="59" t="str">
        <f t="shared" si="47"/>
        <v xml:space="preserve">Antipathy/Sympathy </v>
      </c>
      <c r="TO14" s="18" t="str">
        <f>""</f>
        <v/>
      </c>
      <c r="TP14" s="18" t="str">
        <f t="shared" si="48"/>
        <v/>
      </c>
      <c r="TQ14" s="18" t="str">
        <f>IF(OR(TK14=Spellcasting!$AC$18,TK14=Spellcasting!$AC$19),"ᵐ","")</f>
        <v/>
      </c>
      <c r="TR14" s="18" t="str">
        <f>IF(OR(TK14=Spellcasting!$AC$20,TK14=Spellcasting!$AC$21),"ˢ","")</f>
        <v/>
      </c>
      <c r="TS14" s="18" t="str">
        <f>""</f>
        <v/>
      </c>
      <c r="TT14" s="18" t="s">
        <v>521</v>
      </c>
      <c r="TU14" s="18" t="s">
        <v>850</v>
      </c>
      <c r="TV14" s="18" t="s">
        <v>1260</v>
      </c>
      <c r="TW14" s="18" t="s">
        <v>495</v>
      </c>
      <c r="TX14" s="59" t="s">
        <v>1292</v>
      </c>
      <c r="TY14" s="18" t="s">
        <v>498</v>
      </c>
      <c r="TZ14" s="18" t="s">
        <v>499</v>
      </c>
      <c r="UA14" s="142" t="s">
        <v>3231</v>
      </c>
      <c r="UB14" s="319" t="s">
        <v>2139</v>
      </c>
      <c r="UI14" s="18" t="str">
        <f ca="1">IF(UI$1&gt;=$TM14,1,"0")</f>
        <v>0</v>
      </c>
      <c r="UL14" s="18" t="str">
        <f ca="1">IF(UL$1&gt;=$TM14,1,"0")</f>
        <v>0</v>
      </c>
      <c r="WD14" s="18" t="str">
        <f ca="1">IF(SUM($VZ$1:$WC$1)&gt;0,IF(AND(SUM($VZ14:$WC14)&gt;0,$TM14=WE$1),MAX(WD$2:WD13)+1,""),IF(AND(SUM($UC14:$VY14)&gt;0,$TM14=WE$1),MAX(WD$2:WD13)+1,""))</f>
        <v/>
      </c>
      <c r="WE14" s="59" t="str">
        <f t="shared" ca="1" si="80"/>
        <v/>
      </c>
      <c r="WF14" s="18" t="str">
        <f ca="1">IF(AND(SUM($UB14:$VY14)&gt;0,$TM14=WG$1),MAX(WF$2:WF13)+1,"")</f>
        <v/>
      </c>
      <c r="WG14" s="59" t="str">
        <f t="shared" ca="1" si="81"/>
        <v/>
      </c>
      <c r="WH14" s="18" t="str">
        <f ca="1">IF(AND(SUM($UB14:$VY14)&gt;0,$TM14=WI$1),MAX(WH$2:WH13)+1,"")</f>
        <v/>
      </c>
      <c r="WI14" s="59" t="str">
        <f t="shared" ca="1" si="82"/>
        <v/>
      </c>
      <c r="WJ14" s="18" t="str">
        <f ca="1">IF(AND(SUM($UB14:$VY14)&gt;0,$TM14=WK$1),MAX(WJ$2:WJ13)+1,"")</f>
        <v/>
      </c>
      <c r="WK14" s="59" t="str">
        <f t="shared" ca="1" si="83"/>
        <v/>
      </c>
      <c r="WL14" s="18" t="str">
        <f ca="1">IF(AND(SUM($UB14:$VY14)&gt;0,$TM14=WM$1),MAX(WL$2:WL13)+1,"")</f>
        <v/>
      </c>
      <c r="WM14" s="59" t="str">
        <f t="shared" ca="1" si="84"/>
        <v/>
      </c>
      <c r="WN14" s="18" t="str">
        <f ca="1">IF(AND(SUM($UB14:$VY14)&gt;0,$TM14=WO$1),MAX(WN$2:WN13)+1,"")</f>
        <v/>
      </c>
      <c r="WO14" s="59" t="str">
        <f t="shared" ca="1" si="85"/>
        <v/>
      </c>
      <c r="WP14" s="18" t="str">
        <f ca="1">IF(AND(SUM($UB14:$VY14)&gt;0,$TM14=WQ$1),MAX(WP$2:WP13)+1,"")</f>
        <v/>
      </c>
      <c r="WQ14" s="59" t="str">
        <f t="shared" ca="1" si="86"/>
        <v/>
      </c>
      <c r="WR14" s="18" t="str">
        <f ca="1">IF(AND(SUM($UB14:$VY14)&gt;0,$TM14=WS$1),MAX(WR$2:WR13)+1,"")</f>
        <v/>
      </c>
      <c r="WS14" s="59" t="str">
        <f t="shared" ca="1" si="87"/>
        <v/>
      </c>
      <c r="WT14" s="18" t="str">
        <f ca="1">IF(AND(SUM($UB14:$VY14)&gt;0,$TM14=WU$1),MAX(WT$2:WT13)+1,"")</f>
        <v/>
      </c>
      <c r="WU14" s="59" t="str">
        <f t="shared" ca="1" si="88"/>
        <v/>
      </c>
      <c r="WV14" s="18" t="str">
        <f ca="1">IF(AND(SUM($UB14:$VY14)&gt;0,$TM14=WW$1),MAX(WV$2:WV13)+1,"")</f>
        <v/>
      </c>
      <c r="WW14" s="59" t="str">
        <f t="shared" ca="1" si="89"/>
        <v/>
      </c>
      <c r="WX14" s="18" t="str">
        <f ca="1">IF(AND(SUM($UB14:$VY14)&gt;0,$TM14=WY$1),MAX(WX$2:WX13)+1,"")</f>
        <v/>
      </c>
      <c r="WY14" s="59" t="str">
        <f t="shared" ca="1" si="90"/>
        <v/>
      </c>
      <c r="WZ14" s="18">
        <v>13</v>
      </c>
      <c r="XA14" s="59" t="str">
        <f t="shared" ca="1" si="91"/>
        <v/>
      </c>
      <c r="XB14" s="59" t="str">
        <f t="shared" ca="1" si="28"/>
        <v/>
      </c>
      <c r="XC14" s="59" t="str">
        <f t="shared" ca="1" si="29"/>
        <v/>
      </c>
      <c r="XD14" s="59" t="str">
        <f t="shared" ca="1" si="60"/>
        <v/>
      </c>
      <c r="XE14" s="59" t="str">
        <f t="shared" ca="1" si="61"/>
        <v/>
      </c>
      <c r="XF14" s="59" t="str">
        <f t="shared" ca="1" si="62"/>
        <v/>
      </c>
      <c r="XG14" s="59" t="str">
        <f t="shared" ca="1" si="63"/>
        <v/>
      </c>
      <c r="XH14" s="59" t="str">
        <f t="shared" ca="1" si="64"/>
        <v/>
      </c>
      <c r="XI14" s="59" t="str">
        <f t="shared" ca="1" si="65"/>
        <v/>
      </c>
      <c r="XJ14" s="59" t="str">
        <f t="shared" ca="1" si="66"/>
        <v/>
      </c>
      <c r="XK14" s="59" t="str">
        <f t="shared" ca="1" si="67"/>
        <v/>
      </c>
      <c r="XL14" s="59"/>
      <c r="XM14" s="18">
        <f t="shared" si="116"/>
        <v>10</v>
      </c>
      <c r="XN14" s="142" t="str">
        <f t="shared" ca="1" si="107"/>
        <v>Quipper</v>
      </c>
      <c r="XO14" s="142" t="str">
        <f t="shared" ca="1" si="107"/>
        <v>Beast</v>
      </c>
      <c r="XP14" s="249" t="str">
        <f t="shared" ca="1" si="107"/>
        <v>Tiny</v>
      </c>
      <c r="XQ14" s="249">
        <f t="shared" ca="1" si="107"/>
        <v>13</v>
      </c>
      <c r="XR14" s="249">
        <f t="shared" ca="1" si="107"/>
        <v>2</v>
      </c>
      <c r="XS14" s="142" t="str">
        <f t="shared" ca="1" si="107"/>
        <v>0 ft, swim 40 ft</v>
      </c>
      <c r="XT14" s="249">
        <f t="shared" ca="1" si="107"/>
        <v>2</v>
      </c>
      <c r="XU14" s="249">
        <f t="shared" ca="1" si="107"/>
        <v>16</v>
      </c>
      <c r="XV14" s="249">
        <f t="shared" ca="1" si="107"/>
        <v>9</v>
      </c>
      <c r="XW14" s="249">
        <f t="shared" ca="1" si="107"/>
        <v>1</v>
      </c>
      <c r="XX14" s="249">
        <f t="shared" ca="1" si="107"/>
        <v>7</v>
      </c>
      <c r="XY14" s="249">
        <f t="shared" ca="1" si="107"/>
        <v>2</v>
      </c>
      <c r="XZ14" s="142" t="str">
        <f t="shared" ca="1" si="107"/>
        <v>none</v>
      </c>
      <c r="YA14" s="142" t="str">
        <f t="shared" ca="1" si="107"/>
        <v>passive Perception 8, darkvision 60 ft</v>
      </c>
      <c r="YB14" s="142" t="str">
        <f t="shared" ca="1" si="107"/>
        <v>Bite melee +5, reach 5ft, 1 piercing
DC10 Con save ½ , 2d4 poison</v>
      </c>
      <c r="YC14" s="142" t="str">
        <f t="shared" ca="1" si="107"/>
        <v>Blood Frenzy. Advantage on melee attack rolls against any creature that doesn't have all its hit points
Water Breathing. Can breathe only underwater</v>
      </c>
      <c r="YG14" s="59" t="s">
        <v>765</v>
      </c>
      <c r="YH14" s="59" t="s">
        <v>187</v>
      </c>
      <c r="YI14" s="142" t="s">
        <v>768</v>
      </c>
      <c r="YJ14" s="215" t="s">
        <v>3433</v>
      </c>
      <c r="YK14" s="215" t="str">
        <f>""</f>
        <v/>
      </c>
      <c r="YL14" s="249" t="str">
        <f>""</f>
        <v/>
      </c>
      <c r="YM14" s="249" t="s">
        <v>3090</v>
      </c>
      <c r="YN14" s="249">
        <v>2</v>
      </c>
      <c r="YO14" s="249"/>
      <c r="YP14" s="249"/>
      <c r="YQ14" s="215"/>
      <c r="YT14" s="18" t="s">
        <v>226</v>
      </c>
      <c r="YU14" s="18">
        <v>8</v>
      </c>
      <c r="YV14" s="18" t="str">
        <f ca="1">VLOOKUP(YY14,$ZF$2:$ZP$23,$ZF$1,FALSE)</f>
        <v/>
      </c>
      <c r="YW14" s="18" t="str">
        <f ca="1">IF(YX14="","",MAX($YW$1:YW13)+1)</f>
        <v/>
      </c>
      <c r="YX14" s="59" t="str">
        <f t="shared" ca="1" si="71"/>
        <v/>
      </c>
      <c r="YY14" s="18" t="str">
        <f t="shared" ca="1" si="72"/>
        <v/>
      </c>
      <c r="YZ14" s="18">
        <f t="shared" si="117"/>
        <v>11</v>
      </c>
      <c r="ZA14" s="18" t="str">
        <f ca="1">IF(ZB14="","",MAX($ZA$2:ZA13)+1)</f>
        <v/>
      </c>
      <c r="ZB14" s="18" t="str">
        <f t="shared" ca="1" si="98"/>
        <v/>
      </c>
      <c r="ZC14" s="18" t="str">
        <f>IF(Start!AF30=SelectText,"",Start!AF30)</f>
        <v/>
      </c>
      <c r="ZD14" s="18" t="str">
        <f>IF(OR(COUNTIF($ZC$4:$ZC14,ZD$2)=0,COUNTIF($ZC$4:$ZC14,ZD$2)=MAX(ZD$2:ZD13)),"-",COUNTIF($ZC$4:$ZC14,ZD$2))</f>
        <v>-</v>
      </c>
      <c r="ZE14" s="18" t="str">
        <f>IF(OR(COUNTIF($ZC$4:$ZC14,ZE$2)=0,COUNTIF($ZC$4:$ZC14,ZE$2)=MAX(ZE$2:ZE13)),"-",COUNTIF($ZC$4:$ZC14,ZE$2))</f>
        <v>-</v>
      </c>
      <c r="ZF14" s="18" t="str">
        <f>IF(OR(COUNTIF($ZC$4:$ZC14,ZF$2)=0,COUNTIF($ZC$4:$ZC14,ZF$2)=MAX(ZF$2:ZF13)),"-",COUNTIF($ZC$4:$ZC14,ZF$2))</f>
        <v>-</v>
      </c>
      <c r="ZG14" s="18" t="str">
        <f>IF(OR(COUNTIF($ZC$4:$ZC14,ZG$2)=0,COUNTIF($ZC$4:$ZC14,ZG$2)=MAX(ZG$2:ZG13)),"-",COUNTIF($ZC$4:$ZC14,ZG$2))</f>
        <v>-</v>
      </c>
      <c r="ZH14" s="18" t="str">
        <f>IF(OR(COUNTIF($ZC$4:$ZC14,ZH$2)=0,COUNTIF($ZC$4:$ZC14,ZH$2)=MAX(ZH$2:ZH13)),"-",COUNTIF($ZC$4:$ZC14,ZH$2))</f>
        <v>-</v>
      </c>
      <c r="ZI14" s="18" t="str">
        <f>IF(OR(COUNTIF($ZC$4:$ZC14,ZI$2)=0,COUNTIF($ZC$4:$ZC14,ZI$2)=MAX(ZI$2:ZI13)),"-",COUNTIF($ZC$4:$ZC14,ZI$2))</f>
        <v>-</v>
      </c>
      <c r="ZJ14" s="18" t="str">
        <f>IF(OR(COUNTIF($ZC$4:$ZC14,ZJ$2)=0,COUNTIF($ZC$4:$ZC14,ZJ$2)=MAX(ZJ$2:ZJ13)),"-",COUNTIF($ZC$4:$ZC14,ZJ$2))</f>
        <v>-</v>
      </c>
      <c r="ZK14" s="18" t="str">
        <f>IF(OR(COUNTIF($ZC$4:$ZC14,ZK$2)=0,COUNTIF($ZC$4:$ZC14,ZK$2)=MAX(ZK$2:ZK13)),"-",COUNTIF($ZC$4:$ZC14,ZK$2))</f>
        <v>-</v>
      </c>
      <c r="ZL14" s="18" t="str">
        <f>IF(OR(COUNTIF($ZC$4:$ZC14,ZL$2)=0,COUNTIF($ZC$4:$ZC14,ZL$2)=MAX(ZL$2:ZL13)),"-",COUNTIF($ZC$4:$ZC14,ZL$2))</f>
        <v>-</v>
      </c>
      <c r="ZM14" s="18" t="str">
        <f>IF(OR(COUNTIF($ZC$4:$ZC14,ZM$2)=0,COUNTIF($ZC$4:$ZC14,ZM$2)=MAX(ZM$2:ZM13)),"-",COUNTIF($ZC$4:$ZC14,ZM$2))</f>
        <v>-</v>
      </c>
      <c r="ZN14" s="18" t="str">
        <f>IF(OR(COUNTIF($ZC$4:$ZC14,ZN$2)=0,COUNTIF($ZC$4:$ZC14,ZN$2)=MAX(ZN$2:ZN13)),"-",COUNTIF($ZC$4:$ZC14,ZN$2))</f>
        <v>-</v>
      </c>
      <c r="ZO14" s="18" t="str">
        <f>IF(OR(COUNTIF($ZC$4:$ZC14,ZO$2)=0,COUNTIF($ZC$4:$ZC14,ZO$2)=MAX(ZO$2:ZO13)),"-",COUNTIF($ZC$4:$ZC14,ZO$2))</f>
        <v>-</v>
      </c>
      <c r="ZP14" s="18">
        <f t="shared" si="118"/>
        <v>11</v>
      </c>
    </row>
    <row r="15" spans="1:718" ht="9.9499999999999993" customHeight="1" x14ac:dyDescent="0.25">
      <c r="A15" s="338"/>
      <c r="B15" s="338"/>
      <c r="C15" s="338"/>
      <c r="D15" s="338"/>
      <c r="E15" s="339"/>
      <c r="F15" s="339"/>
      <c r="G15" s="339"/>
      <c r="H15" s="59" t="str">
        <f>""</f>
        <v/>
      </c>
      <c r="I15" s="59"/>
      <c r="J15" s="59"/>
      <c r="K15" s="18"/>
      <c r="L15" s="64" t="str">
        <f>""</f>
        <v/>
      </c>
      <c r="M15" s="64" t="str">
        <f>""</f>
        <v/>
      </c>
      <c r="N15" s="64" t="str">
        <f>""</f>
        <v/>
      </c>
      <c r="O15" s="64" t="str">
        <f>""</f>
        <v/>
      </c>
      <c r="P15" s="64" t="str">
        <f>""</f>
        <v/>
      </c>
      <c r="Q15" s="64" t="str">
        <f>""</f>
        <v/>
      </c>
      <c r="R15" s="64"/>
      <c r="S15" s="64"/>
      <c r="T15" s="64"/>
      <c r="U15" s="393" t="str">
        <f>SelectText</f>
        <v>Select…</v>
      </c>
      <c r="V15" s="399" t="str">
        <f>""</f>
        <v/>
      </c>
      <c r="W15" s="399" t="str">
        <f>""</f>
        <v/>
      </c>
      <c r="X15" s="18" t="str">
        <f>IF(Y15="","",MAX($X$3:X14)+1)</f>
        <v/>
      </c>
      <c r="Y15" s="58" t="str">
        <f>""</f>
        <v/>
      </c>
      <c r="Z15" s="18">
        <f t="shared" si="109"/>
        <v>12</v>
      </c>
      <c r="AA15" s="18" t="str">
        <f t="shared" si="74"/>
        <v/>
      </c>
      <c r="AB15" s="18"/>
      <c r="AC15" s="18"/>
      <c r="AD15" s="18"/>
      <c r="AE15" s="59" t="s">
        <v>2400</v>
      </c>
      <c r="AF15" s="455" t="s">
        <v>2415</v>
      </c>
      <c r="AG15" s="740" t="s">
        <v>3519</v>
      </c>
      <c r="AH15" s="455" t="s">
        <v>2416</v>
      </c>
      <c r="AI15" s="287">
        <v>2</v>
      </c>
      <c r="AJ15" s="455" t="s">
        <v>2637</v>
      </c>
      <c r="AK15" s="267">
        <v>2</v>
      </c>
      <c r="AL15" s="455" t="s">
        <v>187</v>
      </c>
      <c r="AM15" s="17">
        <v>0</v>
      </c>
      <c r="AN15" s="18"/>
      <c r="AO15" s="18">
        <f t="shared" si="119"/>
        <v>14</v>
      </c>
      <c r="AP15" s="272" t="str">
        <f>SelectText</f>
        <v>Select…</v>
      </c>
      <c r="AQ15" s="59" t="str">
        <f>""</f>
        <v/>
      </c>
      <c r="AR15" s="272"/>
      <c r="AS15" s="385"/>
      <c r="AT15" s="272"/>
      <c r="AU15" s="385"/>
      <c r="AV15" s="272"/>
      <c r="AW15" s="385"/>
      <c r="AX15" s="385"/>
      <c r="BA15" s="272"/>
      <c r="BB15" s="385"/>
      <c r="BE15" s="18" t="str">
        <f>""</f>
        <v/>
      </c>
      <c r="BI15" s="392" t="s">
        <v>309</v>
      </c>
      <c r="BJ15" s="398">
        <v>10</v>
      </c>
      <c r="BK15" s="396" t="str">
        <f>IF(BL15=0,"",MAX($BK$6:BK14)+1)</f>
        <v/>
      </c>
      <c r="BL15" s="396">
        <f>COUNTIF(Start!$AF$20:$AF$39,Tables!BI15)</f>
        <v>0</v>
      </c>
      <c r="BM15" s="394" t="str">
        <f>IF(OR(BK15="",BO15=""),"",MAX($BM$6:BM14)+1)</f>
        <v/>
      </c>
      <c r="BN15" s="393" t="s">
        <v>309</v>
      </c>
      <c r="BO15" s="391" t="s">
        <v>42</v>
      </c>
      <c r="BP15" s="396" t="str">
        <f t="shared" si="120"/>
        <v/>
      </c>
      <c r="BQ15" s="745" t="s">
        <v>2728</v>
      </c>
      <c r="BR15" s="396">
        <v>3</v>
      </c>
      <c r="BS15" s="396"/>
      <c r="BT15" s="396"/>
      <c r="BU15" s="396"/>
      <c r="BV15" s="396">
        <v>10</v>
      </c>
      <c r="BW15" s="396">
        <v>0</v>
      </c>
      <c r="BX15" s="396">
        <v>0</v>
      </c>
      <c r="BY15" s="458" t="str">
        <f>""</f>
        <v/>
      </c>
      <c r="BZ15" s="397" t="s">
        <v>341</v>
      </c>
      <c r="CA15" s="397" t="s">
        <v>335</v>
      </c>
      <c r="CB15" s="397" t="s">
        <v>804</v>
      </c>
      <c r="CC15" s="393" t="s">
        <v>336</v>
      </c>
      <c r="CD15" s="397" t="s">
        <v>187</v>
      </c>
      <c r="CE15" s="396">
        <v>0</v>
      </c>
      <c r="CF15" s="397" t="s">
        <v>187</v>
      </c>
      <c r="CG15" s="396">
        <v>0</v>
      </c>
      <c r="CH15" s="397" t="s">
        <v>326</v>
      </c>
      <c r="CI15" s="397" t="s">
        <v>2729</v>
      </c>
      <c r="CJ15" s="396">
        <v>2</v>
      </c>
      <c r="CK15" s="397" t="s">
        <v>187</v>
      </c>
      <c r="CL15" s="396">
        <v>0</v>
      </c>
      <c r="CM15" s="393" t="str">
        <f>"• Divine Sense (60ft)
• Lay on Hands ("&amp;PaladinLevel*5&amp;" HP)
"</f>
        <v xml:space="preserve">• Divine Sense (60ft)
• Lay on Hands (0 HP)
</v>
      </c>
      <c r="CN15" s="393" t="e">
        <f ca="1">"• Spellcasting
• Divine Smite
   When you hit a creature with a melee weapon attack, you can expend one paladin spell slot to deal radiant damage to the target,
   in addition to the weapon’s damage. "&amp;"The extra damage is 2d8 for a 1st-level spell slot, plus 1d8 for each spell level higher than 1st,
   to a maximum of 5d8. The damage increases by 1d8 if the target is an undead or a fiend.
"&amp;"• Fighting Style ("&amp;VLOOKUP($BI15,$FZ$2:$GA$5,2,FALSE)&amp;")
"&amp;VLOOKUP(VLOOKUP($BI15,Tables!$FZ$2:$GA$5,2,FALSE),Tables!$FX$24:$FY$30,2,FALSE)&amp;"
"</f>
        <v>#N/A</v>
      </c>
      <c r="CO15" s="393" t="e">
        <f>"• Divine Health, Sacred Oath ("&amp;VLOOKUP($BI15,$BN$3:$BQ$5,4,FALSE)&amp;")
"&amp;VLOOKUP($BI15,$DM$3:$EH$5,DQ$2-1,FALSE)&amp;VLOOKUP($BI15,$DM$3:$EH$5,DQ$2-2,FALSE)</f>
        <v>#N/A</v>
      </c>
      <c r="CP15" s="393" t="str">
        <f>IF(PaladinLevel&gt;=DE$6,"• Ability Score Improvement / Feat: level "&amp;DE$6&amp;", "&amp;DB$6&amp;", "&amp;CX$6&amp;", "&amp;CT$6&amp;", "&amp;CP$6,IF(PaladinLevel&gt;=DB$6,"• Ability Score Improvement / Feat: level "&amp;DB$6&amp;", "&amp;CX$6&amp;", "&amp;CT$6&amp;", "&amp;CP$6,IF(PaladinLevel&gt;=CX$6,"• Ability Score Improvement / Feat: level "&amp;CX$6&amp;", "&amp;CT$6&amp;", "&amp;CP$6,IF(PaladinLevel&gt;=CT$6,"• Ability Score Improvement / Feat : level "&amp;CT$6&amp;", "&amp;CP$6,"• Ability Score Improvement / Feat: level "&amp;CP$6))))&amp;"
"</f>
        <v xml:space="preserve">• Ability Score Improvement / Feat: level 4
</v>
      </c>
      <c r="CQ15" s="393" t="str">
        <f>"• Extra Attack
"</f>
        <v xml:space="preserve">• Extra Attack
</v>
      </c>
      <c r="CR15" s="393" t="str">
        <f>"• Aura of Protection: "&amp;IF(PaladinLevel&gt;=18,"30ft", "10ft")&amp;", +"&amp;IF(CHAMod&lt;=0,1,CHAMod)&amp;" to saving throws
"</f>
        <v xml:space="preserve">• Aura of Protection: 10ft, +1 to saving throws
</v>
      </c>
      <c r="CS15" s="393" t="e">
        <f>VLOOKUP($BI15,$DM$3:$EH$5,DU$2-1,FALSE)</f>
        <v>#N/A</v>
      </c>
      <c r="CT15" s="393" t="str">
        <f>""</f>
        <v/>
      </c>
      <c r="CU15" s="393" t="str">
        <f>""</f>
        <v/>
      </c>
      <c r="CV15" s="393" t="str">
        <f>"• Aura of Courage: "&amp;IF(PaladinLevel&gt;=18,"30ft", "10ft")&amp;", can't be frightened
"</f>
        <v xml:space="preserve">• Aura of Courage: 10ft, can't be frightened
</v>
      </c>
      <c r="CW15" s="393" t="str">
        <f>"• Improved Divine Smite: melee weapon attacks deal an extra 1d8 radiant damage
"</f>
        <v xml:space="preserve">• Improved Divine Smite: melee weapon attacks deal an extra 1d8 radiant damage
</v>
      </c>
      <c r="CX15" s="393" t="str">
        <f>""</f>
        <v/>
      </c>
      <c r="CY15" s="393" t="str">
        <f>""</f>
        <v/>
      </c>
      <c r="CZ15" s="393" t="str">
        <f>"• Cleansing Touch
"</f>
        <v xml:space="preserve">• Cleansing Touch
</v>
      </c>
      <c r="DA15" s="393" t="e">
        <f>VLOOKUP($BI15,$DM$3:$EH$5,EC$2-1,FALSE)</f>
        <v>#N/A</v>
      </c>
      <c r="DB15" s="393" t="str">
        <f>""</f>
        <v/>
      </c>
      <c r="DC15" s="393" t="str">
        <f>""</f>
        <v/>
      </c>
      <c r="DD15" s="393" t="str">
        <f>"• Aura Improvements
"</f>
        <v xml:space="preserve">• Aura Improvements
</v>
      </c>
      <c r="DE15" s="393" t="str">
        <f>""</f>
        <v/>
      </c>
      <c r="DF15" s="393" t="e">
        <f>VLOOKUP($BI15,$DM$3:$EH$5,EH$2-1,FALSE)</f>
        <v>#N/A</v>
      </c>
      <c r="DL15" s="59" t="s">
        <v>792</v>
      </c>
      <c r="DM15" s="18" t="s">
        <v>288</v>
      </c>
      <c r="DN15" s="18">
        <f t="shared" ca="1" si="121"/>
        <v>0</v>
      </c>
      <c r="DO15" s="58" t="str">
        <f>""</f>
        <v/>
      </c>
      <c r="DP15" s="59" t="str">
        <f>""</f>
        <v/>
      </c>
      <c r="DQ15" s="58" t="str">
        <f>"• Martial Archetype Feature (Improved Critical 19-20)
"</f>
        <v xml:space="preserve">• Martial Archetype Feature (Improved Critical 19-20)
</v>
      </c>
      <c r="DR15" s="59" t="str">
        <f>""</f>
        <v/>
      </c>
      <c r="DS15" s="59" t="str">
        <f>""</f>
        <v/>
      </c>
      <c r="DT15" s="59" t="str">
        <f>""</f>
        <v/>
      </c>
      <c r="DU15" s="59" t="str">
        <f>"• Martial Archetype Feature (Remarkable Athlete)
"</f>
        <v xml:space="preserve">• Martial Archetype Feature (Remarkable Athlete)
</v>
      </c>
      <c r="DV15" s="59" t="str">
        <f>""</f>
        <v/>
      </c>
      <c r="DW15" s="59" t="str">
        <f>""</f>
        <v/>
      </c>
      <c r="DX15" s="59" t="e">
        <f ca="1">"• Martial Archetype Feature (Additional Fighting Style: "&amp;VLOOKUP($DL$15,$FZ$2:$GA$5,2,FALSE)&amp;")
"&amp;VLOOKUP(VLOOKUP($DL$15,$FZ$2:$GA$5,2,FALSE),FX24:FY30,2,FALSE)&amp;"
"</f>
        <v>#N/A</v>
      </c>
      <c r="DY15" s="59" t="str">
        <f>""</f>
        <v/>
      </c>
      <c r="DZ15" s="59" t="str">
        <f>""</f>
        <v/>
      </c>
      <c r="EA15" s="59" t="str">
        <f>""</f>
        <v/>
      </c>
      <c r="EB15" s="59" t="str">
        <f>""</f>
        <v/>
      </c>
      <c r="EC15" s="59" t="str">
        <f>"• Martial Archetype Feature (Superior Critical 18-20)
"</f>
        <v xml:space="preserve">• Martial Archetype Feature (Superior Critical 18-20)
</v>
      </c>
      <c r="ED15" s="59" t="str">
        <f>""</f>
        <v/>
      </c>
      <c r="EE15" s="59" t="str">
        <f>""</f>
        <v/>
      </c>
      <c r="EF15" s="59" t="str">
        <f>"• Martial Archetype Feature (Survivor)
"</f>
        <v xml:space="preserve">• Martial Archetype Feature (Survivor)
</v>
      </c>
      <c r="EG15" s="59" t="str">
        <f>""</f>
        <v/>
      </c>
      <c r="EH15" s="59" t="str">
        <f>""</f>
        <v/>
      </c>
      <c r="EI15" s="103" t="str">
        <f>""</f>
        <v/>
      </c>
      <c r="EJ15" s="103" t="str">
        <f>""</f>
        <v/>
      </c>
      <c r="EK15" s="103"/>
      <c r="EL15" s="103" t="str">
        <f>""</f>
        <v/>
      </c>
      <c r="EM15" s="103"/>
      <c r="EN15" s="103" t="str">
        <f>""</f>
        <v/>
      </c>
      <c r="EO15" s="103"/>
      <c r="EP15" s="103" t="str">
        <f>""</f>
        <v/>
      </c>
      <c r="EQ15" s="103"/>
      <c r="ER15" s="103" t="str">
        <f>""</f>
        <v/>
      </c>
      <c r="ES15" s="103"/>
      <c r="ET15" s="59" t="str">
        <f>""</f>
        <v/>
      </c>
      <c r="EU15" s="18" t="str">
        <f>""</f>
        <v/>
      </c>
      <c r="EV15" s="59" t="str">
        <f>""</f>
        <v/>
      </c>
      <c r="EW15" s="18" t="str">
        <f>""</f>
        <v/>
      </c>
      <c r="EX15" s="59" t="str">
        <f>""</f>
        <v/>
      </c>
      <c r="EY15" s="18" t="str">
        <f>""</f>
        <v/>
      </c>
      <c r="EZ15" s="18"/>
      <c r="FA15" s="18" t="str">
        <f>IF($DM15=FB$5,MAX(FA$6:FA14)+1,"")</f>
        <v/>
      </c>
      <c r="FB15" s="58" t="str">
        <f t="shared" si="122"/>
        <v/>
      </c>
      <c r="FC15" s="18">
        <v>10</v>
      </c>
      <c r="FD15" s="58" t="str">
        <f t="shared" si="112"/>
        <v/>
      </c>
      <c r="FE15" s="18" t="str">
        <f>IF($DM15=FF$5,MAX(FE$6:FE14)+1,"")</f>
        <v/>
      </c>
      <c r="FF15" s="58" t="str">
        <f t="shared" si="123"/>
        <v/>
      </c>
      <c r="FG15" s="18">
        <v>10</v>
      </c>
      <c r="FH15" s="58" t="str">
        <f t="shared" si="113"/>
        <v/>
      </c>
      <c r="FI15" s="18" t="str">
        <f>IF($DM15=FJ$5,MAX(FI$6:FI14)+1,"")</f>
        <v/>
      </c>
      <c r="FJ15" s="58" t="str">
        <f t="shared" si="124"/>
        <v/>
      </c>
      <c r="FK15" s="18">
        <v>10</v>
      </c>
      <c r="FL15" s="58" t="str">
        <f t="shared" si="114"/>
        <v/>
      </c>
      <c r="FM15" s="58" t="s">
        <v>1836</v>
      </c>
      <c r="FN15" s="59">
        <f>Start!X67</f>
        <v>0</v>
      </c>
      <c r="FO15" s="18" t="str">
        <f>IF($FM15=$FP15,MAX(FO$3:FO14)+1,"")</f>
        <v/>
      </c>
      <c r="FP15" s="59" t="str">
        <f t="shared" si="101"/>
        <v/>
      </c>
      <c r="FQ15" s="18">
        <f t="shared" si="102"/>
        <v>13</v>
      </c>
      <c r="FR15" s="59" t="str">
        <f t="shared" si="75"/>
        <v/>
      </c>
      <c r="FS15" s="18"/>
      <c r="FT15" s="18"/>
      <c r="FU15" s="18"/>
      <c r="FV15" s="18"/>
      <c r="GB15" s="59" t="s">
        <v>3427</v>
      </c>
      <c r="GC15" s="142" t="s">
        <v>3503</v>
      </c>
      <c r="GD15" s="142"/>
      <c r="GE15" s="59">
        <v>15</v>
      </c>
      <c r="GK15" s="18"/>
      <c r="GL15" s="18"/>
      <c r="GM15" s="18"/>
      <c r="GN15" s="18"/>
      <c r="GO15" s="18"/>
      <c r="GP15" s="18"/>
      <c r="GQ15" s="59" t="s">
        <v>2805</v>
      </c>
      <c r="GR15" s="59" t="s">
        <v>3497</v>
      </c>
      <c r="GS15" s="18">
        <v>3</v>
      </c>
      <c r="GT15" s="18">
        <v>2</v>
      </c>
      <c r="GU15" s="18" t="str">
        <f ca="1">IF(GV15="","",MAX($GU$3:GU14)+1)</f>
        <v/>
      </c>
      <c r="GV15" s="59" t="str">
        <f t="shared" ca="1" si="76"/>
        <v/>
      </c>
      <c r="GW15" s="18">
        <f t="shared" si="103"/>
        <v>13</v>
      </c>
      <c r="GX15" s="59" t="str">
        <f t="shared" ca="1" si="44"/>
        <v/>
      </c>
      <c r="GY15" s="59"/>
      <c r="HK15" s="58" t="s">
        <v>2903</v>
      </c>
      <c r="HL15" s="59" t="str">
        <f>""</f>
        <v/>
      </c>
      <c r="HM15" s="58" t="s">
        <v>2917</v>
      </c>
      <c r="HX15" s="59" t="str">
        <f>SelectText</f>
        <v>Select…</v>
      </c>
      <c r="IH15" s="18">
        <f>IF(IJ15=1,MAX($IH$2:IH14)+1,"")</f>
        <v>6</v>
      </c>
      <c r="II15" s="58" t="s">
        <v>3305</v>
      </c>
      <c r="IJ15" s="59">
        <f>1</f>
        <v>1</v>
      </c>
      <c r="IK15" s="58" t="s">
        <v>3351</v>
      </c>
      <c r="IL15" s="18">
        <f t="shared" si="105"/>
        <v>13</v>
      </c>
      <c r="IM15" s="59" t="str">
        <f t="shared" si="77"/>
        <v/>
      </c>
      <c r="IN15" s="59"/>
      <c r="IO15" s="59"/>
      <c r="IP15" s="59"/>
      <c r="IQ15" s="59"/>
      <c r="IR15" s="59"/>
      <c r="IS15" s="59"/>
      <c r="IT15" s="59"/>
      <c r="IU15" s="59"/>
      <c r="IV15" s="18"/>
      <c r="IX15" s="59" t="s">
        <v>1481</v>
      </c>
      <c r="IY15" s="59" t="s">
        <v>941</v>
      </c>
      <c r="IZ15" s="59" t="s">
        <v>198</v>
      </c>
      <c r="JA15" s="59" t="s">
        <v>898</v>
      </c>
      <c r="JB15" s="59" t="s">
        <v>899</v>
      </c>
      <c r="JC15" s="18">
        <f>IF(JD15="","",MAX($JC$1:JC14)+1)</f>
        <v>12</v>
      </c>
      <c r="JD15" s="58" t="s">
        <v>271</v>
      </c>
      <c r="JE15" s="209" t="s">
        <v>140</v>
      </c>
      <c r="JF15" s="18">
        <v>14</v>
      </c>
      <c r="JG15" s="59" t="str">
        <f t="shared" si="27"/>
        <v>Infernal</v>
      </c>
      <c r="JH15" s="18">
        <v>14</v>
      </c>
      <c r="JI15" s="60">
        <v>140000</v>
      </c>
      <c r="JJ15" s="18">
        <v>14</v>
      </c>
      <c r="JK15" s="18">
        <v>5</v>
      </c>
      <c r="JL15" s="18"/>
      <c r="JM15" s="18">
        <v>13</v>
      </c>
      <c r="JN15" s="80">
        <f t="shared" ca="1" si="127"/>
        <v>4</v>
      </c>
      <c r="JO15" s="80">
        <f t="shared" ca="1" si="127"/>
        <v>3</v>
      </c>
      <c r="JP15" s="80">
        <f t="shared" ca="1" si="127"/>
        <v>3</v>
      </c>
      <c r="JQ15" s="80">
        <f t="shared" ca="1" si="127"/>
        <v>3</v>
      </c>
      <c r="JR15" s="80">
        <f t="shared" ca="1" si="127"/>
        <v>2</v>
      </c>
      <c r="JS15" s="80">
        <f t="shared" ca="1" si="127"/>
        <v>1</v>
      </c>
      <c r="JT15" s="80">
        <f t="shared" ca="1" si="127"/>
        <v>1</v>
      </c>
      <c r="JU15" s="80" t="str">
        <f t="shared" ca="1" si="127"/>
        <v>-</v>
      </c>
      <c r="JV15" s="80" t="str">
        <f t="shared" ca="1" si="127"/>
        <v>-</v>
      </c>
      <c r="JW15" s="80">
        <f t="shared" ca="1" si="127"/>
        <v>7</v>
      </c>
      <c r="JX15" s="98"/>
      <c r="KD15" s="18">
        <v>13</v>
      </c>
      <c r="KE15" s="302">
        <v>9</v>
      </c>
      <c r="KF15" s="302">
        <v>16</v>
      </c>
      <c r="KG15" s="302">
        <v>9</v>
      </c>
      <c r="KH15" s="302">
        <v>8</v>
      </c>
      <c r="KI15" s="302">
        <v>13</v>
      </c>
      <c r="KJ15" s="302">
        <v>12</v>
      </c>
      <c r="KK15" s="18">
        <v>13</v>
      </c>
      <c r="KL15" s="98">
        <v>5</v>
      </c>
      <c r="KM15" s="98">
        <v>5</v>
      </c>
      <c r="KN15" s="98">
        <v>3</v>
      </c>
      <c r="KO15" s="98">
        <v>4</v>
      </c>
      <c r="KP15" s="98">
        <v>4</v>
      </c>
      <c r="KQ15" s="98">
        <v>6</v>
      </c>
      <c r="KR15" s="80">
        <v>4</v>
      </c>
      <c r="KS15" s="73"/>
      <c r="KT15" s="93" t="s">
        <v>1523</v>
      </c>
      <c r="KU15" s="80" t="str">
        <f t="shared" si="128"/>
        <v>No</v>
      </c>
      <c r="KV15" s="89" t="s">
        <v>333</v>
      </c>
      <c r="KW15" s="270"/>
      <c r="KX15" s="270"/>
      <c r="KY15" s="270"/>
      <c r="KZ15" s="270"/>
      <c r="LA15" s="270"/>
      <c r="LB15" s="92"/>
      <c r="LC15" s="270"/>
      <c r="LD15" s="270"/>
      <c r="LE15" s="270"/>
      <c r="LF15" s="455"/>
      <c r="LG15" s="270"/>
      <c r="LH15" s="270"/>
      <c r="LI15" s="270"/>
      <c r="LJ15" s="270"/>
      <c r="LK15" s="270"/>
      <c r="LL15" s="406"/>
      <c r="LM15" s="455"/>
      <c r="LN15" s="270"/>
      <c r="LO15" s="270"/>
      <c r="LP15" s="270"/>
      <c r="LQ15" s="92"/>
      <c r="LR15" s="270"/>
      <c r="LS15" s="270"/>
      <c r="LT15" s="92"/>
      <c r="LU15" s="92"/>
      <c r="LV15" s="270"/>
      <c r="LW15" s="270"/>
      <c r="LX15" s="270"/>
      <c r="LY15" s="92"/>
      <c r="LZ15" s="92"/>
      <c r="MA15" s="92"/>
      <c r="MB15" s="92"/>
      <c r="MC15" s="92"/>
      <c r="MD15" s="92"/>
      <c r="ME15" s="92"/>
      <c r="MF15" s="92"/>
      <c r="MG15" s="92"/>
      <c r="MH15" s="92"/>
      <c r="MI15" s="92"/>
      <c r="MJ15" s="92"/>
      <c r="MK15" s="92"/>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438"/>
      <c r="NQ15" s="94"/>
      <c r="NR15" s="94"/>
      <c r="NS15" s="94"/>
      <c r="NT15" s="94"/>
      <c r="NU15" s="94"/>
      <c r="NV15" s="456"/>
      <c r="NW15" s="456"/>
      <c r="NX15" s="456"/>
      <c r="NY15" s="456"/>
      <c r="NZ15" s="456"/>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t="str">
        <f>IF(COUNTIF(Start!$AX$59:$BF$68,Tables!KT15)&gt;0,Tables!KT15,"")</f>
        <v/>
      </c>
      <c r="PT15" s="94"/>
      <c r="PU15" s="59" t="str">
        <f t="shared" si="129"/>
        <v/>
      </c>
      <c r="PV15" s="59" t="str">
        <f>IF(PU15="","",IF(COUNTIF(PU15:$PU$57,"&gt;&lt;")&gt;1,PU15&amp;", ", PU15))</f>
        <v/>
      </c>
      <c r="PW15" s="59"/>
      <c r="PX15" s="59"/>
      <c r="PY15" s="18"/>
      <c r="PZ15" s="19" t="s">
        <v>115</v>
      </c>
      <c r="QA15" s="19" t="s">
        <v>129</v>
      </c>
      <c r="QB15" s="27" t="str">
        <f t="shared" ca="1" si="79"/>
        <v>not proficient</v>
      </c>
      <c r="QC15" s="67" t="s">
        <v>130</v>
      </c>
      <c r="QD15" s="19" t="s">
        <v>134</v>
      </c>
      <c r="QE15" s="26" t="s">
        <v>140</v>
      </c>
      <c r="QF15" s="26">
        <v>7</v>
      </c>
      <c r="QG15" s="26" t="str">
        <f>""</f>
        <v/>
      </c>
      <c r="QH15" s="26" t="str">
        <f>""</f>
        <v/>
      </c>
      <c r="QI15" s="26" t="s">
        <v>137</v>
      </c>
      <c r="QJ15" s="26" t="str">
        <f>""</f>
        <v/>
      </c>
      <c r="QK15" s="26" t="str">
        <f>""</f>
        <v/>
      </c>
      <c r="QL15" s="26" t="str">
        <f>""</f>
        <v/>
      </c>
      <c r="QM15" s="26" t="str">
        <f>""</f>
        <v/>
      </c>
      <c r="QN15" s="26" t="str">
        <f>""</f>
        <v/>
      </c>
      <c r="QO15" s="26" t="s">
        <v>147</v>
      </c>
      <c r="QP15" s="26" t="str">
        <f>""</f>
        <v/>
      </c>
      <c r="QQ15" s="27" t="str">
        <f>""</f>
        <v/>
      </c>
      <c r="QR15" s="27" t="str">
        <f>""</f>
        <v/>
      </c>
      <c r="QT15" s="733">
        <f t="shared" si="46"/>
        <v>15</v>
      </c>
      <c r="QU15" s="727" t="s">
        <v>93</v>
      </c>
      <c r="QV15" s="727"/>
      <c r="QW15" s="727"/>
      <c r="QX15" s="727"/>
      <c r="QY15" s="727"/>
      <c r="QZ15" s="727" t="str">
        <f>VLOOKUP(Start!AV$137,Tables!$PZ$2:$QQ$500,$QT15,FALSE)</f>
        <v/>
      </c>
      <c r="RA15" s="727"/>
      <c r="RB15" s="729"/>
      <c r="RC15" s="727"/>
      <c r="RD15" s="727"/>
      <c r="RE15" s="727"/>
      <c r="RF15" s="727"/>
      <c r="RG15" s="727"/>
      <c r="RH15" s="727" t="str">
        <f>VLOOKUP(Start!BD$137,Tables!$PZ$2:$QQ$500,$QT15,FALSE)</f>
        <v/>
      </c>
      <c r="RI15" s="727"/>
      <c r="RJ15" s="727"/>
      <c r="RK15" s="727"/>
      <c r="RL15" s="727"/>
      <c r="RM15" s="727"/>
      <c r="RN15" s="729"/>
      <c r="RO15" s="729"/>
      <c r="RP15" s="727" t="str">
        <f>VLOOKUP(Start!BL$137,Tables!$PZ$2:$QQ$500,$QT15,FALSE)</f>
        <v/>
      </c>
      <c r="RQ15" s="729"/>
      <c r="RR15" s="729"/>
      <c r="RS15" s="729"/>
      <c r="RT15" s="729"/>
      <c r="RU15" s="729"/>
      <c r="RV15" s="729"/>
      <c r="RW15" s="729"/>
      <c r="RX15" s="727" t="str">
        <f>VLOOKUP(Start!BT$137,Tables!$PZ$2:$QQ$500,$QT15,FALSE)</f>
        <v/>
      </c>
      <c r="RY15" s="729"/>
      <c r="RZ15" s="729"/>
      <c r="SA15" s="729"/>
      <c r="SB15" s="729"/>
      <c r="SC15" s="729"/>
      <c r="SD15" s="729"/>
      <c r="SE15" s="729"/>
      <c r="SF15" s="727" t="str">
        <f>VLOOKUP(Start!CB$137,Tables!$PZ$2:$QQ$500,$QT15,FALSE)</f>
        <v/>
      </c>
      <c r="SG15" s="729"/>
      <c r="SH15" s="729"/>
      <c r="SI15" s="729"/>
      <c r="SJ15" s="729"/>
      <c r="SK15" s="729"/>
      <c r="SL15" s="729"/>
      <c r="SM15" s="634"/>
      <c r="SN15" s="727" t="str">
        <f>VLOOKUP(Start!CJ$137,Tables!$PZ$2:$QQ$500,$QT15,FALSE)</f>
        <v/>
      </c>
      <c r="SO15" s="729"/>
      <c r="SP15" s="729"/>
      <c r="SQ15" s="634"/>
      <c r="SR15" s="19" t="s">
        <v>250</v>
      </c>
      <c r="SS15" s="19" t="s">
        <v>137</v>
      </c>
      <c r="ST15" s="26" t="str">
        <f ca="1">IF(SR15="","",IF(Start!$Y$157=$QS$12,$QS$12&amp;" (disadvantage)",IF(Start!$Y$157=$QS$11,$QS$11,IF(VLOOKUP(SR15,$KT$60:$KV$78,2,FALSE)="No",$QS$12&amp;" (disadvantage)",$QS$11))))</f>
        <v>not proficient (disadvantage)</v>
      </c>
      <c r="SU15" s="68">
        <v>17</v>
      </c>
      <c r="SV15" s="44">
        <v>0</v>
      </c>
      <c r="SW15" s="231">
        <v>15</v>
      </c>
      <c r="SX15" s="45" t="s">
        <v>249</v>
      </c>
      <c r="SY15" s="27">
        <v>60</v>
      </c>
      <c r="SZ15" s="26" t="str">
        <f ca="1">ST15&amp;", Don: 10min, Doff: 5min"</f>
        <v>not proficient (disadvantage), Don: 10min, Doff: 5min</v>
      </c>
      <c r="TA15" s="19"/>
      <c r="TB15" s="19"/>
      <c r="TC15" s="19"/>
      <c r="TD15" s="44"/>
      <c r="TE15" s="26"/>
      <c r="TF15" s="231"/>
      <c r="TG15" s="26"/>
      <c r="TH15" s="27"/>
      <c r="TI15" s="27"/>
      <c r="TJ15" s="18">
        <f t="shared" si="115"/>
        <v>13</v>
      </c>
      <c r="TK15" s="58" t="s">
        <v>510</v>
      </c>
      <c r="TL15" s="58" t="s">
        <v>461</v>
      </c>
      <c r="TM15" s="18">
        <v>4</v>
      </c>
      <c r="TN15" s="59" t="str">
        <f t="shared" si="47"/>
        <v xml:space="preserve">Arcane Eye </v>
      </c>
      <c r="TO15" s="18" t="str">
        <f>""</f>
        <v/>
      </c>
      <c r="TP15" s="18" t="str">
        <f t="shared" si="48"/>
        <v/>
      </c>
      <c r="TQ15" s="18" t="str">
        <f>IF(OR(TK15=Spellcasting!$AC$18,TK15=Spellcasting!$AC$19),"ᵐ","")</f>
        <v/>
      </c>
      <c r="TR15" s="18" t="str">
        <f>IF(OR(TK15=Spellcasting!$AC$20,TK15=Spellcasting!$AC$21),"ˢ","")</f>
        <v/>
      </c>
      <c r="TS15" s="18" t="str">
        <f>""</f>
        <v/>
      </c>
      <c r="TT15" s="18" t="s">
        <v>484</v>
      </c>
      <c r="TU15" s="18" t="s">
        <v>851</v>
      </c>
      <c r="TV15" s="18" t="s">
        <v>490</v>
      </c>
      <c r="TW15" s="18" t="s">
        <v>495</v>
      </c>
      <c r="TX15" s="59" t="s">
        <v>855</v>
      </c>
      <c r="TY15" s="18" t="s">
        <v>511</v>
      </c>
      <c r="TZ15" s="18" t="s">
        <v>512</v>
      </c>
      <c r="UA15" s="142" t="s">
        <v>1293</v>
      </c>
      <c r="UB15" s="319" t="s">
        <v>3133</v>
      </c>
      <c r="UL15" s="18" t="str">
        <f ca="1">IF(UL$1&gt;=$TM15,1,"0")</f>
        <v>0</v>
      </c>
      <c r="UY15" s="18" t="str">
        <f>IF(UY$1&gt;=$TM15,1,"0")</f>
        <v>0</v>
      </c>
      <c r="WD15" s="18" t="str">
        <f ca="1">IF(SUM($VZ$1:$WC$1)&gt;0,IF(AND(SUM($VZ15:$WC15)&gt;0,$TM15=WE$1),MAX(WD$2:WD14)+1,""),IF(AND(SUM($UC15:$VY15)&gt;0,$TM15=WE$1),MAX(WD$2:WD14)+1,""))</f>
        <v/>
      </c>
      <c r="WE15" s="59" t="str">
        <f t="shared" ca="1" si="80"/>
        <v/>
      </c>
      <c r="WF15" s="18" t="str">
        <f ca="1">IF(AND(SUM($UB15:$VY15)&gt;0,$TM15=WG$1),MAX(WF$2:WF14)+1,"")</f>
        <v/>
      </c>
      <c r="WG15" s="59" t="str">
        <f t="shared" ca="1" si="81"/>
        <v/>
      </c>
      <c r="WH15" s="18" t="str">
        <f ca="1">IF(AND(SUM($UB15:$VY15)&gt;0,$TM15=WI$1),MAX(WH$2:WH14)+1,"")</f>
        <v/>
      </c>
      <c r="WI15" s="59" t="str">
        <f t="shared" ca="1" si="82"/>
        <v/>
      </c>
      <c r="WJ15" s="18" t="str">
        <f ca="1">IF(AND(SUM($UB15:$VY15)&gt;0,$TM15=WK$1),MAX(WJ$2:WJ14)+1,"")</f>
        <v/>
      </c>
      <c r="WK15" s="59" t="str">
        <f t="shared" ca="1" si="83"/>
        <v/>
      </c>
      <c r="WL15" s="18" t="str">
        <f ca="1">IF(AND(SUM($UB15:$VY15)&gt;0,$TM15=WM$1),MAX(WL$2:WL14)+1,"")</f>
        <v/>
      </c>
      <c r="WM15" s="59" t="str">
        <f t="shared" ca="1" si="84"/>
        <v/>
      </c>
      <c r="WN15" s="18" t="str">
        <f ca="1">IF(AND(SUM($UB15:$VY15)&gt;0,$TM15=WO$1),MAX(WN$2:WN14)+1,"")</f>
        <v/>
      </c>
      <c r="WO15" s="59" t="str">
        <f t="shared" ca="1" si="85"/>
        <v/>
      </c>
      <c r="WP15" s="18" t="str">
        <f ca="1">IF(AND(SUM($UB15:$VY15)&gt;0,$TM15=WQ$1),MAX(WP$2:WP14)+1,"")</f>
        <v/>
      </c>
      <c r="WQ15" s="59" t="str">
        <f t="shared" ca="1" si="86"/>
        <v/>
      </c>
      <c r="WR15" s="18" t="str">
        <f ca="1">IF(AND(SUM($UB15:$VY15)&gt;0,$TM15=WS$1),MAX(WR$2:WR14)+1,"")</f>
        <v/>
      </c>
      <c r="WS15" s="59" t="str">
        <f t="shared" ca="1" si="87"/>
        <v/>
      </c>
      <c r="WT15" s="18" t="str">
        <f ca="1">IF(AND(SUM($UB15:$VY15)&gt;0,$TM15=WU$1),MAX(WT$2:WT14)+1,"")</f>
        <v/>
      </c>
      <c r="WU15" s="59" t="str">
        <f t="shared" ca="1" si="88"/>
        <v/>
      </c>
      <c r="WV15" s="18" t="str">
        <f ca="1">IF(AND(SUM($UB15:$VY15)&gt;0,$TM15=WW$1),MAX(WV$2:WV14)+1,"")</f>
        <v/>
      </c>
      <c r="WW15" s="59" t="str">
        <f t="shared" ca="1" si="89"/>
        <v/>
      </c>
      <c r="WX15" s="18" t="str">
        <f ca="1">IF(AND(SUM($UB15:$VY15)&gt;0,$TM15=WY$1),MAX(WX$2:WX14)+1,"")</f>
        <v/>
      </c>
      <c r="WY15" s="59" t="str">
        <f t="shared" ca="1" si="90"/>
        <v/>
      </c>
      <c r="WZ15" s="18">
        <v>14</v>
      </c>
      <c r="XA15" s="59" t="str">
        <f t="shared" ca="1" si="91"/>
        <v/>
      </c>
      <c r="XB15" s="59" t="str">
        <f t="shared" ca="1" si="28"/>
        <v/>
      </c>
      <c r="XC15" s="59" t="str">
        <f t="shared" ca="1" si="29"/>
        <v/>
      </c>
      <c r="XD15" s="59" t="str">
        <f t="shared" ca="1" si="60"/>
        <v/>
      </c>
      <c r="XE15" s="59" t="str">
        <f t="shared" ca="1" si="61"/>
        <v/>
      </c>
      <c r="XF15" s="59" t="str">
        <f t="shared" ca="1" si="62"/>
        <v/>
      </c>
      <c r="XG15" s="59" t="str">
        <f t="shared" ca="1" si="63"/>
        <v/>
      </c>
      <c r="XH15" s="59" t="str">
        <f t="shared" ca="1" si="64"/>
        <v/>
      </c>
      <c r="XI15" s="59" t="str">
        <f t="shared" ca="1" si="65"/>
        <v/>
      </c>
      <c r="XJ15" s="59" t="str">
        <f t="shared" ca="1" si="66"/>
        <v/>
      </c>
      <c r="XK15" s="59" t="str">
        <f t="shared" ca="1" si="67"/>
        <v/>
      </c>
      <c r="XL15" s="59"/>
      <c r="XM15" s="18">
        <f t="shared" si="116"/>
        <v>11</v>
      </c>
      <c r="XN15" s="142" t="str">
        <f t="shared" ref="XN15:YC24" ca="1" si="130">IF(ISERROR(VLOOKUP($XM15,$XM$27:$YC$58,XN$3+1,FALSE)),"",VLOOKUP($XM15,$XM$27:$YC$58,XN$3+1,FALSE))</f>
        <v>Rat</v>
      </c>
      <c r="XO15" s="142" t="str">
        <f t="shared" ca="1" si="130"/>
        <v>Beast</v>
      </c>
      <c r="XP15" s="249" t="str">
        <f t="shared" ca="1" si="130"/>
        <v>Tiny</v>
      </c>
      <c r="XQ15" s="249">
        <f t="shared" ca="1" si="130"/>
        <v>10</v>
      </c>
      <c r="XR15" s="249">
        <f t="shared" ca="1" si="130"/>
        <v>1</v>
      </c>
      <c r="XS15" s="142" t="str">
        <f t="shared" ca="1" si="130"/>
        <v>20 ft</v>
      </c>
      <c r="XT15" s="249">
        <f t="shared" ca="1" si="130"/>
        <v>2</v>
      </c>
      <c r="XU15" s="249">
        <f t="shared" ca="1" si="130"/>
        <v>11</v>
      </c>
      <c r="XV15" s="249">
        <f t="shared" ca="1" si="130"/>
        <v>9</v>
      </c>
      <c r="XW15" s="249">
        <f t="shared" ca="1" si="130"/>
        <v>2</v>
      </c>
      <c r="XX15" s="249">
        <f t="shared" ca="1" si="130"/>
        <v>10</v>
      </c>
      <c r="XY15" s="249">
        <f t="shared" ca="1" si="130"/>
        <v>4</v>
      </c>
      <c r="XZ15" s="142" t="str">
        <f t="shared" ca="1" si="130"/>
        <v>none</v>
      </c>
      <c r="YA15" s="142" t="str">
        <f t="shared" ca="1" si="130"/>
        <v>passive Perception 10, darkvision 30 ft</v>
      </c>
      <c r="YB15" s="142" t="str">
        <f t="shared" ca="1" si="130"/>
        <v>Bite melee +0, reach 5ft, 1 piercing</v>
      </c>
      <c r="YC15" s="142" t="str">
        <f t="shared" ca="1" si="130"/>
        <v>Keen Smell. Advantage on Wisdom (Perception) checks that rely on smell</v>
      </c>
      <c r="YG15" s="59" t="s">
        <v>753</v>
      </c>
      <c r="YH15" s="59" t="s">
        <v>187</v>
      </c>
      <c r="YI15" s="142" t="s">
        <v>2351</v>
      </c>
      <c r="YJ15" s="215" t="s">
        <v>3434</v>
      </c>
      <c r="YK15" s="215" t="str">
        <f>""</f>
        <v/>
      </c>
      <c r="YL15" s="249" t="str">
        <f>""</f>
        <v/>
      </c>
      <c r="YM15" s="249" t="str">
        <f>""</f>
        <v/>
      </c>
      <c r="YN15" s="249" t="str">
        <f>""</f>
        <v/>
      </c>
      <c r="YO15" s="249"/>
      <c r="YP15" s="249"/>
      <c r="YQ15" s="215"/>
      <c r="YT15" s="18" t="s">
        <v>226</v>
      </c>
      <c r="YU15" s="18">
        <v>12</v>
      </c>
      <c r="YV15" s="18" t="str">
        <f ca="1">VLOOKUP(YY15,$ZF$2:$ZP$23,$ZF$1,FALSE)</f>
        <v/>
      </c>
      <c r="YW15" s="18" t="str">
        <f ca="1">IF(YX15="","",MAX($YW$1:YW14)+1)</f>
        <v/>
      </c>
      <c r="YX15" s="59" t="str">
        <f t="shared" ca="1" si="71"/>
        <v/>
      </c>
      <c r="YY15" s="18" t="str">
        <f t="shared" ca="1" si="72"/>
        <v/>
      </c>
      <c r="YZ15" s="18">
        <f t="shared" si="117"/>
        <v>12</v>
      </c>
      <c r="ZA15" s="18" t="str">
        <f ca="1">IF(ZB15="","",MAX($ZA$2:ZA14)+1)</f>
        <v/>
      </c>
      <c r="ZB15" s="18" t="str">
        <f t="shared" ca="1" si="98"/>
        <v/>
      </c>
      <c r="ZC15" s="18" t="str">
        <f>IF(Start!AF31=SelectText,"",Start!AF31)</f>
        <v/>
      </c>
      <c r="ZD15" s="18" t="str">
        <f>IF(OR(COUNTIF($ZC$4:$ZC15,ZD$2)=0,COUNTIF($ZC$4:$ZC15,ZD$2)=MAX(ZD$2:ZD14)),"-",COUNTIF($ZC$4:$ZC15,ZD$2))</f>
        <v>-</v>
      </c>
      <c r="ZE15" s="18" t="str">
        <f>IF(OR(COUNTIF($ZC$4:$ZC15,ZE$2)=0,COUNTIF($ZC$4:$ZC15,ZE$2)=MAX(ZE$2:ZE14)),"-",COUNTIF($ZC$4:$ZC15,ZE$2))</f>
        <v>-</v>
      </c>
      <c r="ZF15" s="18" t="str">
        <f>IF(OR(COUNTIF($ZC$4:$ZC15,ZF$2)=0,COUNTIF($ZC$4:$ZC15,ZF$2)=MAX(ZF$2:ZF14)),"-",COUNTIF($ZC$4:$ZC15,ZF$2))</f>
        <v>-</v>
      </c>
      <c r="ZG15" s="18" t="str">
        <f>IF(OR(COUNTIF($ZC$4:$ZC15,ZG$2)=0,COUNTIF($ZC$4:$ZC15,ZG$2)=MAX(ZG$2:ZG14)),"-",COUNTIF($ZC$4:$ZC15,ZG$2))</f>
        <v>-</v>
      </c>
      <c r="ZH15" s="18" t="str">
        <f>IF(OR(COUNTIF($ZC$4:$ZC15,ZH$2)=0,COUNTIF($ZC$4:$ZC15,ZH$2)=MAX(ZH$2:ZH14)),"-",COUNTIF($ZC$4:$ZC15,ZH$2))</f>
        <v>-</v>
      </c>
      <c r="ZI15" s="18" t="str">
        <f>IF(OR(COUNTIF($ZC$4:$ZC15,ZI$2)=0,COUNTIF($ZC$4:$ZC15,ZI$2)=MAX(ZI$2:ZI14)),"-",COUNTIF($ZC$4:$ZC15,ZI$2))</f>
        <v>-</v>
      </c>
      <c r="ZJ15" s="18" t="str">
        <f>IF(OR(COUNTIF($ZC$4:$ZC15,ZJ$2)=0,COUNTIF($ZC$4:$ZC15,ZJ$2)=MAX(ZJ$2:ZJ14)),"-",COUNTIF($ZC$4:$ZC15,ZJ$2))</f>
        <v>-</v>
      </c>
      <c r="ZK15" s="18" t="str">
        <f>IF(OR(COUNTIF($ZC$4:$ZC15,ZK$2)=0,COUNTIF($ZC$4:$ZC15,ZK$2)=MAX(ZK$2:ZK14)),"-",COUNTIF($ZC$4:$ZC15,ZK$2))</f>
        <v>-</v>
      </c>
      <c r="ZL15" s="18" t="str">
        <f>IF(OR(COUNTIF($ZC$4:$ZC15,ZL$2)=0,COUNTIF($ZC$4:$ZC15,ZL$2)=MAX(ZL$2:ZL14)),"-",COUNTIF($ZC$4:$ZC15,ZL$2))</f>
        <v>-</v>
      </c>
      <c r="ZM15" s="18" t="str">
        <f>IF(OR(COUNTIF($ZC$4:$ZC15,ZM$2)=0,COUNTIF($ZC$4:$ZC15,ZM$2)=MAX(ZM$2:ZM14)),"-",COUNTIF($ZC$4:$ZC15,ZM$2))</f>
        <v>-</v>
      </c>
      <c r="ZN15" s="18" t="str">
        <f>IF(OR(COUNTIF($ZC$4:$ZC15,ZN$2)=0,COUNTIF($ZC$4:$ZC15,ZN$2)=MAX(ZN$2:ZN14)),"-",COUNTIF($ZC$4:$ZC15,ZN$2))</f>
        <v>-</v>
      </c>
      <c r="ZO15" s="18" t="str">
        <f>IF(OR(COUNTIF($ZC$4:$ZC15,ZO$2)=0,COUNTIF($ZC$4:$ZC15,ZO$2)=MAX(ZO$2:ZO14)),"-",COUNTIF($ZC$4:$ZC15,ZO$2))</f>
        <v>-</v>
      </c>
      <c r="ZP15" s="18">
        <f t="shared" si="118"/>
        <v>12</v>
      </c>
    </row>
    <row r="16" spans="1:718" ht="9.9499999999999993" customHeight="1" x14ac:dyDescent="0.25">
      <c r="A16" s="338"/>
      <c r="B16" s="338"/>
      <c r="C16" s="338"/>
      <c r="D16" s="338"/>
      <c r="E16" s="342"/>
      <c r="F16" s="339"/>
      <c r="G16" s="339"/>
      <c r="H16" s="59"/>
      <c r="I16" s="59"/>
      <c r="J16" s="59"/>
      <c r="K16" s="18"/>
      <c r="L16" s="64" t="str">
        <f>""</f>
        <v/>
      </c>
      <c r="M16" s="64" t="str">
        <f>""</f>
        <v/>
      </c>
      <c r="N16" s="64" t="str">
        <f>""</f>
        <v/>
      </c>
      <c r="O16" s="64" t="str">
        <f>""</f>
        <v/>
      </c>
      <c r="P16" s="64" t="str">
        <f>""</f>
        <v/>
      </c>
      <c r="Q16" s="64" t="str">
        <f>""</f>
        <v/>
      </c>
      <c r="R16" s="64"/>
      <c r="S16" s="64"/>
      <c r="T16" s="64"/>
      <c r="U16" s="404" t="s">
        <v>2699</v>
      </c>
      <c r="V16" s="399" t="str">
        <f>"• Damage Type: Acid
• Breath Weapon: 5 by 30 ft. line. DC "&amp;8+IF(CONMod="",0,CONMod)+IF(ProfBonus="",0,ProfBonus)&amp;" Dex save for "&amp;IF(CharacterLevel&lt;6,"2d6",IF(CharacterLevel&lt;11,"3d6",IF(CharacterLevel&lt;15,"4d6", "5d6")))&amp;" on failed save, half on success."</f>
        <v>• Damage Type: Acid
• Breath Weapon: 5 by 30 ft. line. DC 5 Dex save for 2d6 on failed save, half on success.</v>
      </c>
      <c r="W16" s="399" t="s">
        <v>2711</v>
      </c>
      <c r="X16" s="18" t="str">
        <f>IF(Y16="","",MAX($X$3:X15)+1)</f>
        <v/>
      </c>
      <c r="Y16" s="58" t="str">
        <f t="shared" ref="Y16:Y25" si="131">IF(A$9=$A$3,U16,"")</f>
        <v/>
      </c>
      <c r="Z16" s="18">
        <f t="shared" si="109"/>
        <v>13</v>
      </c>
      <c r="AA16" s="18" t="str">
        <f t="shared" si="74"/>
        <v/>
      </c>
      <c r="AE16" s="59" t="s">
        <v>305</v>
      </c>
      <c r="AF16" s="455" t="s">
        <v>307</v>
      </c>
      <c r="AG16" s="740" t="s">
        <v>3520</v>
      </c>
      <c r="AH16" s="59" t="s">
        <v>831</v>
      </c>
      <c r="AI16" s="18">
        <v>2</v>
      </c>
      <c r="AJ16" s="59" t="s">
        <v>832</v>
      </c>
      <c r="AK16" s="18">
        <v>2</v>
      </c>
      <c r="AL16" s="59" t="s">
        <v>187</v>
      </c>
      <c r="AM16" s="18">
        <v>0</v>
      </c>
      <c r="AN16" s="18"/>
      <c r="AO16" s="18">
        <f t="shared" si="119"/>
        <v>15</v>
      </c>
      <c r="AP16" s="59" t="str">
        <f t="shared" ref="AP16:AP21" si="132">HLOOKUP(CharacterBackground,$AQ$2:$BD$63,$AO16,FALSE)</f>
        <v/>
      </c>
      <c r="AQ16" s="59" t="str">
        <f>""</f>
        <v/>
      </c>
      <c r="AR16" s="254" t="s">
        <v>1060</v>
      </c>
      <c r="AS16" s="385" t="s">
        <v>2431</v>
      </c>
      <c r="AT16" s="254" t="s">
        <v>1086</v>
      </c>
      <c r="AU16" s="385" t="s">
        <v>2465</v>
      </c>
      <c r="AV16" s="255" t="s">
        <v>1129</v>
      </c>
      <c r="AW16" s="385" t="s">
        <v>2511</v>
      </c>
      <c r="AX16" s="385" t="s">
        <v>2544</v>
      </c>
      <c r="AY16" s="58" t="s">
        <v>1156</v>
      </c>
      <c r="AZ16" s="58" t="s">
        <v>2580</v>
      </c>
      <c r="BA16" s="254" t="s">
        <v>1023</v>
      </c>
      <c r="BB16" s="385" t="s">
        <v>2606</v>
      </c>
      <c r="BC16" s="58" t="s">
        <v>1182</v>
      </c>
      <c r="BD16" s="58" t="s">
        <v>2374</v>
      </c>
      <c r="BE16" s="18" t="str">
        <f>""</f>
        <v/>
      </c>
      <c r="BI16" s="392" t="s">
        <v>312</v>
      </c>
      <c r="BJ16" s="398">
        <v>10</v>
      </c>
      <c r="BK16" s="396" t="str">
        <f>IF(BL16=0,"",MAX($BK$6:BK15)+1)</f>
        <v/>
      </c>
      <c r="BL16" s="396">
        <f>COUNTIF(Start!$AF$20:$AF$39,Tables!BI16)</f>
        <v>0</v>
      </c>
      <c r="BM16" s="394" t="str">
        <f>IF(OR(BK16="",BO16=""),"",MAX($BM$6:BM15)+1)</f>
        <v/>
      </c>
      <c r="BN16" s="393" t="s">
        <v>312</v>
      </c>
      <c r="BO16" s="391" t="s">
        <v>39</v>
      </c>
      <c r="BP16" s="396" t="str">
        <f t="shared" si="120"/>
        <v/>
      </c>
      <c r="BQ16" s="745" t="s">
        <v>2953</v>
      </c>
      <c r="BR16" s="396">
        <v>1</v>
      </c>
      <c r="BS16" s="396"/>
      <c r="BT16" s="396"/>
      <c r="BU16" s="340"/>
      <c r="BV16" s="396">
        <v>10</v>
      </c>
      <c r="BW16" s="396">
        <v>0</v>
      </c>
      <c r="BX16" s="396">
        <f>IF(RangerLevel&gt;=14,3,IF(RangerLevel&gt;=6,2,IF(RangerLevel&gt;=1,1,0)))</f>
        <v>0</v>
      </c>
      <c r="BY16" s="396" t="str">
        <f>IF(RangerLevel&gt;=14,"Favored Enemy x3
",IF(RangerLevel&gt;=6,"Favored Enemy x2
",IF(RangerLevel&gt;=1,"Favored Enemy x 1
","")))</f>
        <v/>
      </c>
      <c r="BZ16" s="397" t="s">
        <v>335</v>
      </c>
      <c r="CA16" s="397" t="s">
        <v>335</v>
      </c>
      <c r="CB16" s="397" t="s">
        <v>804</v>
      </c>
      <c r="CC16" s="393" t="s">
        <v>336</v>
      </c>
      <c r="CD16" s="397" t="s">
        <v>187</v>
      </c>
      <c r="CE16" s="396">
        <v>0</v>
      </c>
      <c r="CF16" s="397" t="s">
        <v>187</v>
      </c>
      <c r="CG16" s="396">
        <v>0</v>
      </c>
      <c r="CH16" s="397" t="s">
        <v>2794</v>
      </c>
      <c r="CI16" s="397" t="s">
        <v>2821</v>
      </c>
      <c r="CJ16" s="396">
        <v>3</v>
      </c>
      <c r="CK16" s="397" t="s">
        <v>2822</v>
      </c>
      <c r="CL16" s="396">
        <v>1</v>
      </c>
      <c r="CM16" s="393" t="str">
        <f>"• Favored Enemy
"&amp;IF(RangerLevel&gt;=14,"   Level 1: "&amp;HS4&amp;"
   Level 6: "&amp;HS5&amp;"
   Level 14: "&amp;HS6,IF(RangerLevel&gt;=6,"   Level 1: "&amp;HS4&amp;"
   Level 6: "&amp;HS5,"   Level 1: "&amp;HS4))&amp;"
• Natural Explorer
"&amp;IF(RangerLevel&gt;=10,"   Level 1: "&amp;HW4&amp;"
   Level 6: "&amp;HW5&amp;"
   Level 10: "&amp;HW6,IF(RangerLevel&gt;=6,"   Level 1: "&amp;HW4&amp;"
   Level 6: "&amp;HW5,"   Level 1: "&amp;HW4))&amp;"
"</f>
        <v xml:space="preserve">• Favored Enemy
   Level 1: Select…
• Natural Explorer
   Level 1: Select…
</v>
      </c>
      <c r="CN16" s="393" t="e">
        <f ca="1">"• Spellcasting
• Fighting Style ("&amp;VLOOKUP($BI16,$FZ$2:$GA$5,2,FALSE)&amp;")
"&amp;VLOOKUP(VLOOKUP($BI16,$FZ$2:$GA$5,2,FALSE),$FX$24:$FY$30,2,FALSE)&amp;"
"</f>
        <v>#N/A</v>
      </c>
      <c r="CO16" s="393" t="e">
        <f>"• Ranger Archetype ("&amp;VLOOKUP($BI16,$BN$3:$BQ$5,4,FALSE)&amp;"), Primeval Awareness
• Ranger Archetype Feature ("&amp;VLOOKUP($BI16,$DM$3:$EH$5,DQ$2-1,FALSE)&amp;")
"</f>
        <v>#N/A</v>
      </c>
      <c r="CP16" s="393" t="str">
        <f>IF(RangerLevel&gt;=DE$6,"• Ability Score Improvement / Feat: level "&amp;DE$6&amp;", "&amp;DB$6&amp;", "&amp;CX$6&amp;", "&amp;CT$6&amp;", "&amp;CP$6,IF(RangerLevel&gt;=DB$6,"• Ability Score Improvement / Feat: level "&amp;DB$6&amp;", "&amp;CX$6&amp;", "&amp;CT$6&amp;", "&amp;CP$6,IF(RangerLevel&gt;=CX$6,"• Ability Score Improvement / Feat: level "&amp;CX$6&amp;", "&amp;CT$6&amp;", "&amp;CP$6,IF(RangerLevel&gt;=CT$6,"• Ability Score Improvement / Feat : level "&amp;CT$6&amp;", "&amp;CP$6,"• Ability Score Improvement / Feat: level "&amp;CP$6))))&amp;"
"</f>
        <v xml:space="preserve">• Ability Score Improvement / Feat: level 4
</v>
      </c>
      <c r="CQ16" s="393" t="str">
        <f>"• Extra Attack
"</f>
        <v xml:space="preserve">• Extra Attack
</v>
      </c>
      <c r="CR16" s="393" t="str">
        <f>""</f>
        <v/>
      </c>
      <c r="CS16" s="393" t="e">
        <f>"• Ranger Archetype Feature ("&amp;VLOOKUP($BI16,$DM$3:$EH$5,DU$2-1,FALSE)&amp;")
"</f>
        <v>#N/A</v>
      </c>
      <c r="CT16" s="393" t="str">
        <f>"• Land's Stride
"</f>
        <v xml:space="preserve">• Land's Stride
</v>
      </c>
      <c r="CU16" s="393" t="str">
        <f>""</f>
        <v/>
      </c>
      <c r="CV16" s="393" t="str">
        <f>"• Hide in Plain Sight
"</f>
        <v xml:space="preserve">• Hide in Plain Sight
</v>
      </c>
      <c r="CW16" s="393" t="e">
        <f>"• Ranger Archetype Feature ("&amp;VLOOKUP($BI16,$DM$3:$EH$5,DY$2-1,FALSE)&amp;")
"</f>
        <v>#N/A</v>
      </c>
      <c r="CX16" s="393" t="str">
        <f>""</f>
        <v/>
      </c>
      <c r="CY16" s="393" t="str">
        <f>""</f>
        <v/>
      </c>
      <c r="CZ16" s="393" t="str">
        <f>"• Vanish
"</f>
        <v xml:space="preserve">• Vanish
</v>
      </c>
      <c r="DA16" s="393" t="e">
        <f>"• Ranger Archetype Feature ("&amp;VLOOKUP($BI16,$DM$3:$EH$5,EC$2-1,FALSE)&amp;")
"</f>
        <v>#N/A</v>
      </c>
      <c r="DB16" s="393" t="str">
        <f>""</f>
        <v/>
      </c>
      <c r="DC16" s="393" t="str">
        <f>""</f>
        <v/>
      </c>
      <c r="DD16" s="393" t="str">
        <f>"• Feral Senses
"</f>
        <v xml:space="preserve">• Feral Senses
</v>
      </c>
      <c r="DE16" s="393" t="str">
        <f>""</f>
        <v/>
      </c>
      <c r="DF16" s="393" t="str">
        <f>"• Foe Slayer
"</f>
        <v xml:space="preserve">• Foe Slayer
</v>
      </c>
      <c r="DL16" s="59" t="s">
        <v>1515</v>
      </c>
      <c r="DM16" s="18" t="s">
        <v>288</v>
      </c>
      <c r="DN16" s="18">
        <f t="shared" ca="1" si="121"/>
        <v>0</v>
      </c>
      <c r="DO16" s="58" t="str">
        <f>""</f>
        <v/>
      </c>
      <c r="DP16" s="58" t="str">
        <f>""</f>
        <v/>
      </c>
      <c r="DQ16" s="58" t="str">
        <f ca="1">"• Martial Archetype Feature (Spellcasting"&amp;IF(FighterEldritchKnightLevel&gt;=10,", Cantrips: any 3 wizard","Cantrips: any 2 wizard")&amp;", Weapon Bond)
"</f>
        <v xml:space="preserve">• Martial Archetype Feature (SpellcastingCantrips: any 2 wizard, Weapon Bond)
</v>
      </c>
      <c r="DR16" s="58" t="str">
        <f>""</f>
        <v/>
      </c>
      <c r="DS16" s="58" t="str">
        <f>""</f>
        <v/>
      </c>
      <c r="DT16" s="58" t="str">
        <f>""</f>
        <v/>
      </c>
      <c r="DU16" s="58" t="str">
        <f>"• Martial Archetype Feature (War Magic)
"</f>
        <v xml:space="preserve">• Martial Archetype Feature (War Magic)
</v>
      </c>
      <c r="DV16" s="58" t="str">
        <f>""</f>
        <v/>
      </c>
      <c r="DW16" s="58" t="str">
        <f>""</f>
        <v/>
      </c>
      <c r="DX16" s="58" t="str">
        <f>"• Martial Archetype Feature (Eldritch Strike)
"</f>
        <v xml:space="preserve">• Martial Archetype Feature (Eldritch Strike)
</v>
      </c>
      <c r="DY16" s="58" t="str">
        <f>""</f>
        <v/>
      </c>
      <c r="DZ16" s="58" t="str">
        <f>""</f>
        <v/>
      </c>
      <c r="EA16" s="58" t="str">
        <f>""</f>
        <v/>
      </c>
      <c r="EB16" s="58" t="str">
        <f>""</f>
        <v/>
      </c>
      <c r="EC16" s="58" t="str">
        <f>"• Martial Archetype Feature (Arcane Charge)
"</f>
        <v xml:space="preserve">• Martial Archetype Feature (Arcane Charge)
</v>
      </c>
      <c r="ED16" s="58" t="str">
        <f>""</f>
        <v/>
      </c>
      <c r="EE16" s="58" t="str">
        <f>""</f>
        <v/>
      </c>
      <c r="EF16" s="58" t="str">
        <f>"• Martial Archetype Feature (Improved War Magic)
"</f>
        <v xml:space="preserve">• Martial Archetype Feature (Improved War Magic)
</v>
      </c>
      <c r="EG16" s="58" t="str">
        <f>""</f>
        <v/>
      </c>
      <c r="EH16" s="58" t="str">
        <f>""</f>
        <v/>
      </c>
      <c r="EI16" s="103" t="str">
        <f>""</f>
        <v/>
      </c>
      <c r="EJ16" s="103" t="str">
        <f>""</f>
        <v/>
      </c>
      <c r="EK16" s="103"/>
      <c r="EL16" s="103" t="str">
        <f>""</f>
        <v/>
      </c>
      <c r="EM16" s="103"/>
      <c r="EN16" s="103" t="str">
        <f>""</f>
        <v/>
      </c>
      <c r="EO16" s="103"/>
      <c r="EP16" s="103" t="str">
        <f>""</f>
        <v/>
      </c>
      <c r="EQ16" s="103"/>
      <c r="ER16" s="103" t="str">
        <f>""</f>
        <v/>
      </c>
      <c r="ES16" s="103"/>
      <c r="ET16" s="59" t="str">
        <f>""</f>
        <v/>
      </c>
      <c r="EU16" s="18" t="str">
        <f>""</f>
        <v/>
      </c>
      <c r="EV16" s="59" t="str">
        <f>""</f>
        <v/>
      </c>
      <c r="EW16" s="18" t="str">
        <f>""</f>
        <v/>
      </c>
      <c r="EX16" s="59" t="str">
        <f>""</f>
        <v/>
      </c>
      <c r="EY16" s="18" t="str">
        <f>""</f>
        <v/>
      </c>
      <c r="FA16" s="18" t="str">
        <f>IF($DM16=FB$5,MAX(FA$6:FA15)+1,"")</f>
        <v/>
      </c>
      <c r="FB16" s="58" t="str">
        <f t="shared" si="122"/>
        <v/>
      </c>
      <c r="FC16" s="18"/>
      <c r="FE16" s="18" t="str">
        <f>IF($DM16=FF$5,MAX(FE$6:FE15)+1,"")</f>
        <v/>
      </c>
      <c r="FF16" s="58" t="str">
        <f t="shared" si="123"/>
        <v/>
      </c>
      <c r="FG16" s="18"/>
      <c r="FI16" s="18" t="str">
        <f>IF($DM16=FJ$5,MAX(FI$6:FI15)+1,"")</f>
        <v/>
      </c>
      <c r="FJ16" s="58" t="str">
        <f t="shared" si="124"/>
        <v/>
      </c>
      <c r="FK16" s="18"/>
      <c r="FM16" s="58" t="s">
        <v>1893</v>
      </c>
      <c r="FN16" s="59">
        <f>Start!X68</f>
        <v>0</v>
      </c>
      <c r="FO16" s="18" t="str">
        <f>IF($FM16=$FP16,MAX(FO$3:FO15)+1,"")</f>
        <v/>
      </c>
      <c r="FP16" s="59" t="str">
        <f t="shared" si="101"/>
        <v/>
      </c>
      <c r="FQ16" s="18">
        <f t="shared" si="102"/>
        <v>14</v>
      </c>
      <c r="FR16" s="59" t="str">
        <f t="shared" si="75"/>
        <v/>
      </c>
      <c r="FS16" s="18"/>
      <c r="FT16" s="18"/>
      <c r="FU16" s="18"/>
      <c r="FV16" s="18"/>
      <c r="FW16" s="18" t="str">
        <f>IF(FX16="","",MAX($FW$15:FW15)+1)</f>
        <v/>
      </c>
      <c r="FX16" s="59" t="str">
        <f>IF(OR(FighterLevel&gt;0,RangerLevel&gt;1),FX25,"")</f>
        <v/>
      </c>
      <c r="GB16" s="59" t="s">
        <v>3428</v>
      </c>
      <c r="GC16" s="142" t="s">
        <v>3482</v>
      </c>
      <c r="GD16" s="142"/>
      <c r="GK16" s="18"/>
      <c r="GL16" s="18"/>
      <c r="GM16" s="18"/>
      <c r="GN16" s="18"/>
      <c r="GO16" s="18"/>
      <c r="GP16" s="18"/>
      <c r="GQ16" s="59" t="s">
        <v>2806</v>
      </c>
      <c r="GR16" s="142" t="s">
        <v>3498</v>
      </c>
      <c r="GS16" s="18">
        <v>3</v>
      </c>
      <c r="GT16" s="18">
        <v>1</v>
      </c>
      <c r="GU16" s="18" t="str">
        <f ca="1">IF(GV16="","",MAX($GU$3:GU15)+1)</f>
        <v/>
      </c>
      <c r="GV16" s="59" t="str">
        <f t="shared" ca="1" si="76"/>
        <v/>
      </c>
      <c r="GW16" s="18">
        <f t="shared" si="103"/>
        <v>14</v>
      </c>
      <c r="GX16" s="59" t="str">
        <f t="shared" ca="1" si="44"/>
        <v/>
      </c>
      <c r="GY16" s="59"/>
      <c r="HK16" s="58" t="s">
        <v>2904</v>
      </c>
      <c r="HL16" s="59" t="str">
        <f>""</f>
        <v/>
      </c>
      <c r="HM16" s="58" t="s">
        <v>2918</v>
      </c>
      <c r="HX16" s="59" t="s">
        <v>2969</v>
      </c>
      <c r="IH16" s="18">
        <f>IF(IJ16=1,MAX($IH$2:IH15)+1,"")</f>
        <v>7</v>
      </c>
      <c r="II16" s="58" t="s">
        <v>3306</v>
      </c>
      <c r="IJ16" s="59">
        <f>1</f>
        <v>1</v>
      </c>
      <c r="IK16" s="58" t="s">
        <v>3352</v>
      </c>
      <c r="IL16" s="18">
        <f t="shared" si="105"/>
        <v>14</v>
      </c>
      <c r="IM16" s="59" t="str">
        <f t="shared" si="77"/>
        <v/>
      </c>
      <c r="IN16" s="59"/>
      <c r="IO16" s="59"/>
      <c r="IP16" s="59"/>
      <c r="IQ16" s="59"/>
      <c r="IR16" s="59"/>
      <c r="IS16" s="59"/>
      <c r="IT16" s="59"/>
      <c r="IU16" s="59"/>
      <c r="IX16" s="59" t="s">
        <v>1482</v>
      </c>
      <c r="IY16" s="59" t="s">
        <v>942</v>
      </c>
      <c r="IZ16" s="59" t="s">
        <v>196</v>
      </c>
      <c r="JA16" s="59" t="s">
        <v>282</v>
      </c>
      <c r="JB16" s="59" t="s">
        <v>900</v>
      </c>
      <c r="JC16" s="18">
        <f>IF(JD16="","",MAX($JC$1:JC15)+1)</f>
        <v>13</v>
      </c>
      <c r="JD16" s="58" t="s">
        <v>270</v>
      </c>
      <c r="JE16" s="58" t="s">
        <v>270</v>
      </c>
      <c r="JF16" s="18">
        <v>15</v>
      </c>
      <c r="JG16" s="59" t="str">
        <f t="shared" si="27"/>
        <v>Primordial</v>
      </c>
      <c r="JH16" s="18">
        <v>15</v>
      </c>
      <c r="JI16" s="60">
        <v>165000</v>
      </c>
      <c r="JJ16" s="18">
        <v>15</v>
      </c>
      <c r="JK16" s="18">
        <v>5</v>
      </c>
      <c r="JL16" s="18"/>
      <c r="JM16" s="18">
        <v>14</v>
      </c>
      <c r="JN16" s="80">
        <f t="shared" ca="1" si="127"/>
        <v>4</v>
      </c>
      <c r="JO16" s="80">
        <f t="shared" ca="1" si="127"/>
        <v>3</v>
      </c>
      <c r="JP16" s="80">
        <f t="shared" ca="1" si="127"/>
        <v>3</v>
      </c>
      <c r="JQ16" s="80">
        <f t="shared" ca="1" si="127"/>
        <v>3</v>
      </c>
      <c r="JR16" s="80">
        <f t="shared" ca="1" si="127"/>
        <v>2</v>
      </c>
      <c r="JS16" s="80">
        <f t="shared" ca="1" si="127"/>
        <v>1</v>
      </c>
      <c r="JT16" s="80">
        <f t="shared" ca="1" si="127"/>
        <v>1</v>
      </c>
      <c r="JU16" s="80" t="str">
        <f t="shared" ca="1" si="127"/>
        <v>-</v>
      </c>
      <c r="JV16" s="80" t="str">
        <f t="shared" ca="1" si="127"/>
        <v>-</v>
      </c>
      <c r="JW16" s="80">
        <f t="shared" ca="1" si="127"/>
        <v>7</v>
      </c>
      <c r="JX16" s="98"/>
      <c r="KD16" s="18">
        <v>14</v>
      </c>
      <c r="KE16" s="302">
        <v>10</v>
      </c>
      <c r="KF16" s="302">
        <v>18</v>
      </c>
      <c r="KG16" s="302">
        <v>10</v>
      </c>
      <c r="KH16" s="302">
        <v>8</v>
      </c>
      <c r="KI16" s="302">
        <v>13</v>
      </c>
      <c r="KJ16" s="302">
        <v>12</v>
      </c>
      <c r="KK16" s="18">
        <v>14</v>
      </c>
      <c r="KL16" s="98">
        <v>5</v>
      </c>
      <c r="KM16" s="98">
        <v>5</v>
      </c>
      <c r="KN16" s="98">
        <v>3</v>
      </c>
      <c r="KO16" s="98">
        <v>4</v>
      </c>
      <c r="KP16" s="98">
        <v>4</v>
      </c>
      <c r="KQ16" s="98">
        <v>6</v>
      </c>
      <c r="KR16" s="80">
        <v>4</v>
      </c>
      <c r="KS16" s="73"/>
      <c r="KT16" s="93" t="s">
        <v>1524</v>
      </c>
      <c r="KU16" s="80" t="str">
        <f t="shared" si="128"/>
        <v>No</v>
      </c>
      <c r="KV16" s="89" t="s">
        <v>333</v>
      </c>
      <c r="KW16" s="270"/>
      <c r="KX16" s="270"/>
      <c r="KY16" s="270"/>
      <c r="KZ16" s="270"/>
      <c r="LA16" s="270"/>
      <c r="LB16" s="92"/>
      <c r="LC16" s="270"/>
      <c r="LD16" s="270"/>
      <c r="LE16" s="270"/>
      <c r="LF16" s="455"/>
      <c r="LG16" s="270"/>
      <c r="LH16" s="270"/>
      <c r="LI16" s="270"/>
      <c r="LJ16" s="270"/>
      <c r="LK16" s="270"/>
      <c r="LL16" s="406"/>
      <c r="LM16" s="455"/>
      <c r="LN16" s="270"/>
      <c r="LO16" s="270"/>
      <c r="LP16" s="270"/>
      <c r="LQ16" s="92"/>
      <c r="LR16" s="270"/>
      <c r="LS16" s="270"/>
      <c r="LT16" s="92"/>
      <c r="LU16" s="92"/>
      <c r="LV16" s="270"/>
      <c r="LW16" s="270"/>
      <c r="LX16" s="270"/>
      <c r="LY16" s="92"/>
      <c r="LZ16" s="92"/>
      <c r="MA16" s="92"/>
      <c r="MB16" s="92"/>
      <c r="MC16" s="92"/>
      <c r="MD16" s="92"/>
      <c r="ME16" s="92"/>
      <c r="MF16" s="92"/>
      <c r="MG16" s="92"/>
      <c r="MH16" s="92"/>
      <c r="MI16" s="92"/>
      <c r="MJ16" s="92"/>
      <c r="MK16" s="92"/>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438"/>
      <c r="NQ16" s="94"/>
      <c r="NR16" s="94"/>
      <c r="NS16" s="94"/>
      <c r="NT16" s="94"/>
      <c r="NU16" s="94"/>
      <c r="NV16" s="456"/>
      <c r="NW16" s="456"/>
      <c r="NX16" s="456"/>
      <c r="NY16" s="456"/>
      <c r="NZ16" s="456"/>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t="str">
        <f>IF(COUNTIF(Start!$AX$59:$BF$68,Tables!KT16)&gt;0,Tables!KT16,"")</f>
        <v/>
      </c>
      <c r="PT16" s="94"/>
      <c r="PU16" s="59" t="str">
        <f t="shared" si="129"/>
        <v/>
      </c>
      <c r="PV16" s="59" t="str">
        <f>IF(PU16="","",IF(COUNTIF(PU16:$PU$57,"&gt;&lt;")&gt;1,PU16&amp;", ", PU16))</f>
        <v/>
      </c>
      <c r="PW16" s="59"/>
      <c r="PX16" s="59"/>
      <c r="PY16" s="18"/>
      <c r="PZ16" s="28" t="s">
        <v>155</v>
      </c>
      <c r="QA16" s="28" t="s">
        <v>167</v>
      </c>
      <c r="QB16" s="30" t="str">
        <f t="shared" ca="1" si="79"/>
        <v>not proficient</v>
      </c>
      <c r="QC16" s="31" t="s">
        <v>88</v>
      </c>
      <c r="QD16" s="28" t="s">
        <v>107</v>
      </c>
      <c r="QE16" s="29" t="s">
        <v>140</v>
      </c>
      <c r="QF16" s="29">
        <v>10</v>
      </c>
      <c r="QG16" s="29" t="str">
        <f>""</f>
        <v/>
      </c>
      <c r="QH16" s="29" t="str">
        <f>""</f>
        <v/>
      </c>
      <c r="QI16" s="29" t="str">
        <f>""</f>
        <v/>
      </c>
      <c r="QJ16" s="29" t="str">
        <f>""</f>
        <v/>
      </c>
      <c r="QK16" s="29" t="str">
        <f>""</f>
        <v/>
      </c>
      <c r="QL16" s="29" t="str">
        <f>""</f>
        <v/>
      </c>
      <c r="QM16" s="29" t="str">
        <f>""</f>
        <v/>
      </c>
      <c r="QN16" s="29" t="str">
        <f>""</f>
        <v/>
      </c>
      <c r="QO16" s="29" t="s">
        <v>147</v>
      </c>
      <c r="QP16" s="29" t="str">
        <f>""</f>
        <v/>
      </c>
      <c r="QQ16" s="30" t="str">
        <f>""</f>
        <v/>
      </c>
      <c r="QR16" s="30" t="str">
        <f>""</f>
        <v/>
      </c>
      <c r="QT16" s="733">
        <f t="shared" si="46"/>
        <v>16</v>
      </c>
      <c r="QU16" s="727" t="s">
        <v>95</v>
      </c>
      <c r="QV16" s="727"/>
      <c r="QW16" s="727"/>
      <c r="QX16" s="727"/>
      <c r="QY16" s="727"/>
      <c r="QZ16" s="727" t="str">
        <f>VLOOKUP(Start!AV$137,Tables!$PZ$2:$QQ$500,$QT16,FALSE)</f>
        <v/>
      </c>
      <c r="RA16" s="727"/>
      <c r="RB16" s="729"/>
      <c r="RC16" s="727"/>
      <c r="RD16" s="727"/>
      <c r="RE16" s="727"/>
      <c r="RF16" s="727"/>
      <c r="RG16" s="727"/>
      <c r="RH16" s="727" t="str">
        <f>VLOOKUP(Start!BD$137,Tables!$PZ$2:$QQ$500,$QT16,FALSE)</f>
        <v/>
      </c>
      <c r="RI16" s="727"/>
      <c r="RJ16" s="727"/>
      <c r="RK16" s="727"/>
      <c r="RL16" s="727"/>
      <c r="RM16" s="727"/>
      <c r="RN16" s="729"/>
      <c r="RO16" s="729"/>
      <c r="RP16" s="727" t="str">
        <f>VLOOKUP(Start!BL$137,Tables!$PZ$2:$QQ$500,$QT16,FALSE)</f>
        <v/>
      </c>
      <c r="RQ16" s="729"/>
      <c r="RR16" s="729"/>
      <c r="RS16" s="729"/>
      <c r="RT16" s="729"/>
      <c r="RU16" s="729"/>
      <c r="RV16" s="729"/>
      <c r="RW16" s="729"/>
      <c r="RX16" s="727" t="str">
        <f>VLOOKUP(Start!BT$137,Tables!$PZ$2:$QQ$500,$QT16,FALSE)</f>
        <v/>
      </c>
      <c r="RY16" s="729"/>
      <c r="RZ16" s="729"/>
      <c r="SA16" s="729"/>
      <c r="SB16" s="729"/>
      <c r="SC16" s="729"/>
      <c r="SD16" s="729"/>
      <c r="SE16" s="729"/>
      <c r="SF16" s="727" t="str">
        <f>VLOOKUP(Start!CB$137,Tables!$PZ$2:$QQ$500,$QT16,FALSE)</f>
        <v/>
      </c>
      <c r="SG16" s="729"/>
      <c r="SH16" s="729"/>
      <c r="SI16" s="729"/>
      <c r="SJ16" s="729"/>
      <c r="SK16" s="729"/>
      <c r="SL16" s="729"/>
      <c r="SM16" s="634"/>
      <c r="SN16" s="727" t="str">
        <f>VLOOKUP(Start!CJ$137,Tables!$PZ$2:$QQ$500,$QT16,FALSE)</f>
        <v/>
      </c>
      <c r="SO16" s="729"/>
      <c r="SP16" s="729"/>
      <c r="SQ16" s="634"/>
      <c r="SR16" s="28" t="s">
        <v>251</v>
      </c>
      <c r="SS16" s="28" t="s">
        <v>137</v>
      </c>
      <c r="ST16" s="29" t="str">
        <f ca="1">IF(SR16="","",IF(Start!$Y$157=$QS$12,$QS$12&amp;" (disadvantage)",IF(Start!$Y$157=$QS$11,$QS$11,IF(VLOOKUP(SR16,$KT$60:$KV$78,2,FALSE)="No",$QS$12&amp;" (disadvantage)",$QS$11))))</f>
        <v>not proficient (disadvantage)</v>
      </c>
      <c r="SU16" s="69">
        <v>18</v>
      </c>
      <c r="SV16" s="42">
        <v>0</v>
      </c>
      <c r="SW16" s="232">
        <v>15</v>
      </c>
      <c r="SX16" s="46" t="s">
        <v>249</v>
      </c>
      <c r="SY16" s="30">
        <v>65</v>
      </c>
      <c r="SZ16" s="29" t="str">
        <f ca="1">ST16&amp;", Don: 10min, Doff: 5min"</f>
        <v>not proficient (disadvantage), Don: 10min, Doff: 5min</v>
      </c>
      <c r="TA16" s="28"/>
      <c r="TB16" s="28"/>
      <c r="TC16" s="28"/>
      <c r="TD16" s="42"/>
      <c r="TE16" s="29"/>
      <c r="TF16" s="232"/>
      <c r="TG16" s="29"/>
      <c r="TH16" s="30"/>
      <c r="TI16" s="30"/>
      <c r="TJ16" s="18">
        <f t="shared" si="115"/>
        <v>14</v>
      </c>
      <c r="TK16" s="58" t="s">
        <v>513</v>
      </c>
      <c r="TL16" s="58" t="s">
        <v>463</v>
      </c>
      <c r="TM16" s="18">
        <v>6</v>
      </c>
      <c r="TN16" s="59" t="str">
        <f t="shared" si="47"/>
        <v xml:space="preserve">Arcane Gate </v>
      </c>
      <c r="TO16" s="18" t="str">
        <f>""</f>
        <v/>
      </c>
      <c r="TP16" s="18" t="str">
        <f t="shared" si="48"/>
        <v/>
      </c>
      <c r="TQ16" s="18" t="str">
        <f>IF(OR(TK16=Spellcasting!$AC$18,TK16=Spellcasting!$AC$19),"ᵐ","")</f>
        <v/>
      </c>
      <c r="TR16" s="18" t="str">
        <f>IF(OR(TK16=Spellcasting!$AC$20,TK16=Spellcasting!$AC$21),"ˢ","")</f>
        <v/>
      </c>
      <c r="TS16" s="18" t="str">
        <f>""</f>
        <v/>
      </c>
      <c r="TT16" s="18" t="s">
        <v>484</v>
      </c>
      <c r="TU16" s="18" t="s">
        <v>514</v>
      </c>
      <c r="TV16" s="18" t="s">
        <v>515</v>
      </c>
      <c r="TW16" s="18" t="s">
        <v>486</v>
      </c>
      <c r="TX16" s="59" t="str">
        <f>""</f>
        <v/>
      </c>
      <c r="TY16" s="18" t="s">
        <v>516</v>
      </c>
      <c r="TZ16" s="18" t="s">
        <v>517</v>
      </c>
      <c r="UA16" s="142" t="s">
        <v>1294</v>
      </c>
      <c r="UB16" s="319" t="s">
        <v>1298</v>
      </c>
      <c r="UF16" s="18" t="str">
        <f ca="1">IF(UF$1&gt;=$TM16,1,"0")</f>
        <v>0</v>
      </c>
      <c r="UG16" s="18" t="str">
        <f ca="1">IF(UG$1&gt;=$TM16,1,"0")</f>
        <v>0</v>
      </c>
      <c r="UL16" s="18" t="str">
        <f ca="1">IF(UL$1&gt;=$TM16,1,"0")</f>
        <v>0</v>
      </c>
      <c r="WD16" s="18" t="str">
        <f ca="1">IF(SUM($VZ$1:$WC$1)&gt;0,IF(AND(SUM($VZ16:$WC16)&gt;0,$TM16=WE$1),MAX(WD$2:WD15)+1,""),IF(AND(SUM($UC16:$VY16)&gt;0,$TM16=WE$1),MAX(WD$2:WD15)+1,""))</f>
        <v/>
      </c>
      <c r="WE16" s="59" t="str">
        <f t="shared" ca="1" si="80"/>
        <v/>
      </c>
      <c r="WF16" s="18" t="str">
        <f ca="1">IF(AND(SUM($UB16:$VY16)&gt;0,$TM16=WG$1),MAX(WF$2:WF15)+1,"")</f>
        <v/>
      </c>
      <c r="WG16" s="59" t="str">
        <f t="shared" ca="1" si="81"/>
        <v/>
      </c>
      <c r="WH16" s="18" t="str">
        <f ca="1">IF(AND(SUM($UB16:$VY16)&gt;0,$TM16=WI$1),MAX(WH$2:WH15)+1,"")</f>
        <v/>
      </c>
      <c r="WI16" s="59" t="str">
        <f t="shared" ca="1" si="82"/>
        <v/>
      </c>
      <c r="WJ16" s="18" t="str">
        <f ca="1">IF(AND(SUM($UB16:$VY16)&gt;0,$TM16=WK$1),MAX(WJ$2:WJ15)+1,"")</f>
        <v/>
      </c>
      <c r="WK16" s="59" t="str">
        <f t="shared" ca="1" si="83"/>
        <v/>
      </c>
      <c r="WL16" s="18" t="str">
        <f ca="1">IF(AND(SUM($UB16:$VY16)&gt;0,$TM16=WM$1),MAX(WL$2:WL15)+1,"")</f>
        <v/>
      </c>
      <c r="WM16" s="59" t="str">
        <f t="shared" ca="1" si="84"/>
        <v/>
      </c>
      <c r="WN16" s="18" t="str">
        <f ca="1">IF(AND(SUM($UB16:$VY16)&gt;0,$TM16=WO$1),MAX(WN$2:WN15)+1,"")</f>
        <v/>
      </c>
      <c r="WO16" s="59" t="str">
        <f t="shared" ca="1" si="85"/>
        <v/>
      </c>
      <c r="WP16" s="18" t="str">
        <f ca="1">IF(AND(SUM($UB16:$VY16)&gt;0,$TM16=WQ$1),MAX(WP$2:WP15)+1,"")</f>
        <v/>
      </c>
      <c r="WQ16" s="59" t="str">
        <f t="shared" ca="1" si="86"/>
        <v/>
      </c>
      <c r="WR16" s="18" t="str">
        <f ca="1">IF(AND(SUM($UB16:$VY16)&gt;0,$TM16=WS$1),MAX(WR$2:WR15)+1,"")</f>
        <v/>
      </c>
      <c r="WS16" s="59" t="str">
        <f t="shared" ca="1" si="87"/>
        <v/>
      </c>
      <c r="WT16" s="18" t="str">
        <f ca="1">IF(AND(SUM($UB16:$VY16)&gt;0,$TM16=WU$1),MAX(WT$2:WT15)+1,"")</f>
        <v/>
      </c>
      <c r="WU16" s="59" t="str">
        <f t="shared" ca="1" si="88"/>
        <v/>
      </c>
      <c r="WV16" s="18" t="str">
        <f ca="1">IF(AND(SUM($UB16:$VY16)&gt;0,$TM16=WW$1),MAX(WV$2:WV15)+1,"")</f>
        <v/>
      </c>
      <c r="WW16" s="59" t="str">
        <f t="shared" ca="1" si="89"/>
        <v/>
      </c>
      <c r="WX16" s="18" t="str">
        <f ca="1">IF(AND(SUM($UB16:$VY16)&gt;0,$TM16=WY$1),MAX(WX$2:WX15)+1,"")</f>
        <v/>
      </c>
      <c r="WY16" s="59" t="str">
        <f t="shared" ca="1" si="90"/>
        <v/>
      </c>
      <c r="WZ16" s="18">
        <v>15</v>
      </c>
      <c r="XA16" s="59" t="str">
        <f t="shared" ca="1" si="91"/>
        <v/>
      </c>
      <c r="XB16" s="59" t="str">
        <f t="shared" ca="1" si="28"/>
        <v/>
      </c>
      <c r="XC16" s="59" t="str">
        <f t="shared" ca="1" si="29"/>
        <v/>
      </c>
      <c r="XD16" s="59" t="str">
        <f t="shared" ca="1" si="60"/>
        <v/>
      </c>
      <c r="XE16" s="59" t="str">
        <f t="shared" ca="1" si="61"/>
        <v/>
      </c>
      <c r="XF16" s="59" t="str">
        <f t="shared" ca="1" si="62"/>
        <v/>
      </c>
      <c r="XG16" s="59" t="str">
        <f t="shared" ca="1" si="63"/>
        <v/>
      </c>
      <c r="XH16" s="59" t="str">
        <f t="shared" ca="1" si="64"/>
        <v/>
      </c>
      <c r="XI16" s="59" t="str">
        <f t="shared" ca="1" si="65"/>
        <v/>
      </c>
      <c r="XJ16" s="59" t="str">
        <f t="shared" ca="1" si="66"/>
        <v/>
      </c>
      <c r="XK16" s="59" t="str">
        <f t="shared" ca="1" si="67"/>
        <v/>
      </c>
      <c r="XL16" s="59"/>
      <c r="XM16" s="18">
        <f t="shared" si="116"/>
        <v>12</v>
      </c>
      <c r="XN16" s="142" t="str">
        <f t="shared" ca="1" si="130"/>
        <v>Raven</v>
      </c>
      <c r="XO16" s="142" t="str">
        <f t="shared" ca="1" si="130"/>
        <v>Beast</v>
      </c>
      <c r="XP16" s="249" t="str">
        <f t="shared" ca="1" si="130"/>
        <v>Tiny</v>
      </c>
      <c r="XQ16" s="249">
        <f t="shared" ca="1" si="130"/>
        <v>12</v>
      </c>
      <c r="XR16" s="249">
        <f t="shared" ca="1" si="130"/>
        <v>1</v>
      </c>
      <c r="XS16" s="142" t="str">
        <f t="shared" ca="1" si="130"/>
        <v>10 ft, fly 50 ft</v>
      </c>
      <c r="XT16" s="249">
        <f t="shared" ca="1" si="130"/>
        <v>2</v>
      </c>
      <c r="XU16" s="249">
        <f t="shared" ca="1" si="130"/>
        <v>14</v>
      </c>
      <c r="XV16" s="249">
        <f t="shared" ca="1" si="130"/>
        <v>8</v>
      </c>
      <c r="XW16" s="249">
        <f t="shared" ca="1" si="130"/>
        <v>2</v>
      </c>
      <c r="XX16" s="249">
        <f t="shared" ca="1" si="130"/>
        <v>12</v>
      </c>
      <c r="XY16" s="249">
        <f t="shared" ca="1" si="130"/>
        <v>6</v>
      </c>
      <c r="XZ16" s="142" t="str">
        <f t="shared" ca="1" si="130"/>
        <v>Perception +3</v>
      </c>
      <c r="YA16" s="142" t="str">
        <f t="shared" ca="1" si="130"/>
        <v>passive Perception 13</v>
      </c>
      <c r="YB16" s="142" t="str">
        <f t="shared" ca="1" si="130"/>
        <v>Beak melee +4, reach 5ft, 1 piercing</v>
      </c>
      <c r="YC16" s="142" t="str">
        <f t="shared" ca="1" si="130"/>
        <v>Mimicry. Mimic simple sounds, such as a person whispering, a baby crying, or an animal chittering
A creature that hears the sounds can tell they are imitations with a DC 10 Wisdom (Insight) check</v>
      </c>
      <c r="YG16" s="58" t="s">
        <v>754</v>
      </c>
      <c r="YH16" s="58" t="s">
        <v>187</v>
      </c>
      <c r="YI16" s="215" t="s">
        <v>1767</v>
      </c>
      <c r="YJ16" s="215" t="s">
        <v>1803</v>
      </c>
      <c r="YK16" s="215" t="str">
        <f>""</f>
        <v/>
      </c>
      <c r="YL16" s="249" t="str">
        <f>""</f>
        <v/>
      </c>
      <c r="YM16" s="249" t="s">
        <v>3091</v>
      </c>
      <c r="YN16" s="249">
        <v>1</v>
      </c>
      <c r="YO16" s="249"/>
      <c r="YP16" s="249"/>
      <c r="YQ16" s="215"/>
      <c r="YT16" s="18" t="s">
        <v>226</v>
      </c>
      <c r="YU16" s="18">
        <v>16</v>
      </c>
      <c r="YV16" s="18" t="str">
        <f ca="1">VLOOKUP(YY16,$ZF$2:$ZP$23,$ZF$1,FALSE)</f>
        <v/>
      </c>
      <c r="YW16" s="18" t="str">
        <f ca="1">IF(YX16="","",MAX($YW$1:YW15)+1)</f>
        <v/>
      </c>
      <c r="YX16" s="59" t="str">
        <f t="shared" ca="1" si="71"/>
        <v/>
      </c>
      <c r="YY16" s="18" t="str">
        <f t="shared" ca="1" si="72"/>
        <v/>
      </c>
      <c r="YZ16" s="18">
        <f t="shared" si="117"/>
        <v>13</v>
      </c>
      <c r="ZA16" s="18" t="str">
        <f ca="1">IF(ZB16="","",MAX($ZA$2:ZA15)+1)</f>
        <v/>
      </c>
      <c r="ZB16" s="18" t="str">
        <f t="shared" ca="1" si="98"/>
        <v/>
      </c>
      <c r="ZC16" s="18" t="str">
        <f>IF(Start!AF32=SelectText,"",Start!AF32)</f>
        <v/>
      </c>
      <c r="ZD16" s="18" t="str">
        <f>IF(OR(COUNTIF($ZC$4:$ZC16,ZD$2)=0,COUNTIF($ZC$4:$ZC16,ZD$2)=MAX(ZD$2:ZD15)),"-",COUNTIF($ZC$4:$ZC16,ZD$2))</f>
        <v>-</v>
      </c>
      <c r="ZE16" s="18" t="str">
        <f>IF(OR(COUNTIF($ZC$4:$ZC16,ZE$2)=0,COUNTIF($ZC$4:$ZC16,ZE$2)=MAX(ZE$2:ZE15)),"-",COUNTIF($ZC$4:$ZC16,ZE$2))</f>
        <v>-</v>
      </c>
      <c r="ZF16" s="18" t="str">
        <f>IF(OR(COUNTIF($ZC$4:$ZC16,ZF$2)=0,COUNTIF($ZC$4:$ZC16,ZF$2)=MAX(ZF$2:ZF15)),"-",COUNTIF($ZC$4:$ZC16,ZF$2))</f>
        <v>-</v>
      </c>
      <c r="ZG16" s="18" t="str">
        <f>IF(OR(COUNTIF($ZC$4:$ZC16,ZG$2)=0,COUNTIF($ZC$4:$ZC16,ZG$2)=MAX(ZG$2:ZG15)),"-",COUNTIF($ZC$4:$ZC16,ZG$2))</f>
        <v>-</v>
      </c>
      <c r="ZH16" s="18" t="str">
        <f>IF(OR(COUNTIF($ZC$4:$ZC16,ZH$2)=0,COUNTIF($ZC$4:$ZC16,ZH$2)=MAX(ZH$2:ZH15)),"-",COUNTIF($ZC$4:$ZC16,ZH$2))</f>
        <v>-</v>
      </c>
      <c r="ZI16" s="18" t="str">
        <f>IF(OR(COUNTIF($ZC$4:$ZC16,ZI$2)=0,COUNTIF($ZC$4:$ZC16,ZI$2)=MAX(ZI$2:ZI15)),"-",COUNTIF($ZC$4:$ZC16,ZI$2))</f>
        <v>-</v>
      </c>
      <c r="ZJ16" s="18" t="str">
        <f>IF(OR(COUNTIF($ZC$4:$ZC16,ZJ$2)=0,COUNTIF($ZC$4:$ZC16,ZJ$2)=MAX(ZJ$2:ZJ15)),"-",COUNTIF($ZC$4:$ZC16,ZJ$2))</f>
        <v>-</v>
      </c>
      <c r="ZK16" s="18" t="str">
        <f>IF(OR(COUNTIF($ZC$4:$ZC16,ZK$2)=0,COUNTIF($ZC$4:$ZC16,ZK$2)=MAX(ZK$2:ZK15)),"-",COUNTIF($ZC$4:$ZC16,ZK$2))</f>
        <v>-</v>
      </c>
      <c r="ZL16" s="18" t="str">
        <f>IF(OR(COUNTIF($ZC$4:$ZC16,ZL$2)=0,COUNTIF($ZC$4:$ZC16,ZL$2)=MAX(ZL$2:ZL15)),"-",COUNTIF($ZC$4:$ZC16,ZL$2))</f>
        <v>-</v>
      </c>
      <c r="ZM16" s="18" t="str">
        <f>IF(OR(COUNTIF($ZC$4:$ZC16,ZM$2)=0,COUNTIF($ZC$4:$ZC16,ZM$2)=MAX(ZM$2:ZM15)),"-",COUNTIF($ZC$4:$ZC16,ZM$2))</f>
        <v>-</v>
      </c>
      <c r="ZN16" s="18" t="str">
        <f>IF(OR(COUNTIF($ZC$4:$ZC16,ZN$2)=0,COUNTIF($ZC$4:$ZC16,ZN$2)=MAX(ZN$2:ZN15)),"-",COUNTIF($ZC$4:$ZC16,ZN$2))</f>
        <v>-</v>
      </c>
      <c r="ZO16" s="18" t="str">
        <f>IF(OR(COUNTIF($ZC$4:$ZC16,ZO$2)=0,COUNTIF($ZC$4:$ZC16,ZO$2)=MAX(ZO$2:ZO15)),"-",COUNTIF($ZC$4:$ZC16,ZO$2))</f>
        <v>-</v>
      </c>
      <c r="ZP16" s="18">
        <f t="shared" si="118"/>
        <v>13</v>
      </c>
    </row>
    <row r="17" spans="5:694" ht="9.9499999999999993" customHeight="1" x14ac:dyDescent="0.25">
      <c r="E17" s="59"/>
      <c r="F17" s="59"/>
      <c r="G17" s="59"/>
      <c r="H17" s="59"/>
      <c r="I17" s="59"/>
      <c r="J17" s="59"/>
      <c r="K17" s="59"/>
      <c r="U17" s="404" t="s">
        <v>2700</v>
      </c>
      <c r="V17" s="399" t="str">
        <f>"• Damage Type: Lightning
• Breath Weapon: 5 by 30 ft. line. DC "&amp;8+IF(CONMod="",0,CONMod)+IF(ProfBonus="",0,ProfBonus)&amp;" Dex save for "&amp;IF(CharacterLevel&lt;6,"2d6",IF(CharacterLevel&lt;11,"3d6",IF(CharacterLevel&lt;15,"4d6", "5d6")))&amp;" on failed save, half on success."</f>
        <v>• Damage Type: Lightning
• Breath Weapon: 5 by 30 ft. line. DC 5 Dex save for 2d6 on failed save, half on success.</v>
      </c>
      <c r="W17" s="399" t="s">
        <v>2714</v>
      </c>
      <c r="X17" s="18" t="str">
        <f>IF(Y17="","",MAX($X$3:X16)+1)</f>
        <v/>
      </c>
      <c r="Y17" s="58" t="str">
        <f t="shared" si="131"/>
        <v/>
      </c>
      <c r="Z17" s="18">
        <f t="shared" si="109"/>
        <v>14</v>
      </c>
      <c r="AA17" s="18" t="str">
        <f t="shared" si="74"/>
        <v/>
      </c>
      <c r="AE17" s="455" t="s">
        <v>2365</v>
      </c>
      <c r="AF17" s="455" t="s">
        <v>2392</v>
      </c>
      <c r="AG17" s="740" t="s">
        <v>3521</v>
      </c>
      <c r="AH17" s="740" t="s">
        <v>2393</v>
      </c>
      <c r="AI17" s="382">
        <v>2</v>
      </c>
      <c r="AJ17" s="455" t="s">
        <v>2394</v>
      </c>
      <c r="AK17" s="381">
        <v>2</v>
      </c>
      <c r="AL17" s="455" t="s">
        <v>187</v>
      </c>
      <c r="AM17" s="381">
        <v>0</v>
      </c>
      <c r="AN17" s="18"/>
      <c r="AO17" s="18">
        <f t="shared" si="119"/>
        <v>16</v>
      </c>
      <c r="AP17" s="59" t="str">
        <f t="shared" si="132"/>
        <v/>
      </c>
      <c r="AQ17" s="59" t="str">
        <f>""</f>
        <v/>
      </c>
      <c r="AR17" s="254" t="s">
        <v>1061</v>
      </c>
      <c r="AS17" s="385" t="s">
        <v>2432</v>
      </c>
      <c r="AT17" s="254" t="s">
        <v>1087</v>
      </c>
      <c r="AU17" s="385" t="s">
        <v>2466</v>
      </c>
      <c r="AV17" s="255" t="s">
        <v>1143</v>
      </c>
      <c r="AW17" s="385" t="s">
        <v>2512</v>
      </c>
      <c r="AX17" s="385" t="s">
        <v>2545</v>
      </c>
      <c r="AY17" s="58" t="s">
        <v>1157</v>
      </c>
      <c r="AZ17" s="58" t="s">
        <v>2581</v>
      </c>
      <c r="BA17" s="254" t="s">
        <v>1024</v>
      </c>
      <c r="BB17" s="385" t="s">
        <v>2607</v>
      </c>
      <c r="BC17" s="58" t="s">
        <v>1183</v>
      </c>
      <c r="BD17" s="215" t="s">
        <v>2375</v>
      </c>
      <c r="BE17" s="18" t="str">
        <f>""</f>
        <v/>
      </c>
      <c r="BI17" s="392" t="s">
        <v>2698</v>
      </c>
      <c r="BJ17" s="398">
        <v>6</v>
      </c>
      <c r="BK17" s="396" t="str">
        <f>IF(BL17=0,"",MAX($BK$6:BK16)+1)</f>
        <v/>
      </c>
      <c r="BL17" s="396">
        <f>COUNTIF(Start!$AF$20:$AF$39,Tables!BI17)</f>
        <v>0</v>
      </c>
      <c r="BM17" s="394" t="str">
        <f>IF(OR(BK17="",BO17=""),"",MAX($BM$6:BM16)+1)</f>
        <v/>
      </c>
      <c r="BN17" s="567" t="s">
        <v>2698</v>
      </c>
      <c r="BO17" s="398" t="s">
        <v>42</v>
      </c>
      <c r="BP17" s="396" t="str">
        <f t="shared" si="120"/>
        <v/>
      </c>
      <c r="BQ17" s="566" t="s">
        <v>3095</v>
      </c>
      <c r="BR17" s="396">
        <v>1</v>
      </c>
      <c r="BS17" s="398"/>
      <c r="BT17" s="398"/>
      <c r="BU17" s="398"/>
      <c r="BV17" s="396">
        <f ca="1">IF(AND(SorcererDraconicBloodlineLevel&gt;0,ArmorName="",ArmorName="none"),13,10)</f>
        <v>10</v>
      </c>
      <c r="BW17" s="396">
        <v>0</v>
      </c>
      <c r="BX17" s="396">
        <v>0</v>
      </c>
      <c r="BY17" s="396" t="str">
        <f>""</f>
        <v/>
      </c>
      <c r="BZ17" s="566" t="s">
        <v>187</v>
      </c>
      <c r="CA17" s="566" t="s">
        <v>187</v>
      </c>
      <c r="CB17" s="397" t="s">
        <v>803</v>
      </c>
      <c r="CC17" s="566" t="s">
        <v>187</v>
      </c>
      <c r="CD17" s="566" t="s">
        <v>187</v>
      </c>
      <c r="CE17" s="396">
        <v>0</v>
      </c>
      <c r="CF17" s="567" t="s">
        <v>187</v>
      </c>
      <c r="CG17" s="396">
        <v>0</v>
      </c>
      <c r="CH17" s="567" t="s">
        <v>3096</v>
      </c>
      <c r="CI17" s="567" t="s">
        <v>3097</v>
      </c>
      <c r="CJ17" s="396">
        <v>2</v>
      </c>
      <c r="CK17" s="567" t="s">
        <v>187</v>
      </c>
      <c r="CL17" s="396">
        <v>0</v>
      </c>
      <c r="CM17" s="393" t="e">
        <f>"• Spellcasting, Sorcerer Origin ("&amp;VLOOKUP($BN17,$BN$3:$BQ$5,4,FALSE)&amp;")
• Sorcerer Origin Feature ("&amp;VLOOKUP($BI17,$DM$3:$EH$5,DO$2-1,FALSE)&amp;")
"</f>
        <v>#N/A</v>
      </c>
      <c r="CN17" s="393" t="str">
        <f>"• Font of Magic ("&amp;SorcererLevel&amp;" Sorcery Points)
"</f>
        <v xml:space="preserve">• Font of Magic (0 Sorcery Points)
</v>
      </c>
      <c r="CO17" s="393" t="str">
        <f>"• Metamagic
"&amp;IG2</f>
        <v xml:space="preserve">• Metamagic
</v>
      </c>
      <c r="CP17" s="393" t="str">
        <f>IF(SorcererLevel&gt;=DE$6,"• Ability Score Improvement / Feat: level "&amp;DE$6&amp;", "&amp;DB$6&amp;", "&amp;CX$6&amp;", "&amp;CT$6&amp;", "&amp;CP$6,IF(SorcererLevel&gt;=DB$6,"• Ability Score Improvement / Feat: level "&amp;DB$6&amp;", "&amp;CX$6&amp;", "&amp;CT$6&amp;", "&amp;CP$6,IF(SorcererLevel&gt;=CX$6,"• Ability Score Improvement / Feat: level "&amp;CX$6&amp;", "&amp;CT$6&amp;", "&amp;CP$6,IF(SorcererLevel&gt;=CT$6,"• Ability Score Improvement / Feat : level "&amp;CT$6&amp;", "&amp;CP$6,"• Ability Score Improvement / Feat: level "&amp;CP$6))))&amp;"
"</f>
        <v xml:space="preserve">• Ability Score Improvement / Feat: level 4
</v>
      </c>
      <c r="CQ17" s="393" t="str">
        <f>""</f>
        <v/>
      </c>
      <c r="CR17" s="393" t="e">
        <f>"• Sorcerer Origin Feature ("&amp;VLOOKUP($BI17,$DM$3:$EH$5,DT$2-1,FALSE)&amp;")
"</f>
        <v>#N/A</v>
      </c>
      <c r="CS17" s="393" t="str">
        <f>""</f>
        <v/>
      </c>
      <c r="CT17" s="393" t="str">
        <f>""</f>
        <v/>
      </c>
      <c r="CU17" s="393" t="str">
        <f>""</f>
        <v/>
      </c>
      <c r="CV17" s="393" t="str">
        <f>"• Metamagic
"</f>
        <v xml:space="preserve">• Metamagic
</v>
      </c>
      <c r="CW17" s="393" t="str">
        <f>""</f>
        <v/>
      </c>
      <c r="CX17" s="393" t="str">
        <f>""</f>
        <v/>
      </c>
      <c r="CY17" s="393" t="str">
        <f>""</f>
        <v/>
      </c>
      <c r="CZ17" s="393" t="e">
        <f>"• Sorcerer Origin Feature ("&amp;VLOOKUP($BI17,$DM$3:$EH$5,EB$2-1,FALSE)&amp;")
"</f>
        <v>#N/A</v>
      </c>
      <c r="DA17" s="393" t="str">
        <f>""</f>
        <v/>
      </c>
      <c r="DB17" s="393" t="str">
        <f>""</f>
        <v/>
      </c>
      <c r="DC17" s="393" t="str">
        <f>""</f>
        <v/>
      </c>
      <c r="DD17" s="393" t="e">
        <f>"• Sorcerer Origin Feature ("&amp;VLOOKUP($BI17,$DM$3:$EH$5,EF$2-1,FALSE)&amp;")
"</f>
        <v>#N/A</v>
      </c>
      <c r="DE17" s="393" t="str">
        <f>""</f>
        <v/>
      </c>
      <c r="DF17" s="393" t="str">
        <f>"• Sorcerous Restoration
"</f>
        <v xml:space="preserve">• Sorcerous Restoration
</v>
      </c>
      <c r="DG17" s="339"/>
      <c r="DH17" s="389"/>
      <c r="DI17" s="389"/>
      <c r="DJ17" s="389"/>
      <c r="DL17" s="59" t="s">
        <v>1513</v>
      </c>
      <c r="DM17" s="18" t="s">
        <v>315</v>
      </c>
      <c r="DN17" s="18">
        <f t="shared" ca="1" si="121"/>
        <v>0</v>
      </c>
      <c r="DO17" s="58" t="str">
        <f>""</f>
        <v/>
      </c>
      <c r="DP17" s="58" t="str">
        <f>""</f>
        <v/>
      </c>
      <c r="DQ17" s="58" t="s">
        <v>1828</v>
      </c>
      <c r="DR17" s="58" t="str">
        <f>""</f>
        <v/>
      </c>
      <c r="DS17" s="58" t="str">
        <f>""</f>
        <v/>
      </c>
      <c r="DT17" s="58" t="str">
        <f>""</f>
        <v/>
      </c>
      <c r="DU17" s="58" t="str">
        <f>""</f>
        <v/>
      </c>
      <c r="DV17" s="58" t="str">
        <f>""</f>
        <v/>
      </c>
      <c r="DW17" s="58" t="s">
        <v>1829</v>
      </c>
      <c r="DX17" s="58" t="str">
        <f>""</f>
        <v/>
      </c>
      <c r="DY17" s="58" t="str">
        <f>""</f>
        <v/>
      </c>
      <c r="DZ17" s="58" t="str">
        <f>""</f>
        <v/>
      </c>
      <c r="EA17" s="58" t="s">
        <v>1830</v>
      </c>
      <c r="EB17" s="58" t="str">
        <f>""</f>
        <v/>
      </c>
      <c r="EC17" s="58" t="str">
        <f>""</f>
        <v/>
      </c>
      <c r="ED17" s="58" t="str">
        <f>""</f>
        <v/>
      </c>
      <c r="EE17" s="58" t="s">
        <v>2083</v>
      </c>
      <c r="EF17" s="58" t="str">
        <f>""</f>
        <v/>
      </c>
      <c r="EG17" s="58" t="str">
        <f>""</f>
        <v/>
      </c>
      <c r="EH17" s="58" t="str">
        <f>""</f>
        <v/>
      </c>
      <c r="EI17" s="103" t="str">
        <f>""</f>
        <v/>
      </c>
      <c r="EJ17" s="103" t="str">
        <f>""</f>
        <v/>
      </c>
      <c r="EK17" s="103"/>
      <c r="EL17" s="103" t="str">
        <f>""</f>
        <v/>
      </c>
      <c r="EM17" s="103"/>
      <c r="EN17" s="103" t="str">
        <f>""</f>
        <v/>
      </c>
      <c r="EO17" s="103"/>
      <c r="EP17" s="103" t="str">
        <f>""</f>
        <v/>
      </c>
      <c r="EQ17" s="103"/>
      <c r="ER17" s="103" t="str">
        <f>""</f>
        <v/>
      </c>
      <c r="ES17" s="103"/>
      <c r="ET17" s="59" t="str">
        <f>""</f>
        <v/>
      </c>
      <c r="EU17" s="18" t="str">
        <f>""</f>
        <v/>
      </c>
      <c r="EV17" s="59" t="str">
        <f>""</f>
        <v/>
      </c>
      <c r="EW17" s="18" t="str">
        <f>""</f>
        <v/>
      </c>
      <c r="EX17" s="59" t="str">
        <f>""</f>
        <v/>
      </c>
      <c r="EY17" s="18" t="str">
        <f>""</f>
        <v/>
      </c>
      <c r="FA17" s="18" t="str">
        <f>IF($DM17=FB$5,MAX(FA$6:FA16)+1,"")</f>
        <v/>
      </c>
      <c r="FB17" s="58" t="str">
        <f t="shared" si="122"/>
        <v/>
      </c>
      <c r="FC17" s="18"/>
      <c r="FE17" s="18" t="str">
        <f>IF($DM17=FF$5,MAX(FE$6:FE16)+1,"")</f>
        <v/>
      </c>
      <c r="FF17" s="58" t="str">
        <f t="shared" si="123"/>
        <v/>
      </c>
      <c r="FG17" s="18"/>
      <c r="FI17" s="18" t="str">
        <f>IF($DM17=FJ$5,MAX(FI$6:FI16)+1,"")</f>
        <v/>
      </c>
      <c r="FJ17" s="58" t="str">
        <f t="shared" si="124"/>
        <v/>
      </c>
      <c r="FK17" s="18"/>
      <c r="FM17" s="58" t="s">
        <v>1894</v>
      </c>
      <c r="FN17" s="59">
        <f>Start!X69</f>
        <v>0</v>
      </c>
      <c r="FO17" s="18" t="str">
        <f>IF($FM17=$FP17,MAX(FO$3:FO16)+1,"")</f>
        <v/>
      </c>
      <c r="FP17" s="59" t="str">
        <f t="shared" si="101"/>
        <v/>
      </c>
      <c r="FQ17" s="18">
        <f t="shared" si="102"/>
        <v>15</v>
      </c>
      <c r="FR17" s="59" t="str">
        <f t="shared" si="75"/>
        <v/>
      </c>
      <c r="FS17" s="18"/>
      <c r="FT17" s="18"/>
      <c r="FU17" s="18"/>
      <c r="FV17" s="18"/>
      <c r="FW17" s="18" t="str">
        <f>IF(FX17="","",MAX($FW$15:FW16)+1)</f>
        <v/>
      </c>
      <c r="FX17" s="59" t="str">
        <f>IF(OR(FighterLevel&gt;0,PaladinLevel&gt;1,RangerLevel&gt;1),FX26,"")</f>
        <v/>
      </c>
      <c r="GB17" s="59" t="s">
        <v>3429</v>
      </c>
      <c r="GC17" s="142" t="s">
        <v>3483</v>
      </c>
      <c r="GD17" s="142"/>
      <c r="GK17" s="18"/>
      <c r="GL17" s="18"/>
      <c r="GM17" s="18"/>
      <c r="GN17" s="18"/>
      <c r="GO17" s="18"/>
      <c r="GP17" s="18"/>
      <c r="GQ17" s="59" t="s">
        <v>2807</v>
      </c>
      <c r="GR17" s="59" t="s">
        <v>3499</v>
      </c>
      <c r="GS17" s="18">
        <v>3</v>
      </c>
      <c r="GT17" s="18">
        <v>2</v>
      </c>
      <c r="GU17" s="18" t="str">
        <f ca="1">IF(GV17="","",MAX($GU$3:GU16)+1)</f>
        <v/>
      </c>
      <c r="GV17" s="59" t="str">
        <f t="shared" ca="1" si="76"/>
        <v/>
      </c>
      <c r="GW17" s="18">
        <f t="shared" si="103"/>
        <v>15</v>
      </c>
      <c r="GX17" s="59" t="str">
        <f t="shared" ca="1" si="44"/>
        <v/>
      </c>
      <c r="GY17" s="59"/>
      <c r="HK17" s="209" t="s">
        <v>2951</v>
      </c>
      <c r="HL17" s="59" t="str">
        <f>""</f>
        <v/>
      </c>
      <c r="HM17" s="58" t="s">
        <v>2919</v>
      </c>
      <c r="HX17" s="59" t="s">
        <v>432</v>
      </c>
      <c r="IH17" s="18">
        <f>IF(IJ17=1,MAX($IH$2:IH16)+1,"")</f>
        <v>8</v>
      </c>
      <c r="II17" s="58" t="s">
        <v>3307</v>
      </c>
      <c r="IJ17" s="59">
        <f>1</f>
        <v>1</v>
      </c>
      <c r="IK17" s="215" t="s">
        <v>3360</v>
      </c>
      <c r="IL17" s="18">
        <f t="shared" si="105"/>
        <v>15</v>
      </c>
      <c r="IM17" s="59" t="str">
        <f t="shared" si="77"/>
        <v/>
      </c>
      <c r="IN17" s="59"/>
      <c r="IO17" s="59"/>
      <c r="IP17" s="59"/>
      <c r="IQ17" s="59"/>
      <c r="IR17" s="59"/>
      <c r="IS17" s="59"/>
      <c r="IT17" s="59"/>
      <c r="IU17" s="59"/>
      <c r="IX17" s="59" t="s">
        <v>1483</v>
      </c>
      <c r="IY17" s="59" t="s">
        <v>943</v>
      </c>
      <c r="IZ17" s="59" t="s">
        <v>198</v>
      </c>
      <c r="JA17" s="59" t="s">
        <v>890</v>
      </c>
      <c r="JB17" s="59" t="s">
        <v>901</v>
      </c>
      <c r="JC17" s="18">
        <f>IF(JD17="","",MAX($JC$1:JC16)+1)</f>
        <v>14</v>
      </c>
      <c r="JD17" s="58" t="s">
        <v>272</v>
      </c>
      <c r="JE17" s="58" t="s">
        <v>272</v>
      </c>
      <c r="JF17" s="18">
        <v>16</v>
      </c>
      <c r="JG17" s="59" t="str">
        <f t="shared" si="27"/>
        <v>Sylvan</v>
      </c>
      <c r="JH17" s="18">
        <v>16</v>
      </c>
      <c r="JI17" s="60">
        <v>195000</v>
      </c>
      <c r="JJ17" s="18">
        <v>16</v>
      </c>
      <c r="JK17" s="18">
        <v>5</v>
      </c>
      <c r="JL17" s="18"/>
      <c r="JM17" s="18">
        <v>15</v>
      </c>
      <c r="JN17" s="80">
        <f t="shared" ca="1" si="127"/>
        <v>4</v>
      </c>
      <c r="JO17" s="80">
        <f t="shared" ca="1" si="127"/>
        <v>3</v>
      </c>
      <c r="JP17" s="80">
        <f t="shared" ca="1" si="127"/>
        <v>3</v>
      </c>
      <c r="JQ17" s="80">
        <f t="shared" ca="1" si="127"/>
        <v>3</v>
      </c>
      <c r="JR17" s="80">
        <f t="shared" ca="1" si="127"/>
        <v>2</v>
      </c>
      <c r="JS17" s="80">
        <f t="shared" ca="1" si="127"/>
        <v>1</v>
      </c>
      <c r="JT17" s="80">
        <f t="shared" ca="1" si="127"/>
        <v>1</v>
      </c>
      <c r="JU17" s="80">
        <f t="shared" ca="1" si="127"/>
        <v>1</v>
      </c>
      <c r="JV17" s="80" t="str">
        <f t="shared" ca="1" si="127"/>
        <v>-</v>
      </c>
      <c r="JW17" s="80">
        <f t="shared" ca="1" si="127"/>
        <v>8</v>
      </c>
      <c r="JX17" s="98"/>
      <c r="KD17" s="18">
        <v>15</v>
      </c>
      <c r="KE17" s="302">
        <v>10</v>
      </c>
      <c r="KF17" s="302">
        <v>19</v>
      </c>
      <c r="KG17" s="302">
        <v>10</v>
      </c>
      <c r="KH17" s="302">
        <v>9</v>
      </c>
      <c r="KI17" s="302">
        <v>14</v>
      </c>
      <c r="KJ17" s="302">
        <v>13</v>
      </c>
      <c r="KK17" s="18">
        <v>15</v>
      </c>
      <c r="KL17" s="98">
        <v>5</v>
      </c>
      <c r="KM17" s="98">
        <v>5</v>
      </c>
      <c r="KN17" s="98">
        <v>3</v>
      </c>
      <c r="KO17" s="98">
        <v>4</v>
      </c>
      <c r="KP17" s="98">
        <v>4</v>
      </c>
      <c r="KQ17" s="98">
        <v>6</v>
      </c>
      <c r="KR17" s="80">
        <v>4</v>
      </c>
      <c r="KS17" s="73"/>
      <c r="KT17" s="93" t="s">
        <v>1525</v>
      </c>
      <c r="KU17" s="80" t="str">
        <f t="shared" si="128"/>
        <v>No</v>
      </c>
      <c r="KV17" s="89" t="s">
        <v>333</v>
      </c>
      <c r="KW17" s="270"/>
      <c r="KX17" s="270"/>
      <c r="KY17" s="270"/>
      <c r="KZ17" s="270"/>
      <c r="LA17" s="270"/>
      <c r="LB17" s="92"/>
      <c r="LC17" s="270"/>
      <c r="LD17" s="270"/>
      <c r="LE17" s="270"/>
      <c r="LF17" s="455"/>
      <c r="LG17" s="270"/>
      <c r="LH17" s="270"/>
      <c r="LI17" s="270"/>
      <c r="LJ17" s="270"/>
      <c r="LK17" s="270"/>
      <c r="LL17" s="406"/>
      <c r="LM17" s="455"/>
      <c r="LN17" s="270"/>
      <c r="LO17" s="270"/>
      <c r="LP17" s="270"/>
      <c r="LQ17" s="92"/>
      <c r="LR17" s="270"/>
      <c r="LS17" s="270"/>
      <c r="LT17" s="92"/>
      <c r="LU17" s="92"/>
      <c r="LV17" s="270"/>
      <c r="LW17" s="270"/>
      <c r="LX17" s="270"/>
      <c r="LY17" s="92"/>
      <c r="LZ17" s="92"/>
      <c r="MA17" s="92"/>
      <c r="MB17" s="92"/>
      <c r="MC17" s="92"/>
      <c r="MD17" s="92"/>
      <c r="ME17" s="92"/>
      <c r="MF17" s="92"/>
      <c r="MG17" s="92"/>
      <c r="MH17" s="92"/>
      <c r="MI17" s="92"/>
      <c r="MJ17" s="92"/>
      <c r="MK17" s="92"/>
      <c r="ML17" s="94"/>
      <c r="MM17" s="94"/>
      <c r="MN17" s="94"/>
      <c r="MO17" s="94"/>
      <c r="MP17" s="94"/>
      <c r="MQ17" s="94"/>
      <c r="MR17" s="94"/>
      <c r="MS17" s="94"/>
      <c r="MT17" s="94"/>
      <c r="MU17" s="94"/>
      <c r="MV17" s="94"/>
      <c r="MW17" s="94"/>
      <c r="MX17" s="94"/>
      <c r="MY17" s="94"/>
      <c r="MZ17" s="94"/>
      <c r="NA17" s="94"/>
      <c r="NB17" s="94"/>
      <c r="NC17" s="94"/>
      <c r="ND17" s="94"/>
      <c r="NE17" s="94"/>
      <c r="NF17" s="94"/>
      <c r="NG17" s="94"/>
      <c r="NH17" s="94"/>
      <c r="NI17" s="94"/>
      <c r="NJ17" s="94"/>
      <c r="NK17" s="94"/>
      <c r="NL17" s="94"/>
      <c r="NM17" s="94"/>
      <c r="NN17" s="94"/>
      <c r="NO17" s="94"/>
      <c r="NP17" s="438"/>
      <c r="NQ17" s="94"/>
      <c r="NR17" s="94"/>
      <c r="NS17" s="94"/>
      <c r="NT17" s="94"/>
      <c r="NU17" s="94"/>
      <c r="NV17" s="456"/>
      <c r="NW17" s="456"/>
      <c r="NX17" s="456"/>
      <c r="NY17" s="456"/>
      <c r="NZ17" s="456"/>
      <c r="OA17" s="94"/>
      <c r="OB17" s="94"/>
      <c r="OC17" s="94"/>
      <c r="OD17" s="94"/>
      <c r="OE17" s="94"/>
      <c r="OF17" s="94"/>
      <c r="OG17" s="94"/>
      <c r="OH17" s="94"/>
      <c r="OI17" s="94"/>
      <c r="OJ17" s="94"/>
      <c r="OK17" s="94"/>
      <c r="OL17" s="94"/>
      <c r="OM17" s="94"/>
      <c r="ON17" s="94"/>
      <c r="OO17" s="94"/>
      <c r="OP17" s="94"/>
      <c r="OQ17" s="94"/>
      <c r="OR17" s="94"/>
      <c r="OS17" s="94"/>
      <c r="OT17" s="94"/>
      <c r="OU17" s="94"/>
      <c r="OV17" s="94"/>
      <c r="OW17" s="94"/>
      <c r="OX17" s="94"/>
      <c r="OY17" s="94"/>
      <c r="OZ17" s="94"/>
      <c r="PA17" s="94"/>
      <c r="PB17" s="94"/>
      <c r="PC17" s="94"/>
      <c r="PD17" s="94"/>
      <c r="PE17" s="94"/>
      <c r="PF17" s="94"/>
      <c r="PG17" s="94"/>
      <c r="PH17" s="94"/>
      <c r="PI17" s="94"/>
      <c r="PJ17" s="94"/>
      <c r="PK17" s="94"/>
      <c r="PL17" s="94"/>
      <c r="PM17" s="94"/>
      <c r="PN17" s="94"/>
      <c r="PO17" s="94"/>
      <c r="PP17" s="94"/>
      <c r="PQ17" s="94"/>
      <c r="PR17" s="94"/>
      <c r="PS17" s="94" t="str">
        <f>IF(COUNTIF(Start!$AX$59:$BF$68,Tables!KT17)&gt;0,Tables!KT17,"")</f>
        <v/>
      </c>
      <c r="PT17" s="94"/>
      <c r="PU17" s="59" t="str">
        <f t="shared" si="129"/>
        <v/>
      </c>
      <c r="PV17" s="59" t="str">
        <f>IF(PU17="","",IF(COUNTIF(PU17:$PU$57,"&gt;&lt;")&gt;1,PU17&amp;", ", PU17))</f>
        <v/>
      </c>
      <c r="PW17" s="59"/>
      <c r="PX17" s="59"/>
      <c r="PY17" s="18"/>
      <c r="PZ17" s="19" t="s">
        <v>132</v>
      </c>
      <c r="QA17" s="19" t="s">
        <v>129</v>
      </c>
      <c r="QB17" s="27" t="str">
        <f t="shared" ca="1" si="79"/>
        <v>not proficient</v>
      </c>
      <c r="QC17" s="67" t="s">
        <v>131</v>
      </c>
      <c r="QD17" s="19" t="s">
        <v>134</v>
      </c>
      <c r="QE17" s="26" t="s">
        <v>140</v>
      </c>
      <c r="QF17" s="26">
        <v>6</v>
      </c>
      <c r="QG17" s="26" t="str">
        <f>""</f>
        <v/>
      </c>
      <c r="QH17" s="26" t="str">
        <f>""</f>
        <v/>
      </c>
      <c r="QI17" s="26" t="s">
        <v>137</v>
      </c>
      <c r="QJ17" s="26" t="str">
        <f>""</f>
        <v/>
      </c>
      <c r="QK17" s="26" t="str">
        <f>""</f>
        <v/>
      </c>
      <c r="QL17" s="26" t="str">
        <f>""</f>
        <v/>
      </c>
      <c r="QM17" s="26" t="str">
        <f>""</f>
        <v/>
      </c>
      <c r="QN17" s="26" t="str">
        <f>""</f>
        <v/>
      </c>
      <c r="QO17" s="26" t="s">
        <v>147</v>
      </c>
      <c r="QP17" s="26" t="str">
        <f>""</f>
        <v/>
      </c>
      <c r="QQ17" s="27" t="str">
        <f>""</f>
        <v/>
      </c>
      <c r="QR17" s="27" t="str">
        <f>""</f>
        <v/>
      </c>
      <c r="QT17" s="733">
        <f t="shared" si="46"/>
        <v>17</v>
      </c>
      <c r="QU17" s="727" t="s">
        <v>94</v>
      </c>
      <c r="QV17" s="727"/>
      <c r="QW17" s="727"/>
      <c r="QX17" s="727"/>
      <c r="QY17" s="727"/>
      <c r="QZ17" s="727" t="str">
        <f>VLOOKUP(Start!AV$137,Tables!$PZ$2:$QQ$500,$QT17,FALSE)</f>
        <v/>
      </c>
      <c r="RA17" s="727"/>
      <c r="RB17" s="729"/>
      <c r="RC17" s="727"/>
      <c r="RD17" s="727"/>
      <c r="RE17" s="727"/>
      <c r="RF17" s="727"/>
      <c r="RG17" s="727"/>
      <c r="RH17" s="727" t="str">
        <f>VLOOKUP(Start!BD$137,Tables!$PZ$2:$QQ$500,$QT17,FALSE)</f>
        <v/>
      </c>
      <c r="RI17" s="727"/>
      <c r="RJ17" s="727"/>
      <c r="RK17" s="727"/>
      <c r="RL17" s="727"/>
      <c r="RM17" s="727"/>
      <c r="RN17" s="729"/>
      <c r="RO17" s="729"/>
      <c r="RP17" s="727" t="str">
        <f>VLOOKUP(Start!BL$137,Tables!$PZ$2:$QQ$500,$QT17,FALSE)</f>
        <v/>
      </c>
      <c r="RQ17" s="729"/>
      <c r="RR17" s="729"/>
      <c r="RS17" s="729"/>
      <c r="RT17" s="729"/>
      <c r="RU17" s="729"/>
      <c r="RV17" s="729"/>
      <c r="RW17" s="729"/>
      <c r="RX17" s="727" t="str">
        <f>VLOOKUP(Start!BT$137,Tables!$PZ$2:$QQ$500,$QT17,FALSE)</f>
        <v/>
      </c>
      <c r="RY17" s="729"/>
      <c r="RZ17" s="729"/>
      <c r="SA17" s="729"/>
      <c r="SB17" s="729"/>
      <c r="SC17" s="729"/>
      <c r="SD17" s="729"/>
      <c r="SE17" s="729"/>
      <c r="SF17" s="727" t="str">
        <f>VLOOKUP(Start!CB$137,Tables!$PZ$2:$QQ$500,$QT17,FALSE)</f>
        <v/>
      </c>
      <c r="SG17" s="729"/>
      <c r="SH17" s="729"/>
      <c r="SI17" s="729"/>
      <c r="SJ17" s="729"/>
      <c r="SK17" s="729"/>
      <c r="SL17" s="729"/>
      <c r="SM17" s="634"/>
      <c r="SN17" s="727" t="str">
        <f>VLOOKUP(Start!CJ$137,Tables!$PZ$2:$QQ$500,$QT17,FALSE)</f>
        <v/>
      </c>
      <c r="SO17" s="729"/>
      <c r="SP17" s="729"/>
      <c r="SQ17" s="634"/>
      <c r="SR17" s="19" t="s">
        <v>632</v>
      </c>
      <c r="SS17" s="19" t="s">
        <v>1004</v>
      </c>
      <c r="ST17" s="26" t="str">
        <f ca="1">IF(SR17="","",IF(Start!$Y$157=$QS$12,$QS$12&amp;" (disadvantage)",IF(Start!$Y$157=$QS$11,$QS$11,IF(VLOOKUP(SR17,$KT$60:$KV$78,2,FALSE)="No",$QS$12&amp;" (disadvantage)",$QS$11))))</f>
        <v>not proficient (disadvantage)</v>
      </c>
      <c r="SU17" s="68">
        <v>13</v>
      </c>
      <c r="SV17" s="44">
        <f>DEXMod</f>
        <v>-5</v>
      </c>
      <c r="SW17" s="231" t="s">
        <v>140</v>
      </c>
      <c r="SX17" s="45" t="s">
        <v>140</v>
      </c>
      <c r="SY17" s="27" t="s">
        <v>140</v>
      </c>
      <c r="SZ17" s="45" t="str">
        <f ca="1">ST17&amp;", spell (8 hrs)"</f>
        <v>not proficient (disadvantage), spell (8 hrs)</v>
      </c>
      <c r="TA17" s="19"/>
      <c r="TB17" s="19"/>
      <c r="TC17" s="19"/>
      <c r="TD17" s="44"/>
      <c r="TE17" s="26"/>
      <c r="TF17" s="231"/>
      <c r="TG17" s="26"/>
      <c r="TH17" s="27"/>
      <c r="TI17" s="27"/>
      <c r="TJ17" s="18">
        <f t="shared" si="115"/>
        <v>15</v>
      </c>
      <c r="TK17" s="58" t="s">
        <v>518</v>
      </c>
      <c r="TL17" s="58" t="s">
        <v>459</v>
      </c>
      <c r="TM17" s="18">
        <v>2</v>
      </c>
      <c r="TN17" s="59" t="str">
        <f t="shared" si="47"/>
        <v xml:space="preserve">Arcane Lock </v>
      </c>
      <c r="TO17" s="18" t="str">
        <f>""</f>
        <v/>
      </c>
      <c r="TP17" s="18" t="str">
        <f t="shared" si="48"/>
        <v/>
      </c>
      <c r="TQ17" s="18" t="str">
        <f>IF(OR(TK17=Spellcasting!$AC$18,TK17=Spellcasting!$AC$19),"ᵐ","")</f>
        <v/>
      </c>
      <c r="TR17" s="18" t="str">
        <f>IF(OR(TK17=Spellcasting!$AC$20,TK17=Spellcasting!$AC$21),"ˢ","")</f>
        <v/>
      </c>
      <c r="TS17" s="18" t="str">
        <f>""</f>
        <v/>
      </c>
      <c r="TT17" s="18" t="s">
        <v>484</v>
      </c>
      <c r="TU17" s="18" t="s">
        <v>519</v>
      </c>
      <c r="TV17" s="18" t="s">
        <v>857</v>
      </c>
      <c r="TW17" s="18" t="s">
        <v>495</v>
      </c>
      <c r="TX17" s="59" t="s">
        <v>856</v>
      </c>
      <c r="TY17" s="18" t="s">
        <v>516</v>
      </c>
      <c r="TZ17" s="18" t="s">
        <v>517</v>
      </c>
      <c r="UA17" s="142" t="s">
        <v>858</v>
      </c>
      <c r="UB17" s="319" t="s">
        <v>3232</v>
      </c>
      <c r="UL17" s="18" t="str">
        <f ca="1">IF(UL$1&gt;=$TM17,1,"0")</f>
        <v>0</v>
      </c>
      <c r="WD17" s="18" t="str">
        <f ca="1">IF(SUM($VZ$1:$WC$1)&gt;0,IF(AND(SUM($VZ17:$WC17)&gt;0,$TM17=WE$1),MAX(WD$2:WD16)+1,""),IF(AND(SUM($UC17:$VY17)&gt;0,$TM17=WE$1),MAX(WD$2:WD16)+1,""))</f>
        <v/>
      </c>
      <c r="WE17" s="59" t="str">
        <f t="shared" ca="1" si="80"/>
        <v/>
      </c>
      <c r="WF17" s="18" t="str">
        <f ca="1">IF(AND(SUM($UB17:$VY17)&gt;0,$TM17=WG$1),MAX(WF$2:WF16)+1,"")</f>
        <v/>
      </c>
      <c r="WG17" s="59" t="str">
        <f t="shared" ca="1" si="81"/>
        <v/>
      </c>
      <c r="WH17" s="18" t="str">
        <f ca="1">IF(AND(SUM($UB17:$VY17)&gt;0,$TM17=WI$1),MAX(WH$2:WH16)+1,"")</f>
        <v/>
      </c>
      <c r="WI17" s="59" t="str">
        <f t="shared" ca="1" si="82"/>
        <v/>
      </c>
      <c r="WJ17" s="18" t="str">
        <f ca="1">IF(AND(SUM($UB17:$VY17)&gt;0,$TM17=WK$1),MAX(WJ$2:WJ16)+1,"")</f>
        <v/>
      </c>
      <c r="WK17" s="59" t="str">
        <f t="shared" ca="1" si="83"/>
        <v/>
      </c>
      <c r="WL17" s="18" t="str">
        <f ca="1">IF(AND(SUM($UB17:$VY17)&gt;0,$TM17=WM$1),MAX(WL$2:WL16)+1,"")</f>
        <v/>
      </c>
      <c r="WM17" s="59" t="str">
        <f t="shared" ca="1" si="84"/>
        <v/>
      </c>
      <c r="WN17" s="18" t="str">
        <f ca="1">IF(AND(SUM($UB17:$VY17)&gt;0,$TM17=WO$1),MAX(WN$2:WN16)+1,"")</f>
        <v/>
      </c>
      <c r="WO17" s="59" t="str">
        <f t="shared" ca="1" si="85"/>
        <v/>
      </c>
      <c r="WP17" s="18" t="str">
        <f ca="1">IF(AND(SUM($UB17:$VY17)&gt;0,$TM17=WQ$1),MAX(WP$2:WP16)+1,"")</f>
        <v/>
      </c>
      <c r="WQ17" s="59" t="str">
        <f t="shared" ca="1" si="86"/>
        <v/>
      </c>
      <c r="WR17" s="18" t="str">
        <f ca="1">IF(AND(SUM($UB17:$VY17)&gt;0,$TM17=WS$1),MAX(WR$2:WR16)+1,"")</f>
        <v/>
      </c>
      <c r="WS17" s="59" t="str">
        <f t="shared" ca="1" si="87"/>
        <v/>
      </c>
      <c r="WT17" s="18" t="str">
        <f ca="1">IF(AND(SUM($UB17:$VY17)&gt;0,$TM17=WU$1),MAX(WT$2:WT16)+1,"")</f>
        <v/>
      </c>
      <c r="WU17" s="59" t="str">
        <f t="shared" ca="1" si="88"/>
        <v/>
      </c>
      <c r="WV17" s="18" t="str">
        <f ca="1">IF(AND(SUM($UB17:$VY17)&gt;0,$TM17=WW$1),MAX(WV$2:WV16)+1,"")</f>
        <v/>
      </c>
      <c r="WW17" s="59" t="str">
        <f t="shared" ca="1" si="89"/>
        <v/>
      </c>
      <c r="WX17" s="18" t="str">
        <f ca="1">IF(AND(SUM($UB17:$VY17)&gt;0,$TM17=WY$1),MAX(WX$2:WX16)+1,"")</f>
        <v/>
      </c>
      <c r="WY17" s="59" t="str">
        <f t="shared" ca="1" si="90"/>
        <v/>
      </c>
      <c r="WZ17" s="18">
        <v>16</v>
      </c>
      <c r="XA17" s="59" t="str">
        <f t="shared" ca="1" si="91"/>
        <v/>
      </c>
      <c r="XB17" s="59" t="str">
        <f t="shared" ca="1" si="28"/>
        <v/>
      </c>
      <c r="XC17" s="59" t="str">
        <f t="shared" ca="1" si="29"/>
        <v/>
      </c>
      <c r="XD17" s="59" t="str">
        <f t="shared" ca="1" si="60"/>
        <v/>
      </c>
      <c r="XE17" s="59" t="str">
        <f t="shared" ca="1" si="61"/>
        <v/>
      </c>
      <c r="XF17" s="59" t="str">
        <f t="shared" ca="1" si="62"/>
        <v/>
      </c>
      <c r="XG17" s="59" t="str">
        <f t="shared" ca="1" si="63"/>
        <v/>
      </c>
      <c r="XH17" s="59" t="str">
        <f t="shared" ca="1" si="64"/>
        <v/>
      </c>
      <c r="XI17" s="59" t="str">
        <f t="shared" ca="1" si="65"/>
        <v/>
      </c>
      <c r="XJ17" s="59" t="str">
        <f t="shared" ca="1" si="66"/>
        <v/>
      </c>
      <c r="XK17" s="59" t="str">
        <f t="shared" ca="1" si="67"/>
        <v/>
      </c>
      <c r="XL17" s="59"/>
      <c r="XM17" s="18">
        <f t="shared" si="116"/>
        <v>13</v>
      </c>
      <c r="XN17" s="142" t="str">
        <f t="shared" ca="1" si="130"/>
        <v>Scorpion</v>
      </c>
      <c r="XO17" s="142" t="str">
        <f t="shared" ca="1" si="130"/>
        <v>Beast</v>
      </c>
      <c r="XP17" s="249" t="str">
        <f t="shared" ca="1" si="130"/>
        <v>Tiny</v>
      </c>
      <c r="XQ17" s="249">
        <f t="shared" ca="1" si="130"/>
        <v>11</v>
      </c>
      <c r="XR17" s="249">
        <f t="shared" ca="1" si="130"/>
        <v>1</v>
      </c>
      <c r="XS17" s="142" t="str">
        <f t="shared" ca="1" si="130"/>
        <v>10 ft</v>
      </c>
      <c r="XT17" s="249">
        <f t="shared" ca="1" si="130"/>
        <v>2</v>
      </c>
      <c r="XU17" s="249">
        <f t="shared" ca="1" si="130"/>
        <v>1</v>
      </c>
      <c r="XV17" s="249">
        <f t="shared" ca="1" si="130"/>
        <v>8</v>
      </c>
      <c r="XW17" s="249">
        <f t="shared" ca="1" si="130"/>
        <v>1</v>
      </c>
      <c r="XX17" s="249">
        <f t="shared" ca="1" si="130"/>
        <v>8</v>
      </c>
      <c r="XY17" s="249">
        <f t="shared" ca="1" si="130"/>
        <v>2</v>
      </c>
      <c r="XZ17" s="142" t="str">
        <f t="shared" ca="1" si="130"/>
        <v>none</v>
      </c>
      <c r="YA17" s="142" t="str">
        <f t="shared" ca="1" si="130"/>
        <v>passive Perception 9, blindsight 10ft</v>
      </c>
      <c r="YB17" s="142" t="str">
        <f t="shared" ca="1" si="130"/>
        <v>Sting melee +2, reach 5ft, 1 piercing
DC 9 Con save ½, 1d8 poison</v>
      </c>
      <c r="YC17" s="142" t="str">
        <f t="shared" ca="1" si="130"/>
        <v>none</v>
      </c>
      <c r="YG17" s="58" t="s">
        <v>1751</v>
      </c>
      <c r="YH17" s="58" t="s">
        <v>187</v>
      </c>
      <c r="YI17" s="215" t="s">
        <v>2352</v>
      </c>
      <c r="YJ17" s="215" t="s">
        <v>3436</v>
      </c>
      <c r="YK17" s="215" t="str">
        <f>""</f>
        <v/>
      </c>
      <c r="YL17" s="249" t="str">
        <f>""</f>
        <v/>
      </c>
      <c r="YM17" s="249" t="s">
        <v>3086</v>
      </c>
      <c r="YN17" s="249">
        <v>1</v>
      </c>
      <c r="YO17" s="249"/>
      <c r="YP17" s="249"/>
      <c r="YQ17" s="215"/>
      <c r="YT17" s="18" t="s">
        <v>226</v>
      </c>
      <c r="YU17" s="18">
        <v>19</v>
      </c>
      <c r="YV17" s="18" t="str">
        <f ca="1">VLOOKUP(YY17,$ZF$2:$ZP$23,$ZF$1,FALSE)</f>
        <v/>
      </c>
      <c r="YW17" s="18" t="str">
        <f ca="1">IF(YX17="","",MAX($YW$1:YW16)+1)</f>
        <v/>
      </c>
      <c r="YX17" s="59" t="str">
        <f t="shared" ca="1" si="71"/>
        <v/>
      </c>
      <c r="YY17" s="18" t="str">
        <f t="shared" ca="1" si="72"/>
        <v/>
      </c>
      <c r="YZ17" s="18">
        <f t="shared" si="117"/>
        <v>14</v>
      </c>
      <c r="ZA17" s="18" t="str">
        <f ca="1">IF(ZB17="","",MAX($ZA$2:ZA16)+1)</f>
        <v/>
      </c>
      <c r="ZB17" s="18" t="str">
        <f t="shared" ca="1" si="98"/>
        <v/>
      </c>
      <c r="ZC17" s="18" t="str">
        <f>IF(Start!AF33=SelectText,"",Start!AF33)</f>
        <v/>
      </c>
      <c r="ZD17" s="18" t="str">
        <f>IF(OR(COUNTIF($ZC$4:$ZC17,ZD$2)=0,COUNTIF($ZC$4:$ZC17,ZD$2)=MAX(ZD$2:ZD16)),"-",COUNTIF($ZC$4:$ZC17,ZD$2))</f>
        <v>-</v>
      </c>
      <c r="ZE17" s="18" t="str">
        <f>IF(OR(COUNTIF($ZC$4:$ZC17,ZE$2)=0,COUNTIF($ZC$4:$ZC17,ZE$2)=MAX(ZE$2:ZE16)),"-",COUNTIF($ZC$4:$ZC17,ZE$2))</f>
        <v>-</v>
      </c>
      <c r="ZF17" s="18" t="str">
        <f>IF(OR(COUNTIF($ZC$4:$ZC17,ZF$2)=0,COUNTIF($ZC$4:$ZC17,ZF$2)=MAX(ZF$2:ZF16)),"-",COUNTIF($ZC$4:$ZC17,ZF$2))</f>
        <v>-</v>
      </c>
      <c r="ZG17" s="18" t="str">
        <f>IF(OR(COUNTIF($ZC$4:$ZC17,ZG$2)=0,COUNTIF($ZC$4:$ZC17,ZG$2)=MAX(ZG$2:ZG16)),"-",COUNTIF($ZC$4:$ZC17,ZG$2))</f>
        <v>-</v>
      </c>
      <c r="ZH17" s="18" t="str">
        <f>IF(OR(COUNTIF($ZC$4:$ZC17,ZH$2)=0,COUNTIF($ZC$4:$ZC17,ZH$2)=MAX(ZH$2:ZH16)),"-",COUNTIF($ZC$4:$ZC17,ZH$2))</f>
        <v>-</v>
      </c>
      <c r="ZI17" s="18" t="str">
        <f>IF(OR(COUNTIF($ZC$4:$ZC17,ZI$2)=0,COUNTIF($ZC$4:$ZC17,ZI$2)=MAX(ZI$2:ZI16)),"-",COUNTIF($ZC$4:$ZC17,ZI$2))</f>
        <v>-</v>
      </c>
      <c r="ZJ17" s="18" t="str">
        <f>IF(OR(COUNTIF($ZC$4:$ZC17,ZJ$2)=0,COUNTIF($ZC$4:$ZC17,ZJ$2)=MAX(ZJ$2:ZJ16)),"-",COUNTIF($ZC$4:$ZC17,ZJ$2))</f>
        <v>-</v>
      </c>
      <c r="ZK17" s="18" t="str">
        <f>IF(OR(COUNTIF($ZC$4:$ZC17,ZK$2)=0,COUNTIF($ZC$4:$ZC17,ZK$2)=MAX(ZK$2:ZK16)),"-",COUNTIF($ZC$4:$ZC17,ZK$2))</f>
        <v>-</v>
      </c>
      <c r="ZL17" s="18" t="str">
        <f>IF(OR(COUNTIF($ZC$4:$ZC17,ZL$2)=0,COUNTIF($ZC$4:$ZC17,ZL$2)=MAX(ZL$2:ZL16)),"-",COUNTIF($ZC$4:$ZC17,ZL$2))</f>
        <v>-</v>
      </c>
      <c r="ZM17" s="18" t="str">
        <f>IF(OR(COUNTIF($ZC$4:$ZC17,ZM$2)=0,COUNTIF($ZC$4:$ZC17,ZM$2)=MAX(ZM$2:ZM16)),"-",COUNTIF($ZC$4:$ZC17,ZM$2))</f>
        <v>-</v>
      </c>
      <c r="ZN17" s="18" t="str">
        <f>IF(OR(COUNTIF($ZC$4:$ZC17,ZN$2)=0,COUNTIF($ZC$4:$ZC17,ZN$2)=MAX(ZN$2:ZN16)),"-",COUNTIF($ZC$4:$ZC17,ZN$2))</f>
        <v>-</v>
      </c>
      <c r="ZO17" s="18" t="str">
        <f>IF(OR(COUNTIF($ZC$4:$ZC17,ZO$2)=0,COUNTIF($ZC$4:$ZC17,ZO$2)=MAX(ZO$2:ZO16)),"-",COUNTIF($ZC$4:$ZC17,ZO$2))</f>
        <v>-</v>
      </c>
      <c r="ZP17" s="18">
        <f t="shared" si="118"/>
        <v>14</v>
      </c>
    </row>
    <row r="18" spans="5:694" ht="9.9499999999999993" customHeight="1" x14ac:dyDescent="0.25">
      <c r="E18" s="59"/>
      <c r="F18" s="59"/>
      <c r="G18" s="59"/>
      <c r="H18" s="59"/>
      <c r="I18" s="59"/>
      <c r="J18" s="59"/>
      <c r="K18" s="59"/>
      <c r="U18" s="404" t="s">
        <v>2701</v>
      </c>
      <c r="V18" s="399" t="str">
        <f>"• Damage Type: Fire
• Breath Weapon: 5 by 30 ft. line. DC "&amp;8+IF(CONMod="",0,CONMod)+IF(ProfBonus="",0,ProfBonus)&amp;" Dex save for "&amp;IF(CharacterLevel&lt;6,"2d6",IF(CharacterLevel&lt;11,"3d6",IF(CharacterLevel&lt;15,"4d6", "5d6")))&amp;" on failed save, half on success."</f>
        <v>• Damage Type: Fire
• Breath Weapon: 5 by 30 ft. line. DC 5 Dex save for 2d6 on failed save, half on success.</v>
      </c>
      <c r="W18" s="399" t="s">
        <v>2712</v>
      </c>
      <c r="X18" s="18" t="str">
        <f>IF(Y18="","",MAX($X$3:X17)+1)</f>
        <v/>
      </c>
      <c r="Y18" s="58" t="str">
        <f t="shared" si="131"/>
        <v/>
      </c>
      <c r="Z18" s="18">
        <f t="shared" si="109"/>
        <v>15</v>
      </c>
      <c r="AA18" s="18" t="str">
        <f t="shared" si="74"/>
        <v/>
      </c>
      <c r="AE18" s="18"/>
      <c r="AF18" s="17"/>
      <c r="AG18" s="16"/>
      <c r="AH18" s="17"/>
      <c r="AI18" s="287"/>
      <c r="AJ18" s="17"/>
      <c r="AK18" s="267"/>
      <c r="AL18" s="291"/>
      <c r="AM18" s="17"/>
      <c r="AN18" s="18"/>
      <c r="AO18" s="18">
        <f t="shared" si="119"/>
        <v>17</v>
      </c>
      <c r="AP18" s="59" t="str">
        <f t="shared" si="132"/>
        <v/>
      </c>
      <c r="AQ18" s="59" t="str">
        <f>""</f>
        <v/>
      </c>
      <c r="AR18" s="254" t="s">
        <v>1062</v>
      </c>
      <c r="AS18" s="385" t="s">
        <v>2433</v>
      </c>
      <c r="AT18" s="254" t="s">
        <v>1088</v>
      </c>
      <c r="AU18" s="385" t="s">
        <v>2467</v>
      </c>
      <c r="AV18" s="255" t="s">
        <v>1130</v>
      </c>
      <c r="AW18" s="385" t="s">
        <v>2513</v>
      </c>
      <c r="AX18" s="385" t="s">
        <v>2546</v>
      </c>
      <c r="AY18" s="58" t="s">
        <v>1158</v>
      </c>
      <c r="AZ18" s="58" t="s">
        <v>2582</v>
      </c>
      <c r="BA18" s="254" t="s">
        <v>1025</v>
      </c>
      <c r="BB18" s="385" t="s">
        <v>2608</v>
      </c>
      <c r="BC18" s="58" t="s">
        <v>1184</v>
      </c>
      <c r="BD18" s="58" t="s">
        <v>2376</v>
      </c>
      <c r="BE18" s="18" t="str">
        <f>""</f>
        <v/>
      </c>
      <c r="BI18" s="392" t="s">
        <v>2641</v>
      </c>
      <c r="BJ18" s="398">
        <v>8</v>
      </c>
      <c r="BK18" s="396" t="str">
        <f>IF(BL18=0,"",MAX($BK$6:BK17)+1)</f>
        <v/>
      </c>
      <c r="BL18" s="396">
        <f>COUNTIF(Start!$AF$20:$AF$39,Tables!BI18)</f>
        <v>0</v>
      </c>
      <c r="BM18" s="394" t="str">
        <f>IF(OR(BK18="",BO18=""),"",MAX($BM$6:BM17)+1)</f>
        <v/>
      </c>
      <c r="BN18" s="567" t="s">
        <v>2641</v>
      </c>
      <c r="BO18" s="398" t="s">
        <v>42</v>
      </c>
      <c r="BP18" s="396" t="str">
        <f t="shared" si="120"/>
        <v/>
      </c>
      <c r="BQ18" s="746" t="s">
        <v>3202</v>
      </c>
      <c r="BR18" s="396">
        <v>1</v>
      </c>
      <c r="BS18" s="715"/>
      <c r="BT18" s="715"/>
      <c r="BU18" s="715"/>
      <c r="BV18" s="396">
        <v>10</v>
      </c>
      <c r="BW18" s="396">
        <v>0</v>
      </c>
      <c r="BX18" s="396">
        <v>0</v>
      </c>
      <c r="BY18" s="396" t="str">
        <f>""</f>
        <v/>
      </c>
      <c r="BZ18" s="567" t="s">
        <v>338</v>
      </c>
      <c r="CA18" s="567" t="s">
        <v>338</v>
      </c>
      <c r="CB18" s="567" t="s">
        <v>2642</v>
      </c>
      <c r="CC18" s="567" t="s">
        <v>2642</v>
      </c>
      <c r="CD18" s="567" t="s">
        <v>187</v>
      </c>
      <c r="CE18" s="396">
        <v>0</v>
      </c>
      <c r="CF18" s="567" t="s">
        <v>187</v>
      </c>
      <c r="CG18" s="396">
        <v>0</v>
      </c>
      <c r="CH18" s="567" t="s">
        <v>326</v>
      </c>
      <c r="CI18" s="567" t="s">
        <v>3203</v>
      </c>
      <c r="CJ18" s="396">
        <f>IF(COUNTIF(IQ4:IQ11,II7)=0,2,4)</f>
        <v>2</v>
      </c>
      <c r="CK18" s="567" t="s">
        <v>187</v>
      </c>
      <c r="CL18" s="396">
        <v>0</v>
      </c>
      <c r="CM18" s="393" t="e">
        <f>"• Pact Magic, Otherworldly Patron ("&amp;VLOOKUP($BN18,$BN$3:$BQ$5,4,FALSE)&amp;")
"&amp;VLOOKUP($BI18,$DM$3:$EH$5,DO$2-1,FALSE)&amp;"
"</f>
        <v>#N/A</v>
      </c>
      <c r="CN18" s="393" t="str">
        <f>"• Eldritch Invocations
"&amp;IR2</f>
        <v xml:space="preserve">• Eldritch Invocations
</v>
      </c>
      <c r="CO18" s="393" t="str">
        <f>"• Pact Boon ("&amp;Start!AJ54&amp;")
"&amp;VLOOKUP(Start!AJ54,IS2:IT5,2,FALSE)&amp;"
"</f>
        <v xml:space="preserve">• Pact Boon (Select…)
</v>
      </c>
      <c r="CP18" s="393" t="str">
        <f>IF(WarlockLevel&gt;=DE$6,"• Ability Score Improvement / Feat: level "&amp;DE$6&amp;", "&amp;DB$6&amp;", "&amp;CX$6&amp;", "&amp;CT$6&amp;", "&amp;CP$6,IF(WarlockLevel&gt;=DB$6,"• Ability Score Improvement / Feat: level "&amp;DB$6&amp;", "&amp;CX$6&amp;", "&amp;CT$6&amp;", "&amp;CP$6,IF(WarlockLevel&gt;=CX$6,"• Ability Score Improvement / Feat: level "&amp;CX$6&amp;", "&amp;CT$6&amp;", "&amp;CP$6,IF(WarlockLevel&gt;=CT$6,"• Ability Score Improvement / Feat : level "&amp;CT$6&amp;", "&amp;CP$6,"• Ability Score Improvement / Feat: level "&amp;CP$6))))&amp;"
"</f>
        <v xml:space="preserve">• Ability Score Improvement / Feat: level 4
</v>
      </c>
      <c r="CQ18" s="393" t="str">
        <f>""</f>
        <v/>
      </c>
      <c r="CR18" s="393" t="e">
        <f>"• Otherworldly Patron Feature ("&amp;VLOOKUP($BI18,$DM$3:$EH$5,DT$2-1,FALSE)&amp;")
"</f>
        <v>#N/A</v>
      </c>
      <c r="CS18" s="393" t="str">
        <f>""</f>
        <v/>
      </c>
      <c r="CT18" s="393" t="str">
        <f>""</f>
        <v/>
      </c>
      <c r="CU18" s="393" t="str">
        <f>""</f>
        <v/>
      </c>
      <c r="CV18" s="393" t="e">
        <f>"• Otherworldly Patron Feature ("&amp;VLOOKUP($BI18,$DM$3:$EH$5,DX$2-1,FALSE)&amp;")
"</f>
        <v>#N/A</v>
      </c>
      <c r="CW18" s="393" t="str">
        <f>IF(WarlockLevel&gt;=17,"• Mystic Arcanum (6th, 7th, 8th, 9th level)",IF(WarlockLevel&gt;=15,"• Mystic Arcanum (6th, 7th, 8th level)",IF(WarlockLevel&gt;=13,"• Mystic Arcanum (6th, 7th level)","• Mystic Arcanum (6th level)")))&amp;"
"</f>
        <v xml:space="preserve">• Mystic Arcanum (6th level)
</v>
      </c>
      <c r="CX18" s="393" t="str">
        <f>""</f>
        <v/>
      </c>
      <c r="CY18" s="393" t="str">
        <f>""</f>
        <v/>
      </c>
      <c r="CZ18" s="393" t="e">
        <f>"• Otherworldly Patron Feature ("&amp;VLOOKUP($BI18,$DM$3:$EH$5,EB$2-1,FALSE)&amp;")
"</f>
        <v>#N/A</v>
      </c>
      <c r="DA18" s="393" t="str">
        <f>""</f>
        <v/>
      </c>
      <c r="DB18" s="393" t="str">
        <f>""</f>
        <v/>
      </c>
      <c r="DC18" s="393" t="str">
        <f>""</f>
        <v/>
      </c>
      <c r="DD18" s="393" t="str">
        <f>""</f>
        <v/>
      </c>
      <c r="DE18" s="393" t="str">
        <f>""</f>
        <v/>
      </c>
      <c r="DF18" s="393" t="str">
        <f>"• Eldritch Master
"</f>
        <v xml:space="preserve">• Eldritch Master
</v>
      </c>
      <c r="DG18" s="339"/>
      <c r="DH18" s="389"/>
      <c r="DI18" s="389"/>
      <c r="DJ18" s="389"/>
      <c r="DL18" s="59" t="s">
        <v>799</v>
      </c>
      <c r="DM18" s="18" t="s">
        <v>315</v>
      </c>
      <c r="DN18" s="18">
        <f t="shared" ca="1" si="121"/>
        <v>0</v>
      </c>
      <c r="DO18" s="58" t="str">
        <f>""</f>
        <v/>
      </c>
      <c r="DP18" s="59" t="str">
        <f>""</f>
        <v/>
      </c>
      <c r="DQ18" s="58" t="s">
        <v>3067</v>
      </c>
      <c r="DR18" s="59" t="str">
        <f>""</f>
        <v/>
      </c>
      <c r="DS18" s="59" t="str">
        <f>""</f>
        <v/>
      </c>
      <c r="DT18" s="59" t="str">
        <f>""</f>
        <v/>
      </c>
      <c r="DU18" s="59" t="str">
        <f>""</f>
        <v/>
      </c>
      <c r="DV18" s="59" t="str">
        <f>""</f>
        <v/>
      </c>
      <c r="DW18" s="59" t="s">
        <v>433</v>
      </c>
      <c r="DX18" s="59" t="str">
        <f>""</f>
        <v/>
      </c>
      <c r="DY18" s="59" t="str">
        <f>""</f>
        <v/>
      </c>
      <c r="DZ18" s="59" t="str">
        <f>""</f>
        <v/>
      </c>
      <c r="EA18" s="59" t="s">
        <v>434</v>
      </c>
      <c r="EB18" s="59" t="str">
        <f>""</f>
        <v/>
      </c>
      <c r="EC18" s="59" t="str">
        <f>""</f>
        <v/>
      </c>
      <c r="ED18" s="59" t="str">
        <f>""</f>
        <v/>
      </c>
      <c r="EE18" s="59" t="s">
        <v>435</v>
      </c>
      <c r="EF18" s="59" t="str">
        <f>""</f>
        <v/>
      </c>
      <c r="EG18" s="59" t="str">
        <f>""</f>
        <v/>
      </c>
      <c r="EH18" s="59" t="str">
        <f>""</f>
        <v/>
      </c>
      <c r="EI18" s="103" t="str">
        <f>""</f>
        <v/>
      </c>
      <c r="EJ18" s="103" t="str">
        <f>""</f>
        <v/>
      </c>
      <c r="EK18" s="103"/>
      <c r="EL18" s="103" t="str">
        <f>""</f>
        <v/>
      </c>
      <c r="EM18" s="103"/>
      <c r="EN18" s="103" t="str">
        <f>""</f>
        <v/>
      </c>
      <c r="EO18" s="103"/>
      <c r="EP18" s="103" t="str">
        <f>""</f>
        <v/>
      </c>
      <c r="EQ18" s="103"/>
      <c r="ER18" s="103" t="str">
        <f>""</f>
        <v/>
      </c>
      <c r="ES18" s="103"/>
      <c r="ET18" s="59" t="str">
        <f>IF(RogueLevel&gt;=1,"Disguise kit, Poisoner's kit
","")</f>
        <v/>
      </c>
      <c r="EU18" s="18" t="str">
        <f>IF(RogueLevel&gt;=1,2,"")</f>
        <v/>
      </c>
      <c r="EV18" s="59" t="str">
        <f>""</f>
        <v/>
      </c>
      <c r="EW18" s="18" t="str">
        <f>""</f>
        <v/>
      </c>
      <c r="EX18" s="59" t="str">
        <f>""</f>
        <v/>
      </c>
      <c r="EY18" s="18" t="str">
        <f>""</f>
        <v/>
      </c>
      <c r="FA18" s="18" t="str">
        <f>IF($DM18=FB$5,MAX(FA$6:FA17)+1,"")</f>
        <v/>
      </c>
      <c r="FB18" s="58" t="str">
        <f t="shared" si="122"/>
        <v/>
      </c>
      <c r="FC18" s="18"/>
      <c r="FE18" s="18" t="str">
        <f>IF($DM18=FF$5,MAX(FE$6:FE17)+1,"")</f>
        <v/>
      </c>
      <c r="FF18" s="58" t="str">
        <f t="shared" si="123"/>
        <v/>
      </c>
      <c r="FG18" s="18"/>
      <c r="FI18" s="18" t="str">
        <f>IF($DM18=FJ$5,MAX(FI$6:FI17)+1,"")</f>
        <v/>
      </c>
      <c r="FJ18" s="58" t="str">
        <f t="shared" si="124"/>
        <v/>
      </c>
      <c r="FK18" s="18"/>
      <c r="FM18" s="58" t="s">
        <v>1895</v>
      </c>
      <c r="FN18" s="59">
        <f>Start!X70</f>
        <v>0</v>
      </c>
      <c r="FO18" s="18" t="str">
        <f>IF($FM18=$FP18,MAX(FO$3:FO17)+1,"")</f>
        <v/>
      </c>
      <c r="FP18" s="59" t="str">
        <f t="shared" si="101"/>
        <v/>
      </c>
      <c r="FQ18" s="18">
        <f t="shared" si="102"/>
        <v>16</v>
      </c>
      <c r="FR18" s="59" t="str">
        <f t="shared" si="75"/>
        <v/>
      </c>
      <c r="FS18" s="18"/>
      <c r="FT18" s="18"/>
      <c r="FU18" s="18"/>
      <c r="FV18" s="18"/>
      <c r="FW18" s="18" t="str">
        <f>IF(FX18="","",MAX($FW$15:FW17)+1)</f>
        <v/>
      </c>
      <c r="FX18" s="59" t="str">
        <f>IF(OR(FighterLevel&gt;0,PaladinLevel&gt;1,RangerLevel&gt;1),FX27,"")</f>
        <v/>
      </c>
      <c r="FZ18" s="104"/>
      <c r="GA18" s="104"/>
      <c r="GB18" s="59" t="s">
        <v>3430</v>
      </c>
      <c r="GC18" s="142" t="s">
        <v>3484</v>
      </c>
      <c r="GD18" s="142"/>
      <c r="GI18" s="104"/>
      <c r="GJ18" s="104"/>
      <c r="GK18" s="18"/>
      <c r="GL18" s="18"/>
      <c r="GM18" s="18"/>
      <c r="GN18" s="18"/>
      <c r="GO18" s="18"/>
      <c r="GP18" s="18"/>
      <c r="GQ18" s="59" t="s">
        <v>2808</v>
      </c>
      <c r="GR18" s="142" t="s">
        <v>3500</v>
      </c>
      <c r="GS18" s="18">
        <v>3</v>
      </c>
      <c r="GT18" s="18" t="s">
        <v>2820</v>
      </c>
      <c r="GU18" s="18" t="str">
        <f ca="1">IF(GV18="","",MAX($GU$3:GU17)+1)</f>
        <v/>
      </c>
      <c r="GV18" s="59" t="str">
        <f t="shared" ca="1" si="76"/>
        <v/>
      </c>
      <c r="GW18" s="18">
        <f t="shared" si="103"/>
        <v>16</v>
      </c>
      <c r="GX18" s="59" t="str">
        <f t="shared" ca="1" si="44"/>
        <v/>
      </c>
      <c r="GY18" s="59"/>
      <c r="HK18" s="59" t="s">
        <v>2906</v>
      </c>
      <c r="HL18" s="59" t="s">
        <v>2905</v>
      </c>
      <c r="HM18" s="58" t="s">
        <v>2920</v>
      </c>
      <c r="IH18" s="18" t="str">
        <f>IF(IJ18=1,MAX($IH$2:IH17)+1,"")</f>
        <v/>
      </c>
      <c r="II18" s="58" t="s">
        <v>3308</v>
      </c>
      <c r="IJ18" s="59" t="str">
        <f>IF(AND(WarlockLevel&gt;=12,Start!AJ62="Pact of the Blade"),1,"")</f>
        <v/>
      </c>
      <c r="IK18" s="215" t="str">
        <f>"   When you hit a creature with your pact weapon, it takes an extra "&amp;IF(COUNTIF(IQ4:IQ11,II18)&gt;0,IF(CHAMod&lt;1,1,CHAMod),"")&amp;" necrotic damage."</f>
        <v xml:space="preserve">   When you hit a creature with your pact weapon, it takes an extra  necrotic damage.</v>
      </c>
      <c r="IL18" s="18">
        <f t="shared" si="105"/>
        <v>16</v>
      </c>
      <c r="IM18" s="59" t="str">
        <f t="shared" si="77"/>
        <v/>
      </c>
      <c r="IN18" s="59"/>
      <c r="IO18" s="59"/>
      <c r="IP18" s="59"/>
      <c r="IQ18" s="59"/>
      <c r="IR18" s="59"/>
      <c r="IS18" s="59"/>
      <c r="IT18" s="59"/>
      <c r="IU18" s="59"/>
      <c r="IX18" s="59" t="s">
        <v>1484</v>
      </c>
      <c r="IY18" s="59" t="s">
        <v>944</v>
      </c>
      <c r="IZ18" s="59" t="s">
        <v>194</v>
      </c>
      <c r="JA18" s="59" t="s">
        <v>902</v>
      </c>
      <c r="JB18" s="59" t="s">
        <v>903</v>
      </c>
      <c r="JC18" s="18">
        <f>IF(JD18="","",MAX($JC$1:JC17)+1)</f>
        <v>15</v>
      </c>
      <c r="JD18" s="58" t="s">
        <v>273</v>
      </c>
      <c r="JE18" s="58" t="s">
        <v>262</v>
      </c>
      <c r="JF18" s="18">
        <v>17</v>
      </c>
      <c r="JG18" s="59" t="str">
        <f t="shared" si="27"/>
        <v>Undercommon</v>
      </c>
      <c r="JH18" s="18">
        <v>17</v>
      </c>
      <c r="JI18" s="60">
        <v>225000</v>
      </c>
      <c r="JJ18" s="18">
        <v>17</v>
      </c>
      <c r="JK18" s="18">
        <v>6</v>
      </c>
      <c r="JL18" s="18"/>
      <c r="JM18" s="18">
        <v>16</v>
      </c>
      <c r="JN18" s="80">
        <f t="shared" ca="1" si="127"/>
        <v>4</v>
      </c>
      <c r="JO18" s="80">
        <f t="shared" ca="1" si="127"/>
        <v>3</v>
      </c>
      <c r="JP18" s="80">
        <f t="shared" ca="1" si="127"/>
        <v>3</v>
      </c>
      <c r="JQ18" s="80">
        <f t="shared" ca="1" si="127"/>
        <v>3</v>
      </c>
      <c r="JR18" s="80">
        <f t="shared" ca="1" si="127"/>
        <v>2</v>
      </c>
      <c r="JS18" s="80">
        <f t="shared" ca="1" si="127"/>
        <v>1</v>
      </c>
      <c r="JT18" s="80">
        <f t="shared" ca="1" si="127"/>
        <v>1</v>
      </c>
      <c r="JU18" s="80">
        <f t="shared" ca="1" si="127"/>
        <v>1</v>
      </c>
      <c r="JV18" s="80" t="str">
        <f t="shared" ca="1" si="127"/>
        <v>-</v>
      </c>
      <c r="JW18" s="80">
        <f t="shared" ca="1" si="127"/>
        <v>8</v>
      </c>
      <c r="JX18" s="18"/>
      <c r="KD18" s="18">
        <v>16</v>
      </c>
      <c r="KE18" s="302">
        <v>11</v>
      </c>
      <c r="KF18" s="302">
        <v>19</v>
      </c>
      <c r="KG18" s="302">
        <v>11</v>
      </c>
      <c r="KH18" s="302">
        <v>9</v>
      </c>
      <c r="KI18" s="302">
        <v>14</v>
      </c>
      <c r="KJ18" s="302">
        <v>13</v>
      </c>
      <c r="KK18" s="18">
        <v>16</v>
      </c>
      <c r="KL18" s="18">
        <v>5</v>
      </c>
      <c r="KM18" s="18">
        <v>5</v>
      </c>
      <c r="KN18" s="18">
        <v>3</v>
      </c>
      <c r="KO18" s="18">
        <v>4</v>
      </c>
      <c r="KP18" s="18">
        <v>4</v>
      </c>
      <c r="KQ18" s="18">
        <v>6</v>
      </c>
      <c r="KR18" s="80">
        <v>4</v>
      </c>
      <c r="KS18" s="73"/>
      <c r="KT18" s="93" t="s">
        <v>1526</v>
      </c>
      <c r="KU18" s="80" t="str">
        <f t="shared" si="128"/>
        <v>No</v>
      </c>
      <c r="KV18" s="89" t="s">
        <v>333</v>
      </c>
      <c r="KW18" s="270"/>
      <c r="KX18" s="270"/>
      <c r="KY18" s="270"/>
      <c r="KZ18" s="270"/>
      <c r="LA18" s="270"/>
      <c r="LB18" s="92"/>
      <c r="LC18" s="270"/>
      <c r="LD18" s="270"/>
      <c r="LE18" s="270"/>
      <c r="LF18" s="455"/>
      <c r="LG18" s="270"/>
      <c r="LH18" s="270"/>
      <c r="LI18" s="270"/>
      <c r="LJ18" s="270"/>
      <c r="LK18" s="270"/>
      <c r="LL18" s="406"/>
      <c r="LM18" s="455"/>
      <c r="LN18" s="270"/>
      <c r="LO18" s="270"/>
      <c r="LP18" s="270"/>
      <c r="LQ18" s="92"/>
      <c r="LR18" s="270"/>
      <c r="LS18" s="270"/>
      <c r="LT18" s="92"/>
      <c r="LU18" s="92"/>
      <c r="LV18" s="270"/>
      <c r="LW18" s="270"/>
      <c r="LX18" s="270"/>
      <c r="LY18" s="92"/>
      <c r="LZ18" s="92"/>
      <c r="MA18" s="92"/>
      <c r="MB18" s="92"/>
      <c r="MC18" s="92"/>
      <c r="MD18" s="92"/>
      <c r="ME18" s="92"/>
      <c r="MF18" s="92"/>
      <c r="MG18" s="92"/>
      <c r="MH18" s="92"/>
      <c r="MI18" s="92"/>
      <c r="MJ18" s="92"/>
      <c r="MK18" s="92"/>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438"/>
      <c r="NQ18" s="94"/>
      <c r="NR18" s="94"/>
      <c r="NS18" s="94"/>
      <c r="NT18" s="94"/>
      <c r="NU18" s="94"/>
      <c r="NV18" s="456"/>
      <c r="NW18" s="456"/>
      <c r="NX18" s="456"/>
      <c r="NY18" s="456"/>
      <c r="NZ18" s="456"/>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t="str">
        <f>IF(COUNTIF(Start!$AX$59:$BF$68,Tables!KT18)&gt;0,Tables!KT18,"")</f>
        <v/>
      </c>
      <c r="PT18" s="94"/>
      <c r="PU18" s="59" t="str">
        <f t="shared" si="129"/>
        <v/>
      </c>
      <c r="PV18" s="59" t="str">
        <f>IF(PU18="","",IF(COUNTIF(PU18:$PU$57,"&gt;&lt;")&gt;1,PU18&amp;", ", PU18))</f>
        <v/>
      </c>
      <c r="PW18" s="59"/>
      <c r="PX18" s="59"/>
      <c r="PY18" s="18"/>
      <c r="PZ18" s="28" t="s">
        <v>116</v>
      </c>
      <c r="QA18" s="28" t="s">
        <v>129</v>
      </c>
      <c r="QB18" s="30" t="str">
        <f t="shared" ca="1" si="79"/>
        <v>not proficient</v>
      </c>
      <c r="QC18" s="31" t="s">
        <v>105</v>
      </c>
      <c r="QD18" s="28" t="s">
        <v>134</v>
      </c>
      <c r="QE18" s="29" t="s">
        <v>140</v>
      </c>
      <c r="QF18" s="29">
        <v>6</v>
      </c>
      <c r="QG18" s="29" t="str">
        <f>""</f>
        <v/>
      </c>
      <c r="QH18" s="29" t="str">
        <f>""</f>
        <v/>
      </c>
      <c r="QI18" s="29" t="s">
        <v>137</v>
      </c>
      <c r="QJ18" s="29" t="str">
        <f>""</f>
        <v/>
      </c>
      <c r="QK18" s="29" t="str">
        <f>""</f>
        <v/>
      </c>
      <c r="QL18" s="29" t="str">
        <f>""</f>
        <v/>
      </c>
      <c r="QM18" s="29" t="s">
        <v>144</v>
      </c>
      <c r="QN18" s="29" t="str">
        <f>""</f>
        <v/>
      </c>
      <c r="QO18" s="29" t="s">
        <v>147</v>
      </c>
      <c r="QP18" s="29" t="str">
        <f>""</f>
        <v/>
      </c>
      <c r="QQ18" s="30" t="str">
        <f>""</f>
        <v/>
      </c>
      <c r="QR18" s="30" t="str">
        <f>""</f>
        <v/>
      </c>
      <c r="QT18" s="733">
        <f t="shared" si="46"/>
        <v>18</v>
      </c>
      <c r="QU18" s="727" t="s">
        <v>99</v>
      </c>
      <c r="QV18" s="727"/>
      <c r="QW18" s="727"/>
      <c r="QX18" s="727"/>
      <c r="QY18" s="727"/>
      <c r="QZ18" s="727" t="str">
        <f>VLOOKUP(Start!AV$137,Tables!$PZ$2:$QQ$500,$QT18,FALSE)</f>
        <v/>
      </c>
      <c r="RA18" s="727"/>
      <c r="RB18" s="729"/>
      <c r="RC18" s="727"/>
      <c r="RD18" s="727"/>
      <c r="RE18" s="727"/>
      <c r="RF18" s="727"/>
      <c r="RG18" s="727"/>
      <c r="RH18" s="727" t="str">
        <f>VLOOKUP(Start!BD$137,Tables!$PZ$2:$QQ$500,$QT18,FALSE)</f>
        <v/>
      </c>
      <c r="RI18" s="727"/>
      <c r="RJ18" s="727"/>
      <c r="RK18" s="727"/>
      <c r="RL18" s="727"/>
      <c r="RM18" s="727"/>
      <c r="RN18" s="729"/>
      <c r="RO18" s="729"/>
      <c r="RP18" s="727" t="str">
        <f>VLOOKUP(Start!BL$137,Tables!$PZ$2:$QQ$500,$QT18,FALSE)</f>
        <v/>
      </c>
      <c r="RQ18" s="729"/>
      <c r="RR18" s="729"/>
      <c r="RS18" s="729"/>
      <c r="RT18" s="729"/>
      <c r="RU18" s="729"/>
      <c r="RV18" s="729"/>
      <c r="RW18" s="729"/>
      <c r="RX18" s="727" t="str">
        <f>VLOOKUP(Start!BT$137,Tables!$PZ$2:$QQ$500,$QT18,FALSE)</f>
        <v/>
      </c>
      <c r="RY18" s="729"/>
      <c r="RZ18" s="729"/>
      <c r="SA18" s="729"/>
      <c r="SB18" s="729"/>
      <c r="SC18" s="729"/>
      <c r="SD18" s="729"/>
      <c r="SE18" s="729"/>
      <c r="SF18" s="727" t="str">
        <f>VLOOKUP(Start!CB$137,Tables!$PZ$2:$QQ$500,$QT18,FALSE)</f>
        <v/>
      </c>
      <c r="SG18" s="729"/>
      <c r="SH18" s="729"/>
      <c r="SI18" s="729"/>
      <c r="SJ18" s="729"/>
      <c r="SK18" s="729"/>
      <c r="SL18" s="729"/>
      <c r="SM18" s="634"/>
      <c r="SN18" s="727" t="str">
        <f>VLOOKUP(Start!CJ$137,Tables!$PZ$2:$QQ$500,$QT18,FALSE)</f>
        <v/>
      </c>
      <c r="SO18" s="729"/>
      <c r="SP18" s="729"/>
      <c r="SQ18" s="634"/>
      <c r="SR18" s="28"/>
      <c r="SS18" s="28"/>
      <c r="ST18" s="29"/>
      <c r="SU18" s="69"/>
      <c r="SV18" s="42"/>
      <c r="SW18" s="232"/>
      <c r="SX18" s="46"/>
      <c r="SY18" s="30"/>
      <c r="SZ18" s="29"/>
      <c r="TA18" s="28"/>
      <c r="TB18" s="28"/>
      <c r="TC18" s="28"/>
      <c r="TD18" s="42"/>
      <c r="TE18" s="29"/>
      <c r="TF18" s="232"/>
      <c r="TG18" s="29"/>
      <c r="TH18" s="30"/>
      <c r="TI18" s="30"/>
      <c r="TJ18" s="18">
        <f t="shared" si="115"/>
        <v>16</v>
      </c>
      <c r="TK18" s="58" t="s">
        <v>1295</v>
      </c>
      <c r="TL18" s="58" t="s">
        <v>448</v>
      </c>
      <c r="TM18" s="18">
        <v>1</v>
      </c>
      <c r="TN18" s="59" t="str">
        <f t="shared" si="47"/>
        <v xml:space="preserve">Armor of Agathys ᴴ </v>
      </c>
      <c r="TO18" s="350" t="s">
        <v>2991</v>
      </c>
      <c r="TP18" s="18" t="str">
        <f t="shared" si="48"/>
        <v/>
      </c>
      <c r="TQ18" s="18" t="str">
        <f>IF(OR(TK18=Spellcasting!$AC$18,TK18=Spellcasting!$AC$19),"ᵐ","")</f>
        <v/>
      </c>
      <c r="TR18" s="18" t="str">
        <f>IF(OR(TK18=Spellcasting!$AC$20,TK18=Spellcasting!$AC$21),"ˢ","")</f>
        <v/>
      </c>
      <c r="TS18" s="18" t="str">
        <f>""</f>
        <v/>
      </c>
      <c r="TT18" s="18" t="s">
        <v>484</v>
      </c>
      <c r="TU18" s="18" t="s">
        <v>509</v>
      </c>
      <c r="TV18" s="18" t="s">
        <v>521</v>
      </c>
      <c r="TW18" s="18" t="s">
        <v>495</v>
      </c>
      <c r="TX18" s="59" t="s">
        <v>1297</v>
      </c>
      <c r="TY18" s="18" t="s">
        <v>487</v>
      </c>
      <c r="TZ18" s="18" t="s">
        <v>488</v>
      </c>
      <c r="UA18" s="142" t="s">
        <v>3138</v>
      </c>
      <c r="UB18" s="537" t="s">
        <v>2100</v>
      </c>
      <c r="UG18" s="18" t="str">
        <f ca="1">IF(UG$1&gt;=$TM18,1,"0")</f>
        <v>0</v>
      </c>
      <c r="VZ18" s="258"/>
      <c r="WA18" s="258"/>
      <c r="WB18" s="258"/>
      <c r="WC18" s="258"/>
      <c r="WD18" s="18" t="str">
        <f ca="1">IF(SUM($VZ$1:$WC$1)&gt;0,IF(AND(SUM($VZ18:$WC18)&gt;0,$TM18=WE$1),MAX(WD$2:WD17)+1,""),IF(AND(SUM($UC18:$VY18)&gt;0,$TM18=WE$1),MAX(WD$2:WD17)+1,""))</f>
        <v/>
      </c>
      <c r="WE18" s="59" t="str">
        <f t="shared" ca="1" si="80"/>
        <v/>
      </c>
      <c r="WF18" s="18" t="str">
        <f ca="1">IF(AND(SUM($UB18:$VY18)&gt;0,$TM18=WG$1),MAX(WF$2:WF17)+1,"")</f>
        <v/>
      </c>
      <c r="WG18" s="59" t="str">
        <f t="shared" ca="1" si="81"/>
        <v/>
      </c>
      <c r="WH18" s="18" t="str">
        <f ca="1">IF(AND(SUM($UB18:$VY18)&gt;0,$TM18=WI$1),MAX(WH$2:WH17)+1,"")</f>
        <v/>
      </c>
      <c r="WI18" s="59" t="str">
        <f t="shared" ca="1" si="82"/>
        <v/>
      </c>
      <c r="WJ18" s="18" t="str">
        <f ca="1">IF(AND(SUM($UB18:$VY18)&gt;0,$TM18=WK$1),MAX(WJ$2:WJ17)+1,"")</f>
        <v/>
      </c>
      <c r="WK18" s="59" t="str">
        <f t="shared" ca="1" si="83"/>
        <v/>
      </c>
      <c r="WL18" s="18" t="str">
        <f ca="1">IF(AND(SUM($UB18:$VY18)&gt;0,$TM18=WM$1),MAX(WL$2:WL17)+1,"")</f>
        <v/>
      </c>
      <c r="WM18" s="59" t="str">
        <f t="shared" ca="1" si="84"/>
        <v/>
      </c>
      <c r="WN18" s="18" t="str">
        <f ca="1">IF(AND(SUM($UB18:$VY18)&gt;0,$TM18=WO$1),MAX(WN$2:WN17)+1,"")</f>
        <v/>
      </c>
      <c r="WO18" s="59" t="str">
        <f t="shared" ca="1" si="85"/>
        <v/>
      </c>
      <c r="WP18" s="18" t="str">
        <f ca="1">IF(AND(SUM($UB18:$VY18)&gt;0,$TM18=WQ$1),MAX(WP$2:WP17)+1,"")</f>
        <v/>
      </c>
      <c r="WQ18" s="59" t="str">
        <f t="shared" ca="1" si="86"/>
        <v/>
      </c>
      <c r="WR18" s="18" t="str">
        <f ca="1">IF(AND(SUM($UB18:$VY18)&gt;0,$TM18=WS$1),MAX(WR$2:WR17)+1,"")</f>
        <v/>
      </c>
      <c r="WS18" s="59" t="str">
        <f t="shared" ca="1" si="87"/>
        <v/>
      </c>
      <c r="WT18" s="18" t="str">
        <f ca="1">IF(AND(SUM($UB18:$VY18)&gt;0,$TM18=WU$1),MAX(WT$2:WT17)+1,"")</f>
        <v/>
      </c>
      <c r="WU18" s="59" t="str">
        <f t="shared" ca="1" si="88"/>
        <v/>
      </c>
      <c r="WV18" s="18" t="str">
        <f ca="1">IF(AND(SUM($UB18:$VY18)&gt;0,$TM18=WW$1),MAX(WV$2:WV17)+1,"")</f>
        <v/>
      </c>
      <c r="WW18" s="59" t="str">
        <f t="shared" ca="1" si="89"/>
        <v/>
      </c>
      <c r="WX18" s="18" t="str">
        <f ca="1">IF(AND(SUM($UB18:$VY18)&gt;0,$TM18=WY$1),MAX(WX$2:WX17)+1,"")</f>
        <v/>
      </c>
      <c r="WY18" s="59" t="str">
        <f t="shared" ca="1" si="90"/>
        <v/>
      </c>
      <c r="WZ18" s="18">
        <v>17</v>
      </c>
      <c r="XA18" s="59" t="str">
        <f t="shared" ca="1" si="91"/>
        <v/>
      </c>
      <c r="XB18" s="59" t="str">
        <f t="shared" ca="1" si="28"/>
        <v/>
      </c>
      <c r="XC18" s="59" t="str">
        <f t="shared" ca="1" si="29"/>
        <v/>
      </c>
      <c r="XD18" s="59" t="str">
        <f t="shared" ca="1" si="60"/>
        <v/>
      </c>
      <c r="XE18" s="59" t="str">
        <f t="shared" ca="1" si="61"/>
        <v/>
      </c>
      <c r="XF18" s="59" t="str">
        <f t="shared" ca="1" si="62"/>
        <v/>
      </c>
      <c r="XG18" s="59" t="str">
        <f t="shared" ca="1" si="63"/>
        <v/>
      </c>
      <c r="XH18" s="59" t="str">
        <f t="shared" ca="1" si="64"/>
        <v/>
      </c>
      <c r="XI18" s="59" t="str">
        <f t="shared" ca="1" si="65"/>
        <v/>
      </c>
      <c r="XJ18" s="59" t="str">
        <f t="shared" ca="1" si="66"/>
        <v/>
      </c>
      <c r="XK18" s="59" t="str">
        <f t="shared" ca="1" si="67"/>
        <v/>
      </c>
      <c r="XL18" s="59"/>
      <c r="XM18" s="18">
        <f t="shared" si="116"/>
        <v>14</v>
      </c>
      <c r="XN18" s="142" t="str">
        <f t="shared" ca="1" si="130"/>
        <v>Snake</v>
      </c>
      <c r="XO18" s="142" t="str">
        <f t="shared" ca="1" si="130"/>
        <v>Beast</v>
      </c>
      <c r="XP18" s="249" t="str">
        <f t="shared" ca="1" si="130"/>
        <v>Tiny</v>
      </c>
      <c r="XQ18" s="249">
        <f t="shared" ca="1" si="130"/>
        <v>13</v>
      </c>
      <c r="XR18" s="249">
        <f t="shared" ca="1" si="130"/>
        <v>2</v>
      </c>
      <c r="XS18" s="142" t="str">
        <f t="shared" ca="1" si="130"/>
        <v>30 ft, swim 30 ft</v>
      </c>
      <c r="XT18" s="249">
        <f t="shared" ca="1" si="130"/>
        <v>2</v>
      </c>
      <c r="XU18" s="249">
        <f t="shared" ca="1" si="130"/>
        <v>16</v>
      </c>
      <c r="XV18" s="249">
        <f t="shared" ca="1" si="130"/>
        <v>11</v>
      </c>
      <c r="XW18" s="249">
        <f t="shared" ca="1" si="130"/>
        <v>1</v>
      </c>
      <c r="XX18" s="249">
        <f t="shared" ca="1" si="130"/>
        <v>10</v>
      </c>
      <c r="XY18" s="249">
        <f t="shared" ca="1" si="130"/>
        <v>3</v>
      </c>
      <c r="XZ18" s="142" t="str">
        <f t="shared" ca="1" si="130"/>
        <v>none</v>
      </c>
      <c r="YA18" s="142" t="str">
        <f t="shared" ca="1" si="130"/>
        <v>passive Perception 10, blindsight 10 ft</v>
      </c>
      <c r="YB18" s="142" t="str">
        <f t="shared" ca="1" si="130"/>
        <v>Bite melee +5, reach 5ft, 1 piercing
DC10 Con save ½ , 2d4 poison</v>
      </c>
      <c r="YC18" s="142" t="str">
        <f t="shared" ca="1" si="130"/>
        <v>none</v>
      </c>
      <c r="YG18" s="58" t="s">
        <v>755</v>
      </c>
      <c r="YH18" s="58" t="s">
        <v>187</v>
      </c>
      <c r="YI18" s="215" t="s">
        <v>1768</v>
      </c>
      <c r="YJ18" s="215" t="s">
        <v>3435</v>
      </c>
      <c r="YK18" s="215" t="str">
        <f>""</f>
        <v/>
      </c>
      <c r="YL18" s="249" t="str">
        <f>""</f>
        <v/>
      </c>
      <c r="YM18" s="249" t="str">
        <f>""</f>
        <v/>
      </c>
      <c r="YN18" s="249" t="str">
        <f>""</f>
        <v/>
      </c>
      <c r="YO18" s="249"/>
      <c r="YP18" s="249"/>
      <c r="YQ18" s="215"/>
      <c r="YT18" s="18" t="s">
        <v>287</v>
      </c>
      <c r="YU18" s="18">
        <v>4</v>
      </c>
      <c r="YW18" s="18" t="str">
        <f ca="1">IF(YX18="","",MAX($YW$1:YW17)+1)</f>
        <v/>
      </c>
      <c r="YX18" s="59" t="str">
        <f t="shared" ca="1" si="71"/>
        <v/>
      </c>
      <c r="YY18" s="18" t="str">
        <f t="shared" ca="1" si="72"/>
        <v/>
      </c>
      <c r="YZ18" s="18">
        <f t="shared" si="117"/>
        <v>15</v>
      </c>
      <c r="ZA18" s="18" t="str">
        <f ca="1">IF(ZB18="","",MAX($ZA$2:ZA17)+1)</f>
        <v/>
      </c>
      <c r="ZB18" s="18" t="str">
        <f t="shared" ca="1" si="98"/>
        <v/>
      </c>
      <c r="ZC18" s="18" t="str">
        <f>IF(Start!AF34=SelectText,"",Start!AF34)</f>
        <v/>
      </c>
      <c r="ZD18" s="18" t="str">
        <f>IF(OR(COUNTIF($ZC$4:$ZC18,ZD$2)=0,COUNTIF($ZC$4:$ZC18,ZD$2)=MAX(ZD$2:ZD17)),"-",COUNTIF($ZC$4:$ZC18,ZD$2))</f>
        <v>-</v>
      </c>
      <c r="ZE18" s="18" t="str">
        <f>IF(OR(COUNTIF($ZC$4:$ZC18,ZE$2)=0,COUNTIF($ZC$4:$ZC18,ZE$2)=MAX(ZE$2:ZE17)),"-",COUNTIF($ZC$4:$ZC18,ZE$2))</f>
        <v>-</v>
      </c>
      <c r="ZF18" s="18" t="str">
        <f>IF(OR(COUNTIF($ZC$4:$ZC18,ZF$2)=0,COUNTIF($ZC$4:$ZC18,ZF$2)=MAX(ZF$2:ZF17)),"-",COUNTIF($ZC$4:$ZC18,ZF$2))</f>
        <v>-</v>
      </c>
      <c r="ZG18" s="18" t="str">
        <f>IF(OR(COUNTIF($ZC$4:$ZC18,ZG$2)=0,COUNTIF($ZC$4:$ZC18,ZG$2)=MAX(ZG$2:ZG17)),"-",COUNTIF($ZC$4:$ZC18,ZG$2))</f>
        <v>-</v>
      </c>
      <c r="ZH18" s="18" t="str">
        <f>IF(OR(COUNTIF($ZC$4:$ZC18,ZH$2)=0,COUNTIF($ZC$4:$ZC18,ZH$2)=MAX(ZH$2:ZH17)),"-",COUNTIF($ZC$4:$ZC18,ZH$2))</f>
        <v>-</v>
      </c>
      <c r="ZI18" s="18" t="str">
        <f>IF(OR(COUNTIF($ZC$4:$ZC18,ZI$2)=0,COUNTIF($ZC$4:$ZC18,ZI$2)=MAX(ZI$2:ZI17)),"-",COUNTIF($ZC$4:$ZC18,ZI$2))</f>
        <v>-</v>
      </c>
      <c r="ZJ18" s="18" t="str">
        <f>IF(OR(COUNTIF($ZC$4:$ZC18,ZJ$2)=0,COUNTIF($ZC$4:$ZC18,ZJ$2)=MAX(ZJ$2:ZJ17)),"-",COUNTIF($ZC$4:$ZC18,ZJ$2))</f>
        <v>-</v>
      </c>
      <c r="ZK18" s="18" t="str">
        <f>IF(OR(COUNTIF($ZC$4:$ZC18,ZK$2)=0,COUNTIF($ZC$4:$ZC18,ZK$2)=MAX(ZK$2:ZK17)),"-",COUNTIF($ZC$4:$ZC18,ZK$2))</f>
        <v>-</v>
      </c>
      <c r="ZL18" s="18" t="str">
        <f>IF(OR(COUNTIF($ZC$4:$ZC18,ZL$2)=0,COUNTIF($ZC$4:$ZC18,ZL$2)=MAX(ZL$2:ZL17)),"-",COUNTIF($ZC$4:$ZC18,ZL$2))</f>
        <v>-</v>
      </c>
      <c r="ZM18" s="18" t="str">
        <f>IF(OR(COUNTIF($ZC$4:$ZC18,ZM$2)=0,COUNTIF($ZC$4:$ZC18,ZM$2)=MAX(ZM$2:ZM17)),"-",COUNTIF($ZC$4:$ZC18,ZM$2))</f>
        <v>-</v>
      </c>
      <c r="ZN18" s="18" t="str">
        <f>IF(OR(COUNTIF($ZC$4:$ZC18,ZN$2)=0,COUNTIF($ZC$4:$ZC18,ZN$2)=MAX(ZN$2:ZN17)),"-",COUNTIF($ZC$4:$ZC18,ZN$2))</f>
        <v>-</v>
      </c>
      <c r="ZO18" s="18" t="str">
        <f>IF(OR(COUNTIF($ZC$4:$ZC18,ZO$2)=0,COUNTIF($ZC$4:$ZC18,ZO$2)=MAX(ZO$2:ZO17)),"-",COUNTIF($ZC$4:$ZC18,ZO$2))</f>
        <v>-</v>
      </c>
      <c r="ZP18" s="18">
        <f t="shared" si="118"/>
        <v>15</v>
      </c>
    </row>
    <row r="19" spans="5:694" ht="9.9499999999999993" customHeight="1" x14ac:dyDescent="0.25">
      <c r="E19" s="59"/>
      <c r="F19" s="59"/>
      <c r="G19" s="59"/>
      <c r="H19" s="59"/>
      <c r="I19" s="59"/>
      <c r="J19" s="59"/>
      <c r="K19" s="59"/>
      <c r="U19" s="404" t="s">
        <v>2702</v>
      </c>
      <c r="V19" s="399" t="str">
        <f>"• Damage Type: Lightning
• Breath Weapon: 5 by 30 ft. line. DC "&amp;8+IF(CONMod="",0,CONMod)+IF(ProfBonus="",0,ProfBonus)&amp;" Dex save for "&amp;IF(CharacterLevel&lt;6,"2d6",IF(CharacterLevel&lt;11,"3d6",IF(CharacterLevel&lt;15,"4d6", "5d6")))&amp;" on failed save, half on success."</f>
        <v>• Damage Type: Lightning
• Breath Weapon: 5 by 30 ft. line. DC 5 Dex save for 2d6 on failed save, half on success.</v>
      </c>
      <c r="W19" s="399" t="s">
        <v>2714</v>
      </c>
      <c r="X19" s="18" t="str">
        <f>IF(Y19="","",MAX($X$3:X18)+1)</f>
        <v/>
      </c>
      <c r="Y19" s="58" t="str">
        <f t="shared" si="131"/>
        <v/>
      </c>
      <c r="Z19" s="18">
        <f t="shared" si="109"/>
        <v>16</v>
      </c>
      <c r="AA19" s="18" t="str">
        <f t="shared" si="74"/>
        <v/>
      </c>
      <c r="AE19" s="18"/>
      <c r="AF19" s="17"/>
      <c r="AG19" s="16"/>
      <c r="AH19" s="17"/>
      <c r="AI19" s="287"/>
      <c r="AJ19" s="17"/>
      <c r="AK19" s="267"/>
      <c r="AL19" s="291"/>
      <c r="AM19" s="17"/>
      <c r="AN19" s="18"/>
      <c r="AO19" s="18">
        <f t="shared" si="119"/>
        <v>18</v>
      </c>
      <c r="AP19" s="59" t="str">
        <f t="shared" si="132"/>
        <v/>
      </c>
      <c r="AQ19" s="59" t="str">
        <f>""</f>
        <v/>
      </c>
      <c r="AR19" s="254" t="s">
        <v>1063</v>
      </c>
      <c r="AS19" s="385" t="s">
        <v>2434</v>
      </c>
      <c r="AT19" s="254" t="s">
        <v>1089</v>
      </c>
      <c r="AU19" s="385" t="s">
        <v>2468</v>
      </c>
      <c r="AV19" s="255" t="s">
        <v>1131</v>
      </c>
      <c r="AW19" s="385" t="s">
        <v>2514</v>
      </c>
      <c r="AX19" s="385" t="s">
        <v>2547</v>
      </c>
      <c r="AY19" s="58" t="s">
        <v>1159</v>
      </c>
      <c r="AZ19" s="58" t="s">
        <v>2583</v>
      </c>
      <c r="BA19" s="254" t="s">
        <v>1026</v>
      </c>
      <c r="BB19" s="385" t="s">
        <v>2609</v>
      </c>
      <c r="BC19" s="58" t="s">
        <v>1185</v>
      </c>
      <c r="BD19" s="58" t="s">
        <v>2377</v>
      </c>
      <c r="BE19" s="18" t="str">
        <f>""</f>
        <v/>
      </c>
      <c r="DH19" s="104"/>
      <c r="DI19" s="104"/>
      <c r="DJ19" s="104"/>
      <c r="DK19" s="104"/>
      <c r="DL19" s="59" t="s">
        <v>798</v>
      </c>
      <c r="DM19" s="18" t="s">
        <v>315</v>
      </c>
      <c r="DN19" s="18">
        <f t="shared" ca="1" si="121"/>
        <v>0</v>
      </c>
      <c r="DO19" s="58" t="str">
        <f>""</f>
        <v/>
      </c>
      <c r="DP19" s="59" t="str">
        <f>""</f>
        <v/>
      </c>
      <c r="DQ19" s="58" t="s">
        <v>800</v>
      </c>
      <c r="DR19" s="59" t="str">
        <f>""</f>
        <v/>
      </c>
      <c r="DS19" s="59" t="str">
        <f>""</f>
        <v/>
      </c>
      <c r="DT19" s="59" t="str">
        <f>""</f>
        <v/>
      </c>
      <c r="DU19" s="59" t="str">
        <f>""</f>
        <v/>
      </c>
      <c r="DV19" s="59" t="str">
        <f>""</f>
        <v/>
      </c>
      <c r="DW19" s="59" t="s">
        <v>436</v>
      </c>
      <c r="DX19" s="59" t="str">
        <f>""</f>
        <v/>
      </c>
      <c r="DY19" s="59" t="str">
        <f>""</f>
        <v/>
      </c>
      <c r="DZ19" s="59" t="str">
        <f>""</f>
        <v/>
      </c>
      <c r="EA19" s="59" t="s">
        <v>437</v>
      </c>
      <c r="EB19" s="59" t="str">
        <f>""</f>
        <v/>
      </c>
      <c r="EC19" s="59" t="str">
        <f>""</f>
        <v/>
      </c>
      <c r="ED19" s="59" t="str">
        <f>""</f>
        <v/>
      </c>
      <c r="EE19" s="59" t="s">
        <v>438</v>
      </c>
      <c r="EF19" s="59" t="str">
        <f>""</f>
        <v/>
      </c>
      <c r="EG19" s="59" t="str">
        <f>""</f>
        <v/>
      </c>
      <c r="EH19" s="59" t="str">
        <f>""</f>
        <v/>
      </c>
      <c r="EI19" s="103" t="str">
        <f>""</f>
        <v/>
      </c>
      <c r="EJ19" s="103" t="str">
        <f>""</f>
        <v/>
      </c>
      <c r="EK19" s="103"/>
      <c r="EL19" s="103" t="str">
        <f>""</f>
        <v/>
      </c>
      <c r="EM19" s="103"/>
      <c r="EN19" s="103" t="str">
        <f>""</f>
        <v/>
      </c>
      <c r="EO19" s="103"/>
      <c r="EP19" s="103" t="str">
        <f>""</f>
        <v/>
      </c>
      <c r="EQ19" s="103"/>
      <c r="ER19" s="103" t="str">
        <f>""</f>
        <v/>
      </c>
      <c r="ES19" s="103"/>
      <c r="ET19" s="59" t="str">
        <f>""</f>
        <v/>
      </c>
      <c r="EU19" s="18" t="str">
        <f>""</f>
        <v/>
      </c>
      <c r="EV19" s="59" t="str">
        <f>""</f>
        <v/>
      </c>
      <c r="EW19" s="18" t="str">
        <f>""</f>
        <v/>
      </c>
      <c r="EX19" s="59" t="str">
        <f>""</f>
        <v/>
      </c>
      <c r="EY19" s="18" t="str">
        <f>""</f>
        <v/>
      </c>
      <c r="FA19" s="18" t="str">
        <f>IF($DM19=FB$5,MAX(FA$6:FA18)+1,"")</f>
        <v/>
      </c>
      <c r="FB19" s="58" t="str">
        <f t="shared" si="122"/>
        <v/>
      </c>
      <c r="FC19" s="18"/>
      <c r="FE19" s="18" t="str">
        <f>IF($DM19=FF$5,MAX(FE$6:FE18)+1,"")</f>
        <v/>
      </c>
      <c r="FF19" s="58" t="str">
        <f t="shared" si="123"/>
        <v/>
      </c>
      <c r="FG19" s="18"/>
      <c r="FI19" s="18" t="str">
        <f>IF($DM19=FJ$5,MAX(FI$6:FI18)+1,"")</f>
        <v/>
      </c>
      <c r="FJ19" s="58" t="str">
        <f t="shared" si="124"/>
        <v/>
      </c>
      <c r="FK19" s="18"/>
      <c r="FM19" s="58" t="s">
        <v>1898</v>
      </c>
      <c r="FN19" s="59">
        <f>Start!X71</f>
        <v>0</v>
      </c>
      <c r="FO19" s="18" t="str">
        <f>IF($FM19=$FP19,MAX(FO$3:FO18)+1,"")</f>
        <v/>
      </c>
      <c r="FP19" s="59" t="str">
        <f t="shared" si="101"/>
        <v/>
      </c>
      <c r="FQ19" s="18">
        <f t="shared" si="102"/>
        <v>17</v>
      </c>
      <c r="FR19" s="59" t="str">
        <f t="shared" si="75"/>
        <v/>
      </c>
      <c r="FS19" s="18"/>
      <c r="FT19" s="18"/>
      <c r="FU19" s="18"/>
      <c r="FV19" s="18"/>
      <c r="FW19" s="18" t="str">
        <f>IF(FX19="","",MAX($FW$15:FW18)+1)</f>
        <v/>
      </c>
      <c r="FX19" s="59" t="str">
        <f>IF(OR(FighterLevel&gt;0,PaladinLevel&gt;1),FX28,"")</f>
        <v/>
      </c>
      <c r="FZ19" s="104"/>
      <c r="GA19" s="104"/>
      <c r="GB19" s="104"/>
      <c r="GC19" s="104"/>
      <c r="GD19" s="104"/>
      <c r="GI19" s="104"/>
      <c r="GJ19" s="104"/>
      <c r="GK19" s="18"/>
      <c r="GL19" s="18"/>
      <c r="GM19" s="18"/>
      <c r="GN19" s="18"/>
      <c r="GO19" s="18"/>
      <c r="GP19" s="18"/>
      <c r="GQ19" s="59" t="s">
        <v>2817</v>
      </c>
      <c r="GR19" s="59" t="s">
        <v>3501</v>
      </c>
      <c r="GS19" s="18">
        <v>17</v>
      </c>
      <c r="GT19" s="18">
        <v>6</v>
      </c>
      <c r="GU19" s="18" t="str">
        <f ca="1">IF(GV19="","",MAX($GU$3:GU18)+1)</f>
        <v/>
      </c>
      <c r="GV19" s="59" t="str">
        <f t="shared" ca="1" si="76"/>
        <v/>
      </c>
      <c r="GW19" s="18">
        <f t="shared" si="103"/>
        <v>17</v>
      </c>
      <c r="GX19" s="59" t="str">
        <f t="shared" ca="1" si="44"/>
        <v/>
      </c>
      <c r="GY19" s="59"/>
      <c r="HK19" s="59" t="s">
        <v>2907</v>
      </c>
      <c r="HL19" s="59" t="s">
        <v>2905</v>
      </c>
      <c r="HM19" s="59" t="s">
        <v>2921</v>
      </c>
      <c r="HN19" s="59"/>
      <c r="HX19" s="59" t="s">
        <v>2970</v>
      </c>
      <c r="IH19" s="18">
        <f>IF(IJ19=1,MAX($IH$2:IH18)+1,"")</f>
        <v>9</v>
      </c>
      <c r="II19" s="58" t="s">
        <v>3309</v>
      </c>
      <c r="IJ19" s="59">
        <f>1</f>
        <v>1</v>
      </c>
      <c r="IK19" s="58" t="s">
        <v>3353</v>
      </c>
      <c r="IL19" s="18">
        <f t="shared" si="105"/>
        <v>17</v>
      </c>
      <c r="IM19" s="59" t="str">
        <f t="shared" si="77"/>
        <v/>
      </c>
      <c r="IN19" s="59"/>
      <c r="IO19" s="59"/>
      <c r="IP19" s="59"/>
      <c r="IQ19" s="59"/>
      <c r="IR19" s="59"/>
      <c r="IS19" s="59"/>
      <c r="IT19" s="59"/>
      <c r="IU19" s="59"/>
      <c r="IX19" s="59" t="s">
        <v>1485</v>
      </c>
      <c r="IY19" s="59" t="s">
        <v>945</v>
      </c>
      <c r="IZ19" s="59" t="s">
        <v>199</v>
      </c>
      <c r="JA19" s="59" t="s">
        <v>888</v>
      </c>
      <c r="JB19" s="59" t="s">
        <v>904</v>
      </c>
      <c r="JC19" s="18">
        <f>IF(JD19="","",MAX($JC$1:JC18)+1)</f>
        <v>16</v>
      </c>
      <c r="JD19" s="58" t="s">
        <v>274</v>
      </c>
      <c r="JE19" s="58" t="s">
        <v>263</v>
      </c>
      <c r="JF19" s="18">
        <v>18</v>
      </c>
      <c r="JG19" s="59" t="str">
        <f t="shared" si="27"/>
        <v/>
      </c>
      <c r="JH19" s="18">
        <v>18</v>
      </c>
      <c r="JI19" s="60">
        <v>265000</v>
      </c>
      <c r="JJ19" s="18">
        <v>18</v>
      </c>
      <c r="JK19" s="18">
        <v>6</v>
      </c>
      <c r="JL19" s="18"/>
      <c r="JM19" s="18">
        <v>17</v>
      </c>
      <c r="JN19" s="80">
        <f t="shared" ca="1" si="127"/>
        <v>4</v>
      </c>
      <c r="JO19" s="80">
        <f t="shared" ca="1" si="127"/>
        <v>3</v>
      </c>
      <c r="JP19" s="80">
        <f t="shared" ca="1" si="127"/>
        <v>3</v>
      </c>
      <c r="JQ19" s="80">
        <f t="shared" ca="1" si="127"/>
        <v>3</v>
      </c>
      <c r="JR19" s="80">
        <f t="shared" ca="1" si="127"/>
        <v>2</v>
      </c>
      <c r="JS19" s="80">
        <f t="shared" ca="1" si="127"/>
        <v>1</v>
      </c>
      <c r="JT19" s="80">
        <f t="shared" ca="1" si="127"/>
        <v>1</v>
      </c>
      <c r="JU19" s="80">
        <f t="shared" ca="1" si="127"/>
        <v>1</v>
      </c>
      <c r="JV19" s="80">
        <f t="shared" ca="1" si="127"/>
        <v>1</v>
      </c>
      <c r="JW19" s="80">
        <f t="shared" ca="1" si="127"/>
        <v>9</v>
      </c>
      <c r="JX19" s="18"/>
      <c r="JY19" s="18"/>
      <c r="JZ19" s="18"/>
      <c r="KA19" s="18"/>
      <c r="KB19" s="18"/>
      <c r="KC19" s="18"/>
      <c r="KD19" s="18">
        <v>17</v>
      </c>
      <c r="KE19" s="302">
        <v>11</v>
      </c>
      <c r="KF19" s="302">
        <v>20</v>
      </c>
      <c r="KG19" s="302">
        <v>11</v>
      </c>
      <c r="KH19" s="302">
        <v>10</v>
      </c>
      <c r="KI19" s="302">
        <v>15</v>
      </c>
      <c r="KJ19" s="302">
        <v>14</v>
      </c>
      <c r="KK19" s="18">
        <v>17</v>
      </c>
      <c r="KL19" s="18">
        <v>5</v>
      </c>
      <c r="KM19" s="18">
        <v>5</v>
      </c>
      <c r="KN19" s="18">
        <v>3</v>
      </c>
      <c r="KO19" s="18">
        <v>4</v>
      </c>
      <c r="KP19" s="18">
        <v>4</v>
      </c>
      <c r="KQ19" s="18">
        <v>6</v>
      </c>
      <c r="KR19" s="80">
        <v>4</v>
      </c>
      <c r="KT19" s="93" t="s">
        <v>1527</v>
      </c>
      <c r="KU19" s="80" t="str">
        <f t="shared" si="128"/>
        <v>No</v>
      </c>
      <c r="KV19" s="89" t="s">
        <v>333</v>
      </c>
      <c r="KW19" s="270"/>
      <c r="KX19" s="270"/>
      <c r="KY19" s="270"/>
      <c r="KZ19" s="270"/>
      <c r="LA19" s="270"/>
      <c r="LB19" s="92"/>
      <c r="LC19" s="270"/>
      <c r="LD19" s="270"/>
      <c r="LE19" s="270"/>
      <c r="LF19" s="455"/>
      <c r="LG19" s="270"/>
      <c r="LH19" s="270"/>
      <c r="LI19" s="270"/>
      <c r="LJ19" s="270"/>
      <c r="LK19" s="270"/>
      <c r="LL19" s="406"/>
      <c r="LM19" s="455"/>
      <c r="LN19" s="270"/>
      <c r="LO19" s="270"/>
      <c r="LP19" s="270"/>
      <c r="LQ19" s="92"/>
      <c r="LR19" s="270"/>
      <c r="LS19" s="270"/>
      <c r="LT19" s="92"/>
      <c r="LU19" s="92"/>
      <c r="LV19" s="270"/>
      <c r="LW19" s="270"/>
      <c r="LX19" s="270"/>
      <c r="LY19" s="92"/>
      <c r="LZ19" s="92"/>
      <c r="MA19" s="92"/>
      <c r="MB19" s="92"/>
      <c r="MC19" s="92"/>
      <c r="MD19" s="92"/>
      <c r="ME19" s="92"/>
      <c r="MF19" s="92"/>
      <c r="MG19" s="92"/>
      <c r="MH19" s="92"/>
      <c r="MI19" s="92"/>
      <c r="MJ19" s="92"/>
      <c r="MK19" s="92"/>
      <c r="ML19" s="94"/>
      <c r="MM19" s="94"/>
      <c r="MN19" s="94"/>
      <c r="MO19" s="94"/>
      <c r="MP19" s="94"/>
      <c r="MQ19" s="94"/>
      <c r="MR19" s="94"/>
      <c r="MS19" s="94"/>
      <c r="MT19" s="94"/>
      <c r="MU19" s="94"/>
      <c r="MV19" s="94"/>
      <c r="MW19" s="94"/>
      <c r="MX19" s="94"/>
      <c r="MY19" s="94"/>
      <c r="MZ19" s="94"/>
      <c r="NA19" s="94"/>
      <c r="NB19" s="94"/>
      <c r="NC19" s="94"/>
      <c r="ND19" s="94"/>
      <c r="NE19" s="94"/>
      <c r="NF19" s="94"/>
      <c r="NG19" s="94"/>
      <c r="NH19" s="94"/>
      <c r="NI19" s="94"/>
      <c r="NJ19" s="94"/>
      <c r="NK19" s="94"/>
      <c r="NL19" s="94"/>
      <c r="NM19" s="94"/>
      <c r="NN19" s="94"/>
      <c r="NO19" s="94"/>
      <c r="NP19" s="438"/>
      <c r="NQ19" s="94"/>
      <c r="NR19" s="94"/>
      <c r="NS19" s="94"/>
      <c r="NT19" s="94"/>
      <c r="NU19" s="94"/>
      <c r="NV19" s="456"/>
      <c r="NW19" s="456"/>
      <c r="NX19" s="456"/>
      <c r="NY19" s="456"/>
      <c r="NZ19" s="456"/>
      <c r="OA19" s="94"/>
      <c r="OB19" s="94"/>
      <c r="OC19" s="94"/>
      <c r="OD19" s="94"/>
      <c r="OE19" s="94"/>
      <c r="OF19" s="94"/>
      <c r="OG19" s="94"/>
      <c r="OH19" s="94"/>
      <c r="OI19" s="94"/>
      <c r="OJ19" s="94"/>
      <c r="OK19" s="94"/>
      <c r="OL19" s="94"/>
      <c r="OM19" s="94"/>
      <c r="ON19" s="94"/>
      <c r="OO19" s="94"/>
      <c r="OP19" s="94"/>
      <c r="OQ19" s="94"/>
      <c r="OR19" s="94"/>
      <c r="OS19" s="94"/>
      <c r="OT19" s="94"/>
      <c r="OU19" s="94"/>
      <c r="OV19" s="94"/>
      <c r="OW19" s="94"/>
      <c r="OX19" s="94"/>
      <c r="OY19" s="94"/>
      <c r="OZ19" s="94"/>
      <c r="PA19" s="94"/>
      <c r="PB19" s="94"/>
      <c r="PC19" s="94"/>
      <c r="PD19" s="94"/>
      <c r="PE19" s="94"/>
      <c r="PF19" s="94"/>
      <c r="PG19" s="94"/>
      <c r="PH19" s="94"/>
      <c r="PI19" s="94"/>
      <c r="PJ19" s="94"/>
      <c r="PK19" s="94"/>
      <c r="PL19" s="94"/>
      <c r="PM19" s="94"/>
      <c r="PN19" s="94"/>
      <c r="PO19" s="94"/>
      <c r="PP19" s="94"/>
      <c r="PQ19" s="94"/>
      <c r="PR19" s="94"/>
      <c r="PS19" s="94" t="str">
        <f>IF(COUNTIF(Start!$AX$59:$BF$68,Tables!KT19)&gt;0,Tables!KT19,"")</f>
        <v/>
      </c>
      <c r="PT19" s="94"/>
      <c r="PU19" s="59" t="str">
        <f t="shared" si="129"/>
        <v/>
      </c>
      <c r="PV19" s="59" t="str">
        <f>IF(PU19="","",IF(COUNTIF(PU19:$PU$57,"&gt;&lt;")&gt;1,PU19&amp;", ", PU19))</f>
        <v/>
      </c>
      <c r="PW19" s="59"/>
      <c r="PX19" s="59"/>
      <c r="PY19" s="18"/>
      <c r="PZ19" s="19" t="s">
        <v>156</v>
      </c>
      <c r="QA19" s="19" t="s">
        <v>167</v>
      </c>
      <c r="QB19" s="27" t="str">
        <f t="shared" ca="1" si="79"/>
        <v>not proficient</v>
      </c>
      <c r="QC19" s="67" t="s">
        <v>104</v>
      </c>
      <c r="QD19" s="19" t="s">
        <v>134</v>
      </c>
      <c r="QE19" s="26" t="s">
        <v>142</v>
      </c>
      <c r="QF19" s="26">
        <v>2</v>
      </c>
      <c r="QG19" s="26" t="str">
        <f>""</f>
        <v/>
      </c>
      <c r="QH19" s="26" t="str">
        <f>""</f>
        <v/>
      </c>
      <c r="QI19" s="26" t="str">
        <f>""</f>
        <v/>
      </c>
      <c r="QJ19" s="26" t="s">
        <v>138</v>
      </c>
      <c r="QK19" s="26" t="str">
        <f>""</f>
        <v/>
      </c>
      <c r="QL19" s="26" t="str">
        <f>""</f>
        <v/>
      </c>
      <c r="QM19" s="26" t="str">
        <f>""</f>
        <v/>
      </c>
      <c r="QN19" s="26" t="s">
        <v>146</v>
      </c>
      <c r="QO19" s="26" t="str">
        <f>""</f>
        <v/>
      </c>
      <c r="QP19" s="26" t="str">
        <f>""</f>
        <v/>
      </c>
      <c r="QQ19" s="27" t="str">
        <f>""</f>
        <v/>
      </c>
      <c r="QR19" s="27" t="str">
        <f>""</f>
        <v/>
      </c>
      <c r="QT19" s="727"/>
      <c r="QU19" s="727"/>
      <c r="QV19" s="727"/>
      <c r="QW19" s="727"/>
      <c r="QX19" s="727"/>
      <c r="QY19" s="727"/>
      <c r="QZ19" s="727"/>
      <c r="RA19" s="727"/>
      <c r="RB19" s="729"/>
      <c r="RC19" s="727"/>
      <c r="RD19" s="727"/>
      <c r="RE19" s="727"/>
      <c r="RF19" s="727"/>
      <c r="RG19" s="727"/>
      <c r="RH19" s="727"/>
      <c r="RI19" s="727"/>
      <c r="RJ19" s="727"/>
      <c r="RK19" s="727"/>
      <c r="RL19" s="727"/>
      <c r="RM19" s="727"/>
      <c r="RN19" s="729"/>
      <c r="RO19" s="729"/>
      <c r="RP19" s="727"/>
      <c r="RQ19" s="729"/>
      <c r="RR19" s="729"/>
      <c r="RS19" s="729"/>
      <c r="RT19" s="729"/>
      <c r="RU19" s="729"/>
      <c r="RV19" s="729"/>
      <c r="RW19" s="729"/>
      <c r="RX19" s="729"/>
      <c r="RY19" s="729"/>
      <c r="RZ19" s="729"/>
      <c r="SA19" s="729"/>
      <c r="SB19" s="729"/>
      <c r="SC19" s="729"/>
      <c r="SD19" s="729"/>
      <c r="SE19" s="729"/>
      <c r="SF19" s="729"/>
      <c r="SG19" s="729"/>
      <c r="SH19" s="729"/>
      <c r="SI19" s="729"/>
      <c r="SJ19" s="729"/>
      <c r="SK19" s="729"/>
      <c r="SL19" s="729"/>
      <c r="SM19" s="634"/>
      <c r="SN19" s="729"/>
      <c r="SO19" s="729"/>
      <c r="SP19" s="729"/>
      <c r="SQ19" s="634"/>
      <c r="SR19" s="19"/>
      <c r="SS19" s="19"/>
      <c r="ST19" s="26"/>
      <c r="SU19" s="68"/>
      <c r="SV19" s="44"/>
      <c r="SW19" s="231"/>
      <c r="SX19" s="45"/>
      <c r="SY19" s="27"/>
      <c r="SZ19" s="26"/>
      <c r="TA19" s="19"/>
      <c r="TB19" s="19"/>
      <c r="TC19" s="19"/>
      <c r="TD19" s="44"/>
      <c r="TE19" s="26"/>
      <c r="TF19" s="231"/>
      <c r="TG19" s="26"/>
      <c r="TH19" s="27"/>
      <c r="TI19" s="27"/>
      <c r="TJ19" s="18">
        <f t="shared" si="115"/>
        <v>17</v>
      </c>
      <c r="TK19" s="58" t="s">
        <v>1296</v>
      </c>
      <c r="TL19" s="58" t="s">
        <v>448</v>
      </c>
      <c r="TM19" s="18">
        <v>1</v>
      </c>
      <c r="TN19" s="59" t="str">
        <f t="shared" si="47"/>
        <v xml:space="preserve">Arms of Hadar ᴴ </v>
      </c>
      <c r="TO19" s="350" t="s">
        <v>2991</v>
      </c>
      <c r="TP19" s="18" t="str">
        <f t="shared" si="48"/>
        <v/>
      </c>
      <c r="TQ19" s="18" t="str">
        <f>IF(OR(TK19=Spellcasting!$AC$18,TK19=Spellcasting!$AC$19),"ᵐ","")</f>
        <v/>
      </c>
      <c r="TR19" s="18" t="str">
        <f>IF(OR(TK19=Spellcasting!$AC$20,TK19=Spellcasting!$AC$21),"ˢ","")</f>
        <v/>
      </c>
      <c r="TS19" s="18" t="str">
        <f>""</f>
        <v/>
      </c>
      <c r="TT19" s="18" t="s">
        <v>484</v>
      </c>
      <c r="TU19" s="18" t="s">
        <v>509</v>
      </c>
      <c r="TV19" s="18" t="s">
        <v>505</v>
      </c>
      <c r="TW19" s="18" t="s">
        <v>486</v>
      </c>
      <c r="TX19" s="59" t="str">
        <f>""</f>
        <v/>
      </c>
      <c r="TY19" s="18" t="s">
        <v>516</v>
      </c>
      <c r="TZ19" s="18" t="s">
        <v>517</v>
      </c>
      <c r="UA19" s="142" t="s">
        <v>3139</v>
      </c>
      <c r="UB19" s="319" t="s">
        <v>2137</v>
      </c>
      <c r="UG19" s="18" t="str">
        <f ca="1">IF(UG$1&gt;=$TM19,1,"0")</f>
        <v>0</v>
      </c>
      <c r="WD19" s="18" t="str">
        <f ca="1">IF(SUM($VZ$1:$WC$1)&gt;0,IF(AND(SUM($VZ19:$WC19)&gt;0,$TM19=WE$1),MAX(WD$2:WD18)+1,""),IF(AND(SUM($UC19:$VY19)&gt;0,$TM19=WE$1),MAX(WD$2:WD18)+1,""))</f>
        <v/>
      </c>
      <c r="WE19" s="59" t="str">
        <f t="shared" ca="1" si="80"/>
        <v/>
      </c>
      <c r="WF19" s="18" t="str">
        <f ca="1">IF(AND(SUM($UB19:$VY19)&gt;0,$TM19=WG$1),MAX(WF$2:WF18)+1,"")</f>
        <v/>
      </c>
      <c r="WG19" s="59" t="str">
        <f t="shared" ca="1" si="81"/>
        <v/>
      </c>
      <c r="WH19" s="18" t="str">
        <f ca="1">IF(AND(SUM($UB19:$VY19)&gt;0,$TM19=WI$1),MAX(WH$2:WH18)+1,"")</f>
        <v/>
      </c>
      <c r="WI19" s="59" t="str">
        <f t="shared" ca="1" si="82"/>
        <v/>
      </c>
      <c r="WJ19" s="18" t="str">
        <f ca="1">IF(AND(SUM($UB19:$VY19)&gt;0,$TM19=WK$1),MAX(WJ$2:WJ18)+1,"")</f>
        <v/>
      </c>
      <c r="WK19" s="59" t="str">
        <f t="shared" ca="1" si="83"/>
        <v/>
      </c>
      <c r="WL19" s="18" t="str">
        <f ca="1">IF(AND(SUM($UB19:$VY19)&gt;0,$TM19=WM$1),MAX(WL$2:WL18)+1,"")</f>
        <v/>
      </c>
      <c r="WM19" s="59" t="str">
        <f t="shared" ca="1" si="84"/>
        <v/>
      </c>
      <c r="WN19" s="18" t="str">
        <f ca="1">IF(AND(SUM($UB19:$VY19)&gt;0,$TM19=WO$1),MAX(WN$2:WN18)+1,"")</f>
        <v/>
      </c>
      <c r="WO19" s="59" t="str">
        <f t="shared" ca="1" si="85"/>
        <v/>
      </c>
      <c r="WP19" s="18" t="str">
        <f ca="1">IF(AND(SUM($UB19:$VY19)&gt;0,$TM19=WQ$1),MAX(WP$2:WP18)+1,"")</f>
        <v/>
      </c>
      <c r="WQ19" s="59" t="str">
        <f t="shared" ca="1" si="86"/>
        <v/>
      </c>
      <c r="WR19" s="18" t="str">
        <f ca="1">IF(AND(SUM($UB19:$VY19)&gt;0,$TM19=WS$1),MAX(WR$2:WR18)+1,"")</f>
        <v/>
      </c>
      <c r="WS19" s="59" t="str">
        <f t="shared" ca="1" si="87"/>
        <v/>
      </c>
      <c r="WT19" s="18" t="str">
        <f ca="1">IF(AND(SUM($UB19:$VY19)&gt;0,$TM19=WU$1),MAX(WT$2:WT18)+1,"")</f>
        <v/>
      </c>
      <c r="WU19" s="59" t="str">
        <f t="shared" ca="1" si="88"/>
        <v/>
      </c>
      <c r="WV19" s="18" t="str">
        <f ca="1">IF(AND(SUM($UB19:$VY19)&gt;0,$TM19=WW$1),MAX(WV$2:WV18)+1,"")</f>
        <v/>
      </c>
      <c r="WW19" s="59" t="str">
        <f t="shared" ca="1" si="89"/>
        <v/>
      </c>
      <c r="WX19" s="18" t="str">
        <f ca="1">IF(AND(SUM($UB19:$VY19)&gt;0,$TM19=WY$1),MAX(WX$2:WX18)+1,"")</f>
        <v/>
      </c>
      <c r="WY19" s="59" t="str">
        <f t="shared" ca="1" si="90"/>
        <v/>
      </c>
      <c r="WZ19" s="18">
        <v>18</v>
      </c>
      <c r="XA19" s="59" t="str">
        <f t="shared" ca="1" si="91"/>
        <v/>
      </c>
      <c r="XB19" s="59" t="str">
        <f t="shared" ca="1" si="28"/>
        <v/>
      </c>
      <c r="XC19" s="59" t="str">
        <f t="shared" ca="1" si="29"/>
        <v/>
      </c>
      <c r="XD19" s="59" t="str">
        <f t="shared" ca="1" si="60"/>
        <v/>
      </c>
      <c r="XE19" s="59" t="str">
        <f t="shared" ca="1" si="61"/>
        <v/>
      </c>
      <c r="XF19" s="59" t="str">
        <f t="shared" ca="1" si="62"/>
        <v/>
      </c>
      <c r="XG19" s="59" t="str">
        <f t="shared" ca="1" si="63"/>
        <v/>
      </c>
      <c r="XH19" s="59" t="str">
        <f t="shared" ca="1" si="64"/>
        <v/>
      </c>
      <c r="XI19" s="59" t="str">
        <f t="shared" ca="1" si="65"/>
        <v/>
      </c>
      <c r="XJ19" s="59" t="str">
        <f t="shared" ca="1" si="66"/>
        <v/>
      </c>
      <c r="XK19" s="59" t="str">
        <f t="shared" ca="1" si="67"/>
        <v/>
      </c>
      <c r="XL19" s="59"/>
      <c r="XM19" s="18">
        <f t="shared" si="116"/>
        <v>15</v>
      </c>
      <c r="XN19" s="142" t="str">
        <f t="shared" ca="1" si="130"/>
        <v>Spider</v>
      </c>
      <c r="XO19" s="142" t="str">
        <f t="shared" ca="1" si="130"/>
        <v>Beast</v>
      </c>
      <c r="XP19" s="249" t="str">
        <f t="shared" ca="1" si="130"/>
        <v>Tiny</v>
      </c>
      <c r="XQ19" s="249">
        <f t="shared" ca="1" si="130"/>
        <v>12</v>
      </c>
      <c r="XR19" s="249">
        <f t="shared" ca="1" si="130"/>
        <v>1</v>
      </c>
      <c r="XS19" s="142" t="str">
        <f t="shared" ca="1" si="130"/>
        <v>20 ft, climb 20 ft</v>
      </c>
      <c r="XT19" s="249">
        <f t="shared" ca="1" si="130"/>
        <v>2</v>
      </c>
      <c r="XU19" s="249">
        <f t="shared" ca="1" si="130"/>
        <v>14</v>
      </c>
      <c r="XV19" s="249">
        <f t="shared" ca="1" si="130"/>
        <v>8</v>
      </c>
      <c r="XW19" s="249">
        <f t="shared" ca="1" si="130"/>
        <v>1</v>
      </c>
      <c r="XX19" s="249">
        <f t="shared" ca="1" si="130"/>
        <v>10</v>
      </c>
      <c r="XY19" s="249">
        <f t="shared" ca="1" si="130"/>
        <v>2</v>
      </c>
      <c r="XZ19" s="142" t="str">
        <f t="shared" ca="1" si="130"/>
        <v>Stealth +4</v>
      </c>
      <c r="YA19" s="142" t="str">
        <f t="shared" ca="1" si="130"/>
        <v>passive Perception 10, darkvision 30 ft</v>
      </c>
      <c r="YB19" s="142" t="str">
        <f t="shared" ca="1" si="130"/>
        <v>Bite melee +4, reach 5ft, 1 piercing
DC 9 Con save ½, 1d4 poison</v>
      </c>
      <c r="YC19" s="142" t="str">
        <f t="shared" ca="1" si="130"/>
        <v>Spider Climb. Climb difficult surfaces, upside down on ceilings, without needing an ability check
Web Sense. Knows the exact location of any other creature in contact with the same web
Web Walker. Ignores movement restrictions caused by webbing</v>
      </c>
      <c r="YG19" s="58" t="s">
        <v>1752</v>
      </c>
      <c r="YH19" s="58" t="s">
        <v>187</v>
      </c>
      <c r="YI19" s="215" t="s">
        <v>2353</v>
      </c>
      <c r="YJ19" s="215" t="s">
        <v>3437</v>
      </c>
      <c r="YK19" s="215" t="str">
        <f>""</f>
        <v/>
      </c>
      <c r="YL19" s="249" t="str">
        <f>""</f>
        <v/>
      </c>
      <c r="YM19" s="249" t="str">
        <f>""</f>
        <v/>
      </c>
      <c r="YN19" s="249" t="str">
        <f>""</f>
        <v/>
      </c>
      <c r="YO19" s="249"/>
      <c r="YP19" s="249"/>
      <c r="YQ19" s="215"/>
      <c r="YT19" s="18" t="s">
        <v>287</v>
      </c>
      <c r="YU19" s="18">
        <v>8</v>
      </c>
      <c r="YW19" s="18" t="str">
        <f ca="1">IF(YX19="","",MAX($YW$1:YW18)+1)</f>
        <v/>
      </c>
      <c r="YX19" s="59" t="str">
        <f t="shared" ca="1" si="71"/>
        <v/>
      </c>
      <c r="YY19" s="18" t="str">
        <f t="shared" ca="1" si="72"/>
        <v/>
      </c>
      <c r="YZ19" s="18">
        <f t="shared" si="117"/>
        <v>16</v>
      </c>
      <c r="ZA19" s="18" t="str">
        <f ca="1">IF(ZB19="","",MAX($ZA$2:ZA18)+1)</f>
        <v/>
      </c>
      <c r="ZB19" s="18" t="str">
        <f t="shared" ca="1" si="98"/>
        <v/>
      </c>
      <c r="ZC19" s="18" t="str">
        <f>IF(Start!AF35=SelectText,"",Start!AF35)</f>
        <v/>
      </c>
      <c r="ZD19" s="18" t="str">
        <f>IF(OR(COUNTIF($ZC$4:$ZC19,ZD$2)=0,COUNTIF($ZC$4:$ZC19,ZD$2)=MAX(ZD$2:ZD18)),"-",COUNTIF($ZC$4:$ZC19,ZD$2))</f>
        <v>-</v>
      </c>
      <c r="ZE19" s="18" t="str">
        <f>IF(OR(COUNTIF($ZC$4:$ZC19,ZE$2)=0,COUNTIF($ZC$4:$ZC19,ZE$2)=MAX(ZE$2:ZE18)),"-",COUNTIF($ZC$4:$ZC19,ZE$2))</f>
        <v>-</v>
      </c>
      <c r="ZF19" s="18" t="str">
        <f>IF(OR(COUNTIF($ZC$4:$ZC19,ZF$2)=0,COUNTIF($ZC$4:$ZC19,ZF$2)=MAX(ZF$2:ZF18)),"-",COUNTIF($ZC$4:$ZC19,ZF$2))</f>
        <v>-</v>
      </c>
      <c r="ZG19" s="18" t="str">
        <f>IF(OR(COUNTIF($ZC$4:$ZC19,ZG$2)=0,COUNTIF($ZC$4:$ZC19,ZG$2)=MAX(ZG$2:ZG18)),"-",COUNTIF($ZC$4:$ZC19,ZG$2))</f>
        <v>-</v>
      </c>
      <c r="ZH19" s="18" t="str">
        <f>IF(OR(COUNTIF($ZC$4:$ZC19,ZH$2)=0,COUNTIF($ZC$4:$ZC19,ZH$2)=MAX(ZH$2:ZH18)),"-",COUNTIF($ZC$4:$ZC19,ZH$2))</f>
        <v>-</v>
      </c>
      <c r="ZI19" s="18" t="str">
        <f>IF(OR(COUNTIF($ZC$4:$ZC19,ZI$2)=0,COUNTIF($ZC$4:$ZC19,ZI$2)=MAX(ZI$2:ZI18)),"-",COUNTIF($ZC$4:$ZC19,ZI$2))</f>
        <v>-</v>
      </c>
      <c r="ZJ19" s="18" t="str">
        <f>IF(OR(COUNTIF($ZC$4:$ZC19,ZJ$2)=0,COUNTIF($ZC$4:$ZC19,ZJ$2)=MAX(ZJ$2:ZJ18)),"-",COUNTIF($ZC$4:$ZC19,ZJ$2))</f>
        <v>-</v>
      </c>
      <c r="ZK19" s="18" t="str">
        <f>IF(OR(COUNTIF($ZC$4:$ZC19,ZK$2)=0,COUNTIF($ZC$4:$ZC19,ZK$2)=MAX(ZK$2:ZK18)),"-",COUNTIF($ZC$4:$ZC19,ZK$2))</f>
        <v>-</v>
      </c>
      <c r="ZL19" s="18" t="str">
        <f>IF(OR(COUNTIF($ZC$4:$ZC19,ZL$2)=0,COUNTIF($ZC$4:$ZC19,ZL$2)=MAX(ZL$2:ZL18)),"-",COUNTIF($ZC$4:$ZC19,ZL$2))</f>
        <v>-</v>
      </c>
      <c r="ZM19" s="18" t="str">
        <f>IF(OR(COUNTIF($ZC$4:$ZC19,ZM$2)=0,COUNTIF($ZC$4:$ZC19,ZM$2)=MAX(ZM$2:ZM18)),"-",COUNTIF($ZC$4:$ZC19,ZM$2))</f>
        <v>-</v>
      </c>
      <c r="ZN19" s="18" t="str">
        <f>IF(OR(COUNTIF($ZC$4:$ZC19,ZN$2)=0,COUNTIF($ZC$4:$ZC19,ZN$2)=MAX(ZN$2:ZN18)),"-",COUNTIF($ZC$4:$ZC19,ZN$2))</f>
        <v>-</v>
      </c>
      <c r="ZO19" s="18" t="str">
        <f>IF(OR(COUNTIF($ZC$4:$ZC19,ZO$2)=0,COUNTIF($ZC$4:$ZC19,ZO$2)=MAX(ZO$2:ZO18)),"-",COUNTIF($ZC$4:$ZC19,ZO$2))</f>
        <v>-</v>
      </c>
      <c r="ZP19" s="18">
        <f t="shared" si="118"/>
        <v>16</v>
      </c>
    </row>
    <row r="20" spans="5:694" ht="9.9499999999999993" customHeight="1" x14ac:dyDescent="0.25">
      <c r="E20" s="59"/>
      <c r="F20" s="59"/>
      <c r="G20" s="59"/>
      <c r="H20" s="59"/>
      <c r="I20" s="59"/>
      <c r="J20" s="59"/>
      <c r="K20" s="59"/>
      <c r="U20" s="392" t="s">
        <v>2703</v>
      </c>
      <c r="V20" s="399" t="str">
        <f>"• Damage Type: Acid
• Breath Weapon: 5 by 30 ft. line. DC "&amp;8+IF(CONMod="",0,CONMod)+IF(ProfBonus="",0,ProfBonus)&amp;" Dex save for "&amp;IF(CharacterLevel&lt;6,"2d6",IF(CharacterLevel&lt;11,"3d6",IF(CharacterLevel&lt;15,"4d6", "5d6")))&amp;" on failed save, half on success."</f>
        <v>• Damage Type: Acid
• Breath Weapon: 5 by 30 ft. line. DC 5 Dex save for 2d6 on failed save, half on success.</v>
      </c>
      <c r="W20" s="399" t="s">
        <v>2711</v>
      </c>
      <c r="X20" s="18" t="str">
        <f>IF(Y20="","",MAX($X$3:X19)+1)</f>
        <v/>
      </c>
      <c r="Y20" s="58" t="str">
        <f t="shared" si="131"/>
        <v/>
      </c>
      <c r="Z20" s="18">
        <f t="shared" si="109"/>
        <v>17</v>
      </c>
      <c r="AA20" s="18" t="str">
        <f t="shared" si="74"/>
        <v/>
      </c>
      <c r="AE20" s="17"/>
      <c r="AF20" s="17"/>
      <c r="AG20" s="16"/>
      <c r="AH20" s="17"/>
      <c r="AI20" s="287"/>
      <c r="AJ20" s="17"/>
      <c r="AK20" s="267"/>
      <c r="AL20" s="291"/>
      <c r="AM20" s="17"/>
      <c r="AN20" s="18"/>
      <c r="AO20" s="18">
        <f t="shared" si="119"/>
        <v>19</v>
      </c>
      <c r="AP20" s="59" t="str">
        <f t="shared" si="132"/>
        <v/>
      </c>
      <c r="AQ20" s="59" t="str">
        <f>""</f>
        <v/>
      </c>
      <c r="AR20" s="254" t="s">
        <v>1064</v>
      </c>
      <c r="AS20" s="385" t="s">
        <v>2435</v>
      </c>
      <c r="AT20" s="254" t="s">
        <v>1090</v>
      </c>
      <c r="AU20" s="385" t="s">
        <v>2469</v>
      </c>
      <c r="AV20" s="255" t="s">
        <v>1132</v>
      </c>
      <c r="AW20" s="385" t="s">
        <v>2515</v>
      </c>
      <c r="AX20" s="385" t="s">
        <v>2548</v>
      </c>
      <c r="AY20" s="58" t="s">
        <v>1160</v>
      </c>
      <c r="AZ20" s="58" t="s">
        <v>2584</v>
      </c>
      <c r="BA20" s="254" t="s">
        <v>1027</v>
      </c>
      <c r="BB20" s="385" t="s">
        <v>2610</v>
      </c>
      <c r="BC20" s="58" t="s">
        <v>1186</v>
      </c>
      <c r="BD20" s="58" t="s">
        <v>2378</v>
      </c>
      <c r="BE20" s="18" t="str">
        <f>""</f>
        <v/>
      </c>
      <c r="BI20" s="338"/>
      <c r="BJ20" s="341"/>
      <c r="BK20" s="340"/>
      <c r="BL20" s="340"/>
      <c r="BM20" s="556"/>
      <c r="BN20" s="338"/>
      <c r="BO20" s="338"/>
      <c r="BP20" s="340"/>
      <c r="BQ20" s="340"/>
      <c r="BR20" s="340"/>
      <c r="BS20" s="340"/>
      <c r="BT20" s="340"/>
      <c r="BU20" s="340"/>
      <c r="BV20" s="340"/>
      <c r="BW20" s="340"/>
      <c r="BX20" s="340"/>
      <c r="BY20" s="340"/>
      <c r="BZ20" s="555"/>
      <c r="CA20" s="555"/>
      <c r="CB20" s="555"/>
      <c r="CC20" s="339"/>
      <c r="CD20" s="555"/>
      <c r="CE20" s="340"/>
      <c r="CF20" s="555"/>
      <c r="CG20" s="340"/>
      <c r="CH20" s="555"/>
      <c r="CI20" s="555"/>
      <c r="CJ20" s="340"/>
      <c r="CK20" s="555"/>
      <c r="CL20" s="340"/>
      <c r="CM20" s="339"/>
      <c r="CN20" s="339"/>
      <c r="CO20" s="339"/>
      <c r="CP20" s="339"/>
      <c r="CQ20" s="339"/>
      <c r="CR20" s="339"/>
      <c r="CS20" s="339"/>
      <c r="CT20" s="339"/>
      <c r="CU20" s="339"/>
      <c r="CV20" s="339"/>
      <c r="CW20" s="339"/>
      <c r="CX20" s="339"/>
      <c r="CY20" s="339"/>
      <c r="CZ20" s="339"/>
      <c r="DA20" s="339"/>
      <c r="DB20" s="339"/>
      <c r="DC20" s="339"/>
      <c r="DD20" s="339"/>
      <c r="DE20" s="339"/>
      <c r="DF20" s="339"/>
      <c r="DH20" s="104"/>
      <c r="DI20" s="104"/>
      <c r="DJ20" s="104"/>
      <c r="DK20" s="104"/>
      <c r="DL20" s="59" t="s">
        <v>289</v>
      </c>
      <c r="DM20" s="18" t="s">
        <v>801</v>
      </c>
      <c r="DN20" s="18">
        <f t="shared" ca="1" si="121"/>
        <v>0</v>
      </c>
      <c r="DO20" s="58" t="str">
        <f>""</f>
        <v/>
      </c>
      <c r="DP20" s="59" t="str">
        <f>"Abjuration Savant, Arcane Ward: "&amp;2*WizardLevel+INTMod&amp;" HP"</f>
        <v>Abjuration Savant, Arcane Ward: -5 HP</v>
      </c>
      <c r="DQ20" s="58" t="str">
        <f>""</f>
        <v/>
      </c>
      <c r="DR20" s="59" t="str">
        <f>""</f>
        <v/>
      </c>
      <c r="DS20" s="59" t="str">
        <f>""</f>
        <v/>
      </c>
      <c r="DT20" s="59" t="s">
        <v>1906</v>
      </c>
      <c r="DU20" s="59" t="str">
        <f>""</f>
        <v/>
      </c>
      <c r="DV20" s="59" t="str">
        <f>""</f>
        <v/>
      </c>
      <c r="DW20" s="59" t="str">
        <f>""</f>
        <v/>
      </c>
      <c r="DX20" s="59" t="s">
        <v>1907</v>
      </c>
      <c r="DY20" s="59" t="str">
        <f>""</f>
        <v/>
      </c>
      <c r="DZ20" s="59" t="str">
        <f>""</f>
        <v/>
      </c>
      <c r="EA20" s="59" t="str">
        <f>""</f>
        <v/>
      </c>
      <c r="EB20" s="59" t="s">
        <v>1908</v>
      </c>
      <c r="EC20" s="59" t="str">
        <f>""</f>
        <v/>
      </c>
      <c r="ED20" s="59" t="str">
        <f>""</f>
        <v/>
      </c>
      <c r="EE20" s="59" t="str">
        <f>""</f>
        <v/>
      </c>
      <c r="EF20" s="59" t="str">
        <f>""</f>
        <v/>
      </c>
      <c r="EG20" s="59" t="str">
        <f>""</f>
        <v/>
      </c>
      <c r="EH20" s="59" t="str">
        <f>""</f>
        <v/>
      </c>
      <c r="EI20" s="103" t="str">
        <f>""</f>
        <v/>
      </c>
      <c r="EJ20" s="103" t="str">
        <f>""</f>
        <v/>
      </c>
      <c r="EK20" s="103"/>
      <c r="EL20" s="103" t="str">
        <f>""</f>
        <v/>
      </c>
      <c r="EM20" s="103"/>
      <c r="EN20" s="103" t="str">
        <f>""</f>
        <v/>
      </c>
      <c r="EO20" s="103"/>
      <c r="EP20" s="103" t="str">
        <f>""</f>
        <v/>
      </c>
      <c r="EQ20" s="103"/>
      <c r="ER20" s="103" t="str">
        <f>""</f>
        <v/>
      </c>
      <c r="ES20" s="103"/>
      <c r="ET20" s="59" t="str">
        <f>""</f>
        <v/>
      </c>
      <c r="EU20" s="18" t="str">
        <f>""</f>
        <v/>
      </c>
      <c r="EV20" s="59" t="str">
        <f>""</f>
        <v/>
      </c>
      <c r="EW20" s="18" t="str">
        <f>""</f>
        <v/>
      </c>
      <c r="EX20" s="59" t="str">
        <f>""</f>
        <v/>
      </c>
      <c r="EY20" s="18" t="str">
        <f>""</f>
        <v/>
      </c>
      <c r="EZ20" s="18"/>
      <c r="FA20" s="18" t="str">
        <f>IF($DM20=FB$5,MAX(FA$6:FA19)+1,"")</f>
        <v/>
      </c>
      <c r="FB20" s="58" t="str">
        <f t="shared" si="122"/>
        <v/>
      </c>
      <c r="FC20" s="18"/>
      <c r="FE20" s="18" t="str">
        <f>IF($DM20=FF$5,MAX(FE$6:FE19)+1,"")</f>
        <v/>
      </c>
      <c r="FF20" s="58" t="str">
        <f t="shared" si="123"/>
        <v/>
      </c>
      <c r="FG20" s="18"/>
      <c r="FI20" s="18" t="str">
        <f>IF($DM20=FJ$5,MAX(FI$6:FI19)+1,"")</f>
        <v/>
      </c>
      <c r="FJ20" s="58" t="str">
        <f t="shared" si="124"/>
        <v/>
      </c>
      <c r="FK20" s="18"/>
      <c r="FM20" s="58" t="s">
        <v>1896</v>
      </c>
      <c r="FN20" s="59">
        <f>Start!X72</f>
        <v>0</v>
      </c>
      <c r="FO20" s="18" t="str">
        <f>IF($FM20=$FP20,MAX(FO$3:FO19)+1,"")</f>
        <v/>
      </c>
      <c r="FP20" s="59" t="str">
        <f t="shared" si="101"/>
        <v/>
      </c>
      <c r="FQ20" s="18">
        <f t="shared" si="102"/>
        <v>18</v>
      </c>
      <c r="FR20" s="59" t="str">
        <f t="shared" si="75"/>
        <v/>
      </c>
      <c r="FS20" s="18"/>
      <c r="FT20" s="18"/>
      <c r="FU20" s="18"/>
      <c r="FV20" s="18"/>
      <c r="FW20" s="18" t="str">
        <f>IF(FX20="","",MAX($FW$15:FW19)+1)</f>
        <v/>
      </c>
      <c r="FX20" s="59" t="str">
        <f>IF(OR(FighterLevel&gt;0,PaladinLevel&gt;1),FX29,"")</f>
        <v/>
      </c>
      <c r="FZ20" s="104"/>
      <c r="GA20" s="104"/>
      <c r="GB20" s="104"/>
      <c r="GC20" s="104"/>
      <c r="GD20" s="104"/>
      <c r="GE20" s="104"/>
      <c r="GF20" s="104"/>
      <c r="GG20" s="104"/>
      <c r="GH20" s="104"/>
      <c r="GI20" s="104"/>
      <c r="GJ20" s="104"/>
      <c r="GK20" s="18"/>
      <c r="GL20" s="18"/>
      <c r="GM20" s="18"/>
      <c r="GN20" s="18"/>
      <c r="GO20" s="18"/>
      <c r="GP20" s="18"/>
      <c r="GZ20" s="59"/>
      <c r="HA20" s="59"/>
      <c r="HB20" s="59"/>
      <c r="HC20" s="59"/>
      <c r="HD20" s="59"/>
      <c r="HE20" s="59"/>
      <c r="HF20" s="59"/>
      <c r="HJ20" s="59"/>
      <c r="HK20" s="59" t="s">
        <v>2908</v>
      </c>
      <c r="HL20" s="59" t="s">
        <v>2905</v>
      </c>
      <c r="HM20" s="59" t="s">
        <v>2922</v>
      </c>
      <c r="HN20" s="59"/>
      <c r="HO20" s="59"/>
      <c r="HP20" s="59"/>
      <c r="HQ20" s="59"/>
      <c r="HR20" s="59"/>
      <c r="HS20" s="59"/>
      <c r="HT20" s="59"/>
      <c r="HU20" s="59"/>
      <c r="HV20" s="59"/>
      <c r="HW20" s="59"/>
      <c r="HX20" s="59" t="str">
        <f>SelectText</f>
        <v>Select…</v>
      </c>
      <c r="HY20" s="59"/>
      <c r="HZ20" s="59"/>
      <c r="IA20" s="59"/>
      <c r="ID20" s="59"/>
      <c r="IE20" s="59"/>
      <c r="IF20" s="59"/>
      <c r="IG20" s="59"/>
      <c r="IH20" s="18" t="str">
        <f>IF(IJ20=1,MAX($IH$2:IH19)+1,"")</f>
        <v/>
      </c>
      <c r="II20" s="59" t="s">
        <v>3310</v>
      </c>
      <c r="IJ20" s="59" t="str">
        <f>IF(WarlockLevel&gt;=15,1,"")</f>
        <v/>
      </c>
      <c r="IK20" s="59" t="s">
        <v>3354</v>
      </c>
      <c r="IL20" s="18">
        <f t="shared" si="105"/>
        <v>18</v>
      </c>
      <c r="IM20" s="59" t="str">
        <f t="shared" si="77"/>
        <v/>
      </c>
      <c r="IN20" s="59"/>
      <c r="IO20" s="59"/>
      <c r="IP20" s="59"/>
      <c r="IQ20" s="59"/>
      <c r="IR20" s="59"/>
      <c r="IS20" s="59"/>
      <c r="IT20" s="59"/>
      <c r="IU20" s="59"/>
      <c r="IX20" s="59" t="s">
        <v>1486</v>
      </c>
      <c r="IY20" s="59" t="s">
        <v>946</v>
      </c>
      <c r="IZ20" s="59" t="s">
        <v>197</v>
      </c>
      <c r="JA20" s="59" t="s">
        <v>282</v>
      </c>
      <c r="JB20" s="59" t="s">
        <v>905</v>
      </c>
      <c r="JC20" s="18">
        <f>IF(JD20="","",MAX($JC$1:JC19)+1)</f>
        <v>17</v>
      </c>
      <c r="JD20" s="58" t="s">
        <v>259</v>
      </c>
      <c r="JE20" s="58" t="s">
        <v>263</v>
      </c>
      <c r="JF20" s="18">
        <v>19</v>
      </c>
      <c r="JG20" s="59" t="str">
        <f t="shared" si="27"/>
        <v/>
      </c>
      <c r="JH20" s="18">
        <v>19</v>
      </c>
      <c r="JI20" s="60">
        <v>305000</v>
      </c>
      <c r="JJ20" s="18">
        <v>19</v>
      </c>
      <c r="JK20" s="18">
        <v>6</v>
      </c>
      <c r="JL20" s="18"/>
      <c r="JM20" s="18">
        <v>18</v>
      </c>
      <c r="JN20" s="80">
        <f t="shared" ca="1" si="127"/>
        <v>4</v>
      </c>
      <c r="JO20" s="80">
        <f t="shared" ca="1" si="127"/>
        <v>3</v>
      </c>
      <c r="JP20" s="80">
        <f t="shared" ca="1" si="127"/>
        <v>3</v>
      </c>
      <c r="JQ20" s="80">
        <f t="shared" ca="1" si="127"/>
        <v>3</v>
      </c>
      <c r="JR20" s="80">
        <f t="shared" ca="1" si="127"/>
        <v>3</v>
      </c>
      <c r="JS20" s="80">
        <f t="shared" ca="1" si="127"/>
        <v>1</v>
      </c>
      <c r="JT20" s="80">
        <f t="shared" ca="1" si="127"/>
        <v>1</v>
      </c>
      <c r="JU20" s="80">
        <f t="shared" ca="1" si="127"/>
        <v>1</v>
      </c>
      <c r="JV20" s="80">
        <f t="shared" ca="1" si="127"/>
        <v>1</v>
      </c>
      <c r="JW20" s="80">
        <f t="shared" ca="1" si="127"/>
        <v>9</v>
      </c>
      <c r="JX20" s="18"/>
      <c r="JY20" s="18"/>
      <c r="JZ20" s="18"/>
      <c r="KA20" s="18"/>
      <c r="KB20" s="18"/>
      <c r="KC20" s="18"/>
      <c r="KD20" s="18">
        <v>18</v>
      </c>
      <c r="KE20" s="302">
        <v>11</v>
      </c>
      <c r="KF20" s="302">
        <v>22</v>
      </c>
      <c r="KG20" s="302">
        <v>11</v>
      </c>
      <c r="KH20" s="302">
        <v>10</v>
      </c>
      <c r="KI20" s="302">
        <v>15</v>
      </c>
      <c r="KJ20" s="302">
        <v>14</v>
      </c>
      <c r="KK20" s="18">
        <v>18</v>
      </c>
      <c r="KL20" s="18">
        <v>5</v>
      </c>
      <c r="KM20" s="18">
        <v>5</v>
      </c>
      <c r="KN20" s="18">
        <v>3</v>
      </c>
      <c r="KO20" s="18">
        <v>4</v>
      </c>
      <c r="KP20" s="18">
        <v>4</v>
      </c>
      <c r="KQ20" s="18">
        <v>6</v>
      </c>
      <c r="KR20" s="80">
        <v>4</v>
      </c>
      <c r="KT20" s="93" t="s">
        <v>1528</v>
      </c>
      <c r="KU20" s="80" t="str">
        <f t="shared" si="128"/>
        <v>No</v>
      </c>
      <c r="KV20" s="89" t="s">
        <v>333</v>
      </c>
      <c r="KW20" s="270"/>
      <c r="KX20" s="270"/>
      <c r="KY20" s="270"/>
      <c r="KZ20" s="270"/>
      <c r="LA20" s="270"/>
      <c r="LB20" s="92"/>
      <c r="LC20" s="270"/>
      <c r="LD20" s="270"/>
      <c r="LE20" s="270"/>
      <c r="LF20" s="455"/>
      <c r="LG20" s="270"/>
      <c r="LH20" s="270"/>
      <c r="LI20" s="270"/>
      <c r="LJ20" s="270"/>
      <c r="LK20" s="270"/>
      <c r="LL20" s="406"/>
      <c r="LM20" s="455"/>
      <c r="LN20" s="270"/>
      <c r="LO20" s="270"/>
      <c r="LP20" s="270"/>
      <c r="LQ20" s="92"/>
      <c r="LR20" s="270"/>
      <c r="LS20" s="270"/>
      <c r="LT20" s="92"/>
      <c r="LU20" s="92"/>
      <c r="LV20" s="270"/>
      <c r="LW20" s="270"/>
      <c r="LX20" s="270"/>
      <c r="LY20" s="92"/>
      <c r="LZ20" s="92"/>
      <c r="MA20" s="92"/>
      <c r="MB20" s="92"/>
      <c r="MC20" s="92"/>
      <c r="MD20" s="92"/>
      <c r="ME20" s="92"/>
      <c r="MF20" s="92"/>
      <c r="MG20" s="92"/>
      <c r="MH20" s="92"/>
      <c r="MI20" s="92"/>
      <c r="MJ20" s="92"/>
      <c r="MK20" s="92"/>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4"/>
      <c r="NJ20" s="94"/>
      <c r="NK20" s="94"/>
      <c r="NL20" s="94"/>
      <c r="NM20" s="94"/>
      <c r="NN20" s="94"/>
      <c r="NO20" s="94"/>
      <c r="NP20" s="438"/>
      <c r="NQ20" s="94"/>
      <c r="NR20" s="94"/>
      <c r="NS20" s="94"/>
      <c r="NT20" s="94"/>
      <c r="NU20" s="94"/>
      <c r="NV20" s="456"/>
      <c r="NW20" s="456"/>
      <c r="NX20" s="456"/>
      <c r="NY20" s="456"/>
      <c r="NZ20" s="456"/>
      <c r="OA20" s="94"/>
      <c r="OB20" s="94"/>
      <c r="OC20" s="94"/>
      <c r="OD20" s="94"/>
      <c r="OE20" s="94"/>
      <c r="OF20" s="94"/>
      <c r="OG20" s="94"/>
      <c r="OH20" s="94"/>
      <c r="OI20" s="94"/>
      <c r="OJ20" s="94"/>
      <c r="OK20" s="94"/>
      <c r="OL20" s="94"/>
      <c r="OM20" s="94"/>
      <c r="ON20" s="94"/>
      <c r="OO20" s="94"/>
      <c r="OP20" s="94"/>
      <c r="OQ20" s="94"/>
      <c r="OR20" s="94"/>
      <c r="OS20" s="94"/>
      <c r="OT20" s="94"/>
      <c r="OU20" s="94"/>
      <c r="OV20" s="94"/>
      <c r="OW20" s="94"/>
      <c r="OX20" s="94"/>
      <c r="OY20" s="94"/>
      <c r="OZ20" s="94"/>
      <c r="PA20" s="94"/>
      <c r="PB20" s="94"/>
      <c r="PC20" s="94"/>
      <c r="PD20" s="94"/>
      <c r="PE20" s="94"/>
      <c r="PF20" s="94"/>
      <c r="PG20" s="94"/>
      <c r="PH20" s="94"/>
      <c r="PI20" s="94"/>
      <c r="PJ20" s="94"/>
      <c r="PK20" s="94"/>
      <c r="PL20" s="94"/>
      <c r="PM20" s="94"/>
      <c r="PN20" s="94"/>
      <c r="PO20" s="94"/>
      <c r="PP20" s="94"/>
      <c r="PQ20" s="94"/>
      <c r="PR20" s="94"/>
      <c r="PS20" s="94" t="str">
        <f>IF(COUNTIF(Start!$AX$59:$BF$68,Tables!KT20)&gt;0,Tables!KT20,"")</f>
        <v/>
      </c>
      <c r="PT20" s="94"/>
      <c r="PU20" s="59" t="str">
        <f t="shared" si="129"/>
        <v/>
      </c>
      <c r="PV20" s="59" t="str">
        <f>IF(PU20="","",IF(COUNTIF(PU20:$PU$57,"&gt;&lt;")&gt;1,PU20&amp;", ", PU20))</f>
        <v/>
      </c>
      <c r="PW20" s="59"/>
      <c r="PX20" s="59"/>
      <c r="PY20" s="18"/>
      <c r="PZ20" s="28" t="s">
        <v>164</v>
      </c>
      <c r="QA20" s="28" t="s">
        <v>167</v>
      </c>
      <c r="QB20" s="30" t="str">
        <f t="shared" ca="1" si="79"/>
        <v>not proficient</v>
      </c>
      <c r="QC20" s="31" t="s">
        <v>104</v>
      </c>
      <c r="QD20" s="28" t="s">
        <v>106</v>
      </c>
      <c r="QE20" s="29" t="s">
        <v>109</v>
      </c>
      <c r="QF20" s="29">
        <v>2</v>
      </c>
      <c r="QG20" s="29" t="str">
        <f>""</f>
        <v/>
      </c>
      <c r="QH20" s="29" t="str">
        <f>""</f>
        <v/>
      </c>
      <c r="QI20" s="29" t="str">
        <f>""</f>
        <v/>
      </c>
      <c r="QJ20" s="29" t="str">
        <f>""</f>
        <v/>
      </c>
      <c r="QK20" s="29" t="str">
        <f>""</f>
        <v/>
      </c>
      <c r="QL20" s="29" t="str">
        <f>""</f>
        <v/>
      </c>
      <c r="QM20" s="29" t="str">
        <f>""</f>
        <v/>
      </c>
      <c r="QN20" s="29" t="s">
        <v>146</v>
      </c>
      <c r="QO20" s="29" t="str">
        <f>""</f>
        <v/>
      </c>
      <c r="QP20" s="29" t="str">
        <f>""</f>
        <v/>
      </c>
      <c r="QQ20" s="30" t="str">
        <f>""</f>
        <v/>
      </c>
      <c r="QR20" s="30" t="str">
        <f>""</f>
        <v/>
      </c>
      <c r="QT20" s="727"/>
      <c r="QU20" s="727" t="s">
        <v>968</v>
      </c>
      <c r="QV20" s="727"/>
      <c r="QW20" s="727"/>
      <c r="QX20" s="727"/>
      <c r="QY20" s="727"/>
      <c r="QZ20" s="727" t="str">
        <f>IF(QZ7="","",IF(COUNTIF(QZ7:$QZ$18,"&gt;&lt;$Q$1")&gt;1,QZ7&amp;", ",QZ7))</f>
        <v/>
      </c>
      <c r="RA20" s="727"/>
      <c r="RB20" s="729"/>
      <c r="RC20" s="727"/>
      <c r="RD20" s="727"/>
      <c r="RE20" s="727"/>
      <c r="RF20" s="727"/>
      <c r="RG20" s="727"/>
      <c r="RH20" s="727" t="str">
        <f>IF(RH7="","",IF(COUNTIF($RH7:RH$18,"&gt;&lt;$Q$1")&gt;1,RH7&amp;", ",RH7))</f>
        <v/>
      </c>
      <c r="RI20" s="727"/>
      <c r="RJ20" s="727"/>
      <c r="RK20" s="727"/>
      <c r="RL20" s="727"/>
      <c r="RM20" s="727"/>
      <c r="RN20" s="729"/>
      <c r="RO20" s="729"/>
      <c r="RP20" s="727" t="str">
        <f>IF(RP7="","",IF(COUNTIF($RP7:RP$18,"&gt;&lt;$Q$1")&gt;1,RP7&amp;", ",RP7))</f>
        <v/>
      </c>
      <c r="RQ20" s="729"/>
      <c r="RR20" s="729"/>
      <c r="RS20" s="729"/>
      <c r="RT20" s="729"/>
      <c r="RU20" s="729"/>
      <c r="RV20" s="729"/>
      <c r="RW20" s="729"/>
      <c r="RX20" s="727" t="str">
        <f>IF(RX7="","",IF(COUNTIF($RX7:RX$18,"&gt;&lt;$Q$1")&gt;1,RX7&amp;", ",RX7))</f>
        <v/>
      </c>
      <c r="RY20" s="729"/>
      <c r="RZ20" s="729"/>
      <c r="SA20" s="729"/>
      <c r="SB20" s="729"/>
      <c r="SC20" s="729"/>
      <c r="SD20" s="729"/>
      <c r="SE20" s="729"/>
      <c r="SF20" s="727" t="str">
        <f>IF(SF7="","",IF(COUNTIF($SF7:SF$18,"&gt;&lt;$Q$1")&gt;1,SF7&amp;", ",SF7))</f>
        <v/>
      </c>
      <c r="SG20" s="729"/>
      <c r="SH20" s="729"/>
      <c r="SI20" s="729"/>
      <c r="SJ20" s="729"/>
      <c r="SK20" s="729"/>
      <c r="SL20" s="729"/>
      <c r="SM20" s="634"/>
      <c r="SN20" s="727" t="str">
        <f>IF(SN7="","",IF(COUNTIF($SN7:SN$18,"&gt;&lt;$Q$1")&gt;1,SN7&amp;", ",SN7))</f>
        <v/>
      </c>
      <c r="SO20" s="729"/>
      <c r="SP20" s="729"/>
      <c r="SQ20" s="634"/>
      <c r="SR20" s="28"/>
      <c r="SS20" s="28"/>
      <c r="ST20" s="29"/>
      <c r="SU20" s="69"/>
      <c r="SV20" s="42"/>
      <c r="SW20" s="232"/>
      <c r="SX20" s="46"/>
      <c r="SY20" s="30"/>
      <c r="SZ20" s="29"/>
      <c r="TA20" s="28"/>
      <c r="TB20" s="28"/>
      <c r="TC20" s="28"/>
      <c r="TD20" s="42"/>
      <c r="TE20" s="29"/>
      <c r="TF20" s="232"/>
      <c r="TG20" s="29"/>
      <c r="TH20" s="30"/>
      <c r="TI20" s="30"/>
      <c r="TJ20" s="18">
        <f t="shared" si="115"/>
        <v>18</v>
      </c>
      <c r="TK20" s="58" t="s">
        <v>520</v>
      </c>
      <c r="TL20" s="58" t="s">
        <v>466</v>
      </c>
      <c r="TM20" s="18">
        <v>9</v>
      </c>
      <c r="TN20" s="59" t="str">
        <f t="shared" si="47"/>
        <v xml:space="preserve">Astral Projection </v>
      </c>
      <c r="TO20" s="18" t="str">
        <f>""</f>
        <v/>
      </c>
      <c r="TP20" s="18" t="str">
        <f t="shared" si="48"/>
        <v/>
      </c>
      <c r="TQ20" s="18" t="str">
        <f>IF(OR(TK20=Spellcasting!$AC$18,TK20=Spellcasting!$AC$19),"ᵐ","")</f>
        <v/>
      </c>
      <c r="TR20" s="18" t="str">
        <f>IF(OR(TK20=Spellcasting!$AC$20,TK20=Spellcasting!$AC$21),"ˢ","")</f>
        <v/>
      </c>
      <c r="TS20" s="18" t="str">
        <f>""</f>
        <v/>
      </c>
      <c r="TT20" s="18" t="s">
        <v>521</v>
      </c>
      <c r="TU20" s="18" t="s">
        <v>504</v>
      </c>
      <c r="TV20" s="18" t="s">
        <v>841</v>
      </c>
      <c r="TW20" s="18" t="s">
        <v>495</v>
      </c>
      <c r="TX20" s="59" t="s">
        <v>859</v>
      </c>
      <c r="TY20" s="18" t="s">
        <v>506</v>
      </c>
      <c r="TZ20" s="18" t="s">
        <v>507</v>
      </c>
      <c r="UA20" s="142" t="s">
        <v>860</v>
      </c>
      <c r="UB20" s="319" t="s">
        <v>3233</v>
      </c>
      <c r="UG20" s="18" t="str">
        <f ca="1">IF(UG$1&gt;=$TM20,1,"0")</f>
        <v>0</v>
      </c>
      <c r="UH20" s="18" t="str">
        <f ca="1">IF(UH$1&gt;=$TM20,1,"0")</f>
        <v>0</v>
      </c>
      <c r="UL20" s="18" t="str">
        <f ca="1">IF(UL$1&gt;=$TM20,1,"0")</f>
        <v>0</v>
      </c>
      <c r="WD20" s="18" t="str">
        <f ca="1">IF(SUM($VZ$1:$WC$1)&gt;0,IF(AND(SUM($VZ20:$WC20)&gt;0,$TM20=WE$1),MAX(WD$2:WD19)+1,""),IF(AND(SUM($UC20:$VY20)&gt;0,$TM20=WE$1),MAX(WD$2:WD19)+1,""))</f>
        <v/>
      </c>
      <c r="WE20" s="59" t="str">
        <f t="shared" ca="1" si="80"/>
        <v/>
      </c>
      <c r="WF20" s="18" t="str">
        <f ca="1">IF(AND(SUM($UB20:$VY20)&gt;0,$TM20=WG$1),MAX(WF$2:WF19)+1,"")</f>
        <v/>
      </c>
      <c r="WG20" s="59" t="str">
        <f t="shared" ca="1" si="81"/>
        <v/>
      </c>
      <c r="WH20" s="18" t="str">
        <f ca="1">IF(AND(SUM($UB20:$VY20)&gt;0,$TM20=WI$1),MAX(WH$2:WH19)+1,"")</f>
        <v/>
      </c>
      <c r="WI20" s="59" t="str">
        <f t="shared" ca="1" si="82"/>
        <v/>
      </c>
      <c r="WJ20" s="18" t="str">
        <f ca="1">IF(AND(SUM($UB20:$VY20)&gt;0,$TM20=WK$1),MAX(WJ$2:WJ19)+1,"")</f>
        <v/>
      </c>
      <c r="WK20" s="59" t="str">
        <f t="shared" ca="1" si="83"/>
        <v/>
      </c>
      <c r="WL20" s="18" t="str">
        <f ca="1">IF(AND(SUM($UB20:$VY20)&gt;0,$TM20=WM$1),MAX(WL$2:WL19)+1,"")</f>
        <v/>
      </c>
      <c r="WM20" s="59" t="str">
        <f t="shared" ca="1" si="84"/>
        <v/>
      </c>
      <c r="WN20" s="18" t="str">
        <f ca="1">IF(AND(SUM($UB20:$VY20)&gt;0,$TM20=WO$1),MAX(WN$2:WN19)+1,"")</f>
        <v/>
      </c>
      <c r="WO20" s="59" t="str">
        <f t="shared" ca="1" si="85"/>
        <v/>
      </c>
      <c r="WP20" s="18" t="str">
        <f ca="1">IF(AND(SUM($UB20:$VY20)&gt;0,$TM20=WQ$1),MAX(WP$2:WP19)+1,"")</f>
        <v/>
      </c>
      <c r="WQ20" s="59" t="str">
        <f t="shared" ca="1" si="86"/>
        <v/>
      </c>
      <c r="WR20" s="18" t="str">
        <f ca="1">IF(AND(SUM($UB20:$VY20)&gt;0,$TM20=WS$1),MAX(WR$2:WR19)+1,"")</f>
        <v/>
      </c>
      <c r="WS20" s="59" t="str">
        <f t="shared" ca="1" si="87"/>
        <v/>
      </c>
      <c r="WT20" s="18" t="str">
        <f ca="1">IF(AND(SUM($UB20:$VY20)&gt;0,$TM20=WU$1),MAX(WT$2:WT19)+1,"")</f>
        <v/>
      </c>
      <c r="WU20" s="59" t="str">
        <f t="shared" ca="1" si="88"/>
        <v/>
      </c>
      <c r="WV20" s="18" t="str">
        <f ca="1">IF(AND(SUM($UB20:$VY20)&gt;0,$TM20=WW$1),MAX(WV$2:WV19)+1,"")</f>
        <v/>
      </c>
      <c r="WW20" s="59" t="str">
        <f t="shared" ca="1" si="89"/>
        <v/>
      </c>
      <c r="WX20" s="18" t="str">
        <f ca="1">IF(AND(SUM($UB20:$VY20)&gt;0,$TM20=WY$1),MAX(WX$2:WX19)+1,"")</f>
        <v/>
      </c>
      <c r="WY20" s="59" t="str">
        <f t="shared" ca="1" si="90"/>
        <v/>
      </c>
      <c r="WZ20" s="18">
        <v>19</v>
      </c>
      <c r="XA20" s="59" t="str">
        <f t="shared" ca="1" si="91"/>
        <v/>
      </c>
      <c r="XB20" s="59" t="str">
        <f t="shared" ca="1" si="28"/>
        <v/>
      </c>
      <c r="XC20" s="59" t="str">
        <f t="shared" ca="1" si="29"/>
        <v/>
      </c>
      <c r="XD20" s="59" t="str">
        <f t="shared" ca="1" si="60"/>
        <v/>
      </c>
      <c r="XE20" s="59" t="str">
        <f t="shared" ca="1" si="61"/>
        <v/>
      </c>
      <c r="XF20" s="59" t="str">
        <f t="shared" ca="1" si="62"/>
        <v/>
      </c>
      <c r="XG20" s="59" t="str">
        <f t="shared" ca="1" si="63"/>
        <v/>
      </c>
      <c r="XH20" s="59" t="str">
        <f t="shared" ca="1" si="64"/>
        <v/>
      </c>
      <c r="XI20" s="59" t="str">
        <f t="shared" ca="1" si="65"/>
        <v/>
      </c>
      <c r="XJ20" s="59" t="str">
        <f t="shared" ca="1" si="66"/>
        <v/>
      </c>
      <c r="XK20" s="59" t="str">
        <f t="shared" ca="1" si="67"/>
        <v/>
      </c>
      <c r="XL20" s="59"/>
      <c r="XM20" s="18">
        <f t="shared" si="116"/>
        <v>16</v>
      </c>
      <c r="XN20" s="142" t="str">
        <f t="shared" ca="1" si="130"/>
        <v>Weasel</v>
      </c>
      <c r="XO20" s="142" t="str">
        <f t="shared" ca="1" si="130"/>
        <v>Beast</v>
      </c>
      <c r="XP20" s="249" t="str">
        <f t="shared" ca="1" si="130"/>
        <v>Tiny</v>
      </c>
      <c r="XQ20" s="249">
        <f t="shared" ca="1" si="130"/>
        <v>13</v>
      </c>
      <c r="XR20" s="249">
        <f t="shared" ca="1" si="130"/>
        <v>1</v>
      </c>
      <c r="XS20" s="142" t="str">
        <f t="shared" ca="1" si="130"/>
        <v>30 ft</v>
      </c>
      <c r="XT20" s="249">
        <f t="shared" ca="1" si="130"/>
        <v>3</v>
      </c>
      <c r="XU20" s="249">
        <f t="shared" ca="1" si="130"/>
        <v>16</v>
      </c>
      <c r="XV20" s="249">
        <f t="shared" ca="1" si="130"/>
        <v>8</v>
      </c>
      <c r="XW20" s="249">
        <f t="shared" ca="1" si="130"/>
        <v>2</v>
      </c>
      <c r="XX20" s="249">
        <f t="shared" ca="1" si="130"/>
        <v>12</v>
      </c>
      <c r="XY20" s="249">
        <f t="shared" ca="1" si="130"/>
        <v>3</v>
      </c>
      <c r="XZ20" s="142" t="str">
        <f t="shared" ca="1" si="130"/>
        <v>Perception +3, Stealth +5</v>
      </c>
      <c r="YA20" s="142" t="str">
        <f t="shared" ca="1" si="130"/>
        <v>passive Perception 13</v>
      </c>
      <c r="YB20" s="142" t="str">
        <f t="shared" ca="1" si="130"/>
        <v>Bite melee +5, reach 5ft, 1 piercing</v>
      </c>
      <c r="YC20" s="142" t="str">
        <f t="shared" ca="1" si="130"/>
        <v>Keen Hearing and Smell. Advantage on Wisdom (Perception) checks that rely on hearing or smell</v>
      </c>
      <c r="YG20" s="58" t="s">
        <v>1753</v>
      </c>
      <c r="YH20" s="58" t="s">
        <v>1754</v>
      </c>
      <c r="YI20" s="58" t="s">
        <v>1769</v>
      </c>
      <c r="YJ20" s="215" t="s">
        <v>3438</v>
      </c>
      <c r="YK20" s="215" t="str">
        <f>""</f>
        <v/>
      </c>
      <c r="YL20" s="249" t="str">
        <f>""</f>
        <v/>
      </c>
      <c r="YM20" s="249" t="str">
        <f>""</f>
        <v/>
      </c>
      <c r="YN20" s="249" t="str">
        <f>""</f>
        <v/>
      </c>
      <c r="YO20" s="249"/>
      <c r="YP20" s="249"/>
      <c r="YQ20" s="215"/>
      <c r="YT20" s="18" t="s">
        <v>287</v>
      </c>
      <c r="YU20" s="18">
        <v>12</v>
      </c>
      <c r="YW20" s="18" t="str">
        <f ca="1">IF(YX20="","",MAX($YW$1:YW19)+1)</f>
        <v/>
      </c>
      <c r="YX20" s="59" t="str">
        <f t="shared" ca="1" si="71"/>
        <v/>
      </c>
      <c r="YY20" s="18" t="str">
        <f t="shared" ca="1" si="72"/>
        <v/>
      </c>
      <c r="YZ20" s="18">
        <f t="shared" si="117"/>
        <v>17</v>
      </c>
      <c r="ZA20" s="18" t="str">
        <f ca="1">IF(ZB20="","",MAX($ZA$2:ZA19)+1)</f>
        <v/>
      </c>
      <c r="ZB20" s="18" t="str">
        <f t="shared" ca="1" si="98"/>
        <v/>
      </c>
      <c r="ZC20" s="18" t="str">
        <f>IF(Start!AF36=SelectText,"",Start!AF36)</f>
        <v/>
      </c>
      <c r="ZD20" s="18" t="str">
        <f>IF(OR(COUNTIF($ZC$4:$ZC20,ZD$2)=0,COUNTIF($ZC$4:$ZC20,ZD$2)=MAX(ZD$2:ZD19)),"-",COUNTIF($ZC$4:$ZC20,ZD$2))</f>
        <v>-</v>
      </c>
      <c r="ZE20" s="18" t="str">
        <f>IF(OR(COUNTIF($ZC$4:$ZC20,ZE$2)=0,COUNTIF($ZC$4:$ZC20,ZE$2)=MAX(ZE$2:ZE19)),"-",COUNTIF($ZC$4:$ZC20,ZE$2))</f>
        <v>-</v>
      </c>
      <c r="ZF20" s="18" t="str">
        <f>IF(OR(COUNTIF($ZC$4:$ZC20,ZF$2)=0,COUNTIF($ZC$4:$ZC20,ZF$2)=MAX(ZF$2:ZF19)),"-",COUNTIF($ZC$4:$ZC20,ZF$2))</f>
        <v>-</v>
      </c>
      <c r="ZG20" s="18" t="str">
        <f>IF(OR(COUNTIF($ZC$4:$ZC20,ZG$2)=0,COUNTIF($ZC$4:$ZC20,ZG$2)=MAX(ZG$2:ZG19)),"-",COUNTIF($ZC$4:$ZC20,ZG$2))</f>
        <v>-</v>
      </c>
      <c r="ZH20" s="18" t="str">
        <f>IF(OR(COUNTIF($ZC$4:$ZC20,ZH$2)=0,COUNTIF($ZC$4:$ZC20,ZH$2)=MAX(ZH$2:ZH19)),"-",COUNTIF($ZC$4:$ZC20,ZH$2))</f>
        <v>-</v>
      </c>
      <c r="ZI20" s="18" t="str">
        <f>IF(OR(COUNTIF($ZC$4:$ZC20,ZI$2)=0,COUNTIF($ZC$4:$ZC20,ZI$2)=MAX(ZI$2:ZI19)),"-",COUNTIF($ZC$4:$ZC20,ZI$2))</f>
        <v>-</v>
      </c>
      <c r="ZJ20" s="18" t="str">
        <f>IF(OR(COUNTIF($ZC$4:$ZC20,ZJ$2)=0,COUNTIF($ZC$4:$ZC20,ZJ$2)=MAX(ZJ$2:ZJ19)),"-",COUNTIF($ZC$4:$ZC20,ZJ$2))</f>
        <v>-</v>
      </c>
      <c r="ZK20" s="18" t="str">
        <f>IF(OR(COUNTIF($ZC$4:$ZC20,ZK$2)=0,COUNTIF($ZC$4:$ZC20,ZK$2)=MAX(ZK$2:ZK19)),"-",COUNTIF($ZC$4:$ZC20,ZK$2))</f>
        <v>-</v>
      </c>
      <c r="ZL20" s="18" t="str">
        <f>IF(OR(COUNTIF($ZC$4:$ZC20,ZL$2)=0,COUNTIF($ZC$4:$ZC20,ZL$2)=MAX(ZL$2:ZL19)),"-",COUNTIF($ZC$4:$ZC20,ZL$2))</f>
        <v>-</v>
      </c>
      <c r="ZM20" s="18" t="str">
        <f>IF(OR(COUNTIF($ZC$4:$ZC20,ZM$2)=0,COUNTIF($ZC$4:$ZC20,ZM$2)=MAX(ZM$2:ZM19)),"-",COUNTIF($ZC$4:$ZC20,ZM$2))</f>
        <v>-</v>
      </c>
      <c r="ZN20" s="18" t="str">
        <f>IF(OR(COUNTIF($ZC$4:$ZC20,ZN$2)=0,COUNTIF($ZC$4:$ZC20,ZN$2)=MAX(ZN$2:ZN19)),"-",COUNTIF($ZC$4:$ZC20,ZN$2))</f>
        <v>-</v>
      </c>
      <c r="ZO20" s="18" t="str">
        <f>IF(OR(COUNTIF($ZC$4:$ZC20,ZO$2)=0,COUNTIF($ZC$4:$ZC20,ZO$2)=MAX(ZO$2:ZO19)),"-",COUNTIF($ZC$4:$ZC20,ZO$2))</f>
        <v>-</v>
      </c>
      <c r="ZP20" s="18">
        <f t="shared" si="118"/>
        <v>17</v>
      </c>
    </row>
    <row r="21" spans="5:694" ht="9.9499999999999993" customHeight="1" x14ac:dyDescent="0.25">
      <c r="E21" s="59"/>
      <c r="F21" s="59"/>
      <c r="G21" s="59"/>
      <c r="H21" s="59"/>
      <c r="I21" s="59"/>
      <c r="J21" s="59"/>
      <c r="K21" s="59"/>
      <c r="U21" s="392" t="s">
        <v>2704</v>
      </c>
      <c r="V21" s="399" t="str">
        <f>"• Damage Type: Fire
• Breath Weapon: 15 ft. cone. DC "&amp;8+IF(CONMod="",0,CONMod)+IF(ProfBonus="",0,ProfBonus)&amp;" Dex save for "&amp;IF(CharacterLevel&lt;6,"2d6",IF(CharacterLevel&lt;11,"3d6",IF(CharacterLevel&lt;15,"4d6", "5d6")))&amp;" on failed save, half on success."</f>
        <v>• Damage Type: Fire
• Breath Weapon: 15 ft. cone. DC 5 Dex save for 2d6 on failed save, half on success.</v>
      </c>
      <c r="W21" s="399" t="s">
        <v>2712</v>
      </c>
      <c r="X21" s="18" t="str">
        <f>IF(Y21="","",MAX($X$3:X20)+1)</f>
        <v/>
      </c>
      <c r="Y21" s="58" t="str">
        <f t="shared" si="131"/>
        <v/>
      </c>
      <c r="Z21" s="18">
        <f t="shared" si="109"/>
        <v>18</v>
      </c>
      <c r="AA21" s="18" t="str">
        <f t="shared" si="74"/>
        <v/>
      </c>
      <c r="AE21" s="17"/>
      <c r="AF21" s="17"/>
      <c r="AG21" s="16"/>
      <c r="AH21" s="17"/>
      <c r="AI21" s="287"/>
      <c r="AJ21" s="17"/>
      <c r="AK21" s="267"/>
      <c r="AL21" s="291"/>
      <c r="AM21" s="17"/>
      <c r="AN21" s="18"/>
      <c r="AO21" s="18">
        <f t="shared" si="119"/>
        <v>20</v>
      </c>
      <c r="AP21" s="59" t="str">
        <f t="shared" si="132"/>
        <v/>
      </c>
      <c r="AQ21" s="59" t="str">
        <f>""</f>
        <v/>
      </c>
      <c r="AR21" s="254" t="s">
        <v>1065</v>
      </c>
      <c r="AS21" s="385" t="s">
        <v>2436</v>
      </c>
      <c r="AT21" s="254" t="s">
        <v>1091</v>
      </c>
      <c r="AU21" s="385" t="s">
        <v>2470</v>
      </c>
      <c r="AV21" s="255" t="s">
        <v>1133</v>
      </c>
      <c r="AW21" s="385" t="s">
        <v>2516</v>
      </c>
      <c r="AX21" s="385" t="s">
        <v>2549</v>
      </c>
      <c r="AY21" s="58" t="s">
        <v>1161</v>
      </c>
      <c r="AZ21" s="58" t="s">
        <v>2585</v>
      </c>
      <c r="BA21" s="254" t="s">
        <v>1028</v>
      </c>
      <c r="BB21" s="385" t="s">
        <v>2611</v>
      </c>
      <c r="BC21" s="58" t="s">
        <v>1187</v>
      </c>
      <c r="BD21" s="58" t="s">
        <v>2379</v>
      </c>
      <c r="BE21" s="18" t="str">
        <f>""</f>
        <v/>
      </c>
      <c r="BI21" s="338"/>
      <c r="BJ21" s="341"/>
      <c r="BK21" s="340"/>
      <c r="BL21" s="340"/>
      <c r="BM21" s="556"/>
      <c r="BN21" s="338"/>
      <c r="BO21" s="338"/>
      <c r="BP21" s="340"/>
      <c r="BQ21" s="340"/>
      <c r="BR21" s="340"/>
      <c r="BS21" s="340"/>
      <c r="BT21" s="340"/>
      <c r="BU21" s="340"/>
      <c r="BV21" s="340"/>
      <c r="BW21" s="340"/>
      <c r="BX21" s="340"/>
      <c r="BY21" s="340"/>
      <c r="BZ21" s="555"/>
      <c r="CA21" s="555"/>
      <c r="CB21" s="555"/>
      <c r="CC21" s="339"/>
      <c r="CD21" s="555"/>
      <c r="CE21" s="340"/>
      <c r="CF21" s="555"/>
      <c r="CG21" s="340"/>
      <c r="CH21" s="555"/>
      <c r="CI21" s="555"/>
      <c r="CJ21" s="340"/>
      <c r="CK21" s="555"/>
      <c r="CL21" s="340"/>
      <c r="CM21" s="339"/>
      <c r="CN21" s="339"/>
      <c r="CO21" s="339"/>
      <c r="CP21" s="339"/>
      <c r="CQ21" s="339"/>
      <c r="CR21" s="339"/>
      <c r="CS21" s="339"/>
      <c r="CT21" s="339"/>
      <c r="CU21" s="339"/>
      <c r="CV21" s="339"/>
      <c r="CW21" s="339"/>
      <c r="CX21" s="339"/>
      <c r="CY21" s="339"/>
      <c r="CZ21" s="339"/>
      <c r="DA21" s="339"/>
      <c r="DB21" s="339"/>
      <c r="DC21" s="339"/>
      <c r="DD21" s="339"/>
      <c r="DE21" s="339"/>
      <c r="DF21" s="339"/>
      <c r="DH21" s="104"/>
      <c r="DI21" s="104"/>
      <c r="DJ21" s="104"/>
      <c r="DK21" s="104"/>
      <c r="DL21" s="59" t="s">
        <v>290</v>
      </c>
      <c r="DM21" s="18" t="s">
        <v>801</v>
      </c>
      <c r="DN21" s="18">
        <f t="shared" ca="1" si="121"/>
        <v>0</v>
      </c>
      <c r="DO21" s="58" t="str">
        <f>""</f>
        <v/>
      </c>
      <c r="DP21" s="59" t="s">
        <v>1909</v>
      </c>
      <c r="DQ21" s="58" t="str">
        <f>""</f>
        <v/>
      </c>
      <c r="DR21" s="59" t="str">
        <f>""</f>
        <v/>
      </c>
      <c r="DS21" s="59" t="str">
        <f>""</f>
        <v/>
      </c>
      <c r="DT21" s="59" t="s">
        <v>1910</v>
      </c>
      <c r="DU21" s="59" t="str">
        <f>""</f>
        <v/>
      </c>
      <c r="DV21" s="59" t="str">
        <f>""</f>
        <v/>
      </c>
      <c r="DW21" s="59" t="str">
        <f>""</f>
        <v/>
      </c>
      <c r="DX21" s="59" t="s">
        <v>1911</v>
      </c>
      <c r="DY21" s="59" t="str">
        <f>""</f>
        <v/>
      </c>
      <c r="DZ21" s="59" t="str">
        <f>""</f>
        <v/>
      </c>
      <c r="EA21" s="59" t="str">
        <f>""</f>
        <v/>
      </c>
      <c r="EB21" s="59" t="s">
        <v>1912</v>
      </c>
      <c r="EC21" s="59" t="str">
        <f>""</f>
        <v/>
      </c>
      <c r="ED21" s="59" t="str">
        <f>""</f>
        <v/>
      </c>
      <c r="EE21" s="59" t="str">
        <f>""</f>
        <v/>
      </c>
      <c r="EF21" s="59" t="str">
        <f>""</f>
        <v/>
      </c>
      <c r="EG21" s="59" t="str">
        <f>""</f>
        <v/>
      </c>
      <c r="EH21" s="59" t="str">
        <f>""</f>
        <v/>
      </c>
      <c r="EI21" s="103" t="str">
        <f>""</f>
        <v/>
      </c>
      <c r="EJ21" s="103" t="str">
        <f>""</f>
        <v/>
      </c>
      <c r="EK21" s="103"/>
      <c r="EL21" s="103" t="str">
        <f>""</f>
        <v/>
      </c>
      <c r="EM21" s="103"/>
      <c r="EN21" s="103" t="str">
        <f>""</f>
        <v/>
      </c>
      <c r="EO21" s="103"/>
      <c r="EP21" s="103" t="str">
        <f>""</f>
        <v/>
      </c>
      <c r="EQ21" s="103"/>
      <c r="ER21" s="103" t="str">
        <f>""</f>
        <v/>
      </c>
      <c r="ES21" s="103"/>
      <c r="ET21" s="59" t="str">
        <f>""</f>
        <v/>
      </c>
      <c r="EU21" s="18" t="str">
        <f>""</f>
        <v/>
      </c>
      <c r="EV21" s="59" t="str">
        <f>""</f>
        <v/>
      </c>
      <c r="EW21" s="18" t="str">
        <f>""</f>
        <v/>
      </c>
      <c r="EX21" s="59" t="str">
        <f>""</f>
        <v/>
      </c>
      <c r="EY21" s="18" t="str">
        <f>""</f>
        <v/>
      </c>
      <c r="EZ21" s="18"/>
      <c r="FA21" s="18" t="str">
        <f>IF($DM21=FB$5,MAX(FA$6:FA20)+1,"")</f>
        <v/>
      </c>
      <c r="FB21" s="58" t="str">
        <f t="shared" si="122"/>
        <v/>
      </c>
      <c r="FC21" s="18"/>
      <c r="FE21" s="18" t="str">
        <f>IF($DM21=FF$5,MAX(FE$6:FE20)+1,"")</f>
        <v/>
      </c>
      <c r="FF21" s="58" t="str">
        <f t="shared" si="123"/>
        <v/>
      </c>
      <c r="FG21" s="18"/>
      <c r="FI21" s="18" t="str">
        <f>IF($DM21=FJ$5,MAX(FI$6:FI20)+1,"")</f>
        <v/>
      </c>
      <c r="FJ21" s="58" t="str">
        <f t="shared" si="124"/>
        <v/>
      </c>
      <c r="FK21" s="18"/>
      <c r="FM21" s="58" t="s">
        <v>1897</v>
      </c>
      <c r="FN21" s="59">
        <f>Start!X73</f>
        <v>0</v>
      </c>
      <c r="FO21" s="18" t="str">
        <f>IF($FM21=$FP21,MAX(FO$3:FO20)+1,"")</f>
        <v/>
      </c>
      <c r="FP21" s="59" t="str">
        <f t="shared" si="101"/>
        <v/>
      </c>
      <c r="FQ21" s="18">
        <f t="shared" si="102"/>
        <v>19</v>
      </c>
      <c r="FR21" s="59" t="str">
        <f t="shared" si="75"/>
        <v/>
      </c>
      <c r="FS21" s="18"/>
      <c r="FT21" s="18"/>
      <c r="FU21" s="18"/>
      <c r="FV21" s="18"/>
      <c r="FW21" s="18" t="str">
        <f>IF(FX21="","",MAX($FW$15:FW20)+1)</f>
        <v/>
      </c>
      <c r="FX21" s="59" t="str">
        <f>IF(OR(FighterLevel&gt;0,RangerLevel&gt;1),FX30,"")</f>
        <v/>
      </c>
      <c r="FZ21" s="104"/>
      <c r="GA21" s="104"/>
      <c r="GB21" s="104"/>
      <c r="GC21" s="104"/>
      <c r="GD21" s="104"/>
      <c r="GE21" s="104"/>
      <c r="GF21" s="104"/>
      <c r="GG21" s="104"/>
      <c r="GH21" s="104"/>
      <c r="GI21" s="104"/>
      <c r="GJ21" s="104"/>
      <c r="GK21" s="18"/>
      <c r="GL21" s="18"/>
      <c r="GM21" s="18"/>
      <c r="GN21" s="18"/>
      <c r="GO21" s="18"/>
      <c r="GP21" s="18"/>
      <c r="GQ21" s="18"/>
      <c r="GR21" s="18"/>
      <c r="GZ21" s="59"/>
      <c r="HA21" s="59"/>
      <c r="HB21" s="59"/>
      <c r="HC21" s="59"/>
      <c r="HD21" s="59"/>
      <c r="HE21" s="59"/>
      <c r="HF21" s="59"/>
      <c r="HG21" s="59"/>
      <c r="HH21" s="59"/>
      <c r="HI21" s="59"/>
      <c r="HJ21" s="59"/>
      <c r="HK21" s="58" t="s">
        <v>2909</v>
      </c>
      <c r="HL21" s="59" t="s">
        <v>2905</v>
      </c>
      <c r="HM21" s="59" t="s">
        <v>2923</v>
      </c>
      <c r="HN21" s="59"/>
      <c r="HO21" s="59"/>
      <c r="HP21" s="59"/>
      <c r="HQ21" s="59"/>
      <c r="HR21" s="59"/>
      <c r="HS21" s="59"/>
      <c r="HT21" s="59"/>
      <c r="HU21" s="59"/>
      <c r="HV21" s="59"/>
      <c r="HW21" s="59"/>
      <c r="HX21" s="59" t="s">
        <v>2971</v>
      </c>
      <c r="HY21" s="59"/>
      <c r="HZ21" s="59"/>
      <c r="IA21" s="59"/>
      <c r="ID21" s="59"/>
      <c r="IE21" s="59"/>
      <c r="IF21" s="59"/>
      <c r="IG21" s="59"/>
      <c r="IH21" s="18" t="str">
        <f>IF(IJ21=1,MAX($IH$2:IH20)+1,"")</f>
        <v/>
      </c>
      <c r="II21" s="59" t="s">
        <v>3311</v>
      </c>
      <c r="IJ21" s="59" t="str">
        <f>IF(WarlockLevel&gt;=9,1,"")</f>
        <v/>
      </c>
      <c r="IK21" s="59" t="s">
        <v>3355</v>
      </c>
      <c r="IL21" s="18">
        <f t="shared" si="105"/>
        <v>19</v>
      </c>
      <c r="IM21" s="59" t="str">
        <f t="shared" si="77"/>
        <v/>
      </c>
      <c r="IN21" s="59"/>
      <c r="IO21" s="59"/>
      <c r="IP21" s="59"/>
      <c r="IQ21" s="59"/>
      <c r="IR21" s="59"/>
      <c r="IS21" s="59"/>
      <c r="IT21" s="59"/>
      <c r="IU21" s="59"/>
      <c r="IX21" s="59" t="s">
        <v>1487</v>
      </c>
      <c r="IY21" s="59" t="s">
        <v>947</v>
      </c>
      <c r="IZ21" s="59" t="s">
        <v>200</v>
      </c>
      <c r="JA21" s="59" t="s">
        <v>890</v>
      </c>
      <c r="JB21" s="59" t="s">
        <v>906</v>
      </c>
      <c r="JC21" s="18" t="str">
        <f>IF(JD21="","",MAX($JC$1:JC20)+1)</f>
        <v/>
      </c>
      <c r="JF21" s="18">
        <v>20</v>
      </c>
      <c r="JG21" s="59" t="str">
        <f t="shared" si="27"/>
        <v/>
      </c>
      <c r="JH21" s="18">
        <v>20</v>
      </c>
      <c r="JI21" s="60">
        <v>355000</v>
      </c>
      <c r="JJ21" s="18">
        <v>20</v>
      </c>
      <c r="JK21" s="18">
        <v>6</v>
      </c>
      <c r="JL21" s="18"/>
      <c r="JM21" s="18">
        <v>19</v>
      </c>
      <c r="JN21" s="80">
        <f t="shared" ca="1" si="127"/>
        <v>4</v>
      </c>
      <c r="JO21" s="80">
        <f t="shared" ca="1" si="127"/>
        <v>3</v>
      </c>
      <c r="JP21" s="80">
        <f t="shared" ca="1" si="127"/>
        <v>3</v>
      </c>
      <c r="JQ21" s="80">
        <f t="shared" ca="1" si="127"/>
        <v>3</v>
      </c>
      <c r="JR21" s="80">
        <f t="shared" ca="1" si="127"/>
        <v>3</v>
      </c>
      <c r="JS21" s="80">
        <f t="shared" ca="1" si="127"/>
        <v>2</v>
      </c>
      <c r="JT21" s="80">
        <f t="shared" ca="1" si="127"/>
        <v>1</v>
      </c>
      <c r="JU21" s="80">
        <f t="shared" ca="1" si="127"/>
        <v>1</v>
      </c>
      <c r="JV21" s="80">
        <f t="shared" ca="1" si="127"/>
        <v>1</v>
      </c>
      <c r="JW21" s="80">
        <f t="shared" ca="1" si="127"/>
        <v>9</v>
      </c>
      <c r="JX21" s="18"/>
      <c r="JY21" s="18"/>
      <c r="JZ21" s="18"/>
      <c r="KA21" s="18"/>
      <c r="KB21" s="18"/>
      <c r="KC21" s="18"/>
      <c r="KD21" s="18">
        <v>19</v>
      </c>
      <c r="KE21" s="302">
        <v>12</v>
      </c>
      <c r="KF21" s="302">
        <v>22</v>
      </c>
      <c r="KG21" s="302">
        <v>12</v>
      </c>
      <c r="KH21" s="302">
        <v>11</v>
      </c>
      <c r="KI21" s="302">
        <v>15</v>
      </c>
      <c r="KJ21" s="302">
        <v>15</v>
      </c>
      <c r="KK21" s="18">
        <v>19</v>
      </c>
      <c r="KL21" s="18">
        <v>5</v>
      </c>
      <c r="KM21" s="18">
        <v>5</v>
      </c>
      <c r="KN21" s="18">
        <v>3</v>
      </c>
      <c r="KO21" s="18">
        <v>4</v>
      </c>
      <c r="KP21" s="18">
        <v>4</v>
      </c>
      <c r="KQ21" s="18">
        <v>6</v>
      </c>
      <c r="KR21" s="80">
        <v>4</v>
      </c>
      <c r="KT21" s="93" t="s">
        <v>1529</v>
      </c>
      <c r="KU21" s="80" t="str">
        <f t="shared" si="128"/>
        <v>No</v>
      </c>
      <c r="KV21" s="89" t="s">
        <v>333</v>
      </c>
      <c r="KW21" s="270"/>
      <c r="KX21" s="270"/>
      <c r="KY21" s="270"/>
      <c r="KZ21" s="270"/>
      <c r="LA21" s="270"/>
      <c r="LB21" s="92"/>
      <c r="LC21" s="270"/>
      <c r="LD21" s="270"/>
      <c r="LE21" s="270"/>
      <c r="LF21" s="455"/>
      <c r="LG21" s="270"/>
      <c r="LH21" s="270"/>
      <c r="LI21" s="270"/>
      <c r="LJ21" s="270"/>
      <c r="LK21" s="270"/>
      <c r="LL21" s="406"/>
      <c r="LM21" s="455"/>
      <c r="LN21" s="270"/>
      <c r="LO21" s="270"/>
      <c r="LP21" s="270"/>
      <c r="LQ21" s="92"/>
      <c r="LR21" s="270"/>
      <c r="LS21" s="270"/>
      <c r="LT21" s="92"/>
      <c r="LU21" s="92"/>
      <c r="LV21" s="270"/>
      <c r="LW21" s="270"/>
      <c r="LX21" s="270"/>
      <c r="LY21" s="92"/>
      <c r="LZ21" s="92"/>
      <c r="MA21" s="92"/>
      <c r="MB21" s="92"/>
      <c r="MC21" s="92"/>
      <c r="MD21" s="92"/>
      <c r="ME21" s="92"/>
      <c r="MF21" s="92"/>
      <c r="MG21" s="92"/>
      <c r="MH21" s="92"/>
      <c r="MI21" s="92"/>
      <c r="MJ21" s="92"/>
      <c r="MK21" s="92"/>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438"/>
      <c r="NQ21" s="94"/>
      <c r="NR21" s="94"/>
      <c r="NS21" s="94"/>
      <c r="NT21" s="94"/>
      <c r="NU21" s="94"/>
      <c r="NV21" s="456"/>
      <c r="NW21" s="456"/>
      <c r="NX21" s="456"/>
      <c r="NY21" s="456"/>
      <c r="NZ21" s="456"/>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t="str">
        <f>IF(COUNTIF(Start!$AX$59:$BF$68,Tables!KT21)&gt;0,Tables!KT21,"")</f>
        <v/>
      </c>
      <c r="PT21" s="94"/>
      <c r="PU21" s="59" t="str">
        <f t="shared" si="129"/>
        <v/>
      </c>
      <c r="PV21" s="59" t="str">
        <f>IF(PU21="","",IF(COUNTIF(PU21:$PU$57,"&gt;&lt;")&gt;1,PU21&amp;", ", PU21))</f>
        <v/>
      </c>
      <c r="PW21" s="59"/>
      <c r="PX21" s="59"/>
      <c r="PY21" s="18"/>
      <c r="PZ21" s="19" t="s">
        <v>117</v>
      </c>
      <c r="QA21" s="19" t="s">
        <v>129</v>
      </c>
      <c r="QB21" s="27" t="str">
        <f t="shared" ca="1" si="79"/>
        <v>not proficient</v>
      </c>
      <c r="QC21" s="67" t="s">
        <v>130</v>
      </c>
      <c r="QD21" s="19" t="s">
        <v>106</v>
      </c>
      <c r="QE21" s="26" t="s">
        <v>140</v>
      </c>
      <c r="QF21" s="26">
        <v>6</v>
      </c>
      <c r="QG21" s="26" t="str">
        <f>""</f>
        <v/>
      </c>
      <c r="QH21" s="26" t="str">
        <f>""</f>
        <v/>
      </c>
      <c r="QI21" s="26" t="str">
        <f>""</f>
        <v/>
      </c>
      <c r="QJ21" s="26" t="str">
        <f>""</f>
        <v/>
      </c>
      <c r="QK21" s="26" t="str">
        <f>""</f>
        <v/>
      </c>
      <c r="QL21" s="26" t="s">
        <v>841</v>
      </c>
      <c r="QM21" s="26" t="s">
        <v>144</v>
      </c>
      <c r="QN21" s="26" t="str">
        <f>""</f>
        <v/>
      </c>
      <c r="QO21" s="26" t="str">
        <f>""</f>
        <v/>
      </c>
      <c r="QP21" s="26" t="str">
        <f>""</f>
        <v/>
      </c>
      <c r="QQ21" s="27" t="str">
        <f>""</f>
        <v/>
      </c>
      <c r="QR21" s="27" t="str">
        <f>""</f>
        <v/>
      </c>
      <c r="QT21" s="727"/>
      <c r="QU21" s="727" t="s">
        <v>100</v>
      </c>
      <c r="QV21" s="727"/>
      <c r="QW21" s="727"/>
      <c r="QX21" s="727"/>
      <c r="QY21" s="727"/>
      <c r="QZ21" s="727" t="str">
        <f>IF(QZ8="","",IF(COUNTIF(QZ8:$QZ$18,"&gt;&lt;$Q$1")&gt;1,QZ8&amp;", ",QZ8))</f>
        <v/>
      </c>
      <c r="RA21" s="727"/>
      <c r="RB21" s="729"/>
      <c r="RC21" s="727"/>
      <c r="RD21" s="727"/>
      <c r="RE21" s="727"/>
      <c r="RF21" s="727"/>
      <c r="RG21" s="727"/>
      <c r="RH21" s="727" t="str">
        <f>IF(RH8="","",IF(COUNTIF($RH8:RH$18,"&gt;&lt;$Q$1")&gt;1,RH8&amp;", ",RH8))</f>
        <v/>
      </c>
      <c r="RI21" s="727"/>
      <c r="RJ21" s="727"/>
      <c r="RK21" s="727"/>
      <c r="RL21" s="727"/>
      <c r="RM21" s="727"/>
      <c r="RN21" s="729"/>
      <c r="RO21" s="729"/>
      <c r="RP21" s="727" t="str">
        <f>IF(RP8="","",IF(COUNTIF($RP8:RP$18,"&gt;&lt;$Q$1")&gt;1,RP8&amp;", ",RP8))</f>
        <v/>
      </c>
      <c r="RQ21" s="729"/>
      <c r="RR21" s="729"/>
      <c r="RS21" s="729"/>
      <c r="RT21" s="729"/>
      <c r="RU21" s="729"/>
      <c r="RV21" s="729"/>
      <c r="RW21" s="729"/>
      <c r="RX21" s="727" t="str">
        <f>IF(RX8="","",IF(COUNTIF($RX8:RX$18,"&gt;&lt;$Q$1")&gt;1,RX8&amp;", ",RX8))</f>
        <v/>
      </c>
      <c r="RY21" s="729"/>
      <c r="RZ21" s="729"/>
      <c r="SA21" s="729"/>
      <c r="SB21" s="729"/>
      <c r="SC21" s="729"/>
      <c r="SD21" s="729"/>
      <c r="SE21" s="729"/>
      <c r="SF21" s="727" t="str">
        <f>IF(SF8="","",IF(COUNTIF($SF8:SF$18,"&gt;&lt;$Q$1")&gt;1,SF8&amp;", ",SF8))</f>
        <v/>
      </c>
      <c r="SG21" s="729"/>
      <c r="SH21" s="729"/>
      <c r="SI21" s="729"/>
      <c r="SJ21" s="729"/>
      <c r="SK21" s="729"/>
      <c r="SL21" s="729"/>
      <c r="SM21" s="634"/>
      <c r="SN21" s="727" t="str">
        <f>IF(SN8="","",IF(COUNTIF($SN8:SN$18,"&gt;&lt;$Q$1")&gt;1,SN8&amp;", ",SN8))</f>
        <v/>
      </c>
      <c r="SO21" s="729"/>
      <c r="SP21" s="729"/>
      <c r="SQ21" s="634"/>
      <c r="SR21" s="19"/>
      <c r="SS21" s="19"/>
      <c r="ST21" s="26"/>
      <c r="SU21" s="68"/>
      <c r="SV21" s="44"/>
      <c r="SW21" s="231"/>
      <c r="SX21" s="45"/>
      <c r="SY21" s="27"/>
      <c r="SZ21" s="26"/>
      <c r="TA21" s="19"/>
      <c r="TB21" s="19"/>
      <c r="TC21" s="19"/>
      <c r="TD21" s="44"/>
      <c r="TE21" s="26"/>
      <c r="TF21" s="231"/>
      <c r="TG21" s="26"/>
      <c r="TH21" s="27"/>
      <c r="TI21" s="27"/>
      <c r="TJ21" s="18">
        <f t="shared" si="115"/>
        <v>19</v>
      </c>
      <c r="TK21" s="58" t="s">
        <v>522</v>
      </c>
      <c r="TL21" s="58" t="s">
        <v>459</v>
      </c>
      <c r="TM21" s="18">
        <v>2</v>
      </c>
      <c r="TN21" s="59" t="str">
        <f t="shared" si="47"/>
        <v xml:space="preserve">Augury </v>
      </c>
      <c r="TO21" s="18" t="str">
        <f>""</f>
        <v/>
      </c>
      <c r="TP21" s="18" t="str">
        <f t="shared" si="48"/>
        <v/>
      </c>
      <c r="TQ21" s="18" t="str">
        <f>IF(OR(TK21=Spellcasting!$AC$18,TK21=Spellcasting!$AC$19),"ᵐ","")</f>
        <v/>
      </c>
      <c r="TR21" s="18" t="str">
        <f>IF(OR(TK21=Spellcasting!$AC$20,TK21=Spellcasting!$AC$21),"ˢ","")</f>
        <v/>
      </c>
      <c r="TS21" s="18" t="s">
        <v>477</v>
      </c>
      <c r="TT21" s="18" t="s">
        <v>494</v>
      </c>
      <c r="TU21" s="18" t="s">
        <v>509</v>
      </c>
      <c r="TV21" s="18" t="s">
        <v>505</v>
      </c>
      <c r="TW21" s="18" t="s">
        <v>495</v>
      </c>
      <c r="TX21" s="59" t="s">
        <v>861</v>
      </c>
      <c r="TY21" s="18" t="s">
        <v>511</v>
      </c>
      <c r="TZ21" s="18" t="s">
        <v>512</v>
      </c>
      <c r="UA21" s="142" t="s">
        <v>862</v>
      </c>
      <c r="UB21" s="319" t="s">
        <v>3234</v>
      </c>
      <c r="UH21" s="18" t="str">
        <f ca="1">IF(UH$1&gt;=$TM21,1,"0")</f>
        <v>0</v>
      </c>
      <c r="UY21" s="18" t="str">
        <f>IF(UY$1&gt;=$TM21,1,"0")</f>
        <v>0</v>
      </c>
      <c r="WD21" s="18" t="str">
        <f ca="1">IF(SUM($VZ$1:$WC$1)&gt;0,IF(AND(SUM($VZ21:$WC21)&gt;0,$TM21=WE$1),MAX(WD$2:WD20)+1,""),IF(AND(SUM($UC21:$VY21)&gt;0,$TM21=WE$1),MAX(WD$2:WD20)+1,""))</f>
        <v/>
      </c>
      <c r="WE21" s="59" t="str">
        <f t="shared" ca="1" si="80"/>
        <v/>
      </c>
      <c r="WF21" s="18" t="str">
        <f ca="1">IF(AND(SUM($UB21:$VY21)&gt;0,$TM21=WG$1),MAX(WF$2:WF20)+1,"")</f>
        <v/>
      </c>
      <c r="WG21" s="59" t="str">
        <f t="shared" ca="1" si="81"/>
        <v/>
      </c>
      <c r="WH21" s="18" t="str">
        <f ca="1">IF(AND(SUM($UB21:$VY21)&gt;0,$TM21=WI$1),MAX(WH$2:WH20)+1,"")</f>
        <v/>
      </c>
      <c r="WI21" s="59" t="str">
        <f t="shared" ca="1" si="82"/>
        <v/>
      </c>
      <c r="WJ21" s="18" t="str">
        <f ca="1">IF(AND(SUM($UB21:$VY21)&gt;0,$TM21=WK$1),MAX(WJ$2:WJ20)+1,"")</f>
        <v/>
      </c>
      <c r="WK21" s="59" t="str">
        <f t="shared" ca="1" si="83"/>
        <v/>
      </c>
      <c r="WL21" s="18" t="str">
        <f ca="1">IF(AND(SUM($UB21:$VY21)&gt;0,$TM21=WM$1),MAX(WL$2:WL20)+1,"")</f>
        <v/>
      </c>
      <c r="WM21" s="59" t="str">
        <f t="shared" ca="1" si="84"/>
        <v/>
      </c>
      <c r="WN21" s="18" t="str">
        <f ca="1">IF(AND(SUM($UB21:$VY21)&gt;0,$TM21=WO$1),MAX(WN$2:WN20)+1,"")</f>
        <v/>
      </c>
      <c r="WO21" s="59" t="str">
        <f t="shared" ca="1" si="85"/>
        <v/>
      </c>
      <c r="WP21" s="18" t="str">
        <f ca="1">IF(AND(SUM($UB21:$VY21)&gt;0,$TM21=WQ$1),MAX(WP$2:WP20)+1,"")</f>
        <v/>
      </c>
      <c r="WQ21" s="59" t="str">
        <f t="shared" ca="1" si="86"/>
        <v/>
      </c>
      <c r="WR21" s="18" t="str">
        <f ca="1">IF(AND(SUM($UB21:$VY21)&gt;0,$TM21=WS$1),MAX(WR$2:WR20)+1,"")</f>
        <v/>
      </c>
      <c r="WS21" s="59" t="str">
        <f t="shared" ca="1" si="87"/>
        <v/>
      </c>
      <c r="WT21" s="18" t="str">
        <f ca="1">IF(AND(SUM($UB21:$VY21)&gt;0,$TM21=WU$1),MAX(WT$2:WT20)+1,"")</f>
        <v/>
      </c>
      <c r="WU21" s="59" t="str">
        <f t="shared" ca="1" si="88"/>
        <v/>
      </c>
      <c r="WV21" s="18" t="str">
        <f ca="1">IF(AND(SUM($UB21:$VY21)&gt;0,$TM21=WW$1),MAX(WV$2:WV20)+1,"")</f>
        <v/>
      </c>
      <c r="WW21" s="59" t="str">
        <f t="shared" ca="1" si="89"/>
        <v/>
      </c>
      <c r="WX21" s="18" t="str">
        <f ca="1">IF(AND(SUM($UB21:$VY21)&gt;0,$TM21=WY$1),MAX(WX$2:WX20)+1,"")</f>
        <v/>
      </c>
      <c r="WY21" s="59" t="str">
        <f t="shared" ca="1" si="90"/>
        <v/>
      </c>
      <c r="WZ21" s="18">
        <v>20</v>
      </c>
      <c r="XA21" s="59" t="str">
        <f t="shared" ca="1" si="91"/>
        <v/>
      </c>
      <c r="XB21" s="59" t="str">
        <f t="shared" ca="1" si="28"/>
        <v/>
      </c>
      <c r="XC21" s="59" t="str">
        <f t="shared" ca="1" si="29"/>
        <v/>
      </c>
      <c r="XD21" s="59" t="str">
        <f t="shared" ca="1" si="60"/>
        <v/>
      </c>
      <c r="XE21" s="59" t="str">
        <f t="shared" ca="1" si="61"/>
        <v/>
      </c>
      <c r="XF21" s="59" t="str">
        <f t="shared" ca="1" si="62"/>
        <v/>
      </c>
      <c r="XG21" s="59" t="str">
        <f t="shared" ca="1" si="63"/>
        <v/>
      </c>
      <c r="XH21" s="59" t="str">
        <f t="shared" ca="1" si="64"/>
        <v/>
      </c>
      <c r="XI21" s="59" t="str">
        <f t="shared" ca="1" si="65"/>
        <v/>
      </c>
      <c r="XJ21" s="59" t="str">
        <f t="shared" ca="1" si="66"/>
        <v/>
      </c>
      <c r="XK21" s="59" t="str">
        <f t="shared" ca="1" si="67"/>
        <v/>
      </c>
      <c r="XL21" s="59"/>
      <c r="XM21" s="18">
        <f t="shared" si="116"/>
        <v>17</v>
      </c>
      <c r="XN21" s="142" t="str">
        <f t="shared" ca="1" si="130"/>
        <v/>
      </c>
      <c r="XO21" s="142" t="str">
        <f t="shared" ca="1" si="130"/>
        <v/>
      </c>
      <c r="XP21" s="142" t="str">
        <f t="shared" ca="1" si="130"/>
        <v/>
      </c>
      <c r="XQ21" s="142" t="str">
        <f t="shared" ca="1" si="130"/>
        <v/>
      </c>
      <c r="XR21" s="142" t="str">
        <f t="shared" ca="1" si="130"/>
        <v/>
      </c>
      <c r="XS21" s="142" t="str">
        <f t="shared" ca="1" si="130"/>
        <v/>
      </c>
      <c r="XT21" s="142" t="str">
        <f t="shared" ca="1" si="130"/>
        <v/>
      </c>
      <c r="XU21" s="142" t="str">
        <f t="shared" ca="1" si="130"/>
        <v/>
      </c>
      <c r="XV21" s="142" t="str">
        <f t="shared" ca="1" si="130"/>
        <v/>
      </c>
      <c r="XW21" s="142" t="str">
        <f t="shared" ca="1" si="130"/>
        <v/>
      </c>
      <c r="XX21" s="142" t="str">
        <f t="shared" ca="1" si="130"/>
        <v/>
      </c>
      <c r="XY21" s="142" t="str">
        <f t="shared" ca="1" si="130"/>
        <v/>
      </c>
      <c r="XZ21" s="142" t="str">
        <f t="shared" ca="1" si="130"/>
        <v/>
      </c>
      <c r="YA21" s="142" t="str">
        <f t="shared" ca="1" si="130"/>
        <v/>
      </c>
      <c r="YB21" s="142" t="str">
        <f t="shared" ca="1" si="130"/>
        <v/>
      </c>
      <c r="YC21" s="142" t="str">
        <f t="shared" ca="1" si="130"/>
        <v/>
      </c>
      <c r="YG21" s="58" t="s">
        <v>756</v>
      </c>
      <c r="YH21" s="58" t="s">
        <v>187</v>
      </c>
      <c r="YI21" s="215" t="s">
        <v>2354</v>
      </c>
      <c r="YJ21" s="215" t="s">
        <v>1805</v>
      </c>
      <c r="YK21" s="215" t="str">
        <f>""</f>
        <v/>
      </c>
      <c r="YL21" s="249" t="str">
        <f>""</f>
        <v/>
      </c>
      <c r="YM21" s="249" t="str">
        <f>""</f>
        <v/>
      </c>
      <c r="YN21" s="249" t="str">
        <f>""</f>
        <v/>
      </c>
      <c r="YO21" s="249"/>
      <c r="YP21" s="249"/>
      <c r="YQ21" s="215"/>
      <c r="YR21" s="215"/>
      <c r="YS21" s="215"/>
      <c r="YT21" s="18" t="s">
        <v>287</v>
      </c>
      <c r="YU21" s="18">
        <v>16</v>
      </c>
      <c r="YW21" s="18" t="str">
        <f ca="1">IF(YX21="","",MAX($YW$1:YW20)+1)</f>
        <v/>
      </c>
      <c r="YX21" s="59" t="str">
        <f t="shared" ca="1" si="71"/>
        <v/>
      </c>
      <c r="YY21" s="18" t="str">
        <f t="shared" ca="1" si="72"/>
        <v/>
      </c>
      <c r="YZ21" s="18">
        <f t="shared" si="117"/>
        <v>18</v>
      </c>
      <c r="ZA21" s="18" t="str">
        <f ca="1">IF(ZB21="","",MAX($ZA$2:ZA20)+1)</f>
        <v/>
      </c>
      <c r="ZB21" s="18" t="str">
        <f t="shared" ca="1" si="98"/>
        <v/>
      </c>
      <c r="ZC21" s="18" t="str">
        <f>IF(Start!AF37=SelectText,"",Start!AF37)</f>
        <v/>
      </c>
      <c r="ZD21" s="18" t="str">
        <f>IF(OR(COUNTIF($ZC$4:$ZC21,ZD$2)=0,COUNTIF($ZC$4:$ZC21,ZD$2)=MAX(ZD$2:ZD20)),"-",COUNTIF($ZC$4:$ZC21,ZD$2))</f>
        <v>-</v>
      </c>
      <c r="ZE21" s="18" t="str">
        <f>IF(OR(COUNTIF($ZC$4:$ZC21,ZE$2)=0,COUNTIF($ZC$4:$ZC21,ZE$2)=MAX(ZE$2:ZE20)),"-",COUNTIF($ZC$4:$ZC21,ZE$2))</f>
        <v>-</v>
      </c>
      <c r="ZF21" s="18" t="str">
        <f>IF(OR(COUNTIF($ZC$4:$ZC21,ZF$2)=0,COUNTIF($ZC$4:$ZC21,ZF$2)=MAX(ZF$2:ZF20)),"-",COUNTIF($ZC$4:$ZC21,ZF$2))</f>
        <v>-</v>
      </c>
      <c r="ZG21" s="18" t="str">
        <f>IF(OR(COUNTIF($ZC$4:$ZC21,ZG$2)=0,COUNTIF($ZC$4:$ZC21,ZG$2)=MAX(ZG$2:ZG20)),"-",COUNTIF($ZC$4:$ZC21,ZG$2))</f>
        <v>-</v>
      </c>
      <c r="ZH21" s="18" t="str">
        <f>IF(OR(COUNTIF($ZC$4:$ZC21,ZH$2)=0,COUNTIF($ZC$4:$ZC21,ZH$2)=MAX(ZH$2:ZH20)),"-",COUNTIF($ZC$4:$ZC21,ZH$2))</f>
        <v>-</v>
      </c>
      <c r="ZI21" s="18" t="str">
        <f>IF(OR(COUNTIF($ZC$4:$ZC21,ZI$2)=0,COUNTIF($ZC$4:$ZC21,ZI$2)=MAX(ZI$2:ZI20)),"-",COUNTIF($ZC$4:$ZC21,ZI$2))</f>
        <v>-</v>
      </c>
      <c r="ZJ21" s="18" t="str">
        <f>IF(OR(COUNTIF($ZC$4:$ZC21,ZJ$2)=0,COUNTIF($ZC$4:$ZC21,ZJ$2)=MAX(ZJ$2:ZJ20)),"-",COUNTIF($ZC$4:$ZC21,ZJ$2))</f>
        <v>-</v>
      </c>
      <c r="ZK21" s="18" t="str">
        <f>IF(OR(COUNTIF($ZC$4:$ZC21,ZK$2)=0,COUNTIF($ZC$4:$ZC21,ZK$2)=MAX(ZK$2:ZK20)),"-",COUNTIF($ZC$4:$ZC21,ZK$2))</f>
        <v>-</v>
      </c>
      <c r="ZL21" s="18" t="str">
        <f>IF(OR(COUNTIF($ZC$4:$ZC21,ZL$2)=0,COUNTIF($ZC$4:$ZC21,ZL$2)=MAX(ZL$2:ZL20)),"-",COUNTIF($ZC$4:$ZC21,ZL$2))</f>
        <v>-</v>
      </c>
      <c r="ZM21" s="18" t="str">
        <f>IF(OR(COUNTIF($ZC$4:$ZC21,ZM$2)=0,COUNTIF($ZC$4:$ZC21,ZM$2)=MAX(ZM$2:ZM20)),"-",COUNTIF($ZC$4:$ZC21,ZM$2))</f>
        <v>-</v>
      </c>
      <c r="ZN21" s="18" t="str">
        <f>IF(OR(COUNTIF($ZC$4:$ZC21,ZN$2)=0,COUNTIF($ZC$4:$ZC21,ZN$2)=MAX(ZN$2:ZN20)),"-",COUNTIF($ZC$4:$ZC21,ZN$2))</f>
        <v>-</v>
      </c>
      <c r="ZO21" s="18" t="str">
        <f>IF(OR(COUNTIF($ZC$4:$ZC21,ZO$2)=0,COUNTIF($ZC$4:$ZC21,ZO$2)=MAX(ZO$2:ZO20)),"-",COUNTIF($ZC$4:$ZC21,ZO$2))</f>
        <v>-</v>
      </c>
      <c r="ZP21" s="18">
        <f t="shared" si="118"/>
        <v>18</v>
      </c>
    </row>
    <row r="22" spans="5:694" ht="9.9499999999999993" customHeight="1" x14ac:dyDescent="0.25">
      <c r="E22" s="59"/>
      <c r="F22" s="59"/>
      <c r="G22" s="59"/>
      <c r="H22" s="59"/>
      <c r="I22" s="59"/>
      <c r="J22" s="59"/>
      <c r="K22" s="59"/>
      <c r="U22" s="392" t="s">
        <v>2705</v>
      </c>
      <c r="V22" s="399" t="str">
        <f>"• Damage Type: Poison
• Breath Weapon: 15 ft. cone. DC "&amp;8+IF(CONMod="",0,CONMod)+IF(ProfBonus="",0,ProfBonus)&amp;" Con save for "&amp;IF(CharacterLevel&lt;6,"2d6",IF(CharacterLevel&lt;11,"3d6",IF(CharacterLevel&lt;15,"4d6", "5d6")))&amp;" on failed save, half on success."</f>
        <v>• Damage Type: Poison
• Breath Weapon: 15 ft. cone. DC 5 Con save for 2d6 on failed save, half on success.</v>
      </c>
      <c r="W22" s="399" t="s">
        <v>2715</v>
      </c>
      <c r="X22" s="18" t="str">
        <f>IF(Y22="","",MAX($X$3:X21)+1)</f>
        <v/>
      </c>
      <c r="Y22" s="58" t="str">
        <f t="shared" si="131"/>
        <v/>
      </c>
      <c r="Z22" s="18">
        <f t="shared" si="109"/>
        <v>19</v>
      </c>
      <c r="AA22" s="18" t="str">
        <f t="shared" si="74"/>
        <v/>
      </c>
      <c r="AE22" s="17"/>
      <c r="AF22" s="17"/>
      <c r="AG22" s="16"/>
      <c r="AH22" s="17"/>
      <c r="AI22" s="287"/>
      <c r="AJ22" s="17"/>
      <c r="AK22" s="267"/>
      <c r="AL22" s="291"/>
      <c r="AM22" s="17"/>
      <c r="AN22" s="18"/>
      <c r="AO22" s="18">
        <f t="shared" si="119"/>
        <v>21</v>
      </c>
      <c r="AP22" s="59" t="str">
        <f>HLOOKUP(CharacterBackground,$AQ$2:$BD$53,$AO22,FALSE)</f>
        <v/>
      </c>
      <c r="AQ22" s="59" t="str">
        <f>""</f>
        <v/>
      </c>
      <c r="AR22" s="59" t="str">
        <f>""</f>
        <v/>
      </c>
      <c r="AS22" s="59" t="str">
        <f>""</f>
        <v/>
      </c>
      <c r="AT22" s="59" t="str">
        <f>""</f>
        <v/>
      </c>
      <c r="AU22" s="59" t="str">
        <f>""</f>
        <v/>
      </c>
      <c r="AV22" s="59" t="str">
        <f>""</f>
        <v/>
      </c>
      <c r="AW22" s="59" t="str">
        <f>""</f>
        <v/>
      </c>
      <c r="AX22" s="59" t="str">
        <f>""</f>
        <v/>
      </c>
      <c r="AY22" s="59" t="str">
        <f>""</f>
        <v/>
      </c>
      <c r="AZ22" s="59" t="str">
        <f>""</f>
        <v/>
      </c>
      <c r="BA22" s="59" t="str">
        <f>""</f>
        <v/>
      </c>
      <c r="BB22" s="59" t="str">
        <f>""</f>
        <v/>
      </c>
      <c r="BC22" s="59" t="str">
        <f>""</f>
        <v/>
      </c>
      <c r="BD22" s="59" t="str">
        <f>""</f>
        <v/>
      </c>
      <c r="BE22" s="18" t="str">
        <f>""</f>
        <v/>
      </c>
      <c r="BI22" s="338"/>
      <c r="BJ22" s="341"/>
      <c r="BK22" s="340"/>
      <c r="BL22" s="340"/>
      <c r="BM22" s="556"/>
      <c r="BN22" s="338"/>
      <c r="BO22" s="338"/>
      <c r="BP22" s="340"/>
      <c r="BQ22" s="340"/>
      <c r="BR22" s="340"/>
      <c r="BS22" s="340"/>
      <c r="BT22" s="340"/>
      <c r="BU22" s="340"/>
      <c r="BV22" s="340"/>
      <c r="BW22" s="340"/>
      <c r="BX22" s="340"/>
      <c r="BY22" s="340"/>
      <c r="BZ22" s="555"/>
      <c r="CA22" s="555"/>
      <c r="CB22" s="555"/>
      <c r="CC22" s="339"/>
      <c r="CD22" s="555"/>
      <c r="CE22" s="340"/>
      <c r="CF22" s="555"/>
      <c r="CG22" s="340"/>
      <c r="CH22" s="555"/>
      <c r="CI22" s="555"/>
      <c r="CJ22" s="340"/>
      <c r="CK22" s="555"/>
      <c r="CL22" s="340"/>
      <c r="CM22" s="339"/>
      <c r="CN22" s="339"/>
      <c r="CO22" s="339"/>
      <c r="CP22" s="339"/>
      <c r="CQ22" s="339"/>
      <c r="CR22" s="339"/>
      <c r="CS22" s="339"/>
      <c r="CT22" s="339"/>
      <c r="CU22" s="339"/>
      <c r="CV22" s="339"/>
      <c r="CW22" s="339"/>
      <c r="CX22" s="339"/>
      <c r="CY22" s="339"/>
      <c r="CZ22" s="339"/>
      <c r="DA22" s="339"/>
      <c r="DB22" s="339"/>
      <c r="DC22" s="339"/>
      <c r="DD22" s="339"/>
      <c r="DE22" s="339"/>
      <c r="DF22" s="339"/>
      <c r="DH22" s="104"/>
      <c r="DI22" s="104"/>
      <c r="DJ22" s="104"/>
      <c r="DK22" s="104"/>
      <c r="DL22" s="59" t="s">
        <v>291</v>
      </c>
      <c r="DM22" s="18" t="s">
        <v>801</v>
      </c>
      <c r="DN22" s="18">
        <f t="shared" ca="1" si="121"/>
        <v>0</v>
      </c>
      <c r="DO22" s="58" t="str">
        <f>""</f>
        <v/>
      </c>
      <c r="DP22" s="59" t="str">
        <f ca="1">"Divination Savant, Portent "&amp;IF(WizardDivinationLevel&gt;=14,"","2d20")</f>
        <v>Divination Savant, Portent 2d20</v>
      </c>
      <c r="DQ22" s="58" t="str">
        <f>""</f>
        <v/>
      </c>
      <c r="DR22" s="59" t="str">
        <f>""</f>
        <v/>
      </c>
      <c r="DS22" s="59" t="str">
        <f>""</f>
        <v/>
      </c>
      <c r="DT22" s="59" t="s">
        <v>1913</v>
      </c>
      <c r="DU22" s="59" t="str">
        <f>""</f>
        <v/>
      </c>
      <c r="DV22" s="59" t="str">
        <f>""</f>
        <v/>
      </c>
      <c r="DW22" s="59" t="str">
        <f>""</f>
        <v/>
      </c>
      <c r="DX22" s="59" t="s">
        <v>1914</v>
      </c>
      <c r="DY22" s="59" t="str">
        <f>""</f>
        <v/>
      </c>
      <c r="DZ22" s="59" t="str">
        <f>""</f>
        <v/>
      </c>
      <c r="EA22" s="59" t="str">
        <f>""</f>
        <v/>
      </c>
      <c r="EB22" s="59" t="s">
        <v>1915</v>
      </c>
      <c r="EC22" s="59" t="str">
        <f>""</f>
        <v/>
      </c>
      <c r="ED22" s="59" t="str">
        <f>""</f>
        <v/>
      </c>
      <c r="EE22" s="59" t="str">
        <f>""</f>
        <v/>
      </c>
      <c r="EF22" s="59" t="str">
        <f>""</f>
        <v/>
      </c>
      <c r="EG22" s="59" t="str">
        <f>""</f>
        <v/>
      </c>
      <c r="EH22" s="59" t="str">
        <f>""</f>
        <v/>
      </c>
      <c r="EI22" s="103" t="str">
        <f>""</f>
        <v/>
      </c>
      <c r="EJ22" s="103" t="str">
        <f>""</f>
        <v/>
      </c>
      <c r="EK22" s="103"/>
      <c r="EL22" s="103" t="str">
        <f>""</f>
        <v/>
      </c>
      <c r="EM22" s="103"/>
      <c r="EN22" s="103" t="str">
        <f>""</f>
        <v/>
      </c>
      <c r="EO22" s="103"/>
      <c r="EP22" s="103" t="str">
        <f>""</f>
        <v/>
      </c>
      <c r="EQ22" s="103"/>
      <c r="ER22" s="103" t="str">
        <f>""</f>
        <v/>
      </c>
      <c r="ES22" s="103"/>
      <c r="ET22" s="59" t="str">
        <f>""</f>
        <v/>
      </c>
      <c r="EU22" s="18" t="str">
        <f>""</f>
        <v/>
      </c>
      <c r="EV22" s="59" t="str">
        <f>""</f>
        <v/>
      </c>
      <c r="EW22" s="18" t="str">
        <f>""</f>
        <v/>
      </c>
      <c r="EX22" s="59" t="str">
        <f>""</f>
        <v/>
      </c>
      <c r="EY22" s="18" t="str">
        <f>""</f>
        <v/>
      </c>
      <c r="EZ22" s="18"/>
      <c r="FA22" s="18" t="str">
        <f>IF($DM22=FB$5,MAX(FA$6:FA21)+1,"")</f>
        <v/>
      </c>
      <c r="FB22" s="58" t="str">
        <f t="shared" si="122"/>
        <v/>
      </c>
      <c r="FC22" s="18"/>
      <c r="FE22" s="18" t="str">
        <f>IF($DM22=FF$5,MAX(FE$6:FE21)+1,"")</f>
        <v/>
      </c>
      <c r="FF22" s="58" t="str">
        <f t="shared" si="123"/>
        <v/>
      </c>
      <c r="FG22" s="18"/>
      <c r="FI22" s="18" t="str">
        <f>IF($DM22=FJ$5,MAX(FI$6:FI21)+1,"")</f>
        <v/>
      </c>
      <c r="FJ22" s="58" t="str">
        <f t="shared" si="124"/>
        <v/>
      </c>
      <c r="FK22" s="18"/>
      <c r="FM22" s="58" t="s">
        <v>342</v>
      </c>
      <c r="FN22" s="59">
        <f>IF(RogueLevel&gt;0,"•",0)</f>
        <v>0</v>
      </c>
      <c r="FO22" s="18" t="str">
        <f>IF($FM22=$FP22,MAX(FO$3:FO21)+1,"")</f>
        <v/>
      </c>
      <c r="FP22" s="59" t="str">
        <f>IF(FN22="•",FM22,"")</f>
        <v/>
      </c>
      <c r="FQ22" s="18">
        <f t="shared" si="102"/>
        <v>20</v>
      </c>
      <c r="FR22" s="59" t="str">
        <f t="shared" si="75"/>
        <v/>
      </c>
      <c r="FS22" s="18"/>
      <c r="FT22" s="18"/>
      <c r="FU22" s="18"/>
      <c r="FV22" s="18"/>
      <c r="FX22" s="104"/>
      <c r="FY22" s="104"/>
      <c r="FZ22" s="104"/>
      <c r="GA22" s="104"/>
      <c r="GB22" s="104"/>
      <c r="GC22" s="104"/>
      <c r="GD22" s="104"/>
      <c r="GE22" s="104"/>
      <c r="GF22" s="104"/>
      <c r="GG22" s="104"/>
      <c r="GH22" s="104"/>
      <c r="GI22" s="104"/>
      <c r="GJ22" s="104"/>
      <c r="GK22" s="18"/>
      <c r="GL22" s="18"/>
      <c r="GM22" s="18"/>
      <c r="GN22" s="18"/>
      <c r="GO22" s="18"/>
      <c r="GP22" s="18"/>
      <c r="GQ22" s="18"/>
      <c r="GR22" s="18"/>
      <c r="GZ22" s="59"/>
      <c r="HA22" s="59"/>
      <c r="HB22" s="59"/>
      <c r="HC22" s="59"/>
      <c r="HD22" s="59"/>
      <c r="HE22" s="59"/>
      <c r="HF22" s="59"/>
      <c r="HG22" s="59"/>
      <c r="HH22" s="59"/>
      <c r="HI22" s="59"/>
      <c r="HJ22" s="59"/>
      <c r="HK22" s="58" t="s">
        <v>2910</v>
      </c>
      <c r="HL22" s="59" t="s">
        <v>2905</v>
      </c>
      <c r="HM22" s="59" t="s">
        <v>2924</v>
      </c>
      <c r="HN22" s="59"/>
      <c r="HO22" s="59"/>
      <c r="HP22" s="59"/>
      <c r="HQ22" s="59"/>
      <c r="HR22" s="59"/>
      <c r="HS22" s="59"/>
      <c r="HT22" s="59"/>
      <c r="HU22" s="59"/>
      <c r="HV22" s="59"/>
      <c r="HW22" s="59"/>
      <c r="HX22" s="59" t="s">
        <v>2972</v>
      </c>
      <c r="HY22" s="59"/>
      <c r="HZ22" s="59"/>
      <c r="IA22" s="59"/>
      <c r="ID22" s="59"/>
      <c r="IE22" s="59"/>
      <c r="IF22" s="59"/>
      <c r="IG22" s="59"/>
      <c r="IH22" s="18" t="str">
        <f>IF(IJ22=1,MAX($IH$2:IH21)+1,"")</f>
        <v/>
      </c>
      <c r="II22" s="59" t="s">
        <v>3312</v>
      </c>
      <c r="IJ22" s="59" t="str">
        <f>IF(WarlockLevel&gt;=5,1,"")</f>
        <v/>
      </c>
      <c r="IK22" s="59" t="s">
        <v>3356</v>
      </c>
      <c r="IL22" s="18">
        <f t="shared" si="105"/>
        <v>20</v>
      </c>
      <c r="IM22" s="59" t="str">
        <f t="shared" si="77"/>
        <v/>
      </c>
      <c r="IN22" s="59"/>
      <c r="IO22" s="59"/>
      <c r="IP22" s="59"/>
      <c r="IQ22" s="59"/>
      <c r="IR22" s="59"/>
      <c r="IS22" s="59"/>
      <c r="IT22" s="59"/>
      <c r="IU22" s="59"/>
      <c r="IX22" s="59" t="s">
        <v>1488</v>
      </c>
      <c r="IY22" s="59" t="s">
        <v>948</v>
      </c>
      <c r="IZ22" s="59" t="s">
        <v>202</v>
      </c>
      <c r="JA22" s="59" t="s">
        <v>283</v>
      </c>
      <c r="JB22" s="59" t="s">
        <v>907</v>
      </c>
      <c r="JC22" s="18" t="str">
        <f>IF(JD22="","",MAX($JC$1:JC21)+1)</f>
        <v/>
      </c>
      <c r="JF22" s="18"/>
      <c r="JM22" s="18">
        <v>20</v>
      </c>
      <c r="JN22" s="80">
        <f t="shared" ca="1" si="127"/>
        <v>4</v>
      </c>
      <c r="JO22" s="80">
        <f t="shared" ca="1" si="127"/>
        <v>3</v>
      </c>
      <c r="JP22" s="80">
        <f t="shared" ca="1" si="127"/>
        <v>3</v>
      </c>
      <c r="JQ22" s="80">
        <f t="shared" ca="1" si="127"/>
        <v>3</v>
      </c>
      <c r="JR22" s="80">
        <f t="shared" ca="1" si="127"/>
        <v>3</v>
      </c>
      <c r="JS22" s="80">
        <f t="shared" ca="1" si="127"/>
        <v>2</v>
      </c>
      <c r="JT22" s="80">
        <f t="shared" ca="1" si="127"/>
        <v>2</v>
      </c>
      <c r="JU22" s="80">
        <f t="shared" ca="1" si="127"/>
        <v>1</v>
      </c>
      <c r="JV22" s="80">
        <f t="shared" ca="1" si="127"/>
        <v>1</v>
      </c>
      <c r="JW22" s="80">
        <f t="shared" ca="1" si="127"/>
        <v>9</v>
      </c>
      <c r="KD22" s="18">
        <v>20</v>
      </c>
      <c r="KE22" s="302">
        <v>13</v>
      </c>
      <c r="KF22" s="302">
        <v>22</v>
      </c>
      <c r="KG22" s="302">
        <v>13</v>
      </c>
      <c r="KH22" s="302">
        <v>11</v>
      </c>
      <c r="KI22" s="302">
        <v>15</v>
      </c>
      <c r="KJ22" s="302">
        <v>15</v>
      </c>
      <c r="KK22" s="18">
        <v>20</v>
      </c>
      <c r="KL22" s="18">
        <v>5</v>
      </c>
      <c r="KM22" s="18">
        <v>5</v>
      </c>
      <c r="KN22" s="18">
        <v>3</v>
      </c>
      <c r="KO22" s="18">
        <v>4</v>
      </c>
      <c r="KP22" s="18">
        <v>4</v>
      </c>
      <c r="KQ22" s="18">
        <v>6</v>
      </c>
      <c r="KR22" s="80">
        <v>4</v>
      </c>
      <c r="KT22" s="93" t="s">
        <v>1530</v>
      </c>
      <c r="KU22" s="80" t="str">
        <f t="shared" si="128"/>
        <v>No</v>
      </c>
      <c r="KV22" s="89" t="s">
        <v>333</v>
      </c>
      <c r="KW22" s="270"/>
      <c r="KX22" s="270"/>
      <c r="KY22" s="270"/>
      <c r="KZ22" s="270"/>
      <c r="LA22" s="270"/>
      <c r="LB22" s="92"/>
      <c r="LC22" s="270"/>
      <c r="LD22" s="270"/>
      <c r="LE22" s="270"/>
      <c r="LF22" s="455"/>
      <c r="LG22" s="270"/>
      <c r="LH22" s="270"/>
      <c r="LI22" s="270"/>
      <c r="LJ22" s="270"/>
      <c r="LK22" s="270"/>
      <c r="LL22" s="406"/>
      <c r="LM22" s="455"/>
      <c r="LN22" s="270"/>
      <c r="LO22" s="270"/>
      <c r="LP22" s="270"/>
      <c r="LQ22" s="92"/>
      <c r="LR22" s="270"/>
      <c r="LS22" s="270"/>
      <c r="LT22" s="92"/>
      <c r="LU22" s="92"/>
      <c r="LV22" s="270"/>
      <c r="LW22" s="270"/>
      <c r="LX22" s="270"/>
      <c r="LY22" s="92"/>
      <c r="LZ22" s="92"/>
      <c r="MA22" s="92"/>
      <c r="MB22" s="92"/>
      <c r="MC22" s="92"/>
      <c r="MD22" s="92"/>
      <c r="ME22" s="92"/>
      <c r="MF22" s="92"/>
      <c r="MG22" s="92"/>
      <c r="MH22" s="92"/>
      <c r="MI22" s="92"/>
      <c r="MJ22" s="92"/>
      <c r="MK22" s="92"/>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438"/>
      <c r="NQ22" s="94"/>
      <c r="NR22" s="94"/>
      <c r="NS22" s="94"/>
      <c r="NT22" s="94"/>
      <c r="NU22" s="94"/>
      <c r="NV22" s="456"/>
      <c r="NW22" s="456"/>
      <c r="NX22" s="456"/>
      <c r="NY22" s="456"/>
      <c r="NZ22" s="456"/>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t="str">
        <f>IF(COUNTIF(Start!$AX$59:$BF$68,Tables!KT22)&gt;0,Tables!KT22,"")</f>
        <v/>
      </c>
      <c r="PT22" s="94"/>
      <c r="PU22" s="59" t="str">
        <f t="shared" si="129"/>
        <v/>
      </c>
      <c r="PV22" s="59" t="str">
        <f>IF(PU22="","",IF(COUNTIF(PU22:$PU$57,"&gt;&lt;")&gt;1,PU22&amp;", ", PU22))</f>
        <v/>
      </c>
      <c r="PW22" s="59"/>
      <c r="PX22" s="59"/>
      <c r="PY22" s="18"/>
      <c r="PZ22" s="28" t="s">
        <v>157</v>
      </c>
      <c r="QA22" s="28" t="s">
        <v>167</v>
      </c>
      <c r="QB22" s="30" t="str">
        <f t="shared" ca="1" si="79"/>
        <v>not proficient</v>
      </c>
      <c r="QC22" s="31" t="s">
        <v>133</v>
      </c>
      <c r="QD22" s="28" t="s">
        <v>107</v>
      </c>
      <c r="QE22" s="29" t="s">
        <v>142</v>
      </c>
      <c r="QF22" s="29">
        <v>2</v>
      </c>
      <c r="QG22" s="29" t="str">
        <f>""</f>
        <v/>
      </c>
      <c r="QH22" s="29" t="str">
        <f>""</f>
        <v/>
      </c>
      <c r="QI22" s="29" t="str">
        <f>""</f>
        <v/>
      </c>
      <c r="QJ22" s="29" t="s">
        <v>138</v>
      </c>
      <c r="QK22" s="29" t="str">
        <f>""</f>
        <v/>
      </c>
      <c r="QL22" s="29" t="str">
        <f>""</f>
        <v/>
      </c>
      <c r="QM22" s="29" t="str">
        <f>""</f>
        <v/>
      </c>
      <c r="QN22" s="29" t="s">
        <v>146</v>
      </c>
      <c r="QO22" s="29" t="str">
        <f>""</f>
        <v/>
      </c>
      <c r="QP22" s="29" t="str">
        <f>""</f>
        <v/>
      </c>
      <c r="QQ22" s="30" t="str">
        <f>""</f>
        <v/>
      </c>
      <c r="QR22" s="30" t="str">
        <f>""</f>
        <v/>
      </c>
      <c r="QT22" s="727"/>
      <c r="QU22" s="727" t="s">
        <v>92</v>
      </c>
      <c r="QV22" s="727"/>
      <c r="QW22" s="727"/>
      <c r="QX22" s="727"/>
      <c r="QY22" s="727"/>
      <c r="QZ22" s="727" t="str">
        <f>IF(QZ9="","",IF(COUNTIF(QZ9:$QZ$18,"&gt;&lt;$Q$1")&gt;1,QZ9&amp;", ",QZ9))</f>
        <v/>
      </c>
      <c r="RA22" s="727"/>
      <c r="RB22" s="729"/>
      <c r="RC22" s="727"/>
      <c r="RD22" s="727"/>
      <c r="RE22" s="727"/>
      <c r="RF22" s="727"/>
      <c r="RG22" s="727"/>
      <c r="RH22" s="727" t="str">
        <f>IF(RH9="","",IF(COUNTIF($RH9:RH$18,"&gt;&lt;$Q$1")&gt;1,RH9&amp;", ",RH9))</f>
        <v/>
      </c>
      <c r="RI22" s="727"/>
      <c r="RJ22" s="727"/>
      <c r="RK22" s="727"/>
      <c r="RL22" s="727"/>
      <c r="RM22" s="727"/>
      <c r="RN22" s="729"/>
      <c r="RO22" s="729"/>
      <c r="RP22" s="727" t="str">
        <f>IF(RP9="","",IF(COUNTIF($RP9:RP$18,"&gt;&lt;$Q$1")&gt;1,RP9&amp;", ",RP9))</f>
        <v/>
      </c>
      <c r="RQ22" s="729"/>
      <c r="RR22" s="729"/>
      <c r="RS22" s="729"/>
      <c r="RT22" s="729"/>
      <c r="RU22" s="729"/>
      <c r="RV22" s="729"/>
      <c r="RW22" s="729"/>
      <c r="RX22" s="727" t="str">
        <f>IF(RX9="","",IF(COUNTIF($RX9:RX$18,"&gt;&lt;$Q$1")&gt;1,RX9&amp;", ",RX9))</f>
        <v/>
      </c>
      <c r="RY22" s="729"/>
      <c r="RZ22" s="729"/>
      <c r="SA22" s="729"/>
      <c r="SB22" s="729"/>
      <c r="SC22" s="729"/>
      <c r="SD22" s="729"/>
      <c r="SE22" s="729"/>
      <c r="SF22" s="727" t="str">
        <f>IF(SF9="","",IF(COUNTIF($SF9:SF$18,"&gt;&lt;$Q$1")&gt;1,SF9&amp;", ",SF9))</f>
        <v/>
      </c>
      <c r="SG22" s="729"/>
      <c r="SH22" s="729"/>
      <c r="SI22" s="729"/>
      <c r="SJ22" s="729"/>
      <c r="SK22" s="729"/>
      <c r="SL22" s="729"/>
      <c r="SM22" s="634"/>
      <c r="SN22" s="727" t="str">
        <f>IF(SN9="","",IF(COUNTIF($SN9:SN$18,"&gt;&lt;$Q$1")&gt;1,SN9&amp;", ",SN9))</f>
        <v/>
      </c>
      <c r="SO22" s="729"/>
      <c r="SP22" s="729"/>
      <c r="SQ22" s="634"/>
      <c r="SR22" s="28"/>
      <c r="SS22" s="28"/>
      <c r="ST22" s="29"/>
      <c r="SU22" s="69"/>
      <c r="SV22" s="42"/>
      <c r="SW22" s="232"/>
      <c r="SX22" s="46"/>
      <c r="SY22" s="30"/>
      <c r="SZ22" s="29"/>
      <c r="TA22" s="28"/>
      <c r="TB22" s="28"/>
      <c r="TC22" s="28"/>
      <c r="TD22" s="42"/>
      <c r="TE22" s="29"/>
      <c r="TF22" s="232"/>
      <c r="TG22" s="29"/>
      <c r="TH22" s="30"/>
      <c r="TI22" s="30"/>
      <c r="TJ22" s="18">
        <f t="shared" si="115"/>
        <v>20</v>
      </c>
      <c r="TK22" s="58" t="s">
        <v>525</v>
      </c>
      <c r="TL22" s="58" t="s">
        <v>461</v>
      </c>
      <c r="TM22" s="18">
        <v>4</v>
      </c>
      <c r="TN22" s="59" t="str">
        <f t="shared" si="47"/>
        <v xml:space="preserve">Aura of Life </v>
      </c>
      <c r="TO22" s="18" t="str">
        <f>""</f>
        <v/>
      </c>
      <c r="TP22" s="18" t="str">
        <f t="shared" si="48"/>
        <v/>
      </c>
      <c r="TQ22" s="18" t="str">
        <f>IF(OR(TK22=Spellcasting!$AC$18,TK22=Spellcasting!$AC$19),"ᵐ","")</f>
        <v/>
      </c>
      <c r="TR22" s="18" t="str">
        <f>IF(OR(TK22=Spellcasting!$AC$20,TK22=Spellcasting!$AC$21),"ˢ","")</f>
        <v/>
      </c>
      <c r="TS22" s="18" t="str">
        <f>""</f>
        <v/>
      </c>
      <c r="TT22" s="18" t="s">
        <v>484</v>
      </c>
      <c r="TU22" s="18" t="s">
        <v>509</v>
      </c>
      <c r="TV22" s="18" t="s">
        <v>515</v>
      </c>
      <c r="TW22" s="18" t="s">
        <v>541</v>
      </c>
      <c r="TX22" s="59" t="str">
        <f>""</f>
        <v/>
      </c>
      <c r="TY22" s="18" t="s">
        <v>487</v>
      </c>
      <c r="TZ22" s="18" t="s">
        <v>488</v>
      </c>
      <c r="UA22" s="142" t="s">
        <v>1299</v>
      </c>
      <c r="UB22" s="319" t="s">
        <v>3235</v>
      </c>
      <c r="UD22" s="18" t="str">
        <f ca="1">IF(UD$1&gt;=$TM22,1,"0")</f>
        <v>0</v>
      </c>
      <c r="WD22" s="18" t="str">
        <f ca="1">IF(SUM($VZ$1:$WC$1)&gt;0,IF(AND(SUM($VZ22:$WC22)&gt;0,$TM22=WE$1),MAX(WD$2:WD21)+1,""),IF(AND(SUM($UC22:$VY22)&gt;0,$TM22=WE$1),MAX(WD$2:WD21)+1,""))</f>
        <v/>
      </c>
      <c r="WE22" s="59" t="str">
        <f t="shared" ca="1" si="80"/>
        <v/>
      </c>
      <c r="WF22" s="18" t="str">
        <f ca="1">IF(AND(SUM($UB22:$VY22)&gt;0,$TM22=WG$1),MAX(WF$2:WF21)+1,"")</f>
        <v/>
      </c>
      <c r="WG22" s="59" t="str">
        <f t="shared" ca="1" si="81"/>
        <v/>
      </c>
      <c r="WH22" s="18" t="str">
        <f ca="1">IF(AND(SUM($UB22:$VY22)&gt;0,$TM22=WI$1),MAX(WH$2:WH21)+1,"")</f>
        <v/>
      </c>
      <c r="WI22" s="59" t="str">
        <f t="shared" ca="1" si="82"/>
        <v/>
      </c>
      <c r="WJ22" s="18" t="str">
        <f ca="1">IF(AND(SUM($UB22:$VY22)&gt;0,$TM22=WK$1),MAX(WJ$2:WJ21)+1,"")</f>
        <v/>
      </c>
      <c r="WK22" s="59" t="str">
        <f t="shared" ca="1" si="83"/>
        <v/>
      </c>
      <c r="WL22" s="18" t="str">
        <f ca="1">IF(AND(SUM($UB22:$VY22)&gt;0,$TM22=WM$1),MAX(WL$2:WL21)+1,"")</f>
        <v/>
      </c>
      <c r="WM22" s="59" t="str">
        <f t="shared" ca="1" si="84"/>
        <v/>
      </c>
      <c r="WN22" s="18" t="str">
        <f ca="1">IF(AND(SUM($UB22:$VY22)&gt;0,$TM22=WO$1),MAX(WN$2:WN21)+1,"")</f>
        <v/>
      </c>
      <c r="WO22" s="59" t="str">
        <f t="shared" ca="1" si="85"/>
        <v/>
      </c>
      <c r="WP22" s="18" t="str">
        <f ca="1">IF(AND(SUM($UB22:$VY22)&gt;0,$TM22=WQ$1),MAX(WP$2:WP21)+1,"")</f>
        <v/>
      </c>
      <c r="WQ22" s="59" t="str">
        <f t="shared" ca="1" si="86"/>
        <v/>
      </c>
      <c r="WR22" s="18" t="str">
        <f ca="1">IF(AND(SUM($UB22:$VY22)&gt;0,$TM22=WS$1),MAX(WR$2:WR21)+1,"")</f>
        <v/>
      </c>
      <c r="WS22" s="59" t="str">
        <f t="shared" ca="1" si="87"/>
        <v/>
      </c>
      <c r="WT22" s="18" t="str">
        <f ca="1">IF(AND(SUM($UB22:$VY22)&gt;0,$TM22=WU$1),MAX(WT$2:WT21)+1,"")</f>
        <v/>
      </c>
      <c r="WU22" s="59" t="str">
        <f t="shared" ca="1" si="88"/>
        <v/>
      </c>
      <c r="WV22" s="18" t="str">
        <f ca="1">IF(AND(SUM($UB22:$VY22)&gt;0,$TM22=WW$1),MAX(WV$2:WV21)+1,"")</f>
        <v/>
      </c>
      <c r="WW22" s="59" t="str">
        <f t="shared" ca="1" si="89"/>
        <v/>
      </c>
      <c r="WX22" s="18" t="str">
        <f ca="1">IF(AND(SUM($UB22:$VY22)&gt;0,$TM22=WY$1),MAX(WX$2:WX21)+1,"")</f>
        <v/>
      </c>
      <c r="WY22" s="59" t="str">
        <f t="shared" ca="1" si="90"/>
        <v/>
      </c>
      <c r="WZ22" s="18">
        <v>21</v>
      </c>
      <c r="XA22" s="59" t="str">
        <f t="shared" ca="1" si="91"/>
        <v/>
      </c>
      <c r="XB22" s="59" t="str">
        <f t="shared" ca="1" si="28"/>
        <v/>
      </c>
      <c r="XC22" s="59" t="str">
        <f t="shared" ca="1" si="29"/>
        <v/>
      </c>
      <c r="XD22" s="59" t="str">
        <f t="shared" ca="1" si="60"/>
        <v/>
      </c>
      <c r="XE22" s="59" t="str">
        <f t="shared" ca="1" si="61"/>
        <v/>
      </c>
      <c r="XF22" s="59" t="str">
        <f t="shared" ca="1" si="62"/>
        <v/>
      </c>
      <c r="XG22" s="59" t="str">
        <f t="shared" ca="1" si="63"/>
        <v/>
      </c>
      <c r="XH22" s="59" t="str">
        <f t="shared" ca="1" si="64"/>
        <v/>
      </c>
      <c r="XI22" s="59" t="str">
        <f t="shared" ca="1" si="65"/>
        <v/>
      </c>
      <c r="XJ22" s="59" t="str">
        <f t="shared" ca="1" si="66"/>
        <v/>
      </c>
      <c r="XK22" s="59" t="str">
        <f t="shared" ca="1" si="67"/>
        <v/>
      </c>
      <c r="XL22" s="59"/>
      <c r="XM22" s="18">
        <f t="shared" si="116"/>
        <v>18</v>
      </c>
      <c r="XN22" s="142" t="str">
        <f t="shared" ca="1" si="130"/>
        <v/>
      </c>
      <c r="XO22" s="142" t="str">
        <f t="shared" ca="1" si="130"/>
        <v/>
      </c>
      <c r="XP22" s="142" t="str">
        <f t="shared" ca="1" si="130"/>
        <v/>
      </c>
      <c r="XQ22" s="142" t="str">
        <f t="shared" ca="1" si="130"/>
        <v/>
      </c>
      <c r="XR22" s="142" t="str">
        <f t="shared" ca="1" si="130"/>
        <v/>
      </c>
      <c r="XS22" s="142" t="str">
        <f t="shared" ca="1" si="130"/>
        <v/>
      </c>
      <c r="XT22" s="142" t="str">
        <f t="shared" ca="1" si="130"/>
        <v/>
      </c>
      <c r="XU22" s="142" t="str">
        <f t="shared" ca="1" si="130"/>
        <v/>
      </c>
      <c r="XV22" s="142" t="str">
        <f t="shared" ca="1" si="130"/>
        <v/>
      </c>
      <c r="XW22" s="142" t="str">
        <f t="shared" ca="1" si="130"/>
        <v/>
      </c>
      <c r="XX22" s="142" t="str">
        <f t="shared" ca="1" si="130"/>
        <v/>
      </c>
      <c r="XY22" s="142" t="str">
        <f t="shared" ca="1" si="130"/>
        <v/>
      </c>
      <c r="XZ22" s="142" t="str">
        <f t="shared" ca="1" si="130"/>
        <v/>
      </c>
      <c r="YA22" s="142" t="str">
        <f t="shared" ca="1" si="130"/>
        <v/>
      </c>
      <c r="YB22" s="142" t="str">
        <f t="shared" ca="1" si="130"/>
        <v/>
      </c>
      <c r="YC22" s="142" t="str">
        <f t="shared" ca="1" si="130"/>
        <v/>
      </c>
      <c r="YG22" s="58" t="s">
        <v>1755</v>
      </c>
      <c r="YH22" s="58" t="s">
        <v>187</v>
      </c>
      <c r="YI22" s="215" t="s">
        <v>2355</v>
      </c>
      <c r="YJ22" s="215" t="s">
        <v>3439</v>
      </c>
      <c r="YK22" s="215" t="str">
        <f>""</f>
        <v/>
      </c>
      <c r="YL22" s="249" t="str">
        <f>""</f>
        <v/>
      </c>
      <c r="YM22" s="249" t="str">
        <f>""</f>
        <v/>
      </c>
      <c r="YN22" s="249" t="str">
        <f>""</f>
        <v/>
      </c>
      <c r="YO22" s="249"/>
      <c r="YP22" s="249"/>
      <c r="YQ22" s="215"/>
      <c r="YT22" s="18" t="s">
        <v>287</v>
      </c>
      <c r="YU22" s="18">
        <v>19</v>
      </c>
      <c r="YW22" s="18" t="str">
        <f ca="1">IF(YX22="","",MAX($YW$1:YW21)+1)</f>
        <v/>
      </c>
      <c r="YX22" s="59" t="str">
        <f t="shared" ca="1" si="71"/>
        <v/>
      </c>
      <c r="YY22" s="18" t="str">
        <f t="shared" ca="1" si="72"/>
        <v/>
      </c>
      <c r="YZ22" s="18">
        <f t="shared" si="117"/>
        <v>19</v>
      </c>
      <c r="ZA22" s="18" t="str">
        <f ca="1">IF(ZB22="","",MAX($ZA$2:ZA21)+1)</f>
        <v/>
      </c>
      <c r="ZB22" s="18" t="str">
        <f t="shared" ca="1" si="98"/>
        <v/>
      </c>
      <c r="ZC22" s="18" t="str">
        <f>IF(Start!AF38=SelectText,"",Start!AF38)</f>
        <v/>
      </c>
      <c r="ZD22" s="18" t="str">
        <f>IF(OR(COUNTIF($ZC$4:$ZC22,ZD$2)=0,COUNTIF($ZC$4:$ZC22,ZD$2)=MAX(ZD$2:ZD21)),"-",COUNTIF($ZC$4:$ZC22,ZD$2))</f>
        <v>-</v>
      </c>
      <c r="ZE22" s="18" t="str">
        <f>IF(OR(COUNTIF($ZC$4:$ZC22,ZE$2)=0,COUNTIF($ZC$4:$ZC22,ZE$2)=MAX(ZE$2:ZE21)),"-",COUNTIF($ZC$4:$ZC22,ZE$2))</f>
        <v>-</v>
      </c>
      <c r="ZF22" s="18" t="str">
        <f>IF(OR(COUNTIF($ZC$4:$ZC22,ZF$2)=0,COUNTIF($ZC$4:$ZC22,ZF$2)=MAX(ZF$2:ZF21)),"-",COUNTIF($ZC$4:$ZC22,ZF$2))</f>
        <v>-</v>
      </c>
      <c r="ZG22" s="18" t="str">
        <f>IF(OR(COUNTIF($ZC$4:$ZC22,ZG$2)=0,COUNTIF($ZC$4:$ZC22,ZG$2)=MAX(ZG$2:ZG21)),"-",COUNTIF($ZC$4:$ZC22,ZG$2))</f>
        <v>-</v>
      </c>
      <c r="ZH22" s="18" t="str">
        <f>IF(OR(COUNTIF($ZC$4:$ZC22,ZH$2)=0,COUNTIF($ZC$4:$ZC22,ZH$2)=MAX(ZH$2:ZH21)),"-",COUNTIF($ZC$4:$ZC22,ZH$2))</f>
        <v>-</v>
      </c>
      <c r="ZI22" s="18" t="str">
        <f>IF(OR(COUNTIF($ZC$4:$ZC22,ZI$2)=0,COUNTIF($ZC$4:$ZC22,ZI$2)=MAX(ZI$2:ZI21)),"-",COUNTIF($ZC$4:$ZC22,ZI$2))</f>
        <v>-</v>
      </c>
      <c r="ZJ22" s="18" t="str">
        <f>IF(OR(COUNTIF($ZC$4:$ZC22,ZJ$2)=0,COUNTIF($ZC$4:$ZC22,ZJ$2)=MAX(ZJ$2:ZJ21)),"-",COUNTIF($ZC$4:$ZC22,ZJ$2))</f>
        <v>-</v>
      </c>
      <c r="ZK22" s="18" t="str">
        <f>IF(OR(COUNTIF($ZC$4:$ZC22,ZK$2)=0,COUNTIF($ZC$4:$ZC22,ZK$2)=MAX(ZK$2:ZK21)),"-",COUNTIF($ZC$4:$ZC22,ZK$2))</f>
        <v>-</v>
      </c>
      <c r="ZL22" s="18" t="str">
        <f>IF(OR(COUNTIF($ZC$4:$ZC22,ZL$2)=0,COUNTIF($ZC$4:$ZC22,ZL$2)=MAX(ZL$2:ZL21)),"-",COUNTIF($ZC$4:$ZC22,ZL$2))</f>
        <v>-</v>
      </c>
      <c r="ZM22" s="18" t="str">
        <f>IF(OR(COUNTIF($ZC$4:$ZC22,ZM$2)=0,COUNTIF($ZC$4:$ZC22,ZM$2)=MAX(ZM$2:ZM21)),"-",COUNTIF($ZC$4:$ZC22,ZM$2))</f>
        <v>-</v>
      </c>
      <c r="ZN22" s="18" t="str">
        <f>IF(OR(COUNTIF($ZC$4:$ZC22,ZN$2)=0,COUNTIF($ZC$4:$ZC22,ZN$2)=MAX(ZN$2:ZN21)),"-",COUNTIF($ZC$4:$ZC22,ZN$2))</f>
        <v>-</v>
      </c>
      <c r="ZO22" s="18" t="str">
        <f>IF(OR(COUNTIF($ZC$4:$ZC22,ZO$2)=0,COUNTIF($ZC$4:$ZC22,ZO$2)=MAX(ZO$2:ZO21)),"-",COUNTIF($ZC$4:$ZC22,ZO$2))</f>
        <v>-</v>
      </c>
      <c r="ZP22" s="18">
        <f t="shared" si="118"/>
        <v>19</v>
      </c>
    </row>
    <row r="23" spans="5:694" ht="9.9499999999999993" customHeight="1" x14ac:dyDescent="0.25">
      <c r="E23" s="59"/>
      <c r="F23" s="59"/>
      <c r="G23" s="59"/>
      <c r="H23" s="59"/>
      <c r="I23" s="59"/>
      <c r="J23" s="59"/>
      <c r="K23" s="59"/>
      <c r="U23" s="392" t="s">
        <v>2706</v>
      </c>
      <c r="V23" s="399" t="str">
        <f>"• Damage Type: Fire
• Breath Weapon: 15 ft. cone. DC "&amp;8+IF(CONMod="",0,CONMod)+IF(ProfBonus="",0,ProfBonus)&amp;" Dex save for "&amp;IF(CharacterLevel&lt;6,"2d6",IF(CharacterLevel&lt;11,"3d6",IF(CharacterLevel&lt;15,"4d6", "5d6")))&amp;" on failed save, half on success."</f>
        <v>• Damage Type: Fire
• Breath Weapon: 15 ft. cone. DC 5 Dex save for 2d6 on failed save, half on success.</v>
      </c>
      <c r="W23" s="399" t="s">
        <v>2712</v>
      </c>
      <c r="X23" s="18" t="str">
        <f>IF(Y23="","",MAX($X$3:X22)+1)</f>
        <v/>
      </c>
      <c r="Y23" s="58" t="str">
        <f t="shared" si="131"/>
        <v/>
      </c>
      <c r="Z23" s="18">
        <f t="shared" si="109"/>
        <v>20</v>
      </c>
      <c r="AA23" s="18" t="str">
        <f t="shared" si="74"/>
        <v/>
      </c>
      <c r="AE23" s="17"/>
      <c r="AF23" s="17"/>
      <c r="AG23" s="16"/>
      <c r="AH23" s="17"/>
      <c r="AI23" s="287"/>
      <c r="AJ23" s="17"/>
      <c r="AK23" s="267"/>
      <c r="AL23" s="291"/>
      <c r="AM23" s="17"/>
      <c r="AN23" s="18"/>
      <c r="AO23" s="18">
        <f t="shared" si="119"/>
        <v>22</v>
      </c>
      <c r="AP23" s="272" t="s">
        <v>1013</v>
      </c>
      <c r="AQ23" s="59" t="str">
        <f>""</f>
        <v/>
      </c>
      <c r="AR23" s="254"/>
      <c r="AS23" s="385"/>
      <c r="AT23" s="254"/>
      <c r="AU23" s="385"/>
      <c r="AV23" s="255"/>
      <c r="AW23" s="385"/>
      <c r="AX23" s="385"/>
      <c r="BA23" s="254"/>
      <c r="BB23" s="385"/>
      <c r="BE23" s="18" t="str">
        <f>""</f>
        <v/>
      </c>
      <c r="BI23" s="338"/>
      <c r="BJ23" s="341"/>
      <c r="BK23" s="340"/>
      <c r="BL23" s="340"/>
      <c r="BM23" s="556"/>
      <c r="BN23" s="338"/>
      <c r="BO23" s="338"/>
      <c r="BP23" s="340"/>
      <c r="BQ23" s="340"/>
      <c r="BR23" s="340"/>
      <c r="BS23" s="340"/>
      <c r="BT23" s="340"/>
      <c r="BU23" s="340"/>
      <c r="BV23" s="340"/>
      <c r="BW23" s="340"/>
      <c r="BX23" s="340"/>
      <c r="BY23" s="340"/>
      <c r="BZ23" s="555"/>
      <c r="CA23" s="555"/>
      <c r="CB23" s="555"/>
      <c r="CC23" s="339"/>
      <c r="CD23" s="555"/>
      <c r="CE23" s="340"/>
      <c r="CF23" s="555"/>
      <c r="CG23" s="340"/>
      <c r="CH23" s="555"/>
      <c r="CI23" s="555"/>
      <c r="CJ23" s="340"/>
      <c r="CK23" s="555"/>
      <c r="CL23" s="340"/>
      <c r="CM23" s="339"/>
      <c r="CN23" s="339"/>
      <c r="CO23" s="339"/>
      <c r="CP23" s="339"/>
      <c r="CQ23" s="339"/>
      <c r="CR23" s="339"/>
      <c r="CS23" s="339"/>
      <c r="CT23" s="339"/>
      <c r="CU23" s="339"/>
      <c r="CV23" s="339"/>
      <c r="CW23" s="339"/>
      <c r="CX23" s="339"/>
      <c r="CY23" s="339"/>
      <c r="CZ23" s="339"/>
      <c r="DA23" s="339"/>
      <c r="DB23" s="339"/>
      <c r="DC23" s="339"/>
      <c r="DD23" s="339"/>
      <c r="DE23" s="339"/>
      <c r="DF23" s="339"/>
      <c r="DH23" s="104"/>
      <c r="DI23" s="104"/>
      <c r="DJ23" s="104"/>
      <c r="DK23" s="104"/>
      <c r="DL23" s="59" t="s">
        <v>292</v>
      </c>
      <c r="DM23" s="18" t="s">
        <v>801</v>
      </c>
      <c r="DN23" s="18">
        <f t="shared" ca="1" si="121"/>
        <v>0</v>
      </c>
      <c r="DO23" s="58" t="str">
        <f>""</f>
        <v/>
      </c>
      <c r="DP23" s="59" t="s">
        <v>1916</v>
      </c>
      <c r="DQ23" s="58" t="str">
        <f>""</f>
        <v/>
      </c>
      <c r="DR23" s="59" t="str">
        <f>""</f>
        <v/>
      </c>
      <c r="DS23" s="59" t="str">
        <f>""</f>
        <v/>
      </c>
      <c r="DT23" s="59" t="s">
        <v>424</v>
      </c>
      <c r="DU23" s="59" t="str">
        <f>""</f>
        <v/>
      </c>
      <c r="DV23" s="59" t="str">
        <f>""</f>
        <v/>
      </c>
      <c r="DW23" s="59" t="str">
        <f>""</f>
        <v/>
      </c>
      <c r="DX23" s="59" t="s">
        <v>425</v>
      </c>
      <c r="DY23" s="59" t="str">
        <f>""</f>
        <v/>
      </c>
      <c r="DZ23" s="59" t="str">
        <f>""</f>
        <v/>
      </c>
      <c r="EA23" s="59" t="str">
        <f>""</f>
        <v/>
      </c>
      <c r="EB23" s="59" t="s">
        <v>426</v>
      </c>
      <c r="EC23" s="59" t="str">
        <f>""</f>
        <v/>
      </c>
      <c r="ED23" s="59" t="str">
        <f>""</f>
        <v/>
      </c>
      <c r="EE23" s="59" t="str">
        <f>""</f>
        <v/>
      </c>
      <c r="EF23" s="59" t="str">
        <f>""</f>
        <v/>
      </c>
      <c r="EG23" s="59" t="str">
        <f>""</f>
        <v/>
      </c>
      <c r="EH23" s="59" t="str">
        <f>""</f>
        <v/>
      </c>
      <c r="EI23" s="103" t="str">
        <f>""</f>
        <v/>
      </c>
      <c r="EJ23" s="103" t="str">
        <f>""</f>
        <v/>
      </c>
      <c r="EK23" s="103"/>
      <c r="EL23" s="103" t="str">
        <f>""</f>
        <v/>
      </c>
      <c r="EM23" s="103"/>
      <c r="EN23" s="103" t="str">
        <f>""</f>
        <v/>
      </c>
      <c r="EO23" s="103"/>
      <c r="EP23" s="103" t="str">
        <f>""</f>
        <v/>
      </c>
      <c r="EQ23" s="103"/>
      <c r="ER23" s="103" t="str">
        <f>""</f>
        <v/>
      </c>
      <c r="ES23" s="103"/>
      <c r="ET23" s="59" t="str">
        <f>""</f>
        <v/>
      </c>
      <c r="EU23" s="18" t="str">
        <f>""</f>
        <v/>
      </c>
      <c r="EV23" s="59" t="str">
        <f>""</f>
        <v/>
      </c>
      <c r="EW23" s="18" t="str">
        <f>""</f>
        <v/>
      </c>
      <c r="EX23" s="59" t="str">
        <f>""</f>
        <v/>
      </c>
      <c r="EY23" s="18" t="str">
        <f>""</f>
        <v/>
      </c>
      <c r="EZ23" s="18"/>
      <c r="FA23" s="18" t="str">
        <f>IF($DM23=FB$5,MAX(FA$6:FA22)+1,"")</f>
        <v/>
      </c>
      <c r="FB23" s="58" t="str">
        <f t="shared" si="122"/>
        <v/>
      </c>
      <c r="FC23" s="18"/>
      <c r="FE23" s="18" t="str">
        <f>IF($DM23=FF$5,MAX(FE$6:FE22)+1,"")</f>
        <v/>
      </c>
      <c r="FF23" s="58" t="str">
        <f t="shared" si="123"/>
        <v/>
      </c>
      <c r="FG23" s="18"/>
      <c r="FI23" s="18" t="str">
        <f>IF($DM23=FJ$5,MAX(FI$6:FI22)+1,"")</f>
        <v/>
      </c>
      <c r="FJ23" s="58" t="str">
        <f t="shared" si="124"/>
        <v/>
      </c>
      <c r="FK23" s="18"/>
      <c r="FM23" s="18"/>
      <c r="FN23" s="18"/>
      <c r="FO23" s="18"/>
      <c r="FP23" s="18"/>
      <c r="FQ23" s="18"/>
      <c r="FR23" s="18"/>
      <c r="FS23" s="18"/>
      <c r="FT23" s="18"/>
      <c r="FU23" s="18"/>
      <c r="FV23" s="18"/>
      <c r="FX23" s="104"/>
      <c r="FY23" s="104"/>
      <c r="FZ23" s="104"/>
      <c r="GA23" s="104"/>
      <c r="GB23" s="104"/>
      <c r="GC23" s="104"/>
      <c r="GD23" s="104"/>
      <c r="GE23" s="104"/>
      <c r="GF23" s="104"/>
      <c r="GG23" s="104"/>
      <c r="GH23" s="104"/>
      <c r="GI23" s="104"/>
      <c r="GJ23" s="104"/>
      <c r="GK23" s="18"/>
      <c r="GL23" s="18"/>
      <c r="GM23" s="18"/>
      <c r="GN23" s="18"/>
      <c r="GO23" s="18"/>
      <c r="GP23" s="18"/>
      <c r="GQ23" s="18"/>
      <c r="GR23" s="18"/>
      <c r="GZ23" s="59"/>
      <c r="HA23" s="59"/>
      <c r="HB23" s="59"/>
      <c r="HC23" s="59"/>
      <c r="HD23" s="59"/>
      <c r="HE23" s="59"/>
      <c r="HF23" s="59"/>
      <c r="HG23" s="59"/>
      <c r="HH23" s="59"/>
      <c r="HI23" s="59"/>
      <c r="HJ23" s="59"/>
      <c r="HK23" s="58" t="s">
        <v>2911</v>
      </c>
      <c r="HL23" s="59" t="s">
        <v>2905</v>
      </c>
      <c r="HM23" s="59" t="s">
        <v>2925</v>
      </c>
      <c r="HN23" s="59"/>
      <c r="HO23" s="59"/>
      <c r="HP23" s="59"/>
      <c r="HQ23" s="59"/>
      <c r="HR23" s="59"/>
      <c r="HS23" s="59"/>
      <c r="HT23" s="59"/>
      <c r="HU23" s="59"/>
      <c r="HV23" s="59"/>
      <c r="HW23" s="59"/>
      <c r="HX23" s="58" t="s">
        <v>431</v>
      </c>
      <c r="HY23" s="59"/>
      <c r="HZ23" s="59"/>
      <c r="IA23" s="59"/>
      <c r="ID23" s="59"/>
      <c r="IE23" s="59"/>
      <c r="IF23" s="59"/>
      <c r="IG23" s="59"/>
      <c r="IH23" s="18">
        <f>IF(IJ23=1,MAX($IH$2:IH22)+1,"")</f>
        <v>10</v>
      </c>
      <c r="II23" s="59" t="s">
        <v>3313</v>
      </c>
      <c r="IJ23" s="59">
        <f>1</f>
        <v>1</v>
      </c>
      <c r="IK23" s="59" t="s">
        <v>3357</v>
      </c>
      <c r="IL23" s="18">
        <f t="shared" si="105"/>
        <v>21</v>
      </c>
      <c r="IM23" s="59" t="str">
        <f t="shared" si="77"/>
        <v/>
      </c>
      <c r="IN23" s="59"/>
      <c r="IO23" s="59"/>
      <c r="IP23" s="59"/>
      <c r="IQ23" s="59"/>
      <c r="IR23" s="59"/>
      <c r="IS23" s="59"/>
      <c r="IT23" s="59"/>
      <c r="IU23" s="59"/>
      <c r="IX23" s="59" t="s">
        <v>1489</v>
      </c>
      <c r="IY23" s="59" t="s">
        <v>949</v>
      </c>
      <c r="IZ23" s="59" t="s">
        <v>199</v>
      </c>
      <c r="JA23" s="59" t="s">
        <v>888</v>
      </c>
      <c r="JB23" s="59" t="s">
        <v>908</v>
      </c>
      <c r="JF23" s="18"/>
      <c r="JH23" s="18"/>
      <c r="JI23" s="18"/>
      <c r="JJ23" s="18"/>
      <c r="KK23" s="18" t="s">
        <v>17</v>
      </c>
      <c r="KL23" s="18" t="str">
        <f t="shared" ref="KL23:KQ23" ca="1" si="133">IF(INDIRECT(TEXT(KL$2&amp;"Level",0))&gt;0,VLOOKUP(INDIRECT(TEXT(KL$2&amp;"Level",0)),$KK$3:$KR$22,KL$1,FALSE),"")</f>
        <v/>
      </c>
      <c r="KM23" s="18" t="str">
        <f t="shared" ca="1" si="133"/>
        <v/>
      </c>
      <c r="KN23" s="18" t="str">
        <f t="shared" ca="1" si="133"/>
        <v/>
      </c>
      <c r="KO23" s="18" t="str">
        <f t="shared" ca="1" si="133"/>
        <v/>
      </c>
      <c r="KP23" s="18" t="str">
        <f t="shared" ca="1" si="133"/>
        <v/>
      </c>
      <c r="KQ23" s="18" t="str">
        <f t="shared" ca="1" si="133"/>
        <v/>
      </c>
      <c r="KR23" s="18" t="str">
        <f ca="1">IF(INDIRECT(TEXT(KR$2&amp;"Level",0))&gt;0,VLOOKUP(INDIRECT(TEXT(KR$2&amp;"Level",0)),$KK$3:$KR$22,KR$1,FALSE),"")</f>
        <v/>
      </c>
      <c r="KT23" s="93" t="s">
        <v>1531</v>
      </c>
      <c r="KU23" s="80" t="str">
        <f t="shared" si="128"/>
        <v>No</v>
      </c>
      <c r="KV23" s="89" t="s">
        <v>333</v>
      </c>
      <c r="KW23" s="270"/>
      <c r="KX23" s="270"/>
      <c r="KY23" s="270"/>
      <c r="KZ23" s="270"/>
      <c r="LA23" s="270"/>
      <c r="LB23" s="92"/>
      <c r="LC23" s="270"/>
      <c r="LD23" s="270"/>
      <c r="LE23" s="270"/>
      <c r="LF23" s="455"/>
      <c r="LG23" s="270"/>
      <c r="LH23" s="270"/>
      <c r="LI23" s="270"/>
      <c r="LJ23" s="270"/>
      <c r="LK23" s="270"/>
      <c r="LL23" s="406"/>
      <c r="LM23" s="455"/>
      <c r="LN23" s="270"/>
      <c r="LO23" s="270"/>
      <c r="LP23" s="270"/>
      <c r="LQ23" s="92"/>
      <c r="LR23" s="270"/>
      <c r="LS23" s="270"/>
      <c r="LT23" s="92"/>
      <c r="LU23" s="92"/>
      <c r="LV23" s="270"/>
      <c r="LW23" s="270"/>
      <c r="LX23" s="270"/>
      <c r="LY23" s="92"/>
      <c r="LZ23" s="92"/>
      <c r="MA23" s="92"/>
      <c r="MB23" s="92"/>
      <c r="MC23" s="92"/>
      <c r="MD23" s="92"/>
      <c r="ME23" s="92"/>
      <c r="MF23" s="92"/>
      <c r="MG23" s="92"/>
      <c r="MH23" s="92"/>
      <c r="MI23" s="92"/>
      <c r="MJ23" s="92"/>
      <c r="MK23" s="92"/>
      <c r="ML23" s="94"/>
      <c r="MM23" s="94"/>
      <c r="MN23" s="94"/>
      <c r="MO23" s="94"/>
      <c r="MP23" s="94"/>
      <c r="MQ23" s="94"/>
      <c r="MR23" s="94"/>
      <c r="MS23" s="94"/>
      <c r="MT23" s="94"/>
      <c r="MU23" s="94"/>
      <c r="MV23" s="94"/>
      <c r="MW23" s="94"/>
      <c r="MX23" s="94"/>
      <c r="MY23" s="94"/>
      <c r="MZ23" s="94"/>
      <c r="NA23" s="94"/>
      <c r="NB23" s="94"/>
      <c r="NC23" s="94"/>
      <c r="ND23" s="94"/>
      <c r="NE23" s="94"/>
      <c r="NF23" s="94"/>
      <c r="NG23" s="94"/>
      <c r="NH23" s="94"/>
      <c r="NI23" s="94"/>
      <c r="NJ23" s="94"/>
      <c r="NK23" s="94"/>
      <c r="NL23" s="94"/>
      <c r="NM23" s="94"/>
      <c r="NN23" s="94"/>
      <c r="NO23" s="94"/>
      <c r="NP23" s="438"/>
      <c r="NQ23" s="94"/>
      <c r="NR23" s="94"/>
      <c r="NS23" s="94"/>
      <c r="NT23" s="94"/>
      <c r="NU23" s="94"/>
      <c r="NV23" s="456"/>
      <c r="NW23" s="456"/>
      <c r="NX23" s="456"/>
      <c r="NY23" s="456"/>
      <c r="NZ23" s="456"/>
      <c r="OA23" s="94"/>
      <c r="OB23" s="94"/>
      <c r="OC23" s="94"/>
      <c r="OD23" s="94"/>
      <c r="OE23" s="94"/>
      <c r="OF23" s="94"/>
      <c r="OG23" s="94"/>
      <c r="OH23" s="94"/>
      <c r="OI23" s="94"/>
      <c r="OJ23" s="94"/>
      <c r="OK23" s="94"/>
      <c r="OL23" s="94"/>
      <c r="OM23" s="94"/>
      <c r="ON23" s="94"/>
      <c r="OO23" s="94"/>
      <c r="OP23" s="94"/>
      <c r="OQ23" s="94"/>
      <c r="OR23" s="94"/>
      <c r="OS23" s="94"/>
      <c r="OT23" s="94"/>
      <c r="OU23" s="94"/>
      <c r="OV23" s="94"/>
      <c r="OW23" s="94"/>
      <c r="OX23" s="94"/>
      <c r="OY23" s="94"/>
      <c r="OZ23" s="94"/>
      <c r="PA23" s="94"/>
      <c r="PB23" s="94"/>
      <c r="PC23" s="94"/>
      <c r="PD23" s="94"/>
      <c r="PE23" s="94"/>
      <c r="PF23" s="94"/>
      <c r="PG23" s="94"/>
      <c r="PH23" s="94"/>
      <c r="PI23" s="94"/>
      <c r="PJ23" s="94"/>
      <c r="PK23" s="94"/>
      <c r="PL23" s="94"/>
      <c r="PM23" s="94"/>
      <c r="PN23" s="94"/>
      <c r="PO23" s="94"/>
      <c r="PP23" s="94"/>
      <c r="PQ23" s="94"/>
      <c r="PR23" s="94"/>
      <c r="PS23" s="94" t="str">
        <f>IF(COUNTIF(Start!$AX$59:$BF$68,Tables!KT23)&gt;0,Tables!KT23,"")</f>
        <v/>
      </c>
      <c r="PT23" s="94"/>
      <c r="PU23" s="59" t="str">
        <f t="shared" si="129"/>
        <v/>
      </c>
      <c r="PV23" s="59" t="str">
        <f>IF(PU23="","",IF(COUNTIF(PU23:$PU$57,"&gt;&lt;")&gt;1,PU23&amp;", ", PU23))</f>
        <v/>
      </c>
      <c r="PW23" s="59"/>
      <c r="PX23" s="59"/>
      <c r="PY23" s="18"/>
      <c r="PZ23" s="19" t="s">
        <v>118</v>
      </c>
      <c r="QA23" s="19" t="s">
        <v>129</v>
      </c>
      <c r="QB23" s="27" t="str">
        <f t="shared" ca="1" si="79"/>
        <v>not proficient</v>
      </c>
      <c r="QC23" s="67" t="s">
        <v>88</v>
      </c>
      <c r="QD23" s="19" t="s">
        <v>134</v>
      </c>
      <c r="QE23" s="26" t="s">
        <v>140</v>
      </c>
      <c r="QF23" s="26">
        <v>3</v>
      </c>
      <c r="QG23" s="26" t="str">
        <f>""</f>
        <v/>
      </c>
      <c r="QH23" s="26" t="str">
        <f>""</f>
        <v/>
      </c>
      <c r="QI23" s="26" t="str">
        <f>""</f>
        <v/>
      </c>
      <c r="QJ23" s="26" t="str">
        <f>""</f>
        <v/>
      </c>
      <c r="QK23" s="26" t="str">
        <f>""</f>
        <v/>
      </c>
      <c r="QL23" s="26" t="str">
        <f>""</f>
        <v/>
      </c>
      <c r="QM23" s="26" t="str">
        <f>""</f>
        <v/>
      </c>
      <c r="QN23" s="26" t="str">
        <f>""</f>
        <v/>
      </c>
      <c r="QO23" s="26" t="str">
        <f>""</f>
        <v/>
      </c>
      <c r="QP23" s="26" t="s">
        <v>178</v>
      </c>
      <c r="QQ23" s="27" t="str">
        <f>""</f>
        <v/>
      </c>
      <c r="QR23" s="27" t="str">
        <f>""</f>
        <v/>
      </c>
      <c r="QT23" s="727"/>
      <c r="QU23" s="727" t="s">
        <v>90</v>
      </c>
      <c r="QV23" s="727"/>
      <c r="QW23" s="727"/>
      <c r="QX23" s="727"/>
      <c r="QY23" s="727"/>
      <c r="QZ23" s="727" t="str">
        <f>IF(QZ10="","",IF(COUNTIF(QZ10:$QZ$18,"&gt;&lt;$Q$1")&gt;1,QZ10&amp;", ",QZ10))</f>
        <v/>
      </c>
      <c r="RA23" s="727"/>
      <c r="RB23" s="729"/>
      <c r="RC23" s="727"/>
      <c r="RD23" s="727"/>
      <c r="RE23" s="727"/>
      <c r="RF23" s="727"/>
      <c r="RG23" s="727"/>
      <c r="RH23" s="727" t="str">
        <f>IF(RH10="","",IF(COUNTIF($RH10:RH$18,"&gt;&lt;$Q$1")&gt;1,RH10&amp;", ",RH10))</f>
        <v/>
      </c>
      <c r="RI23" s="727"/>
      <c r="RJ23" s="727"/>
      <c r="RK23" s="727"/>
      <c r="RL23" s="727"/>
      <c r="RM23" s="727"/>
      <c r="RN23" s="729"/>
      <c r="RO23" s="729"/>
      <c r="RP23" s="727" t="str">
        <f>IF(RP10="","",IF(COUNTIF($RP10:RP$18,"&gt;&lt;$Q$1")&gt;1,RP10&amp;", ",RP10))</f>
        <v/>
      </c>
      <c r="RQ23" s="729"/>
      <c r="RR23" s="729"/>
      <c r="RS23" s="729"/>
      <c r="RT23" s="729"/>
      <c r="RU23" s="729"/>
      <c r="RV23" s="729"/>
      <c r="RW23" s="729"/>
      <c r="RX23" s="727" t="str">
        <f>IF(RX10="","",IF(COUNTIF($RX10:RX$18,"&gt;&lt;$Q$1")&gt;1,RX10&amp;", ",RX10))</f>
        <v/>
      </c>
      <c r="RY23" s="729"/>
      <c r="RZ23" s="729"/>
      <c r="SA23" s="729"/>
      <c r="SB23" s="729"/>
      <c r="SC23" s="729"/>
      <c r="SD23" s="729"/>
      <c r="SE23" s="729"/>
      <c r="SF23" s="727" t="str">
        <f>IF(SF10="","",IF(COUNTIF($SF10:SF$18,"&gt;&lt;$Q$1")&gt;1,SF10&amp;", ",SF10))</f>
        <v/>
      </c>
      <c r="SG23" s="729"/>
      <c r="SH23" s="729"/>
      <c r="SI23" s="729"/>
      <c r="SJ23" s="729"/>
      <c r="SK23" s="729"/>
      <c r="SL23" s="729"/>
      <c r="SM23" s="634"/>
      <c r="SN23" s="727" t="str">
        <f>IF(SN10="","",IF(COUNTIF($SN10:SN$18,"&gt;&lt;$Q$1")&gt;1,SN10&amp;", ",SN10))</f>
        <v/>
      </c>
      <c r="SO23" s="729"/>
      <c r="SP23" s="729"/>
      <c r="SQ23" s="634"/>
      <c r="SR23" s="19"/>
      <c r="SS23" s="19"/>
      <c r="ST23" s="26"/>
      <c r="SU23" s="68"/>
      <c r="SV23" s="44"/>
      <c r="SW23" s="231"/>
      <c r="SX23" s="45"/>
      <c r="SY23" s="27"/>
      <c r="SZ23" s="26"/>
      <c r="TA23" s="19"/>
      <c r="TB23" s="19"/>
      <c r="TC23" s="19"/>
      <c r="TD23" s="44"/>
      <c r="TE23" s="26"/>
      <c r="TF23" s="231"/>
      <c r="TG23" s="26"/>
      <c r="TH23" s="27"/>
      <c r="TI23" s="27"/>
      <c r="TJ23" s="18">
        <f t="shared" si="115"/>
        <v>21</v>
      </c>
      <c r="TK23" s="58" t="s">
        <v>526</v>
      </c>
      <c r="TL23" s="58" t="s">
        <v>461</v>
      </c>
      <c r="TM23" s="18">
        <v>4</v>
      </c>
      <c r="TN23" s="59" t="str">
        <f t="shared" si="47"/>
        <v xml:space="preserve">Aura of Purity </v>
      </c>
      <c r="TO23" s="18" t="str">
        <f>""</f>
        <v/>
      </c>
      <c r="TP23" s="18" t="str">
        <f t="shared" si="48"/>
        <v/>
      </c>
      <c r="TQ23" s="18" t="str">
        <f>IF(OR(TK23=Spellcasting!$AC$18,TK23=Spellcasting!$AC$19),"ᵐ","")</f>
        <v/>
      </c>
      <c r="TR23" s="18" t="str">
        <f>IF(OR(TK23=Spellcasting!$AC$20,TK23=Spellcasting!$AC$21),"ˢ","")</f>
        <v/>
      </c>
      <c r="TS23" s="18" t="str">
        <f>""</f>
        <v/>
      </c>
      <c r="TT23" s="18" t="s">
        <v>484</v>
      </c>
      <c r="TU23" s="18" t="s">
        <v>509</v>
      </c>
      <c r="TV23" s="18" t="s">
        <v>515</v>
      </c>
      <c r="TW23" s="18" t="s">
        <v>541</v>
      </c>
      <c r="TX23" s="59" t="str">
        <f>""</f>
        <v/>
      </c>
      <c r="TY23" s="18" t="s">
        <v>487</v>
      </c>
      <c r="TZ23" s="18" t="s">
        <v>488</v>
      </c>
      <c r="UA23" s="142" t="s">
        <v>2228</v>
      </c>
      <c r="UB23" s="319" t="s">
        <v>3236</v>
      </c>
      <c r="UD23" s="18" t="str">
        <f ca="1">IF(UD$1&gt;=$TM23,1,"0")</f>
        <v>0</v>
      </c>
      <c r="WD23" s="18" t="str">
        <f ca="1">IF(SUM($VZ$1:$WC$1)&gt;0,IF(AND(SUM($VZ23:$WC23)&gt;0,$TM23=WE$1),MAX(WD$2:WD22)+1,""),IF(AND(SUM($UC23:$VY23)&gt;0,$TM23=WE$1),MAX(WD$2:WD22)+1,""))</f>
        <v/>
      </c>
      <c r="WE23" s="59" t="str">
        <f t="shared" ca="1" si="80"/>
        <v/>
      </c>
      <c r="WF23" s="18" t="str">
        <f ca="1">IF(AND(SUM($UB23:$VY23)&gt;0,$TM23=WG$1),MAX(WF$2:WF22)+1,"")</f>
        <v/>
      </c>
      <c r="WG23" s="59" t="str">
        <f t="shared" ca="1" si="81"/>
        <v/>
      </c>
      <c r="WH23" s="18" t="str">
        <f ca="1">IF(AND(SUM($UB23:$VY23)&gt;0,$TM23=WI$1),MAX(WH$2:WH22)+1,"")</f>
        <v/>
      </c>
      <c r="WI23" s="59" t="str">
        <f t="shared" ca="1" si="82"/>
        <v/>
      </c>
      <c r="WJ23" s="18" t="str">
        <f ca="1">IF(AND(SUM($UB23:$VY23)&gt;0,$TM23=WK$1),MAX(WJ$2:WJ22)+1,"")</f>
        <v/>
      </c>
      <c r="WK23" s="59" t="str">
        <f t="shared" ca="1" si="83"/>
        <v/>
      </c>
      <c r="WL23" s="18" t="str">
        <f ca="1">IF(AND(SUM($UB23:$VY23)&gt;0,$TM23=WM$1),MAX(WL$2:WL22)+1,"")</f>
        <v/>
      </c>
      <c r="WM23" s="59" t="str">
        <f t="shared" ca="1" si="84"/>
        <v/>
      </c>
      <c r="WN23" s="18" t="str">
        <f ca="1">IF(AND(SUM($UB23:$VY23)&gt;0,$TM23=WO$1),MAX(WN$2:WN22)+1,"")</f>
        <v/>
      </c>
      <c r="WO23" s="59" t="str">
        <f t="shared" ca="1" si="85"/>
        <v/>
      </c>
      <c r="WP23" s="18" t="str">
        <f ca="1">IF(AND(SUM($UB23:$VY23)&gt;0,$TM23=WQ$1),MAX(WP$2:WP22)+1,"")</f>
        <v/>
      </c>
      <c r="WQ23" s="59" t="str">
        <f t="shared" ca="1" si="86"/>
        <v/>
      </c>
      <c r="WR23" s="18" t="str">
        <f ca="1">IF(AND(SUM($UB23:$VY23)&gt;0,$TM23=WS$1),MAX(WR$2:WR22)+1,"")</f>
        <v/>
      </c>
      <c r="WS23" s="59" t="str">
        <f t="shared" ca="1" si="87"/>
        <v/>
      </c>
      <c r="WT23" s="18" t="str">
        <f ca="1">IF(AND(SUM($UB23:$VY23)&gt;0,$TM23=WU$1),MAX(WT$2:WT22)+1,"")</f>
        <v/>
      </c>
      <c r="WU23" s="59" t="str">
        <f t="shared" ca="1" si="88"/>
        <v/>
      </c>
      <c r="WV23" s="18" t="str">
        <f ca="1">IF(AND(SUM($UB23:$VY23)&gt;0,$TM23=WW$1),MAX(WV$2:WV22)+1,"")</f>
        <v/>
      </c>
      <c r="WW23" s="59" t="str">
        <f t="shared" ca="1" si="89"/>
        <v/>
      </c>
      <c r="WX23" s="18" t="str">
        <f ca="1">IF(AND(SUM($UB23:$VY23)&gt;0,$TM23=WY$1),MAX(WX$2:WX22)+1,"")</f>
        <v/>
      </c>
      <c r="WY23" s="59" t="str">
        <f t="shared" ca="1" si="90"/>
        <v/>
      </c>
      <c r="WZ23" s="18">
        <v>22</v>
      </c>
      <c r="XA23" s="59" t="str">
        <f t="shared" ca="1" si="91"/>
        <v/>
      </c>
      <c r="XB23" s="59" t="str">
        <f t="shared" ca="1" si="28"/>
        <v/>
      </c>
      <c r="XC23" s="59" t="str">
        <f t="shared" ca="1" si="29"/>
        <v/>
      </c>
      <c r="XD23" s="59" t="str">
        <f t="shared" ca="1" si="60"/>
        <v/>
      </c>
      <c r="XE23" s="59" t="str">
        <f t="shared" ca="1" si="61"/>
        <v/>
      </c>
      <c r="XF23" s="59" t="str">
        <f t="shared" ca="1" si="62"/>
        <v/>
      </c>
      <c r="XG23" s="59" t="str">
        <f t="shared" ca="1" si="63"/>
        <v/>
      </c>
      <c r="XH23" s="59" t="str">
        <f t="shared" ca="1" si="64"/>
        <v/>
      </c>
      <c r="XI23" s="59" t="str">
        <f t="shared" ca="1" si="65"/>
        <v/>
      </c>
      <c r="XJ23" s="59" t="str">
        <f t="shared" ca="1" si="66"/>
        <v/>
      </c>
      <c r="XK23" s="59" t="str">
        <f t="shared" ca="1" si="67"/>
        <v/>
      </c>
      <c r="XL23" s="59"/>
      <c r="XM23" s="18">
        <f t="shared" si="116"/>
        <v>19</v>
      </c>
      <c r="XN23" s="142" t="str">
        <f t="shared" ca="1" si="130"/>
        <v/>
      </c>
      <c r="XO23" s="142" t="str">
        <f t="shared" ca="1" si="130"/>
        <v/>
      </c>
      <c r="XP23" s="142" t="str">
        <f t="shared" ca="1" si="130"/>
        <v/>
      </c>
      <c r="XQ23" s="142" t="str">
        <f t="shared" ca="1" si="130"/>
        <v/>
      </c>
      <c r="XR23" s="142" t="str">
        <f t="shared" ca="1" si="130"/>
        <v/>
      </c>
      <c r="XS23" s="142" t="str">
        <f t="shared" ca="1" si="130"/>
        <v/>
      </c>
      <c r="XT23" s="142" t="str">
        <f t="shared" ca="1" si="130"/>
        <v/>
      </c>
      <c r="XU23" s="142" t="str">
        <f t="shared" ca="1" si="130"/>
        <v/>
      </c>
      <c r="XV23" s="142" t="str">
        <f t="shared" ca="1" si="130"/>
        <v/>
      </c>
      <c r="XW23" s="142" t="str">
        <f t="shared" ca="1" si="130"/>
        <v/>
      </c>
      <c r="XX23" s="142" t="str">
        <f t="shared" ca="1" si="130"/>
        <v/>
      </c>
      <c r="XY23" s="142" t="str">
        <f t="shared" ca="1" si="130"/>
        <v/>
      </c>
      <c r="XZ23" s="142" t="str">
        <f t="shared" ca="1" si="130"/>
        <v/>
      </c>
      <c r="YA23" s="142" t="str">
        <f t="shared" ca="1" si="130"/>
        <v/>
      </c>
      <c r="YB23" s="142" t="str">
        <f t="shared" ca="1" si="130"/>
        <v/>
      </c>
      <c r="YC23" s="142" t="str">
        <f t="shared" ca="1" si="130"/>
        <v/>
      </c>
      <c r="YG23" s="58" t="s">
        <v>1756</v>
      </c>
      <c r="YH23" s="58" t="s">
        <v>187</v>
      </c>
      <c r="YI23" s="215" t="s">
        <v>2356</v>
      </c>
      <c r="YJ23" s="215" t="s">
        <v>3440</v>
      </c>
      <c r="YK23" s="215" t="str">
        <f>""</f>
        <v/>
      </c>
      <c r="YL23" s="249" t="str">
        <f>""</f>
        <v/>
      </c>
      <c r="YM23" s="249" t="s">
        <v>3089</v>
      </c>
      <c r="YN23" s="249">
        <v>1</v>
      </c>
      <c r="YO23" s="249"/>
      <c r="YP23" s="249"/>
      <c r="YQ23" s="215"/>
      <c r="YT23" s="18" t="s">
        <v>288</v>
      </c>
      <c r="YU23" s="18">
        <v>4</v>
      </c>
      <c r="YV23" s="18" t="str">
        <f t="shared" ref="YV23:YV29" ca="1" si="134">VLOOKUP(YY23,$ZH$2:$ZP$23,$ZH$1,FALSE)</f>
        <v/>
      </c>
      <c r="YW23" s="18" t="str">
        <f ca="1">IF(YX23="","",MAX($YW$1:YW22)+1)</f>
        <v/>
      </c>
      <c r="YX23" s="59" t="str">
        <f t="shared" ca="1" si="71"/>
        <v/>
      </c>
      <c r="YY23" s="18" t="str">
        <f t="shared" ca="1" si="72"/>
        <v/>
      </c>
      <c r="YZ23" s="18">
        <f t="shared" si="117"/>
        <v>20</v>
      </c>
      <c r="ZA23" s="18" t="str">
        <f ca="1">IF(ZB23="","",MAX($ZA$2:ZA22)+1)</f>
        <v/>
      </c>
      <c r="ZB23" s="18" t="str">
        <f t="shared" ca="1" si="98"/>
        <v/>
      </c>
      <c r="ZC23" s="18" t="str">
        <f>IF(Start!AF39=SelectText,"",Start!AF39)</f>
        <v/>
      </c>
      <c r="ZD23" s="18" t="str">
        <f>IF(OR(COUNTIF($ZC$4:$ZC23,ZD$2)=0,COUNTIF($ZC$4:$ZC23,ZD$2)=MAX(ZD$2:ZD22)),"-",COUNTIF($ZC$4:$ZC23,ZD$2))</f>
        <v>-</v>
      </c>
      <c r="ZE23" s="18" t="str">
        <f>IF(OR(COUNTIF($ZC$4:$ZC23,ZE$2)=0,COUNTIF($ZC$4:$ZC23,ZE$2)=MAX(ZE$2:ZE22)),"-",COUNTIF($ZC$4:$ZC23,ZE$2))</f>
        <v>-</v>
      </c>
      <c r="ZF23" s="18" t="str">
        <f>IF(OR(COUNTIF($ZC$4:$ZC23,ZF$2)=0,COUNTIF($ZC$4:$ZC23,ZF$2)=MAX(ZF$2:ZF22)),"-",COUNTIF($ZC$4:$ZC23,ZF$2))</f>
        <v>-</v>
      </c>
      <c r="ZG23" s="18" t="str">
        <f>IF(OR(COUNTIF($ZC$4:$ZC23,ZG$2)=0,COUNTIF($ZC$4:$ZC23,ZG$2)=MAX(ZG$2:ZG22)),"-",COUNTIF($ZC$4:$ZC23,ZG$2))</f>
        <v>-</v>
      </c>
      <c r="ZH23" s="18" t="str">
        <f>IF(OR(COUNTIF($ZC$4:$ZC23,ZH$2)=0,COUNTIF($ZC$4:$ZC23,ZH$2)=MAX(ZH$2:ZH22)),"-",COUNTIF($ZC$4:$ZC23,ZH$2))</f>
        <v>-</v>
      </c>
      <c r="ZI23" s="18" t="str">
        <f>IF(OR(COUNTIF($ZC$4:$ZC23,ZI$2)=0,COUNTIF($ZC$4:$ZC23,ZI$2)=MAX(ZI$2:ZI22)),"-",COUNTIF($ZC$4:$ZC23,ZI$2))</f>
        <v>-</v>
      </c>
      <c r="ZJ23" s="18" t="str">
        <f>IF(OR(COUNTIF($ZC$4:$ZC23,ZJ$2)=0,COUNTIF($ZC$4:$ZC23,ZJ$2)=MAX(ZJ$2:ZJ22)),"-",COUNTIF($ZC$4:$ZC23,ZJ$2))</f>
        <v>-</v>
      </c>
      <c r="ZK23" s="18" t="str">
        <f>IF(OR(COUNTIF($ZC$4:$ZC23,ZK$2)=0,COUNTIF($ZC$4:$ZC23,ZK$2)=MAX(ZK$2:ZK22)),"-",COUNTIF($ZC$4:$ZC23,ZK$2))</f>
        <v>-</v>
      </c>
      <c r="ZL23" s="18" t="str">
        <f>IF(OR(COUNTIF($ZC$4:$ZC23,ZL$2)=0,COUNTIF($ZC$4:$ZC23,ZL$2)=MAX(ZL$2:ZL22)),"-",COUNTIF($ZC$4:$ZC23,ZL$2))</f>
        <v>-</v>
      </c>
      <c r="ZM23" s="18" t="str">
        <f>IF(OR(COUNTIF($ZC$4:$ZC23,ZM$2)=0,COUNTIF($ZC$4:$ZC23,ZM$2)=MAX(ZM$2:ZM22)),"-",COUNTIF($ZC$4:$ZC23,ZM$2))</f>
        <v>-</v>
      </c>
      <c r="ZN23" s="18" t="str">
        <f>IF(OR(COUNTIF($ZC$4:$ZC23,ZN$2)=0,COUNTIF($ZC$4:$ZC23,ZN$2)=MAX(ZN$2:ZN22)),"-",COUNTIF($ZC$4:$ZC23,ZN$2))</f>
        <v>-</v>
      </c>
      <c r="ZO23" s="18" t="str">
        <f>IF(OR(COUNTIF($ZC$4:$ZC23,ZO$2)=0,COUNTIF($ZC$4:$ZC23,ZO$2)=MAX(ZO$2:ZO22)),"-",COUNTIF($ZC$4:$ZC23,ZO$2))</f>
        <v>-</v>
      </c>
      <c r="ZP23" s="18">
        <f t="shared" si="118"/>
        <v>20</v>
      </c>
    </row>
    <row r="24" spans="5:694" ht="9.9499999999999993" customHeight="1" x14ac:dyDescent="0.25">
      <c r="E24" s="59"/>
      <c r="F24" s="59"/>
      <c r="G24" s="59"/>
      <c r="H24" s="59"/>
      <c r="I24" s="59"/>
      <c r="J24" s="59"/>
      <c r="K24" s="59"/>
      <c r="U24" s="392" t="s">
        <v>2707</v>
      </c>
      <c r="V24" s="399" t="str">
        <f>"• Damage Type: Cold
• Breath Weapon: 15 ft. cone. DC "&amp;8+IF(CONMod="",0,CONMod)+IF(ProfBonus="",0,ProfBonus)&amp;" Con save for "&amp;IF(CharacterLevel&lt;6,"2d6",IF(CharacterLevel&lt;11,"3d6",IF(CharacterLevel&lt;15,"4d6", "5d6")))&amp;" on failed save, half on success."</f>
        <v>• Damage Type: Cold
• Breath Weapon: 15 ft. cone. DC 5 Con save for 2d6 on failed save, half on success.</v>
      </c>
      <c r="W24" s="399" t="s">
        <v>2713</v>
      </c>
      <c r="X24" s="18" t="str">
        <f>IF(Y24="","",MAX($X$3:X23)+1)</f>
        <v/>
      </c>
      <c r="Y24" s="58" t="str">
        <f t="shared" si="131"/>
        <v/>
      </c>
      <c r="AE24" s="17"/>
      <c r="AF24" s="17"/>
      <c r="AG24" s="252"/>
      <c r="AH24" s="17"/>
      <c r="AI24" s="287"/>
      <c r="AJ24" s="17"/>
      <c r="AK24" s="267"/>
      <c r="AL24" s="291"/>
      <c r="AM24" s="17"/>
      <c r="AN24" s="18"/>
      <c r="AO24" s="18">
        <f t="shared" si="119"/>
        <v>23</v>
      </c>
      <c r="AP24" s="272" t="str">
        <f>SelectText</f>
        <v>Select…</v>
      </c>
      <c r="AQ24" s="59" t="str">
        <f>""</f>
        <v/>
      </c>
      <c r="AR24" s="272"/>
      <c r="AS24" s="385"/>
      <c r="AT24" s="272"/>
      <c r="AU24" s="385"/>
      <c r="AV24" s="272"/>
      <c r="AW24" s="385"/>
      <c r="AX24" s="385"/>
      <c r="BA24" s="272"/>
      <c r="BB24" s="385"/>
      <c r="BE24" s="18" t="str">
        <f>""</f>
        <v/>
      </c>
      <c r="BI24" s="338"/>
      <c r="BJ24" s="341"/>
      <c r="BK24" s="340"/>
      <c r="BL24" s="340"/>
      <c r="BM24" s="556"/>
      <c r="BN24" s="338"/>
      <c r="BO24" s="338"/>
      <c r="BP24" s="340"/>
      <c r="BQ24" s="340"/>
      <c r="BR24" s="340"/>
      <c r="BS24" s="340"/>
      <c r="BT24" s="340"/>
      <c r="BU24" s="340"/>
      <c r="BV24" s="340"/>
      <c r="BW24" s="340"/>
      <c r="BX24" s="340"/>
      <c r="BY24" s="340"/>
      <c r="BZ24" s="555"/>
      <c r="CA24" s="555"/>
      <c r="CB24" s="555"/>
      <c r="CC24" s="339"/>
      <c r="CD24" s="555"/>
      <c r="CE24" s="340"/>
      <c r="CF24" s="555"/>
      <c r="CG24" s="340"/>
      <c r="CH24" s="555"/>
      <c r="CI24" s="555"/>
      <c r="CJ24" s="340"/>
      <c r="CK24" s="555"/>
      <c r="CL24" s="340"/>
      <c r="CM24" s="339"/>
      <c r="CN24" s="339"/>
      <c r="CO24" s="339"/>
      <c r="CP24" s="339"/>
      <c r="CQ24" s="339"/>
      <c r="CR24" s="339"/>
      <c r="CS24" s="339"/>
      <c r="CT24" s="339"/>
      <c r="CU24" s="339"/>
      <c r="CV24" s="339"/>
      <c r="CW24" s="339"/>
      <c r="CX24" s="339"/>
      <c r="CY24" s="339"/>
      <c r="CZ24" s="339"/>
      <c r="DA24" s="339"/>
      <c r="DB24" s="339"/>
      <c r="DC24" s="339"/>
      <c r="DD24" s="339"/>
      <c r="DE24" s="339"/>
      <c r="DF24" s="339"/>
      <c r="DG24" s="104"/>
      <c r="DH24" s="104"/>
      <c r="DI24" s="104"/>
      <c r="DJ24" s="104"/>
      <c r="DK24" s="104"/>
      <c r="DL24" s="59" t="s">
        <v>293</v>
      </c>
      <c r="DM24" s="18" t="s">
        <v>801</v>
      </c>
      <c r="DN24" s="18">
        <f t="shared" ca="1" si="121"/>
        <v>0</v>
      </c>
      <c r="DO24" s="58" t="str">
        <f>""</f>
        <v/>
      </c>
      <c r="DP24" s="59" t="str">
        <f>"Evocation Savant, Sculpt Spells"</f>
        <v>Evocation Savant, Sculpt Spells</v>
      </c>
      <c r="DQ24" s="58" t="str">
        <f>""</f>
        <v/>
      </c>
      <c r="DR24" s="59" t="str">
        <f>""</f>
        <v/>
      </c>
      <c r="DS24" s="59" t="str">
        <f>""</f>
        <v/>
      </c>
      <c r="DT24" s="59" t="s">
        <v>1862</v>
      </c>
      <c r="DU24" s="59" t="str">
        <f>""</f>
        <v/>
      </c>
      <c r="DV24" s="59" t="str">
        <f>""</f>
        <v/>
      </c>
      <c r="DW24" s="59" t="str">
        <f>""</f>
        <v/>
      </c>
      <c r="DX24" s="59" t="s">
        <v>444</v>
      </c>
      <c r="DY24" s="59" t="str">
        <f>""</f>
        <v/>
      </c>
      <c r="DZ24" s="59" t="str">
        <f>""</f>
        <v/>
      </c>
      <c r="EA24" s="59" t="str">
        <f>""</f>
        <v/>
      </c>
      <c r="EB24" s="59" t="s">
        <v>443</v>
      </c>
      <c r="EC24" s="59" t="str">
        <f>""</f>
        <v/>
      </c>
      <c r="ED24" s="59" t="str">
        <f>""</f>
        <v/>
      </c>
      <c r="EE24" s="59" t="str">
        <f>""</f>
        <v/>
      </c>
      <c r="EF24" s="59" t="str">
        <f>""</f>
        <v/>
      </c>
      <c r="EG24" s="59" t="str">
        <f>""</f>
        <v/>
      </c>
      <c r="EH24" s="59" t="str">
        <f>""</f>
        <v/>
      </c>
      <c r="EI24" s="103" t="str">
        <f>""</f>
        <v/>
      </c>
      <c r="EJ24" s="103" t="str">
        <f>""</f>
        <v/>
      </c>
      <c r="EK24" s="103"/>
      <c r="EL24" s="103" t="str">
        <f>""</f>
        <v/>
      </c>
      <c r="EM24" s="103"/>
      <c r="EN24" s="103" t="str">
        <f>""</f>
        <v/>
      </c>
      <c r="EO24" s="103"/>
      <c r="EP24" s="103" t="str">
        <f>""</f>
        <v/>
      </c>
      <c r="EQ24" s="103"/>
      <c r="ER24" s="103" t="str">
        <f>""</f>
        <v/>
      </c>
      <c r="ES24" s="103"/>
      <c r="ET24" s="59" t="str">
        <f>""</f>
        <v/>
      </c>
      <c r="EU24" s="18" t="str">
        <f>""</f>
        <v/>
      </c>
      <c r="EV24" s="59" t="str">
        <f>""</f>
        <v/>
      </c>
      <c r="EW24" s="18" t="str">
        <f>""</f>
        <v/>
      </c>
      <c r="EX24" s="59" t="str">
        <f>""</f>
        <v/>
      </c>
      <c r="EY24" s="18" t="str">
        <f>""</f>
        <v/>
      </c>
      <c r="EZ24" s="18"/>
      <c r="FA24" s="18" t="str">
        <f>IF($DM24=FB$5,MAX(FA$6:FA23)+1,"")</f>
        <v/>
      </c>
      <c r="FB24" s="58" t="str">
        <f t="shared" si="122"/>
        <v/>
      </c>
      <c r="FC24" s="18"/>
      <c r="FE24" s="18" t="str">
        <f>IF($DM24=FF$5,MAX(FE$6:FE23)+1,"")</f>
        <v/>
      </c>
      <c r="FF24" s="58" t="str">
        <f t="shared" si="123"/>
        <v/>
      </c>
      <c r="FG24" s="18"/>
      <c r="FI24" s="18" t="str">
        <f>IF($DM24=FJ$5,MAX(FI$6:FI23)+1,"")</f>
        <v/>
      </c>
      <c r="FJ24" s="58" t="str">
        <f t="shared" si="124"/>
        <v/>
      </c>
      <c r="FK24" s="18"/>
      <c r="FM24" s="18"/>
      <c r="FN24" s="18"/>
      <c r="FO24" s="18"/>
      <c r="FP24" s="18"/>
      <c r="FQ24" s="18"/>
      <c r="FR24" s="18"/>
      <c r="FS24" s="18"/>
      <c r="FT24" s="18"/>
      <c r="FU24" s="18"/>
      <c r="FV24" s="18"/>
      <c r="FX24" s="59" t="str">
        <f>SelectText</f>
        <v>Select…</v>
      </c>
      <c r="FY24" s="103" t="str">
        <f>""</f>
        <v/>
      </c>
      <c r="FZ24" s="104"/>
      <c r="GA24" s="104"/>
      <c r="GB24" s="104"/>
      <c r="GC24" s="104"/>
      <c r="GD24" s="104"/>
      <c r="GE24" s="104"/>
      <c r="GF24" s="104"/>
      <c r="GG24" s="104"/>
      <c r="GH24" s="104"/>
      <c r="GI24" s="104"/>
      <c r="GJ24" s="104"/>
      <c r="GK24" s="18"/>
      <c r="GL24" s="18"/>
      <c r="GM24" s="18"/>
      <c r="GN24" s="18"/>
      <c r="GO24" s="18"/>
      <c r="GP24" s="18"/>
      <c r="GQ24" s="18"/>
      <c r="GR24" s="18"/>
      <c r="GZ24" s="59"/>
      <c r="HA24" s="59"/>
      <c r="HB24" s="59"/>
      <c r="HC24" s="59"/>
      <c r="HD24" s="59"/>
      <c r="HE24" s="59"/>
      <c r="HF24" s="59"/>
      <c r="HG24" s="59"/>
      <c r="HH24" s="59"/>
      <c r="HI24" s="59"/>
      <c r="HJ24" s="59"/>
      <c r="HK24" s="58" t="s">
        <v>2912</v>
      </c>
      <c r="HL24" s="59" t="s">
        <v>2905</v>
      </c>
      <c r="HM24" s="59" t="s">
        <v>2926</v>
      </c>
      <c r="HN24" s="59"/>
      <c r="HO24" s="59"/>
      <c r="HP24" s="59"/>
      <c r="HQ24" s="59"/>
      <c r="HR24" s="59"/>
      <c r="HS24" s="59"/>
      <c r="HT24" s="59"/>
      <c r="HU24" s="59"/>
      <c r="HV24" s="59"/>
      <c r="HW24" s="59"/>
      <c r="HY24" s="59"/>
      <c r="HZ24" s="59"/>
      <c r="IA24" s="59"/>
      <c r="ID24" s="59"/>
      <c r="IE24" s="59"/>
      <c r="IF24" s="59"/>
      <c r="IG24" s="59"/>
      <c r="IH24" s="18" t="str">
        <f>IF(IJ24=1,MAX($IH$2:IH23)+1,"")</f>
        <v/>
      </c>
      <c r="II24" s="59" t="s">
        <v>3314</v>
      </c>
      <c r="IJ24" s="59" t="str">
        <f>IF(WarlockLevel&gt;=5,1,"")</f>
        <v/>
      </c>
      <c r="IK24" s="142" t="s">
        <v>3372</v>
      </c>
      <c r="IL24" s="18">
        <f t="shared" si="105"/>
        <v>22</v>
      </c>
      <c r="IM24" s="59" t="str">
        <f t="shared" si="77"/>
        <v/>
      </c>
      <c r="IN24" s="59"/>
      <c r="IO24" s="59"/>
      <c r="IP24" s="59"/>
      <c r="IQ24" s="59"/>
      <c r="IR24" s="59"/>
      <c r="IS24" s="59"/>
      <c r="IT24" s="59"/>
      <c r="IU24" s="59"/>
      <c r="IX24" s="59" t="s">
        <v>1490</v>
      </c>
      <c r="IY24" s="59" t="s">
        <v>950</v>
      </c>
      <c r="IZ24" s="59" t="s">
        <v>194</v>
      </c>
      <c r="JA24" s="59" t="s">
        <v>283</v>
      </c>
      <c r="JB24" s="59" t="s">
        <v>909</v>
      </c>
      <c r="JF24" s="18"/>
      <c r="JM24" s="309"/>
      <c r="JN24" s="310">
        <v>1</v>
      </c>
      <c r="JO24" s="311">
        <v>2</v>
      </c>
      <c r="JP24" s="312">
        <v>3</v>
      </c>
      <c r="JQ24" s="313">
        <v>4</v>
      </c>
      <c r="JR24" s="313">
        <v>5</v>
      </c>
      <c r="JS24" s="313">
        <v>6</v>
      </c>
      <c r="JT24" s="313">
        <v>7</v>
      </c>
      <c r="JU24" s="313">
        <v>8</v>
      </c>
      <c r="JV24" s="313">
        <v>9</v>
      </c>
      <c r="KT24" s="93" t="s">
        <v>1520</v>
      </c>
      <c r="KU24" s="80" t="str">
        <f t="shared" si="128"/>
        <v>No</v>
      </c>
      <c r="KV24" s="89" t="s">
        <v>333</v>
      </c>
      <c r="KW24" s="270"/>
      <c r="KX24" s="270"/>
      <c r="KY24" s="270"/>
      <c r="KZ24" s="270"/>
      <c r="LA24" s="270"/>
      <c r="LB24" s="92"/>
      <c r="LC24" s="270"/>
      <c r="LD24" s="270"/>
      <c r="LE24" s="270"/>
      <c r="LF24" s="455"/>
      <c r="LG24" s="270"/>
      <c r="LH24" s="270"/>
      <c r="LI24" s="270"/>
      <c r="LJ24" s="270"/>
      <c r="LK24" s="270"/>
      <c r="LL24" s="406"/>
      <c r="LM24" s="455"/>
      <c r="LN24" s="270"/>
      <c r="LO24" s="270"/>
      <c r="LP24" s="270"/>
      <c r="LQ24" s="92"/>
      <c r="LR24" s="270"/>
      <c r="LS24" s="270"/>
      <c r="LT24" s="92"/>
      <c r="LU24" s="92"/>
      <c r="LV24" s="270"/>
      <c r="LW24" s="270"/>
      <c r="LX24" s="270"/>
      <c r="LY24" s="92"/>
      <c r="LZ24" s="92"/>
      <c r="MA24" s="92"/>
      <c r="MB24" s="92"/>
      <c r="MC24" s="92"/>
      <c r="MD24" s="92"/>
      <c r="ME24" s="92"/>
      <c r="MF24" s="92"/>
      <c r="MG24" s="92"/>
      <c r="MH24" s="92"/>
      <c r="MI24" s="92"/>
      <c r="MJ24" s="92"/>
      <c r="MK24" s="92"/>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438"/>
      <c r="NQ24" s="94"/>
      <c r="NR24" s="94"/>
      <c r="NS24" s="94"/>
      <c r="NT24" s="94"/>
      <c r="NU24" s="94"/>
      <c r="NV24" s="456"/>
      <c r="NW24" s="456"/>
      <c r="NX24" s="456"/>
      <c r="NY24" s="456"/>
      <c r="NZ24" s="456"/>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t="str">
        <f>IF(COUNTIF(Start!$AX$59:$BF$68,Tables!KT24)&gt;0,Tables!KT24,"")</f>
        <v/>
      </c>
      <c r="PT24" s="94"/>
      <c r="PU24" s="59" t="str">
        <f t="shared" si="129"/>
        <v/>
      </c>
      <c r="PV24" s="59" t="str">
        <f>IF(PU24="","",IF(COUNTIF(PU24:$PU$57,"&gt;&lt;")&gt;1,PU24&amp;", ", PU24))</f>
        <v/>
      </c>
      <c r="PW24" s="59"/>
      <c r="PX24" s="59"/>
      <c r="PY24" s="18"/>
      <c r="PZ24" s="28" t="s">
        <v>166</v>
      </c>
      <c r="QA24" s="28" t="s">
        <v>87</v>
      </c>
      <c r="QB24" s="30" t="str">
        <f t="shared" ca="1" si="79"/>
        <v>not proficient</v>
      </c>
      <c r="QC24" s="31" t="s">
        <v>88</v>
      </c>
      <c r="QD24" s="28" t="s">
        <v>106</v>
      </c>
      <c r="QE24" s="229" t="s">
        <v>89</v>
      </c>
      <c r="QF24" s="29">
        <v>2</v>
      </c>
      <c r="QG24" s="29" t="s">
        <v>135</v>
      </c>
      <c r="QH24" s="29" t="str">
        <f>""</f>
        <v/>
      </c>
      <c r="QI24" s="29" t="s">
        <v>137</v>
      </c>
      <c r="QJ24" s="29" t="str">
        <f>""</f>
        <v/>
      </c>
      <c r="QK24" s="29" t="str">
        <f>""</f>
        <v/>
      </c>
      <c r="QL24" s="29" t="str">
        <f>""</f>
        <v/>
      </c>
      <c r="QM24" s="29" t="str">
        <f>""</f>
        <v/>
      </c>
      <c r="QN24" s="29" t="str">
        <f>""</f>
        <v/>
      </c>
      <c r="QO24" s="29" t="s">
        <v>147</v>
      </c>
      <c r="QP24" s="28" t="str">
        <f>""</f>
        <v/>
      </c>
      <c r="QQ24" s="30" t="str">
        <f>""</f>
        <v/>
      </c>
      <c r="QR24" s="30" t="s">
        <v>778</v>
      </c>
      <c r="QT24" s="727"/>
      <c r="QU24" s="727" t="s">
        <v>91</v>
      </c>
      <c r="QV24" s="727"/>
      <c r="QW24" s="727"/>
      <c r="QX24" s="727"/>
      <c r="QY24" s="727"/>
      <c r="QZ24" s="727" t="str">
        <f>IF(QZ11="","",IF(COUNTIF(QZ11:$QZ$18,"&gt;&lt;$Q$1")&gt;1,QZ11&amp;", ",QZ11))</f>
        <v/>
      </c>
      <c r="RA24" s="727"/>
      <c r="RB24" s="729"/>
      <c r="RC24" s="727"/>
      <c r="RD24" s="727"/>
      <c r="RE24" s="727"/>
      <c r="RF24" s="727"/>
      <c r="RG24" s="727"/>
      <c r="RH24" s="727" t="str">
        <f>IF(RH11="","",IF(COUNTIF($RH11:RH$18,"&gt;&lt;$Q$1")&gt;1,RH11&amp;", ",RH11))</f>
        <v/>
      </c>
      <c r="RI24" s="727"/>
      <c r="RJ24" s="727"/>
      <c r="RK24" s="727"/>
      <c r="RL24" s="727"/>
      <c r="RM24" s="727"/>
      <c r="RN24" s="729"/>
      <c r="RO24" s="729"/>
      <c r="RP24" s="727" t="str">
        <f>IF(RP11="","",IF(COUNTIF($RP11:RP$18,"&gt;&lt;$Q$1")&gt;1,RP11&amp;", ",RP11))</f>
        <v/>
      </c>
      <c r="RQ24" s="729"/>
      <c r="RR24" s="729"/>
      <c r="RS24" s="729"/>
      <c r="RT24" s="729"/>
      <c r="RU24" s="729"/>
      <c r="RV24" s="729"/>
      <c r="RW24" s="729"/>
      <c r="RX24" s="727" t="str">
        <f>IF(RX11="","",IF(COUNTIF($RX11:RX$18,"&gt;&lt;$Q$1")&gt;1,RX11&amp;", ",RX11))</f>
        <v/>
      </c>
      <c r="RY24" s="729"/>
      <c r="RZ24" s="729"/>
      <c r="SA24" s="729"/>
      <c r="SB24" s="729"/>
      <c r="SC24" s="729"/>
      <c r="SD24" s="729"/>
      <c r="SE24" s="729"/>
      <c r="SF24" s="727" t="str">
        <f>IF(SF11="","",IF(COUNTIF($SF11:SF$18,"&gt;&lt;$Q$1")&gt;1,SF11&amp;", ",SF11))</f>
        <v/>
      </c>
      <c r="SG24" s="729"/>
      <c r="SH24" s="729"/>
      <c r="SI24" s="729"/>
      <c r="SJ24" s="729"/>
      <c r="SK24" s="729"/>
      <c r="SL24" s="729"/>
      <c r="SM24" s="634"/>
      <c r="SN24" s="727" t="str">
        <f>IF(SN11="","",IF(COUNTIF($SN11:SN$18,"&gt;&lt;$Q$1")&gt;1,SN11&amp;", ",SN11))</f>
        <v/>
      </c>
      <c r="SO24" s="729"/>
      <c r="SP24" s="729"/>
      <c r="SQ24" s="634"/>
      <c r="SR24" s="28"/>
      <c r="SS24" s="28"/>
      <c r="ST24" s="29"/>
      <c r="SU24" s="69"/>
      <c r="SV24" s="42"/>
      <c r="SW24" s="232"/>
      <c r="SX24" s="46"/>
      <c r="SY24" s="30"/>
      <c r="SZ24" s="29"/>
      <c r="TA24" s="28"/>
      <c r="TB24" s="28"/>
      <c r="TC24" s="28"/>
      <c r="TD24" s="42"/>
      <c r="TE24" s="29"/>
      <c r="TF24" s="69"/>
      <c r="TG24" s="29"/>
      <c r="TH24" s="30"/>
      <c r="TI24" s="30"/>
      <c r="TJ24" s="18">
        <f t="shared" si="115"/>
        <v>22</v>
      </c>
      <c r="TK24" s="58" t="s">
        <v>527</v>
      </c>
      <c r="TL24" s="58" t="s">
        <v>460</v>
      </c>
      <c r="TM24" s="18">
        <v>3</v>
      </c>
      <c r="TN24" s="59" t="str">
        <f t="shared" si="47"/>
        <v xml:space="preserve">Aura of Vitality </v>
      </c>
      <c r="TO24" s="18" t="str">
        <f>""</f>
        <v/>
      </c>
      <c r="TP24" s="18" t="str">
        <f t="shared" si="48"/>
        <v/>
      </c>
      <c r="TQ24" s="18" t="str">
        <f>IF(OR(TK24=Spellcasting!$AC$18,TK24=Spellcasting!$AC$19),"ᵐ","")</f>
        <v/>
      </c>
      <c r="TR24" s="18" t="str">
        <f>IF(OR(TK24=Spellcasting!$AC$20,TK24=Spellcasting!$AC$21),"ˢ","")</f>
        <v/>
      </c>
      <c r="TS24" s="18" t="str">
        <f>""</f>
        <v/>
      </c>
      <c r="TT24" s="18" t="s">
        <v>484</v>
      </c>
      <c r="TU24" s="18" t="s">
        <v>509</v>
      </c>
      <c r="TV24" s="18" t="s">
        <v>558</v>
      </c>
      <c r="TW24" s="18" t="s">
        <v>541</v>
      </c>
      <c r="TX24" s="59" t="str">
        <f>""</f>
        <v/>
      </c>
      <c r="TY24" s="18" t="s">
        <v>487</v>
      </c>
      <c r="TZ24" s="18" t="s">
        <v>488</v>
      </c>
      <c r="UA24" s="142" t="s">
        <v>1300</v>
      </c>
      <c r="UB24" s="319" t="s">
        <v>3237</v>
      </c>
      <c r="UD24" s="18" t="str">
        <f ca="1">IF(UD$1&gt;=$TM24,1,"0")</f>
        <v>0</v>
      </c>
      <c r="WD24" s="18" t="str">
        <f ca="1">IF(SUM($VZ$1:$WC$1)&gt;0,IF(AND(SUM($VZ24:$WC24)&gt;0,$TM24=WE$1),MAX(WD$2:WD23)+1,""),IF(AND(SUM($UC24:$VY24)&gt;0,$TM24=WE$1),MAX(WD$2:WD23)+1,""))</f>
        <v/>
      </c>
      <c r="WE24" s="59" t="str">
        <f t="shared" ca="1" si="80"/>
        <v/>
      </c>
      <c r="WF24" s="18" t="str">
        <f ca="1">IF(AND(SUM($UB24:$VY24)&gt;0,$TM24=WG$1),MAX(WF$2:WF23)+1,"")</f>
        <v/>
      </c>
      <c r="WG24" s="59" t="str">
        <f t="shared" ca="1" si="81"/>
        <v/>
      </c>
      <c r="WH24" s="18" t="str">
        <f ca="1">IF(AND(SUM($UB24:$VY24)&gt;0,$TM24=WI$1),MAX(WH$2:WH23)+1,"")</f>
        <v/>
      </c>
      <c r="WI24" s="59" t="str">
        <f t="shared" ca="1" si="82"/>
        <v/>
      </c>
      <c r="WJ24" s="18" t="str">
        <f ca="1">IF(AND(SUM($UB24:$VY24)&gt;0,$TM24=WK$1),MAX(WJ$2:WJ23)+1,"")</f>
        <v/>
      </c>
      <c r="WK24" s="59" t="str">
        <f t="shared" ca="1" si="83"/>
        <v/>
      </c>
      <c r="WL24" s="18" t="str">
        <f ca="1">IF(AND(SUM($UB24:$VY24)&gt;0,$TM24=WM$1),MAX(WL$2:WL23)+1,"")</f>
        <v/>
      </c>
      <c r="WM24" s="59" t="str">
        <f t="shared" ca="1" si="84"/>
        <v/>
      </c>
      <c r="WN24" s="18" t="str">
        <f ca="1">IF(AND(SUM($UB24:$VY24)&gt;0,$TM24=WO$1),MAX(WN$2:WN23)+1,"")</f>
        <v/>
      </c>
      <c r="WO24" s="59" t="str">
        <f t="shared" ca="1" si="85"/>
        <v/>
      </c>
      <c r="WP24" s="18" t="str">
        <f ca="1">IF(AND(SUM($UB24:$VY24)&gt;0,$TM24=WQ$1),MAX(WP$2:WP23)+1,"")</f>
        <v/>
      </c>
      <c r="WQ24" s="59" t="str">
        <f t="shared" ca="1" si="86"/>
        <v/>
      </c>
      <c r="WR24" s="18" t="str">
        <f ca="1">IF(AND(SUM($UB24:$VY24)&gt;0,$TM24=WS$1),MAX(WR$2:WR23)+1,"")</f>
        <v/>
      </c>
      <c r="WS24" s="59" t="str">
        <f t="shared" ca="1" si="87"/>
        <v/>
      </c>
      <c r="WT24" s="18" t="str">
        <f ca="1">IF(AND(SUM($UB24:$VY24)&gt;0,$TM24=WU$1),MAX(WT$2:WT23)+1,"")</f>
        <v/>
      </c>
      <c r="WU24" s="59" t="str">
        <f t="shared" ca="1" si="88"/>
        <v/>
      </c>
      <c r="WV24" s="18" t="str">
        <f ca="1">IF(AND(SUM($UB24:$VY24)&gt;0,$TM24=WW$1),MAX(WV$2:WV23)+1,"")</f>
        <v/>
      </c>
      <c r="WW24" s="59" t="str">
        <f t="shared" ca="1" si="89"/>
        <v/>
      </c>
      <c r="WX24" s="18" t="str">
        <f ca="1">IF(AND(SUM($UB24:$VY24)&gt;0,$TM24=WY$1),MAX(WX$2:WX23)+1,"")</f>
        <v/>
      </c>
      <c r="WY24" s="59" t="str">
        <f t="shared" ca="1" si="90"/>
        <v/>
      </c>
      <c r="WZ24" s="18">
        <v>23</v>
      </c>
      <c r="XA24" s="59" t="str">
        <f t="shared" ca="1" si="91"/>
        <v/>
      </c>
      <c r="XB24" s="59" t="str">
        <f t="shared" ca="1" si="28"/>
        <v/>
      </c>
      <c r="XC24" s="59" t="str">
        <f t="shared" ca="1" si="29"/>
        <v/>
      </c>
      <c r="XD24" s="59" t="str">
        <f t="shared" ca="1" si="60"/>
        <v/>
      </c>
      <c r="XE24" s="59" t="str">
        <f t="shared" ca="1" si="61"/>
        <v/>
      </c>
      <c r="XF24" s="59" t="str">
        <f t="shared" ca="1" si="62"/>
        <v/>
      </c>
      <c r="XG24" s="59" t="str">
        <f t="shared" ca="1" si="63"/>
        <v/>
      </c>
      <c r="XH24" s="59" t="str">
        <f t="shared" ca="1" si="64"/>
        <v/>
      </c>
      <c r="XI24" s="59" t="str">
        <f t="shared" ca="1" si="65"/>
        <v/>
      </c>
      <c r="XJ24" s="59" t="str">
        <f t="shared" ca="1" si="66"/>
        <v/>
      </c>
      <c r="XK24" s="59" t="str">
        <f t="shared" ca="1" si="67"/>
        <v/>
      </c>
      <c r="XL24" s="59"/>
      <c r="XM24" s="18">
        <f t="shared" si="116"/>
        <v>20</v>
      </c>
      <c r="XN24" s="142" t="str">
        <f t="shared" ca="1" si="130"/>
        <v/>
      </c>
      <c r="XO24" s="142" t="str">
        <f t="shared" ca="1" si="130"/>
        <v/>
      </c>
      <c r="XP24" s="142" t="str">
        <f t="shared" ca="1" si="130"/>
        <v/>
      </c>
      <c r="XQ24" s="142" t="str">
        <f t="shared" ca="1" si="130"/>
        <v/>
      </c>
      <c r="XR24" s="142" t="str">
        <f t="shared" ca="1" si="130"/>
        <v/>
      </c>
      <c r="XS24" s="142" t="str">
        <f t="shared" ca="1" si="130"/>
        <v/>
      </c>
      <c r="XT24" s="142" t="str">
        <f t="shared" ca="1" si="130"/>
        <v/>
      </c>
      <c r="XU24" s="142" t="str">
        <f t="shared" ca="1" si="130"/>
        <v/>
      </c>
      <c r="XV24" s="142" t="str">
        <f t="shared" ca="1" si="130"/>
        <v/>
      </c>
      <c r="XW24" s="142" t="str">
        <f t="shared" ca="1" si="130"/>
        <v/>
      </c>
      <c r="XX24" s="142" t="str">
        <f t="shared" ca="1" si="130"/>
        <v/>
      </c>
      <c r="XY24" s="142" t="str">
        <f t="shared" ca="1" si="130"/>
        <v/>
      </c>
      <c r="XZ24" s="142" t="str">
        <f t="shared" ca="1" si="130"/>
        <v/>
      </c>
      <c r="YA24" s="142" t="str">
        <f t="shared" ca="1" si="130"/>
        <v/>
      </c>
      <c r="YB24" s="142" t="str">
        <f t="shared" ca="1" si="130"/>
        <v/>
      </c>
      <c r="YC24" s="142" t="str">
        <f t="shared" ca="1" si="130"/>
        <v/>
      </c>
      <c r="YG24" s="58" t="s">
        <v>1757</v>
      </c>
      <c r="YH24" s="58" t="s">
        <v>1770</v>
      </c>
      <c r="YI24" s="215" t="s">
        <v>1771</v>
      </c>
      <c r="YJ24" s="215" t="s">
        <v>3201</v>
      </c>
      <c r="YK24" s="215" t="str">
        <f>""</f>
        <v/>
      </c>
      <c r="YL24" s="249" t="str">
        <f>""</f>
        <v/>
      </c>
      <c r="YM24" s="249" t="str">
        <f>""</f>
        <v/>
      </c>
      <c r="YN24" s="249" t="str">
        <f>""</f>
        <v/>
      </c>
      <c r="YO24" s="249"/>
      <c r="YP24" s="249"/>
      <c r="YQ24" s="215"/>
      <c r="YR24" s="215"/>
      <c r="YS24" s="215"/>
      <c r="YT24" s="18" t="s">
        <v>288</v>
      </c>
      <c r="YU24" s="18">
        <v>6</v>
      </c>
      <c r="YV24" s="18" t="str">
        <f t="shared" ca="1" si="134"/>
        <v/>
      </c>
      <c r="YW24" s="18" t="str">
        <f ca="1">IF(YX24="","",MAX($YW$1:YW23)+1)</f>
        <v/>
      </c>
      <c r="YX24" s="59" t="str">
        <f t="shared" ca="1" si="71"/>
        <v/>
      </c>
      <c r="YY24" s="18" t="str">
        <f t="shared" ca="1" si="72"/>
        <v/>
      </c>
      <c r="ZR24"/>
    </row>
    <row r="25" spans="5:694" ht="9.9499999999999993" customHeight="1" x14ac:dyDescent="0.25">
      <c r="E25" s="59"/>
      <c r="F25" s="59"/>
      <c r="G25" s="59"/>
      <c r="H25" s="59"/>
      <c r="I25" s="59"/>
      <c r="J25" s="59"/>
      <c r="K25" s="59"/>
      <c r="U25" s="392" t="s">
        <v>2708</v>
      </c>
      <c r="V25" s="399" t="str">
        <f>"• Damage Type: Cold
• Breath Weapon: 15 ft. cone. DC "&amp;8+IF(CONMod="",0,CONMod)+IF(ProfBonus="",0,ProfBonus)&amp;" Con save for "&amp;IF(CharacterLevel&lt;6,"2d6",IF(CharacterLevel&lt;11,"3d6",IF(CharacterLevel&lt;15,"4d6", "5d6")))&amp;" on failed save, half on success."</f>
        <v>• Damage Type: Cold
• Breath Weapon: 15 ft. cone. DC 5 Con save for 2d6 on failed save, half on success.</v>
      </c>
      <c r="W25" s="399" t="s">
        <v>2713</v>
      </c>
      <c r="X25" s="18" t="str">
        <f>IF(Y25="","",MAX($X$3:X24)+1)</f>
        <v/>
      </c>
      <c r="Y25" s="58" t="str">
        <f t="shared" si="131"/>
        <v/>
      </c>
      <c r="AE25" s="17"/>
      <c r="AF25" s="17"/>
      <c r="AG25" s="252"/>
      <c r="AH25" s="17"/>
      <c r="AI25" s="287"/>
      <c r="AJ25" s="17"/>
      <c r="AK25" s="267"/>
      <c r="AL25" s="291"/>
      <c r="AM25" s="17"/>
      <c r="AN25" s="18"/>
      <c r="AO25" s="18">
        <f t="shared" si="119"/>
        <v>24</v>
      </c>
      <c r="AP25" s="59" t="str">
        <f t="shared" ref="AP25:AP30" si="135">HLOOKUP(CharacterBackground,$AQ$2:$BD$63,$AO25,FALSE)</f>
        <v/>
      </c>
      <c r="AQ25" s="59" t="str">
        <f>""</f>
        <v/>
      </c>
      <c r="AR25" s="254" t="s">
        <v>1066</v>
      </c>
      <c r="AS25" s="385" t="s">
        <v>2437</v>
      </c>
      <c r="AT25" s="254" t="s">
        <v>1092</v>
      </c>
      <c r="AU25" s="385" t="s">
        <v>2471</v>
      </c>
      <c r="AV25" s="255" t="s">
        <v>1134</v>
      </c>
      <c r="AW25" s="385" t="s">
        <v>2517</v>
      </c>
      <c r="AX25" s="385" t="s">
        <v>2550</v>
      </c>
      <c r="AY25" s="58" t="s">
        <v>1162</v>
      </c>
      <c r="AZ25" s="58" t="s">
        <v>2586</v>
      </c>
      <c r="BA25" s="254" t="s">
        <v>1029</v>
      </c>
      <c r="BB25" s="385" t="s">
        <v>2612</v>
      </c>
      <c r="BC25" s="58" t="s">
        <v>1188</v>
      </c>
      <c r="BD25" s="58" t="s">
        <v>2380</v>
      </c>
      <c r="BE25" s="18" t="str">
        <f>""</f>
        <v/>
      </c>
      <c r="BI25" s="338"/>
      <c r="BJ25" s="341"/>
      <c r="BK25" s="340"/>
      <c r="BL25" s="340"/>
      <c r="BM25" s="556"/>
      <c r="BN25" s="338"/>
      <c r="BO25" s="338"/>
      <c r="BP25" s="340"/>
      <c r="BQ25" s="340"/>
      <c r="BR25" s="340"/>
      <c r="BS25" s="340"/>
      <c r="BT25" s="340"/>
      <c r="BU25" s="340"/>
      <c r="BV25" s="340"/>
      <c r="BW25" s="340"/>
      <c r="BX25" s="340"/>
      <c r="BY25" s="340"/>
      <c r="BZ25" s="555"/>
      <c r="CA25" s="555"/>
      <c r="CB25" s="555"/>
      <c r="CC25" s="339"/>
      <c r="CD25" s="555"/>
      <c r="CE25" s="340"/>
      <c r="CF25" s="555"/>
      <c r="CG25" s="340"/>
      <c r="CH25" s="555"/>
      <c r="CI25" s="555"/>
      <c r="CJ25" s="340"/>
      <c r="CK25" s="555"/>
      <c r="CL25" s="340"/>
      <c r="CM25" s="339"/>
      <c r="CN25" s="339"/>
      <c r="CO25" s="339"/>
      <c r="CP25" s="339"/>
      <c r="CQ25" s="339"/>
      <c r="CR25" s="339"/>
      <c r="CS25" s="339"/>
      <c r="CT25" s="339"/>
      <c r="CU25" s="339"/>
      <c r="CV25" s="339"/>
      <c r="CW25" s="339"/>
      <c r="CX25" s="339"/>
      <c r="CY25" s="339"/>
      <c r="CZ25" s="339"/>
      <c r="DA25" s="339"/>
      <c r="DB25" s="339"/>
      <c r="DC25" s="339"/>
      <c r="DD25" s="339"/>
      <c r="DE25" s="339"/>
      <c r="DF25" s="339"/>
      <c r="DG25" s="104"/>
      <c r="DH25" s="104"/>
      <c r="DI25" s="104"/>
      <c r="DJ25" s="104"/>
      <c r="DK25" s="104"/>
      <c r="DL25" s="59" t="s">
        <v>294</v>
      </c>
      <c r="DM25" s="18" t="s">
        <v>801</v>
      </c>
      <c r="DN25" s="18">
        <f t="shared" ca="1" si="121"/>
        <v>0</v>
      </c>
      <c r="DO25" s="58" t="str">
        <f>""</f>
        <v/>
      </c>
      <c r="DP25" s="59" t="s">
        <v>1917</v>
      </c>
      <c r="DQ25" s="58" t="str">
        <f>""</f>
        <v/>
      </c>
      <c r="DR25" s="59" t="str">
        <f>""</f>
        <v/>
      </c>
      <c r="DS25" s="59" t="str">
        <f>""</f>
        <v/>
      </c>
      <c r="DT25" s="59" t="s">
        <v>1918</v>
      </c>
      <c r="DU25" s="59" t="str">
        <f>""</f>
        <v/>
      </c>
      <c r="DV25" s="59" t="str">
        <f>""</f>
        <v/>
      </c>
      <c r="DW25" s="59" t="str">
        <f>""</f>
        <v/>
      </c>
      <c r="DX25" s="59" t="s">
        <v>427</v>
      </c>
      <c r="DY25" s="59" t="str">
        <f>""</f>
        <v/>
      </c>
      <c r="DZ25" s="59" t="str">
        <f>""</f>
        <v/>
      </c>
      <c r="EA25" s="59" t="str">
        <f>""</f>
        <v/>
      </c>
      <c r="EB25" s="59" t="s">
        <v>428</v>
      </c>
      <c r="EC25" s="59" t="str">
        <f>""</f>
        <v/>
      </c>
      <c r="ED25" s="59" t="str">
        <f>""</f>
        <v/>
      </c>
      <c r="EE25" s="59" t="str">
        <f>""</f>
        <v/>
      </c>
      <c r="EF25" s="59" t="str">
        <f>""</f>
        <v/>
      </c>
      <c r="EG25" s="59" t="str">
        <f>""</f>
        <v/>
      </c>
      <c r="EH25" s="59" t="str">
        <f>""</f>
        <v/>
      </c>
      <c r="EI25" s="103" t="str">
        <f>""</f>
        <v/>
      </c>
      <c r="EJ25" s="103" t="str">
        <f>""</f>
        <v/>
      </c>
      <c r="EK25" s="103"/>
      <c r="EL25" s="103" t="str">
        <f>""</f>
        <v/>
      </c>
      <c r="EM25" s="103"/>
      <c r="EN25" s="103" t="str">
        <f>""</f>
        <v/>
      </c>
      <c r="EO25" s="103"/>
      <c r="EP25" s="103" t="str">
        <f>""</f>
        <v/>
      </c>
      <c r="EQ25" s="103"/>
      <c r="ER25" s="103" t="str">
        <f>""</f>
        <v/>
      </c>
      <c r="ES25" s="103"/>
      <c r="ET25" s="59" t="str">
        <f>""</f>
        <v/>
      </c>
      <c r="EU25" s="18" t="str">
        <f>""</f>
        <v/>
      </c>
      <c r="EV25" s="59" t="str">
        <f>""</f>
        <v/>
      </c>
      <c r="EW25" s="18" t="str">
        <f>""</f>
        <v/>
      </c>
      <c r="EX25" s="59" t="str">
        <f>""</f>
        <v/>
      </c>
      <c r="EY25" s="18" t="str">
        <f>""</f>
        <v/>
      </c>
      <c r="EZ25" s="18"/>
      <c r="FA25" s="18" t="str">
        <f>IF($DM25=FB$5,MAX(FA$6:FA24)+1,"")</f>
        <v/>
      </c>
      <c r="FB25" s="58" t="str">
        <f t="shared" si="122"/>
        <v/>
      </c>
      <c r="FC25" s="18"/>
      <c r="FE25" s="18" t="str">
        <f>IF($DM25=FF$5,MAX(FE$6:FE24)+1,"")</f>
        <v/>
      </c>
      <c r="FF25" s="58" t="str">
        <f t="shared" si="123"/>
        <v/>
      </c>
      <c r="FG25" s="18"/>
      <c r="FI25" s="18" t="str">
        <f>IF($DM25=FJ$5,MAX(FI$6:FI24)+1,"")</f>
        <v/>
      </c>
      <c r="FJ25" s="58" t="str">
        <f t="shared" si="124"/>
        <v/>
      </c>
      <c r="FK25" s="18"/>
      <c r="FM25" s="18"/>
      <c r="FN25" s="18"/>
      <c r="FO25" s="18"/>
      <c r="FP25" s="18"/>
      <c r="FQ25" s="18"/>
      <c r="FR25" s="18"/>
      <c r="FS25" s="18"/>
      <c r="FT25" s="18"/>
      <c r="FU25" s="18"/>
      <c r="FV25" s="18"/>
      <c r="FX25" s="59" t="s">
        <v>409</v>
      </c>
      <c r="FY25" s="543" t="s">
        <v>3059</v>
      </c>
      <c r="FZ25" s="104"/>
      <c r="GA25" s="104"/>
      <c r="GB25" s="104"/>
      <c r="GC25" s="104"/>
      <c r="GD25" s="104"/>
      <c r="GE25" s="104"/>
      <c r="GF25" s="104"/>
      <c r="GG25" s="104"/>
      <c r="GH25" s="104"/>
      <c r="GI25" s="104"/>
      <c r="GJ25" s="104"/>
      <c r="GK25" s="18"/>
      <c r="GL25" s="18"/>
      <c r="GM25" s="18"/>
      <c r="GN25" s="18"/>
      <c r="GO25" s="18"/>
      <c r="GP25" s="18"/>
      <c r="GQ25" s="59"/>
      <c r="GR25" s="142"/>
      <c r="GZ25" s="59"/>
      <c r="HA25" s="59"/>
      <c r="HB25" s="59"/>
      <c r="HC25" s="59"/>
      <c r="HD25" s="59"/>
      <c r="HE25" s="59"/>
      <c r="HF25" s="59"/>
      <c r="HG25" s="59"/>
      <c r="HH25" s="59"/>
      <c r="HI25" s="59"/>
      <c r="HJ25" s="59"/>
      <c r="HK25" s="58" t="s">
        <v>2913</v>
      </c>
      <c r="HL25" s="59" t="s">
        <v>2905</v>
      </c>
      <c r="HM25" s="59" t="s">
        <v>2927</v>
      </c>
      <c r="HN25" s="59"/>
      <c r="HO25" s="59"/>
      <c r="HP25" s="59"/>
      <c r="HQ25" s="59"/>
      <c r="HR25" s="59"/>
      <c r="HS25" s="59"/>
      <c r="HT25" s="59"/>
      <c r="HU25" s="59"/>
      <c r="HV25" s="59"/>
      <c r="HW25" s="59"/>
      <c r="HX25" s="59"/>
      <c r="HY25" s="59"/>
      <c r="HZ25" s="59"/>
      <c r="IA25" s="59"/>
      <c r="ID25" s="59"/>
      <c r="IE25" s="59"/>
      <c r="IF25" s="59"/>
      <c r="IG25" s="59"/>
      <c r="IH25" s="18" t="str">
        <f>IF(IJ25=1,MAX($IH$2:IH24)+1,"")</f>
        <v/>
      </c>
      <c r="II25" s="59" t="s">
        <v>3315</v>
      </c>
      <c r="IJ25" s="59" t="str">
        <f>IF(WarlockLevel&gt;=9,1,"")</f>
        <v/>
      </c>
      <c r="IK25" s="59" t="s">
        <v>3361</v>
      </c>
      <c r="IL25" s="18">
        <f t="shared" si="105"/>
        <v>23</v>
      </c>
      <c r="IM25" s="59" t="str">
        <f t="shared" si="77"/>
        <v/>
      </c>
      <c r="IN25" s="59"/>
      <c r="IO25" s="59"/>
      <c r="IP25" s="59"/>
      <c r="IQ25" s="59"/>
      <c r="IR25" s="59"/>
      <c r="IS25" s="59"/>
      <c r="IT25" s="59"/>
      <c r="IU25" s="59"/>
      <c r="IX25" s="59" t="s">
        <v>1491</v>
      </c>
      <c r="IY25" s="59" t="s">
        <v>951</v>
      </c>
      <c r="IZ25" s="59" t="s">
        <v>194</v>
      </c>
      <c r="JA25" s="59" t="s">
        <v>91</v>
      </c>
      <c r="JB25" s="59" t="s">
        <v>910</v>
      </c>
      <c r="JF25" s="18"/>
      <c r="JI25" s="60"/>
      <c r="JJ25" s="60"/>
      <c r="JM25" s="580" t="s">
        <v>782</v>
      </c>
      <c r="JN25" s="577" t="str">
        <f ca="1">IF(OR(CasterLevel="-",Start!$AF$20=SelectText),"",VLOOKUP(CasterLevel,Tables!$JM$3:$JW$22,JN$24+1,FALSE))</f>
        <v/>
      </c>
      <c r="JO25" s="577" t="str">
        <f ca="1">IF(OR(CasterLevel="-",Start!$AF$20=SelectText),"",VLOOKUP(CasterLevel,Tables!$JM$3:$JW$22,JO$24+1,FALSE))</f>
        <v/>
      </c>
      <c r="JP25" s="577" t="str">
        <f ca="1">IF(OR(CasterLevel="-",Start!$AF$20=SelectText),"",VLOOKUP(CasterLevel,Tables!$JM$3:$JW$22,JP$24+1,FALSE))</f>
        <v/>
      </c>
      <c r="JQ25" s="577" t="str">
        <f ca="1">IF(OR(CasterLevel="-",Start!$AF$20=SelectText),"",VLOOKUP(CasterLevel,Tables!$JM$3:$JW$22,JQ$24+1,FALSE))</f>
        <v/>
      </c>
      <c r="JR25" s="577" t="str">
        <f ca="1">IF(OR(CasterLevel="-",Start!$AF$20=SelectText),"",VLOOKUP(CasterLevel,Tables!$JM$3:$JW$22,JR$24+1,FALSE))</f>
        <v/>
      </c>
      <c r="JS25" s="577" t="str">
        <f ca="1">IF(OR(CasterLevel="-",Start!$AF$20=SelectText),"",VLOOKUP(CasterLevel,Tables!$JM$3:$JW$22,JS$24+1,FALSE))</f>
        <v/>
      </c>
      <c r="JT25" s="577" t="str">
        <f ca="1">IF(OR(CasterLevel="-",Start!$AF$20=SelectText),"",VLOOKUP(CasterLevel,Tables!$JM$3:$JW$22,JT$24+1,FALSE))</f>
        <v/>
      </c>
      <c r="JU25" s="577" t="str">
        <f ca="1">IF(OR(CasterLevel="-",Start!$AF$20=SelectText),"",VLOOKUP(CasterLevel,Tables!$JM$3:$JW$22,JU$24+1,FALSE))</f>
        <v/>
      </c>
      <c r="JV25" s="577" t="str">
        <f ca="1">IF(OR(CasterLevel="-",Start!$AF$20=SelectText),"",VLOOKUP(CasterLevel,Tables!$JM$3:$JW$22,JV$24+1,FALSE))</f>
        <v/>
      </c>
      <c r="JX25" s="18"/>
      <c r="JY25" s="18"/>
      <c r="KT25" s="93" t="s">
        <v>1532</v>
      </c>
      <c r="KU25" s="80" t="str">
        <f t="shared" si="128"/>
        <v>No</v>
      </c>
      <c r="KV25" s="89" t="s">
        <v>333</v>
      </c>
      <c r="KW25" s="270"/>
      <c r="KX25" s="270"/>
      <c r="KY25" s="270"/>
      <c r="KZ25" s="270"/>
      <c r="LA25" s="270"/>
      <c r="LB25" s="92"/>
      <c r="LC25" s="270"/>
      <c r="LD25" s="270"/>
      <c r="LE25" s="270"/>
      <c r="LF25" s="455"/>
      <c r="LG25" s="270"/>
      <c r="LH25" s="270"/>
      <c r="LI25" s="270"/>
      <c r="LJ25" s="270"/>
      <c r="LK25" s="270"/>
      <c r="LL25" s="406"/>
      <c r="LM25" s="455"/>
      <c r="LN25" s="270"/>
      <c r="LO25" s="270"/>
      <c r="LP25" s="270"/>
      <c r="LQ25" s="92"/>
      <c r="LR25" s="270"/>
      <c r="LS25" s="270"/>
      <c r="LT25" s="92"/>
      <c r="LU25" s="92"/>
      <c r="LV25" s="270"/>
      <c r="LW25" s="270"/>
      <c r="LX25" s="270"/>
      <c r="LY25" s="92"/>
      <c r="LZ25" s="92"/>
      <c r="MA25" s="92"/>
      <c r="MB25" s="92"/>
      <c r="MC25" s="92"/>
      <c r="MD25" s="92"/>
      <c r="ME25" s="92"/>
      <c r="MF25" s="92"/>
      <c r="MG25" s="92"/>
      <c r="MH25" s="92"/>
      <c r="MI25" s="92"/>
      <c r="MJ25" s="92"/>
      <c r="MK25" s="92"/>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438"/>
      <c r="NQ25" s="94"/>
      <c r="NR25" s="94"/>
      <c r="NS25" s="94"/>
      <c r="NT25" s="94"/>
      <c r="NU25" s="94"/>
      <c r="NV25" s="456"/>
      <c r="NW25" s="456"/>
      <c r="NX25" s="456"/>
      <c r="NY25" s="456"/>
      <c r="NZ25" s="456"/>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t="str">
        <f>IF(COUNTIF(Start!$AX$59:$BF$68,Tables!KT25)&gt;0,Tables!KT25,"")</f>
        <v/>
      </c>
      <c r="PT25" s="94"/>
      <c r="PU25" s="59" t="str">
        <f t="shared" si="129"/>
        <v/>
      </c>
      <c r="PV25" s="59" t="str">
        <f>IF(PU25="","",IF(COUNTIF(PU25:$PU$57,"&gt;&lt;")&gt;1,PU25&amp;", ", PU25))</f>
        <v/>
      </c>
      <c r="PW25" s="59"/>
      <c r="PX25" s="59"/>
      <c r="PY25" s="18"/>
      <c r="PZ25" s="19" t="s">
        <v>158</v>
      </c>
      <c r="QA25" s="19" t="s">
        <v>167</v>
      </c>
      <c r="QB25" s="27" t="str">
        <f t="shared" ca="1" si="79"/>
        <v>not proficient</v>
      </c>
      <c r="QC25" s="67" t="s">
        <v>104</v>
      </c>
      <c r="QD25" s="19" t="s">
        <v>107</v>
      </c>
      <c r="QE25" s="26" t="s">
        <v>140</v>
      </c>
      <c r="QF25" s="26">
        <v>4</v>
      </c>
      <c r="QG25" s="26" t="str">
        <f>""</f>
        <v/>
      </c>
      <c r="QH25" s="26" t="str">
        <f>""</f>
        <v/>
      </c>
      <c r="QI25" s="26" t="str">
        <f>""</f>
        <v/>
      </c>
      <c r="QJ25" s="26" t="str">
        <f>""</f>
        <v/>
      </c>
      <c r="QK25" s="26" t="str">
        <f>""</f>
        <v/>
      </c>
      <c r="QL25" s="26" t="str">
        <f>""</f>
        <v/>
      </c>
      <c r="QM25" s="26" t="str">
        <f>""</f>
        <v/>
      </c>
      <c r="QN25" s="26" t="str">
        <f>""</f>
        <v/>
      </c>
      <c r="QO25" s="26" t="str">
        <f>""</f>
        <v/>
      </c>
      <c r="QP25" s="26" t="str">
        <f>""</f>
        <v/>
      </c>
      <c r="QQ25" s="27" t="str">
        <f>""</f>
        <v/>
      </c>
      <c r="QR25" s="27" t="str">
        <f>""</f>
        <v/>
      </c>
      <c r="QT25" s="634"/>
      <c r="QU25" s="727" t="s">
        <v>96</v>
      </c>
      <c r="QV25" s="727"/>
      <c r="QW25" s="727"/>
      <c r="QX25" s="727"/>
      <c r="QY25" s="729"/>
      <c r="QZ25" s="727" t="str">
        <f>IF(QZ12="","",IF(COUNTIF(QZ12:$QZ$18,"&gt;&lt;$Q$1")&gt;1,QZ12&amp;", ",QZ12))</f>
        <v/>
      </c>
      <c r="RA25" s="727" t="str">
        <f>IF(RP12="","",IF(COUNTIF($RP12:RP$18,"&gt;&lt;$Q$1")&gt;1,RP12&amp;", ",RP12))</f>
        <v/>
      </c>
      <c r="RB25" s="729"/>
      <c r="RC25" s="729"/>
      <c r="RD25" s="729"/>
      <c r="RE25" s="729"/>
      <c r="RF25" s="729"/>
      <c r="RG25" s="729"/>
      <c r="RH25" s="727" t="str">
        <f>IF(RH12="","",IF(COUNTIF($RH12:RH$18,"&gt;&lt;$Q$1")&gt;1,RH12&amp;", ",RH12))</f>
        <v/>
      </c>
      <c r="RI25" s="727" t="str">
        <f>IF(RX12="","",IF(COUNTIF($RX12:RX$18,"&gt;&lt;$Q$1")&gt;1,RX12&amp;", ",RX12))</f>
        <v/>
      </c>
      <c r="RJ25" s="729"/>
      <c r="RK25" s="729"/>
      <c r="RL25" s="729"/>
      <c r="RM25" s="729"/>
      <c r="RN25" s="729"/>
      <c r="RO25" s="729"/>
      <c r="RP25" s="727" t="str">
        <f>IF(RP12="","",IF(COUNTIF($RP12:RP$18,"&gt;&lt;$Q$1")&gt;1,RP12&amp;", ",RP12))</f>
        <v/>
      </c>
      <c r="RQ25" s="727" t="str">
        <f>IF(SF12="","",IF(COUNTIF($SF12:SF$18,"&gt;&lt;$Q$1")&gt;1,SF12&amp;", ",SF12))</f>
        <v/>
      </c>
      <c r="RR25" s="729"/>
      <c r="RS25" s="729"/>
      <c r="RT25" s="729"/>
      <c r="RU25" s="729"/>
      <c r="RV25" s="729"/>
      <c r="RW25" s="729"/>
      <c r="RX25" s="727" t="str">
        <f>IF(RX12="","",IF(COUNTIF($RX12:RX$18,"&gt;&lt;$Q$1")&gt;1,RX12&amp;", ",RX12))</f>
        <v/>
      </c>
      <c r="RY25" s="727" t="str">
        <f>IF(SN12="","",IF(COUNTIF($SN12:SN$18,"&gt;&lt;$Q$1")&gt;1,SN12&amp;", ",SN12))</f>
        <v/>
      </c>
      <c r="RZ25" s="729"/>
      <c r="SA25" s="729"/>
      <c r="SB25" s="729"/>
      <c r="SC25" s="729"/>
      <c r="SD25" s="729"/>
      <c r="SE25" s="729"/>
      <c r="SF25" s="727" t="str">
        <f>IF(SF12="","",IF(COUNTIF($SF12:SF$18,"&gt;&lt;$Q$1")&gt;1,SF12&amp;", ",SF12))</f>
        <v/>
      </c>
      <c r="SG25" s="634"/>
      <c r="SH25" s="634"/>
      <c r="SI25" s="634"/>
      <c r="SJ25" s="634"/>
      <c r="SK25" s="634"/>
      <c r="SL25" s="634"/>
      <c r="SM25" s="634"/>
      <c r="SN25" s="727" t="str">
        <f>IF(SN12="","",IF(COUNTIF($SN12:SN$18,"&gt;&lt;$Q$1")&gt;1,SN12&amp;", ",SN12))</f>
        <v/>
      </c>
      <c r="SO25" s="634"/>
      <c r="SP25" s="634"/>
      <c r="SQ25" s="634"/>
      <c r="SR25" s="19"/>
      <c r="SS25" s="19"/>
      <c r="ST25" s="19"/>
      <c r="SU25" s="68"/>
      <c r="SV25" s="44"/>
      <c r="SW25" s="231"/>
      <c r="SX25" s="45"/>
      <c r="SY25" s="27"/>
      <c r="SZ25" s="26"/>
      <c r="TA25" s="19"/>
      <c r="TB25" s="19"/>
      <c r="TC25" s="19"/>
      <c r="TD25" s="44"/>
      <c r="TE25" s="26"/>
      <c r="TF25" s="68"/>
      <c r="TG25" s="26"/>
      <c r="TH25" s="27"/>
      <c r="TI25" s="27"/>
      <c r="TJ25" s="18">
        <f t="shared" si="115"/>
        <v>23</v>
      </c>
      <c r="TK25" s="58" t="s">
        <v>528</v>
      </c>
      <c r="TL25" s="58" t="s">
        <v>462</v>
      </c>
      <c r="TM25" s="18">
        <v>5</v>
      </c>
      <c r="TN25" s="59" t="str">
        <f t="shared" si="47"/>
        <v xml:space="preserve">Awaken </v>
      </c>
      <c r="TO25" s="18" t="str">
        <f>""</f>
        <v/>
      </c>
      <c r="TP25" s="18" t="str">
        <f t="shared" si="48"/>
        <v/>
      </c>
      <c r="TQ25" s="18" t="str">
        <f>IF(OR(TK25=Spellcasting!$AC$18,TK25=Spellcasting!$AC$19),"ᵐ","")</f>
        <v/>
      </c>
      <c r="TR25" s="18" t="str">
        <f>IF(OR(TK25=Spellcasting!$AC$20,TK25=Spellcasting!$AC$21),"ˢ","")</f>
        <v/>
      </c>
      <c r="TS25" s="18" t="str">
        <f>""</f>
        <v/>
      </c>
      <c r="TT25" s="18" t="s">
        <v>485</v>
      </c>
      <c r="TU25" s="18" t="s">
        <v>519</v>
      </c>
      <c r="TV25" s="18" t="s">
        <v>505</v>
      </c>
      <c r="TW25" s="18" t="s">
        <v>495</v>
      </c>
      <c r="TX25" s="59" t="s">
        <v>1301</v>
      </c>
      <c r="TY25" s="18" t="s">
        <v>491</v>
      </c>
      <c r="TZ25" s="18" t="s">
        <v>492</v>
      </c>
      <c r="UA25" s="142" t="s">
        <v>1302</v>
      </c>
      <c r="UB25" s="319" t="s">
        <v>3238</v>
      </c>
      <c r="UC25" s="18" t="str">
        <f ca="1">IF(UC$1&gt;=$TM25,1,"0")</f>
        <v>0</v>
      </c>
      <c r="UI25" s="18" t="str">
        <f ca="1">IF(UI$1&gt;=$TM25,1,"0")</f>
        <v>0</v>
      </c>
      <c r="WD25" s="18" t="str">
        <f ca="1">IF(SUM($VZ$1:$WC$1)&gt;0,IF(AND(SUM($VZ25:$WC25)&gt;0,$TM25=WE$1),MAX(WD$2:WD24)+1,""),IF(AND(SUM($UC25:$VY25)&gt;0,$TM25=WE$1),MAX(WD$2:WD24)+1,""))</f>
        <v/>
      </c>
      <c r="WE25" s="59" t="str">
        <f t="shared" ca="1" si="80"/>
        <v/>
      </c>
      <c r="WF25" s="18" t="str">
        <f ca="1">IF(AND(SUM($UB25:$VY25)&gt;0,$TM25=WG$1),MAX(WF$2:WF24)+1,"")</f>
        <v/>
      </c>
      <c r="WG25" s="59" t="str">
        <f t="shared" ca="1" si="81"/>
        <v/>
      </c>
      <c r="WH25" s="18" t="str">
        <f ca="1">IF(AND(SUM($UB25:$VY25)&gt;0,$TM25=WI$1),MAX(WH$2:WH24)+1,"")</f>
        <v/>
      </c>
      <c r="WI25" s="59" t="str">
        <f t="shared" ca="1" si="82"/>
        <v/>
      </c>
      <c r="WJ25" s="18" t="str">
        <f ca="1">IF(AND(SUM($UB25:$VY25)&gt;0,$TM25=WK$1),MAX(WJ$2:WJ24)+1,"")</f>
        <v/>
      </c>
      <c r="WK25" s="59" t="str">
        <f t="shared" ca="1" si="83"/>
        <v/>
      </c>
      <c r="WL25" s="18" t="str">
        <f ca="1">IF(AND(SUM($UB25:$VY25)&gt;0,$TM25=WM$1),MAX(WL$2:WL24)+1,"")</f>
        <v/>
      </c>
      <c r="WM25" s="59" t="str">
        <f t="shared" ca="1" si="84"/>
        <v/>
      </c>
      <c r="WN25" s="18" t="str">
        <f ca="1">IF(AND(SUM($UB25:$VY25)&gt;0,$TM25=WO$1),MAX(WN$2:WN24)+1,"")</f>
        <v/>
      </c>
      <c r="WO25" s="59" t="str">
        <f t="shared" ca="1" si="85"/>
        <v/>
      </c>
      <c r="WP25" s="18" t="str">
        <f ca="1">IF(AND(SUM($UB25:$VY25)&gt;0,$TM25=WQ$1),MAX(WP$2:WP24)+1,"")</f>
        <v/>
      </c>
      <c r="WQ25" s="59" t="str">
        <f t="shared" ca="1" si="86"/>
        <v/>
      </c>
      <c r="WR25" s="18" t="str">
        <f ca="1">IF(AND(SUM($UB25:$VY25)&gt;0,$TM25=WS$1),MAX(WR$2:WR24)+1,"")</f>
        <v/>
      </c>
      <c r="WS25" s="59" t="str">
        <f t="shared" ca="1" si="87"/>
        <v/>
      </c>
      <c r="WT25" s="18" t="str">
        <f ca="1">IF(AND(SUM($UB25:$VY25)&gt;0,$TM25=WU$1),MAX(WT$2:WT24)+1,"")</f>
        <v/>
      </c>
      <c r="WU25" s="59" t="str">
        <f t="shared" ca="1" si="88"/>
        <v/>
      </c>
      <c r="WV25" s="18" t="str">
        <f ca="1">IF(AND(SUM($UB25:$VY25)&gt;0,$TM25=WW$1),MAX(WV$2:WV24)+1,"")</f>
        <v/>
      </c>
      <c r="WW25" s="59" t="str">
        <f t="shared" ca="1" si="89"/>
        <v/>
      </c>
      <c r="WX25" s="18" t="str">
        <f ca="1">IF(AND(SUM($UB25:$VY25)&gt;0,$TM25=WY$1),MAX(WX$2:WX24)+1,"")</f>
        <v/>
      </c>
      <c r="WY25" s="59" t="str">
        <f t="shared" ca="1" si="90"/>
        <v/>
      </c>
      <c r="WZ25" s="18">
        <v>24</v>
      </c>
      <c r="XA25" s="59" t="str">
        <f t="shared" ca="1" si="91"/>
        <v/>
      </c>
      <c r="XB25" s="59" t="str">
        <f t="shared" ca="1" si="28"/>
        <v/>
      </c>
      <c r="XC25" s="59" t="str">
        <f t="shared" ca="1" si="29"/>
        <v/>
      </c>
      <c r="XD25" s="59" t="str">
        <f t="shared" ca="1" si="60"/>
        <v/>
      </c>
      <c r="XE25" s="59" t="str">
        <f t="shared" ca="1" si="61"/>
        <v/>
      </c>
      <c r="XF25" s="59" t="str">
        <f t="shared" ca="1" si="62"/>
        <v/>
      </c>
      <c r="XG25" s="59" t="str">
        <f t="shared" ca="1" si="63"/>
        <v/>
      </c>
      <c r="XH25" s="59" t="str">
        <f t="shared" ca="1" si="64"/>
        <v/>
      </c>
      <c r="XI25" s="59" t="str">
        <f t="shared" ca="1" si="65"/>
        <v/>
      </c>
      <c r="XJ25" s="59" t="str">
        <f t="shared" ca="1" si="66"/>
        <v/>
      </c>
      <c r="XK25" s="59" t="str">
        <f t="shared" ca="1" si="67"/>
        <v/>
      </c>
      <c r="XL25" s="59"/>
      <c r="XM25" s="18"/>
      <c r="XN25" s="142"/>
      <c r="XO25" s="142"/>
      <c r="XP25" s="142"/>
      <c r="XQ25" s="142"/>
      <c r="XR25" s="142"/>
      <c r="XS25" s="142"/>
      <c r="XT25" s="142"/>
      <c r="XU25" s="142"/>
      <c r="XV25" s="142"/>
      <c r="XW25" s="142"/>
      <c r="XX25" s="142"/>
      <c r="XY25" s="142"/>
      <c r="XZ25" s="142"/>
      <c r="YA25" s="142"/>
      <c r="YB25" s="142"/>
      <c r="YC25" s="142"/>
      <c r="YG25" s="58" t="s">
        <v>1758</v>
      </c>
      <c r="YH25" s="58" t="s">
        <v>1772</v>
      </c>
      <c r="YI25" s="215" t="s">
        <v>2347</v>
      </c>
      <c r="YJ25" s="215" t="s">
        <v>3441</v>
      </c>
      <c r="YK25" s="215" t="str">
        <f>""</f>
        <v/>
      </c>
      <c r="YL25" s="249" t="str">
        <f>""</f>
        <v/>
      </c>
      <c r="YM25" s="249" t="str">
        <f>""</f>
        <v/>
      </c>
      <c r="YN25" s="249" t="str">
        <f>""</f>
        <v/>
      </c>
      <c r="YO25" s="249"/>
      <c r="YP25" s="249"/>
      <c r="YQ25" s="215"/>
      <c r="YR25" s="215"/>
      <c r="YS25" s="215"/>
      <c r="YT25" s="18" t="s">
        <v>288</v>
      </c>
      <c r="YU25" s="18">
        <v>8</v>
      </c>
      <c r="YV25" s="18" t="str">
        <f t="shared" ca="1" si="134"/>
        <v/>
      </c>
      <c r="YW25" s="18" t="str">
        <f ca="1">IF(YX25="","",MAX($YW$1:YW24)+1)</f>
        <v/>
      </c>
      <c r="YX25" s="59" t="str">
        <f t="shared" ca="1" si="71"/>
        <v/>
      </c>
      <c r="YY25" s="18" t="str">
        <f t="shared" ca="1" si="72"/>
        <v/>
      </c>
      <c r="ZR25"/>
    </row>
    <row r="26" spans="5:694" ht="9.9499999999999993" customHeight="1" x14ac:dyDescent="0.25">
      <c r="E26" s="59"/>
      <c r="F26" s="59"/>
      <c r="G26" s="59"/>
      <c r="H26" s="59"/>
      <c r="I26" s="59"/>
      <c r="J26" s="59"/>
      <c r="K26" s="59"/>
      <c r="AE26" s="17"/>
      <c r="AF26" s="17"/>
      <c r="AG26" s="252"/>
      <c r="AH26" s="17"/>
      <c r="AI26" s="287"/>
      <c r="AJ26" s="17"/>
      <c r="AK26" s="267"/>
      <c r="AL26" s="291"/>
      <c r="AM26" s="17"/>
      <c r="AN26" s="18"/>
      <c r="AO26" s="18">
        <f t="shared" si="119"/>
        <v>25</v>
      </c>
      <c r="AP26" s="59" t="str">
        <f t="shared" si="135"/>
        <v/>
      </c>
      <c r="AQ26" s="59" t="str">
        <f>""</f>
        <v/>
      </c>
      <c r="AR26" s="254" t="s">
        <v>1067</v>
      </c>
      <c r="AS26" s="385" t="s">
        <v>2438</v>
      </c>
      <c r="AT26" s="254" t="s">
        <v>1093</v>
      </c>
      <c r="AU26" s="385" t="s">
        <v>2472</v>
      </c>
      <c r="AV26" s="255" t="s">
        <v>1135</v>
      </c>
      <c r="AW26" s="385" t="s">
        <v>2518</v>
      </c>
      <c r="AX26" s="385" t="s">
        <v>2551</v>
      </c>
      <c r="AY26" s="58" t="s">
        <v>1163</v>
      </c>
      <c r="AZ26" s="58" t="s">
        <v>2587</v>
      </c>
      <c r="BA26" s="254" t="s">
        <v>1030</v>
      </c>
      <c r="BB26" s="385" t="s">
        <v>2613</v>
      </c>
      <c r="BC26" s="58" t="s">
        <v>1189</v>
      </c>
      <c r="BD26" s="58" t="s">
        <v>2381</v>
      </c>
      <c r="BE26" s="18" t="str">
        <f>""</f>
        <v/>
      </c>
      <c r="BI26" s="338"/>
      <c r="BJ26" s="341"/>
      <c r="BK26" s="340"/>
      <c r="BL26" s="340"/>
      <c r="BM26" s="556"/>
      <c r="BN26" s="338"/>
      <c r="BO26" s="338"/>
      <c r="BP26" s="340"/>
      <c r="BQ26" s="340"/>
      <c r="BR26" s="340"/>
      <c r="BS26" s="340"/>
      <c r="BT26" s="340"/>
      <c r="BU26" s="340"/>
      <c r="BV26" s="340"/>
      <c r="BW26" s="340"/>
      <c r="BX26" s="340"/>
      <c r="BY26" s="340"/>
      <c r="BZ26" s="555"/>
      <c r="CA26" s="555"/>
      <c r="CB26" s="555"/>
      <c r="CC26" s="339"/>
      <c r="CD26" s="555"/>
      <c r="CE26" s="340"/>
      <c r="CF26" s="555"/>
      <c r="CG26" s="340"/>
      <c r="CH26" s="555"/>
      <c r="CI26" s="555"/>
      <c r="CJ26" s="340"/>
      <c r="CK26" s="555"/>
      <c r="CL26" s="340"/>
      <c r="CM26" s="339"/>
      <c r="CN26" s="339"/>
      <c r="CO26" s="339"/>
      <c r="CP26" s="339"/>
      <c r="CQ26" s="339"/>
      <c r="CR26" s="339"/>
      <c r="CS26" s="339"/>
      <c r="CT26" s="339"/>
      <c r="CU26" s="339"/>
      <c r="CV26" s="339"/>
      <c r="CW26" s="339"/>
      <c r="CX26" s="339"/>
      <c r="CY26" s="339"/>
      <c r="CZ26" s="339"/>
      <c r="DA26" s="339"/>
      <c r="DB26" s="339"/>
      <c r="DC26" s="339"/>
      <c r="DD26" s="339"/>
      <c r="DE26" s="339"/>
      <c r="DF26" s="339"/>
      <c r="DG26" s="104"/>
      <c r="DH26" s="104"/>
      <c r="DI26" s="104"/>
      <c r="DJ26" s="104"/>
      <c r="DK26" s="104"/>
      <c r="DL26" s="59" t="s">
        <v>295</v>
      </c>
      <c r="DM26" s="18" t="s">
        <v>801</v>
      </c>
      <c r="DN26" s="18">
        <f t="shared" ca="1" si="121"/>
        <v>0</v>
      </c>
      <c r="DO26" s="58" t="str">
        <f>""</f>
        <v/>
      </c>
      <c r="DP26" s="59" t="s">
        <v>1919</v>
      </c>
      <c r="DQ26" s="58" t="str">
        <f>""</f>
        <v/>
      </c>
      <c r="DR26" s="59" t="str">
        <f>""</f>
        <v/>
      </c>
      <c r="DS26" s="59" t="str">
        <f>""</f>
        <v/>
      </c>
      <c r="DT26" s="59" t="s">
        <v>1920</v>
      </c>
      <c r="DU26" s="59" t="str">
        <f>""</f>
        <v/>
      </c>
      <c r="DV26" s="59" t="str">
        <f>""</f>
        <v/>
      </c>
      <c r="DW26" s="59" t="str">
        <f>""</f>
        <v/>
      </c>
      <c r="DX26" s="59" t="s">
        <v>1921</v>
      </c>
      <c r="DY26" s="59" t="str">
        <f>""</f>
        <v/>
      </c>
      <c r="DZ26" s="59" t="str">
        <f>""</f>
        <v/>
      </c>
      <c r="EA26" s="59" t="str">
        <f>""</f>
        <v/>
      </c>
      <c r="EB26" s="59" t="s">
        <v>1922</v>
      </c>
      <c r="EC26" s="59" t="str">
        <f>""</f>
        <v/>
      </c>
      <c r="ED26" s="59" t="str">
        <f>""</f>
        <v/>
      </c>
      <c r="EE26" s="59" t="str">
        <f>""</f>
        <v/>
      </c>
      <c r="EF26" s="59" t="str">
        <f>""</f>
        <v/>
      </c>
      <c r="EG26" s="59" t="str">
        <f>""</f>
        <v/>
      </c>
      <c r="EH26" s="59" t="str">
        <f>""</f>
        <v/>
      </c>
      <c r="EI26" s="103" t="str">
        <f>""</f>
        <v/>
      </c>
      <c r="EJ26" s="103" t="str">
        <f>""</f>
        <v/>
      </c>
      <c r="EK26" s="103"/>
      <c r="EL26" s="103" t="str">
        <f>""</f>
        <v/>
      </c>
      <c r="EM26" s="103"/>
      <c r="EN26" s="103" t="str">
        <f>""</f>
        <v/>
      </c>
      <c r="EO26" s="103"/>
      <c r="EP26" s="103" t="str">
        <f>""</f>
        <v/>
      </c>
      <c r="EQ26" s="103"/>
      <c r="ER26" s="103" t="str">
        <f>""</f>
        <v/>
      </c>
      <c r="ES26" s="103"/>
      <c r="ET26" s="59" t="str">
        <f>""</f>
        <v/>
      </c>
      <c r="EU26" s="18" t="str">
        <f>""</f>
        <v/>
      </c>
      <c r="EV26" s="59" t="str">
        <f>""</f>
        <v/>
      </c>
      <c r="EW26" s="18" t="str">
        <f>""</f>
        <v/>
      </c>
      <c r="EX26" s="59" t="str">
        <f>""</f>
        <v/>
      </c>
      <c r="EY26" s="18" t="str">
        <f>""</f>
        <v/>
      </c>
      <c r="EZ26" s="18"/>
      <c r="FA26" s="18" t="str">
        <f>IF($DM26=FB$5,MAX(FA$6:FA25)+1,"")</f>
        <v/>
      </c>
      <c r="FB26" s="58" t="str">
        <f t="shared" si="122"/>
        <v/>
      </c>
      <c r="FC26" s="18"/>
      <c r="FE26" s="18" t="str">
        <f>IF($DM26=FF$5,MAX(FE$6:FE25)+1,"")</f>
        <v/>
      </c>
      <c r="FF26" s="58" t="str">
        <f t="shared" si="123"/>
        <v/>
      </c>
      <c r="FG26" s="18"/>
      <c r="FI26" s="18" t="str">
        <f>IF($DM26=FJ$5,MAX(FI$6:FI25)+1,"")</f>
        <v/>
      </c>
      <c r="FJ26" s="58" t="str">
        <f t="shared" si="124"/>
        <v/>
      </c>
      <c r="FK26" s="18"/>
      <c r="FM26" s="18"/>
      <c r="FN26" s="18"/>
      <c r="FO26" s="18"/>
      <c r="FP26" s="18"/>
      <c r="FQ26" s="18"/>
      <c r="FR26" s="18"/>
      <c r="FS26" s="18"/>
      <c r="FT26" s="18"/>
      <c r="FU26" s="18"/>
      <c r="FV26" s="18"/>
      <c r="FX26" s="59" t="s">
        <v>410</v>
      </c>
      <c r="FY26" s="543" t="s">
        <v>3060</v>
      </c>
      <c r="FZ26" s="104"/>
      <c r="GA26" s="104"/>
      <c r="GB26" s="104"/>
      <c r="GC26" s="104"/>
      <c r="GD26" s="104"/>
      <c r="GE26" s="104"/>
      <c r="GF26" s="104"/>
      <c r="GG26" s="104"/>
      <c r="GH26" s="104"/>
      <c r="GI26" s="104"/>
      <c r="GJ26" s="104"/>
      <c r="GK26" s="18"/>
      <c r="GL26" s="18"/>
      <c r="GM26" s="18"/>
      <c r="GN26" s="18"/>
      <c r="GO26" s="18"/>
      <c r="GP26" s="18"/>
      <c r="GQ26" s="18"/>
      <c r="GR26" s="18"/>
      <c r="GZ26" s="59"/>
      <c r="HA26" s="59"/>
      <c r="HB26" s="59"/>
      <c r="HC26" s="59"/>
      <c r="HD26" s="59"/>
      <c r="HE26" s="59"/>
      <c r="HF26" s="59"/>
      <c r="HG26" s="59"/>
      <c r="HH26" s="59"/>
      <c r="HI26" s="59"/>
      <c r="HJ26" s="59"/>
      <c r="HK26" s="58" t="s">
        <v>2914</v>
      </c>
      <c r="HL26" s="59" t="s">
        <v>2905</v>
      </c>
      <c r="HM26" s="59" t="s">
        <v>2928</v>
      </c>
      <c r="HN26" s="59"/>
      <c r="HO26" s="59"/>
      <c r="HP26" s="59"/>
      <c r="HQ26" s="59"/>
      <c r="HR26" s="59"/>
      <c r="HS26" s="59"/>
      <c r="HT26" s="59"/>
      <c r="HU26" s="59"/>
      <c r="HV26" s="59"/>
      <c r="HW26" s="59"/>
      <c r="HX26" s="59"/>
      <c r="HY26" s="59"/>
      <c r="HZ26" s="59"/>
      <c r="IA26" s="59"/>
      <c r="ID26" s="59"/>
      <c r="IE26" s="59"/>
      <c r="IF26" s="59"/>
      <c r="IG26" s="59"/>
      <c r="IH26" s="18">
        <f>IF(IJ26=1,MAX($IH$2:IH25)+1,"")</f>
        <v>11</v>
      </c>
      <c r="II26" s="59" t="s">
        <v>3316</v>
      </c>
      <c r="IJ26" s="59">
        <f>1</f>
        <v>1</v>
      </c>
      <c r="IK26" s="142" t="s">
        <v>3358</v>
      </c>
      <c r="IL26" s="18">
        <f t="shared" si="105"/>
        <v>24</v>
      </c>
      <c r="IM26" s="59" t="str">
        <f t="shared" si="77"/>
        <v/>
      </c>
      <c r="IN26" s="59"/>
      <c r="IO26" s="59"/>
      <c r="IP26" s="59"/>
      <c r="IQ26" s="59"/>
      <c r="IR26" s="59"/>
      <c r="IS26" s="59"/>
      <c r="IT26" s="59"/>
      <c r="IU26" s="59"/>
      <c r="IX26" s="59" t="s">
        <v>1492</v>
      </c>
      <c r="IY26" s="59" t="s">
        <v>952</v>
      </c>
      <c r="IZ26" s="59" t="s">
        <v>201</v>
      </c>
      <c r="JA26" s="59" t="s">
        <v>890</v>
      </c>
      <c r="JB26" s="59" t="s">
        <v>911</v>
      </c>
      <c r="JF26" s="18"/>
      <c r="JI26" s="60"/>
      <c r="JJ26" s="60"/>
      <c r="JM26" s="580" t="s">
        <v>3206</v>
      </c>
      <c r="JN26" s="577" t="str">
        <f>IF(OR(WarlockLevel=0,Start!$AF$20=SelectText),"",VLOOKUP(WarlockLevel,Tables!$JM$102:$JW$121,JN$24+1,FALSE))</f>
        <v/>
      </c>
      <c r="JO26" s="577" t="str">
        <f>IF(OR(WarlockLevel=0,Start!$AF$20=SelectText),"",VLOOKUP(WarlockLevel,Tables!$JM$102:$JW$121,JO$24+1,FALSE))</f>
        <v/>
      </c>
      <c r="JP26" s="577" t="str">
        <f>IF(OR(WarlockLevel=0,Start!$AF$20=SelectText),"",VLOOKUP(WarlockLevel,Tables!$JM$102:$JW$121,JP$24+1,FALSE))</f>
        <v/>
      </c>
      <c r="JQ26" s="577" t="str">
        <f>IF(OR(WarlockLevel=0,Start!$AF$20=SelectText),"",VLOOKUP(WarlockLevel,Tables!$JM$102:$JW$121,JQ$24+1,FALSE))</f>
        <v/>
      </c>
      <c r="JR26" s="577" t="str">
        <f>IF(OR(WarlockLevel=0,Start!$AF$20=SelectText),"",VLOOKUP(WarlockLevel,Tables!$JM$102:$JW$121,JR$24+1,FALSE))</f>
        <v/>
      </c>
      <c r="JS26" s="577" t="str">
        <f>IF(OR(WarlockLevel=0,Start!$AF$20=SelectText),"",VLOOKUP(WarlockLevel,Tables!$JM$102:$JW$121,JS$24+1,FALSE))</f>
        <v/>
      </c>
      <c r="JT26" s="577" t="str">
        <f>IF(OR(WarlockLevel=0,Start!$AF$20=SelectText),"",VLOOKUP(WarlockLevel,Tables!$JM$102:$JW$121,JT$24+1,FALSE))</f>
        <v/>
      </c>
      <c r="JU26" s="577" t="str">
        <f>IF(OR(WarlockLevel=0,Start!$AF$20=SelectText),"",VLOOKUP(WarlockLevel,Tables!$JM$102:$JW$121,JU$24+1,FALSE))</f>
        <v/>
      </c>
      <c r="JV26" s="577" t="str">
        <f>IF(OR(WarlockLevel=0,Start!$AF$20=SelectText),"",VLOOKUP(WarlockLevel,Tables!$JM$102:$JW$121,JV$24+1,FALSE))</f>
        <v/>
      </c>
      <c r="JX26" s="302"/>
      <c r="JY26" s="302"/>
      <c r="KT26" s="93" t="s">
        <v>1533</v>
      </c>
      <c r="KU26" s="80" t="str">
        <f t="shared" si="128"/>
        <v>No</v>
      </c>
      <c r="KV26" s="89" t="s">
        <v>333</v>
      </c>
      <c r="KW26" s="270"/>
      <c r="KX26" s="270"/>
      <c r="KY26" s="270"/>
      <c r="KZ26" s="270"/>
      <c r="LA26" s="270"/>
      <c r="LB26" s="92"/>
      <c r="LC26" s="270"/>
      <c r="LD26" s="270"/>
      <c r="LE26" s="270"/>
      <c r="LF26" s="455"/>
      <c r="LG26" s="270"/>
      <c r="LH26" s="270"/>
      <c r="LI26" s="270"/>
      <c r="LJ26" s="270"/>
      <c r="LK26" s="270"/>
      <c r="LL26" s="406"/>
      <c r="LM26" s="455"/>
      <c r="LN26" s="270"/>
      <c r="LO26" s="270"/>
      <c r="LP26" s="270"/>
      <c r="LQ26" s="92"/>
      <c r="LR26" s="270"/>
      <c r="LS26" s="270"/>
      <c r="LT26" s="92"/>
      <c r="LU26" s="92"/>
      <c r="LV26" s="270"/>
      <c r="LW26" s="270"/>
      <c r="LX26" s="270"/>
      <c r="LY26" s="92"/>
      <c r="LZ26" s="92"/>
      <c r="MA26" s="92"/>
      <c r="MB26" s="92"/>
      <c r="MC26" s="92"/>
      <c r="MD26" s="92"/>
      <c r="ME26" s="92"/>
      <c r="MF26" s="92"/>
      <c r="MG26" s="92"/>
      <c r="MH26" s="92"/>
      <c r="MI26" s="92"/>
      <c r="MJ26" s="92"/>
      <c r="MK26" s="92"/>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438"/>
      <c r="NQ26" s="94"/>
      <c r="NR26" s="94"/>
      <c r="NS26" s="94"/>
      <c r="NT26" s="94"/>
      <c r="NU26" s="94"/>
      <c r="NV26" s="456"/>
      <c r="NW26" s="456"/>
      <c r="NX26" s="456"/>
      <c r="NY26" s="456"/>
      <c r="NZ26" s="456"/>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t="str">
        <f>IF(COUNTIF(Start!$AX$59:$BF$68,Tables!KT26)&gt;0,Tables!KT26,"")</f>
        <v/>
      </c>
      <c r="PT26" s="94"/>
      <c r="PU26" s="59" t="str">
        <f t="shared" si="129"/>
        <v/>
      </c>
      <c r="PV26" s="59" t="str">
        <f>IF(PU26="","",IF(COUNTIF(PU26:$PU$57,"&gt;&lt;")&gt;1,PU26&amp;", ", PU26))</f>
        <v/>
      </c>
      <c r="PW26" s="59"/>
      <c r="PX26" s="59"/>
      <c r="PZ26" s="28" t="s">
        <v>119</v>
      </c>
      <c r="QA26" s="28" t="s">
        <v>129</v>
      </c>
      <c r="QB26" s="30" t="str">
        <f t="shared" ca="1" si="79"/>
        <v>not proficient</v>
      </c>
      <c r="QC26" s="31" t="s">
        <v>131</v>
      </c>
      <c r="QD26" s="28" t="s">
        <v>107</v>
      </c>
      <c r="QE26" s="29" t="s">
        <v>140</v>
      </c>
      <c r="QF26" s="29">
        <v>10</v>
      </c>
      <c r="QG26" s="29" t="str">
        <f>""</f>
        <v/>
      </c>
      <c r="QH26" s="29" t="str">
        <f>""</f>
        <v/>
      </c>
      <c r="QI26" s="29" t="s">
        <v>137</v>
      </c>
      <c r="QJ26" s="29" t="str">
        <f>""</f>
        <v/>
      </c>
      <c r="QK26" s="29" t="str">
        <f>""</f>
        <v/>
      </c>
      <c r="QL26" s="29" t="str">
        <f>""</f>
        <v/>
      </c>
      <c r="QM26" s="29" t="str">
        <f>""</f>
        <v/>
      </c>
      <c r="QN26" s="29" t="str">
        <f>""</f>
        <v/>
      </c>
      <c r="QO26" s="29" t="s">
        <v>147</v>
      </c>
      <c r="QP26" s="29" t="str">
        <f>""</f>
        <v/>
      </c>
      <c r="QQ26" s="30" t="str">
        <f>""</f>
        <v/>
      </c>
      <c r="QR26" s="30" t="str">
        <f>""</f>
        <v/>
      </c>
      <c r="QT26" s="634"/>
      <c r="QU26" s="727" t="s">
        <v>97</v>
      </c>
      <c r="QV26" s="726"/>
      <c r="QW26" s="634"/>
      <c r="QX26" s="634"/>
      <c r="QY26" s="528"/>
      <c r="QZ26" s="727" t="str">
        <f>IF(QZ13="","",IF(COUNTIF(QZ13:$QZ$18,"&gt;&lt;$Q$1")&gt;1,QZ13&amp;", ",QZ13))</f>
        <v/>
      </c>
      <c r="RA26" s="634"/>
      <c r="RB26" s="634"/>
      <c r="RC26" s="634"/>
      <c r="RD26" s="634"/>
      <c r="RE26" s="634"/>
      <c r="RF26" s="634"/>
      <c r="RG26" s="634"/>
      <c r="RH26" s="727" t="str">
        <f>IF(RH13="","",IF(COUNTIF($RH13:RH$18,"&gt;&lt;$Q$1")&gt;1,RH13&amp;", ",RH13))</f>
        <v/>
      </c>
      <c r="RI26" s="634"/>
      <c r="RJ26" s="634"/>
      <c r="RK26" s="634"/>
      <c r="RL26" s="634"/>
      <c r="RM26" s="634"/>
      <c r="RN26" s="634"/>
      <c r="RO26" s="634"/>
      <c r="RP26" s="727" t="str">
        <f>IF(RP13="","",IF(COUNTIF($RP13:RP$18,"&gt;&lt;$Q$1")&gt;1,RP13&amp;", ",RP13))</f>
        <v/>
      </c>
      <c r="RQ26" s="634"/>
      <c r="RR26" s="634"/>
      <c r="RS26" s="634"/>
      <c r="RT26" s="634"/>
      <c r="RU26" s="634"/>
      <c r="RV26" s="634"/>
      <c r="RW26" s="634"/>
      <c r="RX26" s="727" t="str">
        <f>IF(RX13="","",IF(COUNTIF($RX13:RX$18,"&gt;&lt;$Q$1")&gt;1,RX13&amp;", ",RX13))</f>
        <v/>
      </c>
      <c r="RY26" s="634"/>
      <c r="RZ26" s="634"/>
      <c r="SA26" s="634"/>
      <c r="SB26" s="634"/>
      <c r="SC26" s="634"/>
      <c r="SD26" s="634"/>
      <c r="SE26" s="634"/>
      <c r="SF26" s="727" t="str">
        <f>IF(SF13="","",IF(COUNTIF($SF13:SF$18,"&gt;&lt;$Q$1")&gt;1,SF13&amp;", ",SF13))</f>
        <v/>
      </c>
      <c r="SG26" s="634"/>
      <c r="SH26" s="634"/>
      <c r="SI26" s="634"/>
      <c r="SJ26" s="634"/>
      <c r="SK26" s="634"/>
      <c r="SL26" s="634"/>
      <c r="SM26" s="634"/>
      <c r="SN26" s="727" t="str">
        <f>IF(SN13="","",IF(COUNTIF($SN13:SN$18,"&gt;&lt;$Q$1")&gt;1,SN13&amp;", ",SN13))</f>
        <v/>
      </c>
      <c r="SO26" s="634"/>
      <c r="SP26" s="634"/>
      <c r="SQ26" s="634"/>
      <c r="SR26" s="28"/>
      <c r="SS26" s="28"/>
      <c r="ST26" s="28"/>
      <c r="SU26" s="69"/>
      <c r="SV26" s="42"/>
      <c r="SW26" s="232"/>
      <c r="SX26" s="46"/>
      <c r="SY26" s="30"/>
      <c r="SZ26" s="29"/>
      <c r="TA26" s="28"/>
      <c r="TB26" s="28"/>
      <c r="TC26" s="28"/>
      <c r="TD26" s="42"/>
      <c r="TE26" s="29"/>
      <c r="TF26" s="69"/>
      <c r="TG26" s="29"/>
      <c r="TH26" s="30"/>
      <c r="TI26" s="30"/>
      <c r="TJ26" s="18">
        <f t="shared" si="115"/>
        <v>24</v>
      </c>
      <c r="TK26" s="58" t="s">
        <v>886</v>
      </c>
      <c r="TL26" s="58" t="s">
        <v>448</v>
      </c>
      <c r="TM26" s="18">
        <v>1</v>
      </c>
      <c r="TN26" s="59" t="str">
        <f t="shared" si="47"/>
        <v xml:space="preserve">Bane ᴴ </v>
      </c>
      <c r="TO26" s="350" t="s">
        <v>2991</v>
      </c>
      <c r="TP26" s="18" t="str">
        <f t="shared" si="48"/>
        <v/>
      </c>
      <c r="TQ26" s="18" t="str">
        <f>IF(OR(TK26=Spellcasting!$AC$18,TK26=Spellcasting!$AC$19),"ᵐ","")</f>
        <v/>
      </c>
      <c r="TR26" s="18" t="str">
        <f>IF(OR(TK26=Spellcasting!$AC$20,TK26=Spellcasting!$AC$21),"ˢ","")</f>
        <v/>
      </c>
      <c r="TS26" s="18" t="str">
        <f>""</f>
        <v/>
      </c>
      <c r="TT26" s="18" t="s">
        <v>484</v>
      </c>
      <c r="TU26" s="18" t="s">
        <v>851</v>
      </c>
      <c r="TV26" s="18" t="s">
        <v>558</v>
      </c>
      <c r="TW26" s="18" t="s">
        <v>495</v>
      </c>
      <c r="TX26" s="59" t="s">
        <v>1303</v>
      </c>
      <c r="TY26" s="18" t="s">
        <v>498</v>
      </c>
      <c r="TZ26" s="18" t="s">
        <v>499</v>
      </c>
      <c r="UA26" s="142" t="s">
        <v>3140</v>
      </c>
      <c r="UB26" s="319" t="s">
        <v>2138</v>
      </c>
      <c r="UC26" s="18" t="str">
        <f ca="1">IF(UC$1&gt;=$TM26,1,"0")</f>
        <v>0</v>
      </c>
      <c r="UH26" s="18" t="str">
        <f ca="1">IF(UH$1&gt;=$TM26,1,"0")</f>
        <v>0</v>
      </c>
      <c r="UQ26" s="18" t="str">
        <f>IF(UQ$1&gt;=$TM26,1,"0")</f>
        <v>0</v>
      </c>
      <c r="WD26" s="18" t="str">
        <f ca="1">IF(SUM($VZ$1:$WC$1)&gt;0,IF(AND(SUM($VZ26:$WC26)&gt;0,$TM26=WE$1),MAX(WD$2:WD25)+1,""),IF(AND(SUM($UC26:$VY26)&gt;0,$TM26=WE$1),MAX(WD$2:WD25)+1,""))</f>
        <v/>
      </c>
      <c r="WE26" s="59" t="str">
        <f t="shared" ca="1" si="80"/>
        <v/>
      </c>
      <c r="WF26" s="18" t="str">
        <f ca="1">IF(AND(SUM($UB26:$VY26)&gt;0,$TM26=WG$1),MAX(WF$2:WF25)+1,"")</f>
        <v/>
      </c>
      <c r="WG26" s="59" t="str">
        <f t="shared" ca="1" si="81"/>
        <v/>
      </c>
      <c r="WH26" s="18" t="str">
        <f ca="1">IF(AND(SUM($UB26:$VY26)&gt;0,$TM26=WI$1),MAX(WH$2:WH25)+1,"")</f>
        <v/>
      </c>
      <c r="WI26" s="59" t="str">
        <f t="shared" ca="1" si="82"/>
        <v/>
      </c>
      <c r="WJ26" s="18" t="str">
        <f ca="1">IF(AND(SUM($UB26:$VY26)&gt;0,$TM26=WK$1),MAX(WJ$2:WJ25)+1,"")</f>
        <v/>
      </c>
      <c r="WK26" s="59" t="str">
        <f t="shared" ca="1" si="83"/>
        <v/>
      </c>
      <c r="WL26" s="18" t="str">
        <f ca="1">IF(AND(SUM($UB26:$VY26)&gt;0,$TM26=WM$1),MAX(WL$2:WL25)+1,"")</f>
        <v/>
      </c>
      <c r="WM26" s="59" t="str">
        <f t="shared" ca="1" si="84"/>
        <v/>
      </c>
      <c r="WN26" s="18" t="str">
        <f ca="1">IF(AND(SUM($UB26:$VY26)&gt;0,$TM26=WO$1),MAX(WN$2:WN25)+1,"")</f>
        <v/>
      </c>
      <c r="WO26" s="59" t="str">
        <f t="shared" ca="1" si="85"/>
        <v/>
      </c>
      <c r="WP26" s="18" t="str">
        <f ca="1">IF(AND(SUM($UB26:$VY26)&gt;0,$TM26=WQ$1),MAX(WP$2:WP25)+1,"")</f>
        <v/>
      </c>
      <c r="WQ26" s="59" t="str">
        <f t="shared" ca="1" si="86"/>
        <v/>
      </c>
      <c r="WR26" s="18" t="str">
        <f ca="1">IF(AND(SUM($UB26:$VY26)&gt;0,$TM26=WS$1),MAX(WR$2:WR25)+1,"")</f>
        <v/>
      </c>
      <c r="WS26" s="59" t="str">
        <f t="shared" ca="1" si="87"/>
        <v/>
      </c>
      <c r="WT26" s="18" t="str">
        <f ca="1">IF(AND(SUM($UB26:$VY26)&gt;0,$TM26=WU$1),MAX(WT$2:WT25)+1,"")</f>
        <v/>
      </c>
      <c r="WU26" s="59" t="str">
        <f t="shared" ca="1" si="88"/>
        <v/>
      </c>
      <c r="WV26" s="18" t="str">
        <f ca="1">IF(AND(SUM($UB26:$VY26)&gt;0,$TM26=WW$1),MAX(WV$2:WV25)+1,"")</f>
        <v/>
      </c>
      <c r="WW26" s="59" t="str">
        <f t="shared" ca="1" si="89"/>
        <v/>
      </c>
      <c r="WX26" s="18" t="str">
        <f ca="1">IF(AND(SUM($UB26:$VY26)&gt;0,$TM26=WY$1),MAX(WX$2:WX25)+1,"")</f>
        <v/>
      </c>
      <c r="WY26" s="59" t="str">
        <f t="shared" ca="1" si="90"/>
        <v/>
      </c>
      <c r="WZ26" s="18">
        <v>25</v>
      </c>
      <c r="XA26" s="59" t="str">
        <f t="shared" ca="1" si="91"/>
        <v/>
      </c>
      <c r="XB26" s="59" t="str">
        <f t="shared" ca="1" si="28"/>
        <v/>
      </c>
      <c r="XC26" s="59" t="str">
        <f t="shared" ca="1" si="29"/>
        <v/>
      </c>
      <c r="XD26" s="59" t="str">
        <f t="shared" ca="1" si="60"/>
        <v/>
      </c>
      <c r="XE26" s="59" t="str">
        <f t="shared" ca="1" si="61"/>
        <v/>
      </c>
      <c r="XF26" s="59" t="str">
        <f t="shared" ca="1" si="62"/>
        <v/>
      </c>
      <c r="XG26" s="59" t="str">
        <f t="shared" ca="1" si="63"/>
        <v/>
      </c>
      <c r="XH26" s="59" t="str">
        <f t="shared" ca="1" si="64"/>
        <v/>
      </c>
      <c r="XI26" s="59" t="str">
        <f t="shared" ca="1" si="65"/>
        <v/>
      </c>
      <c r="XJ26" s="59" t="str">
        <f t="shared" ca="1" si="66"/>
        <v/>
      </c>
      <c r="XK26" s="59" t="str">
        <f t="shared" ca="1" si="67"/>
        <v/>
      </c>
      <c r="XL26" s="59"/>
      <c r="XM26" s="18"/>
      <c r="XN26" s="142"/>
      <c r="XO26" s="142"/>
      <c r="XP26" s="142"/>
      <c r="XQ26" s="142"/>
      <c r="XR26" s="142"/>
      <c r="XS26" s="142"/>
      <c r="XT26" s="142"/>
      <c r="XU26" s="142"/>
      <c r="XV26" s="142"/>
      <c r="XW26" s="142"/>
      <c r="XX26" s="142"/>
      <c r="XY26" s="142"/>
      <c r="XZ26" s="142"/>
      <c r="YA26" s="142"/>
      <c r="YB26" s="142"/>
      <c r="YC26" s="142"/>
      <c r="YG26" s="58" t="s">
        <v>757</v>
      </c>
      <c r="YH26" s="58" t="s">
        <v>187</v>
      </c>
      <c r="YI26" s="215" t="s">
        <v>1773</v>
      </c>
      <c r="YJ26" s="215" t="s">
        <v>3442</v>
      </c>
      <c r="YK26" s="215" t="str">
        <f>""</f>
        <v/>
      </c>
      <c r="YL26" s="249" t="str">
        <f>""</f>
        <v/>
      </c>
      <c r="YM26" s="249" t="str">
        <f>""</f>
        <v/>
      </c>
      <c r="YN26" s="249" t="str">
        <f>""</f>
        <v/>
      </c>
      <c r="YO26" s="249"/>
      <c r="YP26" s="249"/>
      <c r="YQ26" s="215"/>
      <c r="YR26" s="215"/>
      <c r="YS26" s="215"/>
      <c r="YT26" s="18" t="s">
        <v>288</v>
      </c>
      <c r="YU26" s="18">
        <v>12</v>
      </c>
      <c r="YV26" s="18" t="str">
        <f t="shared" ca="1" si="134"/>
        <v/>
      </c>
      <c r="YW26" s="18" t="str">
        <f ca="1">IF(YX26="","",MAX($YW$1:YW25)+1)</f>
        <v/>
      </c>
      <c r="YX26" s="59" t="str">
        <f t="shared" ca="1" si="71"/>
        <v/>
      </c>
      <c r="YY26" s="18" t="str">
        <f t="shared" ca="1" si="72"/>
        <v/>
      </c>
      <c r="ZR26"/>
    </row>
    <row r="27" spans="5:694" ht="9.9499999999999993" customHeight="1" x14ac:dyDescent="0.25">
      <c r="E27" s="59"/>
      <c r="F27" s="59"/>
      <c r="G27" s="59"/>
      <c r="H27" s="59"/>
      <c r="I27" s="59"/>
      <c r="J27" s="59"/>
      <c r="K27" s="59"/>
      <c r="AE27" s="17"/>
      <c r="AF27" s="17"/>
      <c r="AG27" s="252"/>
      <c r="AH27" s="17"/>
      <c r="AI27" s="287"/>
      <c r="AJ27" s="17"/>
      <c r="AK27" s="267"/>
      <c r="AL27" s="291"/>
      <c r="AM27" s="17"/>
      <c r="AN27" s="18"/>
      <c r="AO27" s="18">
        <f t="shared" si="119"/>
        <v>26</v>
      </c>
      <c r="AP27" s="59" t="str">
        <f t="shared" si="135"/>
        <v/>
      </c>
      <c r="AQ27" s="59" t="str">
        <f>""</f>
        <v/>
      </c>
      <c r="AR27" s="254" t="s">
        <v>1068</v>
      </c>
      <c r="AS27" s="385" t="s">
        <v>2439</v>
      </c>
      <c r="AT27" s="254" t="s">
        <v>1094</v>
      </c>
      <c r="AU27" s="385" t="s">
        <v>2473</v>
      </c>
      <c r="AV27" s="255" t="s">
        <v>1144</v>
      </c>
      <c r="AW27" s="385" t="s">
        <v>2519</v>
      </c>
      <c r="AX27" s="385" t="s">
        <v>2552</v>
      </c>
      <c r="AY27" s="58" t="s">
        <v>1164</v>
      </c>
      <c r="AZ27" s="58" t="s">
        <v>2588</v>
      </c>
      <c r="BA27" s="254" t="s">
        <v>1031</v>
      </c>
      <c r="BB27" s="385" t="s">
        <v>2614</v>
      </c>
      <c r="BC27" s="58" t="s">
        <v>1190</v>
      </c>
      <c r="BD27" s="58" t="s">
        <v>2382</v>
      </c>
      <c r="BE27" s="18" t="str">
        <f>""</f>
        <v/>
      </c>
      <c r="BI27" s="338"/>
      <c r="BJ27" s="341"/>
      <c r="BK27" s="340"/>
      <c r="BL27" s="340"/>
      <c r="BM27" s="556"/>
      <c r="BN27" s="338"/>
      <c r="BO27" s="338"/>
      <c r="BP27" s="340"/>
      <c r="BQ27" s="340"/>
      <c r="BR27" s="340"/>
      <c r="BS27" s="340"/>
      <c r="BT27" s="340"/>
      <c r="BU27" s="340"/>
      <c r="BV27" s="340"/>
      <c r="BW27" s="340"/>
      <c r="BX27" s="340"/>
      <c r="BY27" s="340"/>
      <c r="BZ27" s="555"/>
      <c r="CA27" s="555"/>
      <c r="CB27" s="555"/>
      <c r="CC27" s="339"/>
      <c r="CD27" s="555"/>
      <c r="CE27" s="340"/>
      <c r="CF27" s="555"/>
      <c r="CG27" s="340"/>
      <c r="CH27" s="555"/>
      <c r="CI27" s="555"/>
      <c r="CJ27" s="340"/>
      <c r="CK27" s="555"/>
      <c r="CL27" s="340"/>
      <c r="CM27" s="339"/>
      <c r="CN27" s="339"/>
      <c r="CO27" s="339"/>
      <c r="CP27" s="339"/>
      <c r="CQ27" s="339"/>
      <c r="CR27" s="339"/>
      <c r="CS27" s="339"/>
      <c r="CT27" s="339"/>
      <c r="CU27" s="339"/>
      <c r="CV27" s="339"/>
      <c r="CW27" s="339"/>
      <c r="CX27" s="339"/>
      <c r="CY27" s="339"/>
      <c r="CZ27" s="339"/>
      <c r="DA27" s="339"/>
      <c r="DB27" s="339"/>
      <c r="DC27" s="339"/>
      <c r="DD27" s="339"/>
      <c r="DE27" s="339"/>
      <c r="DF27" s="339"/>
      <c r="DG27" s="104"/>
      <c r="DH27" s="104"/>
      <c r="DI27" s="104"/>
      <c r="DJ27" s="104"/>
      <c r="DK27" s="104"/>
      <c r="DL27" s="59" t="s">
        <v>296</v>
      </c>
      <c r="DM27" s="18" t="s">
        <v>801</v>
      </c>
      <c r="DN27" s="18">
        <f t="shared" ca="1" si="121"/>
        <v>0</v>
      </c>
      <c r="DO27" s="58" t="str">
        <f>""</f>
        <v/>
      </c>
      <c r="DP27" s="59" t="s">
        <v>1923</v>
      </c>
      <c r="DQ27" s="58" t="str">
        <f>""</f>
        <v/>
      </c>
      <c r="DR27" s="59" t="str">
        <f>""</f>
        <v/>
      </c>
      <c r="DS27" s="59" t="str">
        <f>""</f>
        <v/>
      </c>
      <c r="DT27" s="59" t="s">
        <v>1924</v>
      </c>
      <c r="DU27" s="59" t="str">
        <f>""</f>
        <v/>
      </c>
      <c r="DV27" s="59" t="str">
        <f>""</f>
        <v/>
      </c>
      <c r="DW27" s="59" t="str">
        <f>""</f>
        <v/>
      </c>
      <c r="DX27" s="59" t="s">
        <v>1925</v>
      </c>
      <c r="DY27" s="59" t="str">
        <f>""</f>
        <v/>
      </c>
      <c r="DZ27" s="59" t="str">
        <f>""</f>
        <v/>
      </c>
      <c r="EA27" s="59" t="str">
        <f>""</f>
        <v/>
      </c>
      <c r="EB27" s="59" t="s">
        <v>1926</v>
      </c>
      <c r="EC27" s="59" t="str">
        <f>""</f>
        <v/>
      </c>
      <c r="ED27" s="59" t="str">
        <f>""</f>
        <v/>
      </c>
      <c r="EE27" s="59" t="str">
        <f>""</f>
        <v/>
      </c>
      <c r="EF27" s="59" t="str">
        <f>""</f>
        <v/>
      </c>
      <c r="EG27" s="59" t="str">
        <f>""</f>
        <v/>
      </c>
      <c r="EH27" s="59" t="str">
        <f>""</f>
        <v/>
      </c>
      <c r="EI27" s="103" t="str">
        <f>""</f>
        <v/>
      </c>
      <c r="EJ27" s="103" t="str">
        <f>""</f>
        <v/>
      </c>
      <c r="EK27" s="103"/>
      <c r="EL27" s="103" t="str">
        <f>""</f>
        <v/>
      </c>
      <c r="EM27" s="103"/>
      <c r="EN27" s="103" t="str">
        <f>""</f>
        <v/>
      </c>
      <c r="EO27" s="103"/>
      <c r="EP27" s="103" t="str">
        <f>""</f>
        <v/>
      </c>
      <c r="EQ27" s="103"/>
      <c r="ER27" s="103" t="str">
        <f>""</f>
        <v/>
      </c>
      <c r="ES27" s="103"/>
      <c r="ET27" s="59" t="str">
        <f>""</f>
        <v/>
      </c>
      <c r="EU27" s="18" t="str">
        <f>""</f>
        <v/>
      </c>
      <c r="EV27" s="59" t="str">
        <f>""</f>
        <v/>
      </c>
      <c r="EW27" s="18" t="str">
        <f>""</f>
        <v/>
      </c>
      <c r="EX27" s="59" t="str">
        <f>""</f>
        <v/>
      </c>
      <c r="EY27" s="18" t="str">
        <f>""</f>
        <v/>
      </c>
      <c r="EZ27" s="18"/>
      <c r="FA27" s="18" t="str">
        <f>IF($DM27=FB$5,MAX(FA$6:FA26)+1,"")</f>
        <v/>
      </c>
      <c r="FB27" s="58" t="str">
        <f t="shared" si="122"/>
        <v/>
      </c>
      <c r="FC27" s="18"/>
      <c r="FE27" s="18" t="str">
        <f>IF($DM27=FF$5,MAX(FE$6:FE26)+1,"")</f>
        <v/>
      </c>
      <c r="FF27" s="58" t="str">
        <f t="shared" si="123"/>
        <v/>
      </c>
      <c r="FG27" s="18"/>
      <c r="FI27" s="18" t="str">
        <f>IF($DM27=FJ$5,MAX(FI$6:FI26)+1,"")</f>
        <v/>
      </c>
      <c r="FJ27" s="58" t="str">
        <f t="shared" si="124"/>
        <v/>
      </c>
      <c r="FK27" s="18"/>
      <c r="FM27" s="18"/>
      <c r="FN27" s="18"/>
      <c r="FO27" s="18"/>
      <c r="FP27" s="18"/>
      <c r="FQ27" s="18"/>
      <c r="FR27" s="18"/>
      <c r="FS27" s="18"/>
      <c r="FT27" s="18"/>
      <c r="FU27" s="18"/>
      <c r="FV27" s="18"/>
      <c r="FX27" s="59" t="s">
        <v>790</v>
      </c>
      <c r="FY27" s="543" t="s">
        <v>3061</v>
      </c>
      <c r="FZ27" s="104"/>
      <c r="GA27" s="104"/>
      <c r="GB27" s="104"/>
      <c r="GC27" s="104"/>
      <c r="GD27" s="104"/>
      <c r="GE27" s="104"/>
      <c r="GF27" s="104"/>
      <c r="GG27" s="104"/>
      <c r="GH27" s="104"/>
      <c r="GI27" s="104"/>
      <c r="GJ27" s="104"/>
      <c r="GK27" s="18"/>
      <c r="GL27" s="18"/>
      <c r="GM27" s="18"/>
      <c r="GN27" s="18"/>
      <c r="GO27" s="18"/>
      <c r="GP27" s="18"/>
      <c r="GQ27" s="18"/>
      <c r="GR27" s="18"/>
      <c r="GZ27" s="59"/>
      <c r="HA27" s="59"/>
      <c r="HB27" s="59"/>
      <c r="HC27" s="59"/>
      <c r="HD27" s="59"/>
      <c r="HE27" s="59"/>
      <c r="HF27" s="59"/>
      <c r="HG27" s="59"/>
      <c r="HH27" s="59"/>
      <c r="HI27" s="59"/>
      <c r="HJ27" s="59"/>
      <c r="HK27" s="58" t="s">
        <v>2915</v>
      </c>
      <c r="HL27" s="59" t="s">
        <v>2905</v>
      </c>
      <c r="HM27" s="59" t="s">
        <v>2929</v>
      </c>
      <c r="HN27" s="59"/>
      <c r="HO27" s="59"/>
      <c r="HP27" s="59"/>
      <c r="HQ27" s="59"/>
      <c r="HR27" s="59"/>
      <c r="HS27" s="59"/>
      <c r="HT27" s="59"/>
      <c r="HU27" s="59"/>
      <c r="HV27" s="59"/>
      <c r="HW27" s="59"/>
      <c r="HX27" s="59"/>
      <c r="HY27" s="59"/>
      <c r="HZ27" s="59"/>
      <c r="IA27" s="59"/>
      <c r="IC27" s="59"/>
      <c r="ID27" s="59"/>
      <c r="IE27" s="59"/>
      <c r="IF27" s="59"/>
      <c r="IG27" s="59"/>
      <c r="IH27" s="18" t="str">
        <f>IF(IJ27=1,MAX($IH$2:IH26)+1,"")</f>
        <v/>
      </c>
      <c r="II27" s="59" t="s">
        <v>3317</v>
      </c>
      <c r="IJ27" s="59" t="str">
        <f>IF(WarlockLevel&gt;=7,1,"")</f>
        <v/>
      </c>
      <c r="IK27" s="59" t="s">
        <v>3363</v>
      </c>
      <c r="IL27" s="18">
        <f t="shared" si="105"/>
        <v>25</v>
      </c>
      <c r="IM27" s="59" t="str">
        <f t="shared" si="77"/>
        <v/>
      </c>
      <c r="IN27" s="59"/>
      <c r="IO27" s="59"/>
      <c r="IP27" s="59"/>
      <c r="IQ27" s="59"/>
      <c r="IR27" s="59"/>
      <c r="IS27" s="59"/>
      <c r="IT27" s="59"/>
      <c r="IU27" s="59"/>
      <c r="IX27" s="59" t="s">
        <v>1493</v>
      </c>
      <c r="IY27" s="59" t="s">
        <v>953</v>
      </c>
      <c r="IZ27" s="59" t="s">
        <v>194</v>
      </c>
      <c r="JA27" s="59" t="s">
        <v>281</v>
      </c>
      <c r="JB27" s="59" t="s">
        <v>912</v>
      </c>
      <c r="JI27" s="60"/>
      <c r="JJ27" s="60"/>
      <c r="JM27" s="85" t="s">
        <v>17</v>
      </c>
      <c r="JN27" s="18" t="str">
        <f ca="1">IF(SUM(JN25:JN26)=0,"-",SUM(JN25:JN26))</f>
        <v>-</v>
      </c>
      <c r="JO27" s="18" t="str">
        <f t="shared" ref="JO27:JV27" ca="1" si="136">IF(SUM(JO25:JO26)=0,"-",SUM(JO25:JO26))</f>
        <v>-</v>
      </c>
      <c r="JP27" s="18" t="str">
        <f t="shared" ca="1" si="136"/>
        <v>-</v>
      </c>
      <c r="JQ27" s="18" t="str">
        <f t="shared" ca="1" si="136"/>
        <v>-</v>
      </c>
      <c r="JR27" s="18" t="str">
        <f t="shared" ca="1" si="136"/>
        <v>-</v>
      </c>
      <c r="JS27" s="18" t="str">
        <f t="shared" ca="1" si="136"/>
        <v>-</v>
      </c>
      <c r="JT27" s="18" t="str">
        <f t="shared" ca="1" si="136"/>
        <v>-</v>
      </c>
      <c r="JU27" s="18" t="str">
        <f t="shared" ca="1" si="136"/>
        <v>-</v>
      </c>
      <c r="JV27" s="18" t="str">
        <f t="shared" ca="1" si="136"/>
        <v>-</v>
      </c>
      <c r="JX27" s="302"/>
      <c r="JY27" s="302"/>
      <c r="KR27" s="575"/>
      <c r="KT27" s="93" t="s">
        <v>1534</v>
      </c>
      <c r="KU27" s="80" t="str">
        <f t="shared" si="128"/>
        <v>No</v>
      </c>
      <c r="KV27" s="89" t="s">
        <v>333</v>
      </c>
      <c r="KW27" s="270"/>
      <c r="KX27" s="270"/>
      <c r="KY27" s="270"/>
      <c r="KZ27" s="270"/>
      <c r="LA27" s="270"/>
      <c r="LB27" s="92"/>
      <c r="LC27" s="270"/>
      <c r="LD27" s="270"/>
      <c r="LE27" s="270"/>
      <c r="LF27" s="455"/>
      <c r="LG27" s="270"/>
      <c r="LH27" s="270"/>
      <c r="LI27" s="270"/>
      <c r="LJ27" s="270"/>
      <c r="LK27" s="270"/>
      <c r="LL27" s="406"/>
      <c r="LM27" s="455"/>
      <c r="LN27" s="270"/>
      <c r="LO27" s="270"/>
      <c r="LP27" s="270"/>
      <c r="LQ27" s="92"/>
      <c r="LR27" s="270"/>
      <c r="LS27" s="270"/>
      <c r="LT27" s="92"/>
      <c r="LU27" s="92"/>
      <c r="LV27" s="270"/>
      <c r="LW27" s="270"/>
      <c r="LX27" s="270"/>
      <c r="LY27" s="92"/>
      <c r="LZ27" s="92"/>
      <c r="MA27" s="92"/>
      <c r="MB27" s="92"/>
      <c r="MC27" s="92"/>
      <c r="MD27" s="92"/>
      <c r="ME27" s="92"/>
      <c r="MF27" s="92"/>
      <c r="MG27" s="92"/>
      <c r="MH27" s="92"/>
      <c r="MI27" s="92"/>
      <c r="MJ27" s="92"/>
      <c r="MK27" s="92"/>
      <c r="ML27" s="94"/>
      <c r="MM27" s="94"/>
      <c r="MN27" s="94"/>
      <c r="MO27" s="94"/>
      <c r="MP27" s="94"/>
      <c r="MQ27" s="94"/>
      <c r="MR27" s="94"/>
      <c r="MS27" s="94"/>
      <c r="MT27" s="94"/>
      <c r="MU27" s="94"/>
      <c r="MV27" s="94"/>
      <c r="MW27" s="94"/>
      <c r="MX27" s="94"/>
      <c r="MY27" s="94"/>
      <c r="MZ27" s="94"/>
      <c r="NA27" s="94"/>
      <c r="NB27" s="94"/>
      <c r="NC27" s="94"/>
      <c r="ND27" s="94"/>
      <c r="NE27" s="94"/>
      <c r="NF27" s="94"/>
      <c r="NG27" s="94"/>
      <c r="NH27" s="94"/>
      <c r="NI27" s="94"/>
      <c r="NJ27" s="94"/>
      <c r="NK27" s="94"/>
      <c r="NL27" s="94"/>
      <c r="NM27" s="94"/>
      <c r="NN27" s="94"/>
      <c r="NO27" s="94"/>
      <c r="NP27" s="438"/>
      <c r="NQ27" s="94"/>
      <c r="NR27" s="94"/>
      <c r="NS27" s="94"/>
      <c r="NT27" s="94"/>
      <c r="NU27" s="94"/>
      <c r="NV27" s="456"/>
      <c r="NW27" s="456"/>
      <c r="NX27" s="456"/>
      <c r="NY27" s="456"/>
      <c r="NZ27" s="456"/>
      <c r="OA27" s="94"/>
      <c r="OB27" s="94"/>
      <c r="OC27" s="94"/>
      <c r="OD27" s="94"/>
      <c r="OE27" s="94"/>
      <c r="OF27" s="94"/>
      <c r="OG27" s="94"/>
      <c r="OH27" s="94"/>
      <c r="OI27" s="94"/>
      <c r="OJ27" s="94"/>
      <c r="OK27" s="94"/>
      <c r="OL27" s="94"/>
      <c r="OM27" s="94"/>
      <c r="ON27" s="94"/>
      <c r="OO27" s="94"/>
      <c r="OP27" s="94"/>
      <c r="OQ27" s="94"/>
      <c r="OR27" s="94"/>
      <c r="OS27" s="94"/>
      <c r="OT27" s="94"/>
      <c r="OU27" s="94"/>
      <c r="OV27" s="94"/>
      <c r="OW27" s="94"/>
      <c r="OX27" s="94"/>
      <c r="OY27" s="94"/>
      <c r="OZ27" s="94"/>
      <c r="PA27" s="94"/>
      <c r="PB27" s="94"/>
      <c r="PC27" s="94"/>
      <c r="PD27" s="94"/>
      <c r="PE27" s="94"/>
      <c r="PF27" s="94"/>
      <c r="PG27" s="94"/>
      <c r="PH27" s="94"/>
      <c r="PI27" s="94"/>
      <c r="PJ27" s="94"/>
      <c r="PK27" s="94"/>
      <c r="PL27" s="94"/>
      <c r="PM27" s="94"/>
      <c r="PN27" s="94"/>
      <c r="PO27" s="94"/>
      <c r="PP27" s="94"/>
      <c r="PQ27" s="94"/>
      <c r="PR27" s="94"/>
      <c r="PS27" s="94" t="str">
        <f>IF(COUNTIF(Start!$AX$59:$BF$68,Tables!KT27)&gt;0,Tables!KT27,"")</f>
        <v/>
      </c>
      <c r="PT27" s="94"/>
      <c r="PU27" s="59" t="str">
        <f t="shared" si="129"/>
        <v/>
      </c>
      <c r="PV27" s="59" t="str">
        <f>IF(PU27="","",IF(COUNTIF(PU27:$PU$57,"&gt;&lt;")&gt;1,PU27&amp;", ", PU27))</f>
        <v/>
      </c>
      <c r="PW27" s="59"/>
      <c r="PX27" s="59"/>
      <c r="PZ27" s="19" t="s">
        <v>120</v>
      </c>
      <c r="QA27" s="19" t="s">
        <v>129</v>
      </c>
      <c r="QB27" s="27" t="str">
        <f t="shared" ca="1" si="79"/>
        <v>not proficient</v>
      </c>
      <c r="QC27" s="67" t="s">
        <v>88</v>
      </c>
      <c r="QD27" s="19" t="s">
        <v>106</v>
      </c>
      <c r="QE27" s="26" t="s">
        <v>140</v>
      </c>
      <c r="QF27" s="26">
        <v>4</v>
      </c>
      <c r="QG27" s="26" t="str">
        <f>""</f>
        <v/>
      </c>
      <c r="QH27" s="26" t="str">
        <f>""</f>
        <v/>
      </c>
      <c r="QI27" s="26" t="str">
        <f>""</f>
        <v/>
      </c>
      <c r="QJ27" s="26" t="str">
        <f>""</f>
        <v/>
      </c>
      <c r="QK27" s="26" t="str">
        <f>""</f>
        <v/>
      </c>
      <c r="QL27" s="26" t="str">
        <f>""</f>
        <v/>
      </c>
      <c r="QM27" s="26" t="str">
        <f>""</f>
        <v/>
      </c>
      <c r="QN27" s="26" t="str">
        <f>""</f>
        <v/>
      </c>
      <c r="QO27" s="26" t="str">
        <f>""</f>
        <v/>
      </c>
      <c r="QP27" s="26" t="str">
        <f>""</f>
        <v/>
      </c>
      <c r="QQ27" s="27" t="str">
        <f>""</f>
        <v/>
      </c>
      <c r="QR27" s="27" t="str">
        <f>""</f>
        <v/>
      </c>
      <c r="QT27" s="634"/>
      <c r="QU27" s="727" t="s">
        <v>98</v>
      </c>
      <c r="QV27" s="726"/>
      <c r="QW27" s="634"/>
      <c r="QX27" s="634"/>
      <c r="QY27" s="528"/>
      <c r="QZ27" s="727" t="str">
        <f>IF(QZ14="","",IF(COUNTIF(QZ14:$QZ$18,"&gt;&lt;$Q$1")&gt;1,QZ14&amp;", ",QZ14))</f>
        <v/>
      </c>
      <c r="RA27" s="634"/>
      <c r="RB27" s="634"/>
      <c r="RC27" s="634"/>
      <c r="RD27" s="634"/>
      <c r="RE27" s="634"/>
      <c r="RF27" s="634"/>
      <c r="RG27" s="634"/>
      <c r="RH27" s="727" t="str">
        <f>IF(RH14="","",IF(COUNTIF($RH14:RH$18,"&gt;&lt;$Q$1")&gt;1,RH14&amp;", ",RH14))</f>
        <v/>
      </c>
      <c r="RI27" s="634"/>
      <c r="RJ27" s="634"/>
      <c r="RK27" s="634"/>
      <c r="RL27" s="634"/>
      <c r="RM27" s="634"/>
      <c r="RN27" s="634"/>
      <c r="RO27" s="634"/>
      <c r="RP27" s="727" t="str">
        <f>IF(RP14="","",IF(COUNTIF($RP14:RP$18,"&gt;&lt;$Q$1")&gt;1,RP14&amp;", ",RP14))</f>
        <v/>
      </c>
      <c r="RQ27" s="634"/>
      <c r="RR27" s="634"/>
      <c r="RS27" s="634"/>
      <c r="RT27" s="634"/>
      <c r="RU27" s="634"/>
      <c r="RV27" s="634"/>
      <c r="RW27" s="634"/>
      <c r="RX27" s="727" t="str">
        <f>IF(RX14="","",IF(COUNTIF($RX14:RX$18,"&gt;&lt;$Q$1")&gt;1,RX14&amp;", ",RX14))</f>
        <v/>
      </c>
      <c r="RY27" s="634"/>
      <c r="RZ27" s="634"/>
      <c r="SA27" s="634"/>
      <c r="SB27" s="634"/>
      <c r="SC27" s="634"/>
      <c r="SD27" s="634"/>
      <c r="SE27" s="634"/>
      <c r="SF27" s="727" t="str">
        <f>IF(SF14="","",IF(COUNTIF($SF14:SF$18,"&gt;&lt;$Q$1")&gt;1,SF14&amp;", ",SF14))</f>
        <v/>
      </c>
      <c r="SG27" s="634"/>
      <c r="SH27" s="634"/>
      <c r="SI27" s="634"/>
      <c r="SJ27" s="634"/>
      <c r="SK27" s="634"/>
      <c r="SL27" s="634"/>
      <c r="SM27" s="634"/>
      <c r="SN27" s="727" t="str">
        <f>IF(SN14="","",IF(COUNTIF($SN14:SN$18,"&gt;&lt;$Q$1")&gt;1,SN14&amp;", ",SN14))</f>
        <v/>
      </c>
      <c r="SO27" s="634"/>
      <c r="SP27" s="634"/>
      <c r="SQ27" s="634"/>
      <c r="SR27" s="19"/>
      <c r="SS27" s="19"/>
      <c r="ST27" s="19"/>
      <c r="SU27" s="68"/>
      <c r="SV27" s="44"/>
      <c r="SW27" s="231"/>
      <c r="SX27" s="45"/>
      <c r="SY27" s="27"/>
      <c r="SZ27" s="26"/>
      <c r="TA27" s="19"/>
      <c r="TB27" s="19"/>
      <c r="TC27" s="19"/>
      <c r="TD27" s="44"/>
      <c r="TE27" s="26"/>
      <c r="TF27" s="68"/>
      <c r="TG27" s="26"/>
      <c r="TH27" s="27"/>
      <c r="TI27" s="27"/>
      <c r="TJ27" s="18">
        <f t="shared" si="115"/>
        <v>25</v>
      </c>
      <c r="TK27" s="58" t="s">
        <v>429</v>
      </c>
      <c r="TL27" s="58" t="s">
        <v>462</v>
      </c>
      <c r="TM27" s="18">
        <v>5</v>
      </c>
      <c r="TN27" s="59" t="str">
        <f t="shared" si="47"/>
        <v xml:space="preserve">Banishing Smite </v>
      </c>
      <c r="TO27" s="18" t="str">
        <f>""</f>
        <v/>
      </c>
      <c r="TP27" s="18" t="str">
        <f t="shared" si="48"/>
        <v/>
      </c>
      <c r="TQ27" s="18" t="str">
        <f>IF(OR(TK27=Spellcasting!$AC$18,TK27=Spellcasting!$AC$19),"ᵐ","")</f>
        <v/>
      </c>
      <c r="TR27" s="18" t="str">
        <f>IF(OR(TK27=Spellcasting!$AC$20,TK27=Spellcasting!$AC$21),"ˢ","")</f>
        <v/>
      </c>
      <c r="TS27" s="18" t="str">
        <f>""</f>
        <v/>
      </c>
      <c r="TT27" s="18" t="s">
        <v>1256</v>
      </c>
      <c r="TU27" s="18" t="s">
        <v>509</v>
      </c>
      <c r="TV27" s="18" t="s">
        <v>558</v>
      </c>
      <c r="TW27" s="18" t="s">
        <v>541</v>
      </c>
      <c r="TX27" s="59" t="str">
        <f>""</f>
        <v/>
      </c>
      <c r="TY27" s="18" t="s">
        <v>487</v>
      </c>
      <c r="TZ27" s="18" t="s">
        <v>488</v>
      </c>
      <c r="UA27" s="59" t="s">
        <v>1304</v>
      </c>
      <c r="UB27" s="319" t="s">
        <v>3239</v>
      </c>
      <c r="UD27" s="18" t="str">
        <f ca="1">IF(UD$1&gt;=$TM27,1,"0")</f>
        <v>0</v>
      </c>
      <c r="WD27" s="18" t="str">
        <f ca="1">IF(SUM($VZ$1:$WC$1)&gt;0,IF(AND(SUM($VZ27:$WC27)&gt;0,$TM27=WE$1),MAX(WD$2:WD26)+1,""),IF(AND(SUM($UC27:$VY27)&gt;0,$TM27=WE$1),MAX(WD$2:WD26)+1,""))</f>
        <v/>
      </c>
      <c r="WE27" s="59" t="str">
        <f t="shared" ca="1" si="80"/>
        <v/>
      </c>
      <c r="WF27" s="18" t="str">
        <f ca="1">IF(AND(SUM($UB27:$VY27)&gt;0,$TM27=WG$1),MAX(WF$2:WF26)+1,"")</f>
        <v/>
      </c>
      <c r="WG27" s="59" t="str">
        <f t="shared" ca="1" si="81"/>
        <v/>
      </c>
      <c r="WH27" s="18" t="str">
        <f ca="1">IF(AND(SUM($UB27:$VY27)&gt;0,$TM27=WI$1),MAX(WH$2:WH26)+1,"")</f>
        <v/>
      </c>
      <c r="WI27" s="59" t="str">
        <f t="shared" ca="1" si="82"/>
        <v/>
      </c>
      <c r="WJ27" s="18" t="str">
        <f ca="1">IF(AND(SUM($UB27:$VY27)&gt;0,$TM27=WK$1),MAX(WJ$2:WJ26)+1,"")</f>
        <v/>
      </c>
      <c r="WK27" s="59" t="str">
        <f t="shared" ca="1" si="83"/>
        <v/>
      </c>
      <c r="WL27" s="18" t="str">
        <f ca="1">IF(AND(SUM($UB27:$VY27)&gt;0,$TM27=WM$1),MAX(WL$2:WL26)+1,"")</f>
        <v/>
      </c>
      <c r="WM27" s="59" t="str">
        <f t="shared" ca="1" si="84"/>
        <v/>
      </c>
      <c r="WN27" s="18" t="str">
        <f ca="1">IF(AND(SUM($UB27:$VY27)&gt;0,$TM27=WO$1),MAX(WN$2:WN26)+1,"")</f>
        <v/>
      </c>
      <c r="WO27" s="59" t="str">
        <f t="shared" ca="1" si="85"/>
        <v/>
      </c>
      <c r="WP27" s="18" t="str">
        <f ca="1">IF(AND(SUM($UB27:$VY27)&gt;0,$TM27=WQ$1),MAX(WP$2:WP26)+1,"")</f>
        <v/>
      </c>
      <c r="WQ27" s="59" t="str">
        <f t="shared" ca="1" si="86"/>
        <v/>
      </c>
      <c r="WR27" s="18" t="str">
        <f ca="1">IF(AND(SUM($UB27:$VY27)&gt;0,$TM27=WS$1),MAX(WR$2:WR26)+1,"")</f>
        <v/>
      </c>
      <c r="WS27" s="59" t="str">
        <f t="shared" ca="1" si="87"/>
        <v/>
      </c>
      <c r="WT27" s="18" t="str">
        <f ca="1">IF(AND(SUM($UB27:$VY27)&gt;0,$TM27=WU$1),MAX(WT$2:WT26)+1,"")</f>
        <v/>
      </c>
      <c r="WU27" s="59" t="str">
        <f t="shared" ca="1" si="88"/>
        <v/>
      </c>
      <c r="WV27" s="18" t="str">
        <f ca="1">IF(AND(SUM($UB27:$VY27)&gt;0,$TM27=WW$1),MAX(WV$2:WV26)+1,"")</f>
        <v/>
      </c>
      <c r="WW27" s="59" t="str">
        <f t="shared" ca="1" si="89"/>
        <v/>
      </c>
      <c r="WX27" s="18" t="str">
        <f ca="1">IF(AND(SUM($UB27:$VY27)&gt;0,$TM27=WY$1),MAX(WX$2:WX26)+1,"")</f>
        <v/>
      </c>
      <c r="WY27" s="59" t="str">
        <f t="shared" ca="1" si="90"/>
        <v/>
      </c>
      <c r="WZ27" s="18">
        <v>26</v>
      </c>
      <c r="XA27" s="59" t="str">
        <f t="shared" ca="1" si="91"/>
        <v/>
      </c>
      <c r="XB27" s="59" t="str">
        <f t="shared" ca="1" si="28"/>
        <v/>
      </c>
      <c r="XC27" s="59" t="str">
        <f t="shared" ca="1" si="29"/>
        <v/>
      </c>
      <c r="XD27" s="59" t="str">
        <f t="shared" ca="1" si="60"/>
        <v/>
      </c>
      <c r="XE27" s="59" t="str">
        <f t="shared" ca="1" si="61"/>
        <v/>
      </c>
      <c r="XF27" s="59" t="str">
        <f t="shared" ca="1" si="62"/>
        <v/>
      </c>
      <c r="XG27" s="59" t="str">
        <f t="shared" ca="1" si="63"/>
        <v/>
      </c>
      <c r="XH27" s="59" t="str">
        <f t="shared" ca="1" si="64"/>
        <v/>
      </c>
      <c r="XI27" s="59" t="str">
        <f t="shared" ca="1" si="65"/>
        <v/>
      </c>
      <c r="XJ27" s="59" t="str">
        <f t="shared" ca="1" si="66"/>
        <v/>
      </c>
      <c r="XK27" s="59" t="str">
        <f t="shared" ca="1" si="67"/>
        <v/>
      </c>
      <c r="XM27" s="59"/>
      <c r="XN27" s="59" t="str">
        <f>SelectText</f>
        <v>Select…</v>
      </c>
      <c r="XO27" s="18" t="str">
        <f>""</f>
        <v/>
      </c>
      <c r="XP27" s="18" t="str">
        <f>""</f>
        <v/>
      </c>
      <c r="XQ27" s="18" t="str">
        <f>""</f>
        <v/>
      </c>
      <c r="XR27" s="18" t="str">
        <f>""</f>
        <v/>
      </c>
      <c r="XS27" s="18" t="str">
        <f>""</f>
        <v/>
      </c>
      <c r="XT27" s="18" t="str">
        <f>""</f>
        <v/>
      </c>
      <c r="XU27" s="18" t="str">
        <f>""</f>
        <v/>
      </c>
      <c r="XV27" s="18" t="str">
        <f>""</f>
        <v/>
      </c>
      <c r="XW27" s="18" t="str">
        <f>""</f>
        <v/>
      </c>
      <c r="XX27" s="18" t="str">
        <f>""</f>
        <v/>
      </c>
      <c r="XY27" s="18" t="str">
        <f>""</f>
        <v/>
      </c>
      <c r="XZ27" s="18" t="str">
        <f>""</f>
        <v/>
      </c>
      <c r="YA27" s="18" t="str">
        <f>""</f>
        <v/>
      </c>
      <c r="YB27" s="18" t="str">
        <f>""</f>
        <v/>
      </c>
      <c r="YC27" s="18" t="str">
        <f>""</f>
        <v/>
      </c>
      <c r="YG27" s="58" t="s">
        <v>758</v>
      </c>
      <c r="YH27" s="58" t="s">
        <v>187</v>
      </c>
      <c r="YI27" s="215" t="s">
        <v>2357</v>
      </c>
      <c r="YJ27" s="215" t="s">
        <v>3443</v>
      </c>
      <c r="YK27" s="215" t="str">
        <f>""</f>
        <v/>
      </c>
      <c r="YL27" s="249" t="str">
        <f>""</f>
        <v/>
      </c>
      <c r="YM27" s="249" t="str">
        <f>""</f>
        <v/>
      </c>
      <c r="YN27" s="249" t="str">
        <f>""</f>
        <v/>
      </c>
      <c r="YO27" s="249"/>
      <c r="YP27" s="249"/>
      <c r="YQ27" s="215"/>
      <c r="YR27" s="215"/>
      <c r="YS27" s="215"/>
      <c r="YT27" s="18" t="s">
        <v>288</v>
      </c>
      <c r="YU27" s="18">
        <v>14</v>
      </c>
      <c r="YV27" s="18" t="str">
        <f t="shared" ca="1" si="134"/>
        <v/>
      </c>
      <c r="YW27" s="18" t="str">
        <f ca="1">IF(YX27="","",MAX($YW$1:YW26)+1)</f>
        <v/>
      </c>
      <c r="YX27" s="59" t="str">
        <f t="shared" ca="1" si="71"/>
        <v/>
      </c>
      <c r="YY27" s="18" t="str">
        <f t="shared" ca="1" si="72"/>
        <v/>
      </c>
      <c r="ZR27"/>
    </row>
    <row r="28" spans="5:694" ht="9.9499999999999993" customHeight="1" x14ac:dyDescent="0.25">
      <c r="E28" s="59"/>
      <c r="F28" s="59"/>
      <c r="G28" s="59"/>
      <c r="H28" s="59"/>
      <c r="I28" s="59"/>
      <c r="J28" s="59"/>
      <c r="K28" s="59"/>
      <c r="AE28" s="17"/>
      <c r="AF28" s="17"/>
      <c r="AG28" s="252"/>
      <c r="AH28" s="17"/>
      <c r="AI28" s="287"/>
      <c r="AJ28" s="17"/>
      <c r="AK28" s="267"/>
      <c r="AL28" s="291"/>
      <c r="AM28" s="17"/>
      <c r="AN28" s="18"/>
      <c r="AO28" s="18">
        <f t="shared" si="119"/>
        <v>27</v>
      </c>
      <c r="AP28" s="59" t="str">
        <f t="shared" si="135"/>
        <v/>
      </c>
      <c r="AQ28" s="59" t="str">
        <f>""</f>
        <v/>
      </c>
      <c r="AR28" s="254" t="s">
        <v>1069</v>
      </c>
      <c r="AS28" s="385" t="s">
        <v>2440</v>
      </c>
      <c r="AT28" s="58" t="s">
        <v>1097</v>
      </c>
      <c r="AU28" s="58" t="s">
        <v>2474</v>
      </c>
      <c r="AV28" s="255" t="s">
        <v>1145</v>
      </c>
      <c r="AW28" s="385" t="s">
        <v>2520</v>
      </c>
      <c r="AX28" s="385" t="s">
        <v>2553</v>
      </c>
      <c r="AY28" s="58" t="s">
        <v>1165</v>
      </c>
      <c r="AZ28" s="58" t="s">
        <v>2589</v>
      </c>
      <c r="BA28" s="254" t="s">
        <v>1032</v>
      </c>
      <c r="BB28" s="385" t="s">
        <v>2615</v>
      </c>
      <c r="BC28" s="58" t="s">
        <v>1191</v>
      </c>
      <c r="BD28" s="58" t="s">
        <v>2383</v>
      </c>
      <c r="BE28" s="18" t="str">
        <f>""</f>
        <v/>
      </c>
      <c r="BI28" s="338"/>
      <c r="BJ28" s="341"/>
      <c r="BK28" s="340"/>
      <c r="BL28" s="340"/>
      <c r="BM28" s="556"/>
      <c r="BN28" s="338"/>
      <c r="BO28" s="338"/>
      <c r="BP28" s="340"/>
      <c r="BQ28" s="340"/>
      <c r="BR28" s="340"/>
      <c r="BS28" s="340"/>
      <c r="BT28" s="340"/>
      <c r="BU28" s="340"/>
      <c r="BV28" s="340"/>
      <c r="BW28" s="340"/>
      <c r="BX28" s="340"/>
      <c r="BY28" s="340"/>
      <c r="BZ28" s="555"/>
      <c r="CA28" s="555"/>
      <c r="CB28" s="555"/>
      <c r="CC28" s="339"/>
      <c r="CD28" s="555"/>
      <c r="CE28" s="340"/>
      <c r="CF28" s="555"/>
      <c r="CG28" s="340"/>
      <c r="CH28" s="555"/>
      <c r="CI28" s="555"/>
      <c r="CJ28" s="340"/>
      <c r="CK28" s="555"/>
      <c r="CL28" s="340"/>
      <c r="CM28" s="339"/>
      <c r="CN28" s="339"/>
      <c r="CO28" s="339"/>
      <c r="CP28" s="339"/>
      <c r="CQ28" s="339"/>
      <c r="CR28" s="339"/>
      <c r="CS28" s="339"/>
      <c r="CT28" s="339"/>
      <c r="CU28" s="339"/>
      <c r="CV28" s="339"/>
      <c r="CW28" s="339"/>
      <c r="CX28" s="339"/>
      <c r="CY28" s="339"/>
      <c r="CZ28" s="339"/>
      <c r="DA28" s="339"/>
      <c r="DB28" s="339"/>
      <c r="DC28" s="339"/>
      <c r="DD28" s="339"/>
      <c r="DE28" s="339"/>
      <c r="DF28" s="339"/>
      <c r="DG28" s="104"/>
      <c r="DH28" s="104"/>
      <c r="DI28" s="104"/>
      <c r="DJ28" s="104"/>
      <c r="DK28" s="104"/>
      <c r="DL28" s="390" t="s">
        <v>278</v>
      </c>
      <c r="DM28" s="391" t="s">
        <v>276</v>
      </c>
      <c r="DN28" s="391">
        <f t="shared" ca="1" si="121"/>
        <v>0</v>
      </c>
      <c r="DO28" s="392" t="str">
        <f>""</f>
        <v/>
      </c>
      <c r="DP28" s="393" t="str">
        <f>""</f>
        <v/>
      </c>
      <c r="DQ28" s="392" t="s">
        <v>2643</v>
      </c>
      <c r="DR28" s="393" t="str">
        <f>""</f>
        <v/>
      </c>
      <c r="DS28" s="393" t="str">
        <f>""</f>
        <v/>
      </c>
      <c r="DT28" s="393" t="s">
        <v>419</v>
      </c>
      <c r="DU28" s="393" t="str">
        <f>""</f>
        <v/>
      </c>
      <c r="DV28" s="393" t="str">
        <f>""</f>
        <v/>
      </c>
      <c r="DW28" s="393" t="str">
        <f>""</f>
        <v/>
      </c>
      <c r="DX28" s="393" t="str">
        <f>"Intimidating Presence: DC "&amp;8+ProfBonus+CHAMod&amp;" Wisdom save"</f>
        <v>Intimidating Presence: DC 5 Wisdom save</v>
      </c>
      <c r="DY28" s="393" t="str">
        <f>""</f>
        <v/>
      </c>
      <c r="DZ28" s="393" t="str">
        <f>""</f>
        <v/>
      </c>
      <c r="EA28" s="393" t="str">
        <f>""</f>
        <v/>
      </c>
      <c r="EB28" s="393" t="s">
        <v>2644</v>
      </c>
      <c r="EC28" s="393" t="str">
        <f>""</f>
        <v/>
      </c>
      <c r="ED28" s="393" t="str">
        <f>""</f>
        <v/>
      </c>
      <c r="EE28" s="393" t="str">
        <f>""</f>
        <v/>
      </c>
      <c r="EF28" s="393" t="str">
        <f>""</f>
        <v/>
      </c>
      <c r="EG28" s="393" t="str">
        <f>""</f>
        <v/>
      </c>
      <c r="EH28" s="393" t="str">
        <f>""</f>
        <v/>
      </c>
      <c r="EI28" s="445" t="str">
        <f>""</f>
        <v/>
      </c>
      <c r="EJ28" s="445" t="str">
        <f>""</f>
        <v/>
      </c>
      <c r="EK28" s="445"/>
      <c r="EL28" s="445" t="str">
        <f>""</f>
        <v/>
      </c>
      <c r="EM28" s="445"/>
      <c r="EN28" s="445" t="str">
        <f>""</f>
        <v/>
      </c>
      <c r="EO28" s="445"/>
      <c r="EP28" s="445" t="str">
        <f>""</f>
        <v/>
      </c>
      <c r="EQ28" s="445"/>
      <c r="ER28" s="445" t="str">
        <f>""</f>
        <v/>
      </c>
      <c r="ES28" s="445"/>
      <c r="ET28" s="393" t="str">
        <f>""</f>
        <v/>
      </c>
      <c r="EU28" s="391" t="str">
        <f>""</f>
        <v/>
      </c>
      <c r="EV28" s="393" t="str">
        <f>""</f>
        <v/>
      </c>
      <c r="EW28" s="391" t="str">
        <f>""</f>
        <v/>
      </c>
      <c r="EX28" s="393" t="str">
        <f>""</f>
        <v/>
      </c>
      <c r="EY28" s="391" t="str">
        <f>""</f>
        <v/>
      </c>
      <c r="EZ28" s="59"/>
      <c r="FA28" s="18" t="str">
        <f>IF($DM28=FB$5,MAX(FA$6:FA27)+1,"")</f>
        <v/>
      </c>
      <c r="FB28" s="58" t="str">
        <f t="shared" si="122"/>
        <v/>
      </c>
      <c r="FC28" s="18"/>
      <c r="FE28" s="18" t="str">
        <f>IF($DM28=FF$5,MAX(FE$6:FE27)+1,"")</f>
        <v/>
      </c>
      <c r="FF28" s="58" t="str">
        <f t="shared" si="123"/>
        <v/>
      </c>
      <c r="FG28" s="18"/>
      <c r="FI28" s="18" t="str">
        <f>IF($DM28=FJ$5,MAX(FI$6:FI27)+1,"")</f>
        <v/>
      </c>
      <c r="FJ28" s="58" t="str">
        <f t="shared" si="124"/>
        <v/>
      </c>
      <c r="FK28" s="18"/>
      <c r="FM28" s="18"/>
      <c r="FN28" s="18"/>
      <c r="FO28" s="18"/>
      <c r="FP28" s="18"/>
      <c r="FQ28" s="18"/>
      <c r="FR28" s="18"/>
      <c r="FS28" s="18"/>
      <c r="FT28" s="18"/>
      <c r="FU28" s="18"/>
      <c r="FV28" s="18"/>
      <c r="FX28" s="59" t="s">
        <v>411</v>
      </c>
      <c r="FY28" s="543" t="s">
        <v>3505</v>
      </c>
      <c r="FZ28" s="104"/>
      <c r="GA28" s="104"/>
      <c r="GB28" s="104"/>
      <c r="GC28" s="104"/>
      <c r="GD28" s="104"/>
      <c r="GE28" s="104"/>
      <c r="GF28" s="104"/>
      <c r="GG28" s="104"/>
      <c r="GH28" s="104"/>
      <c r="GI28" s="104"/>
      <c r="GJ28" s="104"/>
      <c r="GK28" s="18"/>
      <c r="GL28" s="18"/>
      <c r="GM28" s="18"/>
      <c r="GN28" s="18"/>
      <c r="GO28" s="18"/>
      <c r="GP28" s="18"/>
      <c r="GQ28" s="18"/>
      <c r="GR28" s="18"/>
      <c r="GZ28" s="59"/>
      <c r="HA28" s="59"/>
      <c r="HB28" s="59"/>
      <c r="HC28" s="59"/>
      <c r="HD28" s="59"/>
      <c r="HE28" s="59"/>
      <c r="HF28" s="59"/>
      <c r="HG28" s="59"/>
      <c r="HH28" s="59"/>
      <c r="HI28" s="59"/>
      <c r="HJ28" s="59"/>
      <c r="HK28" s="58" t="s">
        <v>2916</v>
      </c>
      <c r="HL28" s="59" t="s">
        <v>2905</v>
      </c>
      <c r="HM28" s="59" t="s">
        <v>2930</v>
      </c>
      <c r="HN28" s="59"/>
      <c r="HO28" s="59"/>
      <c r="HP28" s="59"/>
      <c r="HQ28" s="59"/>
      <c r="HR28" s="59"/>
      <c r="HS28" s="59"/>
      <c r="HT28" s="59"/>
      <c r="HU28" s="59"/>
      <c r="HV28" s="59"/>
      <c r="HW28" s="59"/>
      <c r="HX28" s="59"/>
      <c r="HY28" s="59"/>
      <c r="HZ28" s="59"/>
      <c r="IA28" s="59"/>
      <c r="IC28" s="59"/>
      <c r="ID28" s="59"/>
      <c r="IE28" s="59"/>
      <c r="IF28" s="59"/>
      <c r="IG28" s="59"/>
      <c r="IH28" s="18" t="str">
        <f>IF(IJ28=1,MAX($IH$2:IH27)+1,"")</f>
        <v/>
      </c>
      <c r="II28" s="59" t="s">
        <v>3318</v>
      </c>
      <c r="IJ28" s="59" t="str">
        <f>IF(WarlockLevel&gt;=5,1,"")</f>
        <v/>
      </c>
      <c r="IK28" s="59" t="s">
        <v>3364</v>
      </c>
      <c r="IL28" s="18">
        <f t="shared" si="105"/>
        <v>26</v>
      </c>
      <c r="IM28" s="59" t="str">
        <f t="shared" si="77"/>
        <v/>
      </c>
      <c r="IN28" s="59"/>
      <c r="IO28" s="59"/>
      <c r="IP28" s="59"/>
      <c r="IQ28" s="59"/>
      <c r="IR28" s="59"/>
      <c r="IS28" s="59"/>
      <c r="IT28" s="59"/>
      <c r="IU28" s="59"/>
      <c r="IX28" s="59" t="s">
        <v>1494</v>
      </c>
      <c r="IY28" s="59" t="s">
        <v>954</v>
      </c>
      <c r="IZ28" s="59" t="s">
        <v>203</v>
      </c>
      <c r="JA28" s="59" t="s">
        <v>281</v>
      </c>
      <c r="JB28" s="59" t="s">
        <v>913</v>
      </c>
      <c r="JI28" s="60"/>
      <c r="JJ28" s="60"/>
      <c r="JX28" s="302"/>
      <c r="JY28" s="302"/>
      <c r="KT28" s="93" t="s">
        <v>1535</v>
      </c>
      <c r="KU28" s="80" t="str">
        <f t="shared" si="128"/>
        <v>No</v>
      </c>
      <c r="KV28" s="89" t="s">
        <v>333</v>
      </c>
      <c r="KW28" s="270"/>
      <c r="KX28" s="270"/>
      <c r="KY28" s="270"/>
      <c r="KZ28" s="270"/>
      <c r="LA28" s="270"/>
      <c r="LB28" s="92"/>
      <c r="LC28" s="270"/>
      <c r="LD28" s="270"/>
      <c r="LE28" s="270"/>
      <c r="LF28" s="455"/>
      <c r="LG28" s="270"/>
      <c r="LH28" s="270"/>
      <c r="LI28" s="270"/>
      <c r="LJ28" s="270"/>
      <c r="LK28" s="270"/>
      <c r="LL28" s="406"/>
      <c r="LM28" s="455"/>
      <c r="LN28" s="270"/>
      <c r="LO28" s="270"/>
      <c r="LP28" s="270"/>
      <c r="LQ28" s="92"/>
      <c r="LR28" s="270"/>
      <c r="LS28" s="270"/>
      <c r="LT28" s="92"/>
      <c r="LU28" s="92"/>
      <c r="LV28" s="270"/>
      <c r="LW28" s="270"/>
      <c r="LX28" s="270"/>
      <c r="LY28" s="92"/>
      <c r="LZ28" s="92"/>
      <c r="MA28" s="92"/>
      <c r="MB28" s="92"/>
      <c r="MC28" s="92"/>
      <c r="MD28" s="92"/>
      <c r="ME28" s="92"/>
      <c r="MF28" s="92"/>
      <c r="MG28" s="92"/>
      <c r="MH28" s="92"/>
      <c r="MI28" s="92"/>
      <c r="MJ28" s="92"/>
      <c r="MK28" s="92"/>
      <c r="ML28" s="94"/>
      <c r="MM28" s="94"/>
      <c r="MN28" s="94"/>
      <c r="MO28" s="94"/>
      <c r="MP28" s="94"/>
      <c r="MQ28" s="94"/>
      <c r="MR28" s="94"/>
      <c r="MS28" s="94"/>
      <c r="MT28" s="94"/>
      <c r="MU28" s="94"/>
      <c r="MV28" s="94"/>
      <c r="MW28" s="94"/>
      <c r="MX28" s="94"/>
      <c r="MY28" s="94"/>
      <c r="MZ28" s="94"/>
      <c r="NA28" s="94"/>
      <c r="NB28" s="94"/>
      <c r="NC28" s="94"/>
      <c r="ND28" s="94"/>
      <c r="NE28" s="94"/>
      <c r="NF28" s="94"/>
      <c r="NG28" s="94"/>
      <c r="NH28" s="94"/>
      <c r="NI28" s="94"/>
      <c r="NJ28" s="94"/>
      <c r="NK28" s="94"/>
      <c r="NL28" s="94"/>
      <c r="NM28" s="94"/>
      <c r="NN28" s="94"/>
      <c r="NO28" s="94"/>
      <c r="NP28" s="438"/>
      <c r="NQ28" s="94"/>
      <c r="NR28" s="94"/>
      <c r="NS28" s="94"/>
      <c r="NT28" s="94"/>
      <c r="NU28" s="94"/>
      <c r="NV28" s="456"/>
      <c r="NW28" s="456"/>
      <c r="NX28" s="456"/>
      <c r="NY28" s="456"/>
      <c r="NZ28" s="456"/>
      <c r="OA28" s="94"/>
      <c r="OB28" s="94"/>
      <c r="OC28" s="94"/>
      <c r="OD28" s="94"/>
      <c r="OE28" s="94"/>
      <c r="OF28" s="94"/>
      <c r="OG28" s="94"/>
      <c r="OH28" s="94"/>
      <c r="OI28" s="94"/>
      <c r="OJ28" s="94"/>
      <c r="OK28" s="94"/>
      <c r="OL28" s="94"/>
      <c r="OM28" s="94"/>
      <c r="ON28" s="94"/>
      <c r="OO28" s="94"/>
      <c r="OP28" s="94"/>
      <c r="OQ28" s="94"/>
      <c r="OR28" s="94"/>
      <c r="OS28" s="94"/>
      <c r="OT28" s="94"/>
      <c r="OU28" s="94"/>
      <c r="OV28" s="94"/>
      <c r="OW28" s="94"/>
      <c r="OX28" s="94"/>
      <c r="OY28" s="94"/>
      <c r="OZ28" s="94"/>
      <c r="PA28" s="94"/>
      <c r="PB28" s="94"/>
      <c r="PC28" s="94"/>
      <c r="PD28" s="94"/>
      <c r="PE28" s="94"/>
      <c r="PF28" s="94"/>
      <c r="PG28" s="94"/>
      <c r="PH28" s="94"/>
      <c r="PI28" s="94"/>
      <c r="PJ28" s="94"/>
      <c r="PK28" s="94"/>
      <c r="PL28" s="94"/>
      <c r="PM28" s="94"/>
      <c r="PN28" s="94"/>
      <c r="PO28" s="94"/>
      <c r="PP28" s="94"/>
      <c r="PQ28" s="94"/>
      <c r="PR28" s="94"/>
      <c r="PS28" s="94" t="str">
        <f>IF(COUNTIF(Start!$AX$59:$BF$68,Tables!KT28)&gt;0,Tables!KT28,"")</f>
        <v/>
      </c>
      <c r="PT28" s="94"/>
      <c r="PU28" s="59" t="str">
        <f t="shared" si="129"/>
        <v/>
      </c>
      <c r="PV28" s="59" t="str">
        <f>IF(PU28="","",IF(COUNTIF(PU28:$PU$57,"&gt;&lt;")&gt;1,PU28&amp;", ", PU28))</f>
        <v/>
      </c>
      <c r="PW28" s="59"/>
      <c r="PX28" s="59"/>
      <c r="PZ28" s="28" t="s">
        <v>103</v>
      </c>
      <c r="QA28" s="28" t="s">
        <v>87</v>
      </c>
      <c r="QB28" s="30" t="str">
        <f t="shared" ca="1" si="79"/>
        <v>not proficient</v>
      </c>
      <c r="QC28" s="31" t="s">
        <v>187</v>
      </c>
      <c r="QD28" s="28" t="s">
        <v>187</v>
      </c>
      <c r="QE28" s="230" t="s">
        <v>842</v>
      </c>
      <c r="QF28" s="29">
        <v>3</v>
      </c>
      <c r="QG28" s="29" t="str">
        <f>""</f>
        <v/>
      </c>
      <c r="QH28" s="29" t="str">
        <f>""</f>
        <v/>
      </c>
      <c r="QI28" s="29" t="str">
        <f>""</f>
        <v/>
      </c>
      <c r="QJ28" s="29" t="str">
        <f>""</f>
        <v/>
      </c>
      <c r="QK28" s="29" t="str">
        <f>""</f>
        <v/>
      </c>
      <c r="QL28" s="29" t="s">
        <v>841</v>
      </c>
      <c r="QM28" s="29" t="str">
        <f>""</f>
        <v/>
      </c>
      <c r="QN28" s="29" t="s">
        <v>146</v>
      </c>
      <c r="QO28" s="29" t="str">
        <f>""</f>
        <v/>
      </c>
      <c r="QP28" s="29" t="str">
        <f>""</f>
        <v/>
      </c>
      <c r="QQ28" s="30" t="str">
        <f>""</f>
        <v/>
      </c>
      <c r="QR28" s="30" t="str">
        <f>""</f>
        <v/>
      </c>
      <c r="QT28" s="634"/>
      <c r="QU28" s="727" t="s">
        <v>93</v>
      </c>
      <c r="QV28" s="726"/>
      <c r="QW28" s="634"/>
      <c r="QX28" s="634"/>
      <c r="QY28" s="528"/>
      <c r="QZ28" s="727" t="str">
        <f>IF(QZ15="","",IF(COUNTIF(QZ15:$QZ$18,"&gt;&lt;$Q$1")&gt;1,QZ15&amp;", ",QZ15))</f>
        <v/>
      </c>
      <c r="RA28" s="634"/>
      <c r="RB28" s="634"/>
      <c r="RC28" s="634"/>
      <c r="RD28" s="634"/>
      <c r="RE28" s="634"/>
      <c r="RF28" s="634"/>
      <c r="RG28" s="634"/>
      <c r="RH28" s="727" t="str">
        <f>IF(RH15="","",IF(COUNTIF($RH15:RH$18,"&gt;&lt;$Q$1")&gt;1,RH15&amp;", ",RH15))</f>
        <v/>
      </c>
      <c r="RI28" s="634"/>
      <c r="RJ28" s="634"/>
      <c r="RK28" s="634"/>
      <c r="RL28" s="634"/>
      <c r="RM28" s="634"/>
      <c r="RN28" s="634"/>
      <c r="RO28" s="634"/>
      <c r="RP28" s="727" t="str">
        <f>IF(RP15="","",IF(COUNTIF($RP15:RP$18,"&gt;&lt;$Q$1")&gt;1,RP15&amp;", ",RP15))</f>
        <v/>
      </c>
      <c r="RQ28" s="634"/>
      <c r="RR28" s="634"/>
      <c r="RS28" s="634"/>
      <c r="RT28" s="634"/>
      <c r="RU28" s="634"/>
      <c r="RV28" s="634"/>
      <c r="RW28" s="634"/>
      <c r="RX28" s="727" t="str">
        <f>IF(RX15="","",IF(COUNTIF($RX15:RX$18,"&gt;&lt;$Q$1")&gt;1,RX15&amp;", ",RX15))</f>
        <v/>
      </c>
      <c r="RY28" s="634"/>
      <c r="RZ28" s="634"/>
      <c r="SA28" s="634"/>
      <c r="SB28" s="634"/>
      <c r="SC28" s="634"/>
      <c r="SD28" s="634"/>
      <c r="SE28" s="634"/>
      <c r="SF28" s="727" t="str">
        <f>IF(SF15="","",IF(COUNTIF($SF15:SF$18,"&gt;&lt;$Q$1")&gt;1,SF15&amp;", ",SF15))</f>
        <v/>
      </c>
      <c r="SG28" s="634"/>
      <c r="SH28" s="634"/>
      <c r="SI28" s="634"/>
      <c r="SJ28" s="634"/>
      <c r="SK28" s="634"/>
      <c r="SL28" s="634"/>
      <c r="SM28" s="634"/>
      <c r="SN28" s="727" t="str">
        <f>IF(SN15="","",IF(COUNTIF($SN15:SN$18,"&gt;&lt;$Q$1")&gt;1,SN15&amp;", ",SN15))</f>
        <v/>
      </c>
      <c r="SO28" s="634"/>
      <c r="SP28" s="634"/>
      <c r="SQ28" s="634"/>
      <c r="SR28" s="28"/>
      <c r="SS28" s="28"/>
      <c r="ST28" s="28"/>
      <c r="SU28" s="69"/>
      <c r="SV28" s="42"/>
      <c r="SW28" s="232"/>
      <c r="SX28" s="46"/>
      <c r="SY28" s="30"/>
      <c r="SZ28" s="29"/>
      <c r="TA28" s="28"/>
      <c r="TB28" s="28"/>
      <c r="TC28" s="28"/>
      <c r="TD28" s="42"/>
      <c r="TE28" s="29"/>
      <c r="TF28" s="69"/>
      <c r="TG28" s="29"/>
      <c r="TH28" s="30"/>
      <c r="TI28" s="30"/>
      <c r="TJ28" s="18">
        <f t="shared" si="115"/>
        <v>26</v>
      </c>
      <c r="TK28" s="58" t="s">
        <v>529</v>
      </c>
      <c r="TL28" s="58" t="s">
        <v>461</v>
      </c>
      <c r="TM28" s="18">
        <v>4</v>
      </c>
      <c r="TN28" s="59" t="str">
        <f t="shared" si="47"/>
        <v xml:space="preserve">Banishment ᴴ </v>
      </c>
      <c r="TO28" s="350" t="s">
        <v>2991</v>
      </c>
      <c r="TP28" s="18" t="str">
        <f t="shared" si="48"/>
        <v/>
      </c>
      <c r="TQ28" s="18" t="str">
        <f>IF(OR(TK28=Spellcasting!$AC$18,TK28=Spellcasting!$AC$19),"ᵐ","")</f>
        <v/>
      </c>
      <c r="TR28" s="18" t="str">
        <f>IF(OR(TK28=Spellcasting!$AC$20,TK28=Spellcasting!$AC$21),"ˢ","")</f>
        <v/>
      </c>
      <c r="TS28" s="18" t="str">
        <f>""</f>
        <v/>
      </c>
      <c r="TT28" s="18" t="s">
        <v>484</v>
      </c>
      <c r="TU28" s="18" t="s">
        <v>850</v>
      </c>
      <c r="TV28" s="18" t="s">
        <v>558</v>
      </c>
      <c r="TW28" s="18" t="s">
        <v>495</v>
      </c>
      <c r="TX28" s="59" t="s">
        <v>1305</v>
      </c>
      <c r="TY28" s="18" t="s">
        <v>487</v>
      </c>
      <c r="TZ28" s="18" t="s">
        <v>488</v>
      </c>
      <c r="UA28" s="142" t="s">
        <v>3141</v>
      </c>
      <c r="UB28" s="319" t="s">
        <v>3240</v>
      </c>
      <c r="UD28" s="18" t="str">
        <f ca="1">IF(UD$1&gt;=$TM28,1,"0")</f>
        <v>0</v>
      </c>
      <c r="UF28" s="18" t="str">
        <f ca="1">IF(UF$1&gt;=$TM28,1,"0")</f>
        <v>0</v>
      </c>
      <c r="UG28" s="18" t="str">
        <f ca="1">IF(UG$1&gt;=$TM28,1,"0")</f>
        <v>0</v>
      </c>
      <c r="UH28" s="18" t="str">
        <f ca="1">IF(UH$1&gt;=$TM28,1,"0")</f>
        <v>0</v>
      </c>
      <c r="UL28" s="18" t="str">
        <f ca="1">IF(UL$1&gt;=$TM28,1,"0")</f>
        <v>0</v>
      </c>
      <c r="UQ28" s="18" t="str">
        <f>IF(UQ$1&gt;=$TM28,1,"0")</f>
        <v>0</v>
      </c>
      <c r="VP28" s="18" t="str">
        <f>IF(VP$1&gt;=$TM28,1,"0")</f>
        <v>0</v>
      </c>
      <c r="WD28" s="18" t="str">
        <f ca="1">IF(SUM($VZ$1:$WC$1)&gt;0,IF(AND(SUM($VZ28:$WC28)&gt;0,$TM28=WE$1),MAX(WD$2:WD27)+1,""),IF(AND(SUM($UC28:$VY28)&gt;0,$TM28=WE$1),MAX(WD$2:WD27)+1,""))</f>
        <v/>
      </c>
      <c r="WE28" s="59" t="str">
        <f t="shared" ca="1" si="80"/>
        <v/>
      </c>
      <c r="WF28" s="18" t="str">
        <f ca="1">IF(AND(SUM($UB28:$VY28)&gt;0,$TM28=WG$1),MAX(WF$2:WF27)+1,"")</f>
        <v/>
      </c>
      <c r="WG28" s="59" t="str">
        <f t="shared" ca="1" si="81"/>
        <v/>
      </c>
      <c r="WH28" s="18" t="str">
        <f ca="1">IF(AND(SUM($UB28:$VY28)&gt;0,$TM28=WI$1),MAX(WH$2:WH27)+1,"")</f>
        <v/>
      </c>
      <c r="WI28" s="59" t="str">
        <f t="shared" ca="1" si="82"/>
        <v/>
      </c>
      <c r="WJ28" s="18" t="str">
        <f ca="1">IF(AND(SUM($UB28:$VY28)&gt;0,$TM28=WK$1),MAX(WJ$2:WJ27)+1,"")</f>
        <v/>
      </c>
      <c r="WK28" s="59" t="str">
        <f t="shared" ca="1" si="83"/>
        <v/>
      </c>
      <c r="WL28" s="18" t="str">
        <f ca="1">IF(AND(SUM($UB28:$VY28)&gt;0,$TM28=WM$1),MAX(WL$2:WL27)+1,"")</f>
        <v/>
      </c>
      <c r="WM28" s="59" t="str">
        <f t="shared" ca="1" si="84"/>
        <v/>
      </c>
      <c r="WN28" s="18" t="str">
        <f ca="1">IF(AND(SUM($UB28:$VY28)&gt;0,$TM28=WO$1),MAX(WN$2:WN27)+1,"")</f>
        <v/>
      </c>
      <c r="WO28" s="59" t="str">
        <f t="shared" ca="1" si="85"/>
        <v/>
      </c>
      <c r="WP28" s="18" t="str">
        <f ca="1">IF(AND(SUM($UB28:$VY28)&gt;0,$TM28=WQ$1),MAX(WP$2:WP27)+1,"")</f>
        <v/>
      </c>
      <c r="WQ28" s="59" t="str">
        <f t="shared" ca="1" si="86"/>
        <v/>
      </c>
      <c r="WR28" s="18" t="str">
        <f ca="1">IF(AND(SUM($UB28:$VY28)&gt;0,$TM28=WS$1),MAX(WR$2:WR27)+1,"")</f>
        <v/>
      </c>
      <c r="WS28" s="59" t="str">
        <f t="shared" ca="1" si="87"/>
        <v/>
      </c>
      <c r="WT28" s="18" t="str">
        <f ca="1">IF(AND(SUM($UB28:$VY28)&gt;0,$TM28=WU$1),MAX(WT$2:WT27)+1,"")</f>
        <v/>
      </c>
      <c r="WU28" s="59" t="str">
        <f t="shared" ca="1" si="88"/>
        <v/>
      </c>
      <c r="WV28" s="18" t="str">
        <f ca="1">IF(AND(SUM($UB28:$VY28)&gt;0,$TM28=WW$1),MAX(WV$2:WV27)+1,"")</f>
        <v/>
      </c>
      <c r="WW28" s="59" t="str">
        <f t="shared" ca="1" si="89"/>
        <v/>
      </c>
      <c r="WX28" s="18" t="str">
        <f ca="1">IF(AND(SUM($UB28:$VY28)&gt;0,$TM28=WY$1),MAX(WX$2:WX27)+1,"")</f>
        <v/>
      </c>
      <c r="WY28" s="59" t="str">
        <f t="shared" ca="1" si="90"/>
        <v/>
      </c>
      <c r="WZ28" s="18">
        <v>27</v>
      </c>
      <c r="XA28" s="59" t="str">
        <f t="shared" ca="1" si="91"/>
        <v/>
      </c>
      <c r="XB28" s="59" t="str">
        <f t="shared" ca="1" si="28"/>
        <v/>
      </c>
      <c r="XC28" s="59" t="str">
        <f t="shared" ca="1" si="29"/>
        <v/>
      </c>
      <c r="XD28" s="59" t="str">
        <f t="shared" ca="1" si="60"/>
        <v/>
      </c>
      <c r="XE28" s="59" t="str">
        <f t="shared" ca="1" si="61"/>
        <v/>
      </c>
      <c r="XF28" s="59" t="str">
        <f t="shared" ca="1" si="62"/>
        <v/>
      </c>
      <c r="XG28" s="59" t="str">
        <f t="shared" ca="1" si="63"/>
        <v/>
      </c>
      <c r="XH28" s="59" t="str">
        <f t="shared" ca="1" si="64"/>
        <v/>
      </c>
      <c r="XI28" s="59" t="str">
        <f t="shared" ca="1" si="65"/>
        <v/>
      </c>
      <c r="XJ28" s="59" t="str">
        <f t="shared" ca="1" si="66"/>
        <v/>
      </c>
      <c r="XK28" s="59" t="str">
        <f t="shared" ca="1" si="67"/>
        <v/>
      </c>
      <c r="XL28" s="18">
        <v>1</v>
      </c>
      <c r="XM28" s="59">
        <f>IF(XL28=1,MAX($XM$27:XM27)+1,"")</f>
        <v>1</v>
      </c>
      <c r="XN28" s="59" t="s">
        <v>2869</v>
      </c>
      <c r="XO28" s="58" t="s">
        <v>3384</v>
      </c>
      <c r="XP28" s="18" t="s">
        <v>3070</v>
      </c>
      <c r="XQ28" s="18">
        <v>10</v>
      </c>
      <c r="XR28" s="18">
        <v>3</v>
      </c>
      <c r="XS28" s="59" t="s">
        <v>2870</v>
      </c>
      <c r="XT28" s="18">
        <v>4</v>
      </c>
      <c r="XU28" s="18">
        <v>11</v>
      </c>
      <c r="XV28" s="18">
        <v>12</v>
      </c>
      <c r="XW28" s="18">
        <v>2</v>
      </c>
      <c r="XX28" s="18">
        <v>12</v>
      </c>
      <c r="XY28" s="18">
        <v>5</v>
      </c>
      <c r="XZ28" s="73" t="s">
        <v>187</v>
      </c>
      <c r="YA28" s="142" t="s">
        <v>2863</v>
      </c>
      <c r="YB28" s="142" t="s">
        <v>2871</v>
      </c>
      <c r="YC28" s="142" t="s">
        <v>3395</v>
      </c>
      <c r="YG28" s="58" t="s">
        <v>1759</v>
      </c>
      <c r="YH28" s="58" t="s">
        <v>767</v>
      </c>
      <c r="YI28" s="215" t="s">
        <v>1774</v>
      </c>
      <c r="YJ28" s="215" t="s">
        <v>1806</v>
      </c>
      <c r="YK28" s="215" t="str">
        <f>""</f>
        <v/>
      </c>
      <c r="YL28" s="249" t="str">
        <f>""</f>
        <v/>
      </c>
      <c r="YM28" s="249" t="s">
        <v>3087</v>
      </c>
      <c r="YN28" s="249">
        <v>1</v>
      </c>
      <c r="YO28" s="249"/>
      <c r="YP28" s="249"/>
      <c r="YQ28" s="215"/>
      <c r="YR28" s="215"/>
      <c r="YS28" s="215"/>
      <c r="YT28" s="18" t="s">
        <v>288</v>
      </c>
      <c r="YU28" s="18">
        <v>16</v>
      </c>
      <c r="YV28" s="18" t="str">
        <f t="shared" ca="1" si="134"/>
        <v/>
      </c>
      <c r="YW28" s="18" t="str">
        <f ca="1">IF(YX28="","",MAX($YW$1:YW27)+1)</f>
        <v/>
      </c>
      <c r="YX28" s="59" t="str">
        <f t="shared" ca="1" si="71"/>
        <v/>
      </c>
      <c r="YY28" s="18" t="str">
        <f t="shared" ca="1" si="72"/>
        <v/>
      </c>
      <c r="ZR28"/>
    </row>
    <row r="29" spans="5:694" ht="9.9499999999999993" customHeight="1" x14ac:dyDescent="0.25">
      <c r="AE29" s="17"/>
      <c r="AF29" s="17"/>
      <c r="AG29" s="252"/>
      <c r="AH29" s="17"/>
      <c r="AI29" s="287"/>
      <c r="AJ29" s="17"/>
      <c r="AK29" s="267"/>
      <c r="AL29" s="291"/>
      <c r="AM29" s="17"/>
      <c r="AN29" s="18"/>
      <c r="AO29" s="18">
        <f t="shared" si="119"/>
        <v>28</v>
      </c>
      <c r="AP29" s="59" t="str">
        <f t="shared" si="135"/>
        <v/>
      </c>
      <c r="AQ29" s="59" t="str">
        <f>""</f>
        <v/>
      </c>
      <c r="AR29" s="254" t="s">
        <v>1070</v>
      </c>
      <c r="AS29" s="385" t="s">
        <v>2441</v>
      </c>
      <c r="AT29" s="254" t="s">
        <v>1095</v>
      </c>
      <c r="AU29" s="385" t="s">
        <v>2475</v>
      </c>
      <c r="AV29" s="255" t="s">
        <v>1136</v>
      </c>
      <c r="AW29" s="385" t="s">
        <v>2521</v>
      </c>
      <c r="AX29" s="385" t="s">
        <v>2554</v>
      </c>
      <c r="AY29" s="58" t="s">
        <v>1166</v>
      </c>
      <c r="AZ29" s="58" t="s">
        <v>2590</v>
      </c>
      <c r="BA29" s="254" t="s">
        <v>1033</v>
      </c>
      <c r="BB29" s="385" t="s">
        <v>2616</v>
      </c>
      <c r="BC29" s="58" t="s">
        <v>1192</v>
      </c>
      <c r="BD29" s="58" t="s">
        <v>2384</v>
      </c>
      <c r="BE29" s="18" t="str">
        <f>""</f>
        <v/>
      </c>
      <c r="BJ29" s="70"/>
      <c r="BK29" s="70"/>
      <c r="BL29" s="48"/>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48"/>
      <c r="CN29" s="48"/>
      <c r="CO29" s="48"/>
      <c r="CP29" s="48"/>
      <c r="CQ29" s="48"/>
      <c r="CR29" s="48"/>
      <c r="CS29" s="48"/>
      <c r="CT29" s="48"/>
      <c r="CU29" s="48"/>
      <c r="CV29" s="48"/>
      <c r="CW29" s="48"/>
      <c r="CX29" s="48"/>
      <c r="CY29" s="48"/>
      <c r="CZ29" s="48"/>
      <c r="DA29" s="48"/>
      <c r="DB29" s="48"/>
      <c r="DC29" s="48"/>
      <c r="DD29" s="48"/>
      <c r="DE29" s="48"/>
      <c r="DF29" s="48"/>
      <c r="DG29" s="104"/>
      <c r="DH29" s="104"/>
      <c r="DI29" s="104"/>
      <c r="DJ29" s="104"/>
      <c r="DK29" s="104"/>
      <c r="DL29" s="390" t="s">
        <v>277</v>
      </c>
      <c r="DM29" s="391" t="s">
        <v>276</v>
      </c>
      <c r="DN29" s="391">
        <f t="shared" ca="1" si="121"/>
        <v>0</v>
      </c>
      <c r="DO29" s="392" t="str">
        <f>""</f>
        <v/>
      </c>
      <c r="DP29" s="393" t="str">
        <f>""</f>
        <v/>
      </c>
      <c r="DQ29" s="392" t="str">
        <f>"Totem Spirit, Spirit Seeker"</f>
        <v>Totem Spirit, Spirit Seeker</v>
      </c>
      <c r="DR29" s="393" t="str">
        <f>""</f>
        <v/>
      </c>
      <c r="DS29" s="393" t="str">
        <f>""</f>
        <v/>
      </c>
      <c r="DT29" s="393" t="str">
        <f>"Aspect of the Beast: "&amp;HI5</f>
        <v>Aspect of the Beast: Select…</v>
      </c>
      <c r="DU29" s="393" t="str">
        <f>""</f>
        <v/>
      </c>
      <c r="DV29" s="393" t="str">
        <f>""</f>
        <v/>
      </c>
      <c r="DW29" s="393" t="str">
        <f>""</f>
        <v/>
      </c>
      <c r="DX29" s="393" t="s">
        <v>2645</v>
      </c>
      <c r="DY29" s="393" t="str">
        <f>""</f>
        <v/>
      </c>
      <c r="DZ29" s="393" t="str">
        <f>""</f>
        <v/>
      </c>
      <c r="EA29" s="393" t="str">
        <f>""</f>
        <v/>
      </c>
      <c r="EB29" s="393" t="str">
        <f>"Totemic Attunement: "&amp;HI6</f>
        <v>Totemic Attunement: Select…</v>
      </c>
      <c r="EC29" s="393" t="str">
        <f>""</f>
        <v/>
      </c>
      <c r="ED29" s="393" t="str">
        <f>""</f>
        <v/>
      </c>
      <c r="EE29" s="393" t="str">
        <f>""</f>
        <v/>
      </c>
      <c r="EF29" s="393" t="str">
        <f>""</f>
        <v/>
      </c>
      <c r="EG29" s="393" t="str">
        <f>""</f>
        <v/>
      </c>
      <c r="EH29" s="393" t="str">
        <f>""</f>
        <v/>
      </c>
      <c r="EI29" s="445" t="str">
        <f>""</f>
        <v/>
      </c>
      <c r="EJ29" s="445" t="str">
        <f>""</f>
        <v/>
      </c>
      <c r="EK29" s="445"/>
      <c r="EL29" s="445" t="str">
        <f>""</f>
        <v/>
      </c>
      <c r="EM29" s="445"/>
      <c r="EN29" s="445" t="str">
        <f>""</f>
        <v/>
      </c>
      <c r="EO29" s="445"/>
      <c r="EP29" s="445" t="str">
        <f>""</f>
        <v/>
      </c>
      <c r="EQ29" s="445"/>
      <c r="ER29" s="445" t="str">
        <f>""</f>
        <v/>
      </c>
      <c r="ES29" s="445"/>
      <c r="ET29" s="393" t="str">
        <f>""</f>
        <v/>
      </c>
      <c r="EU29" s="391" t="str">
        <f>""</f>
        <v/>
      </c>
      <c r="EV29" s="393" t="str">
        <f>""</f>
        <v/>
      </c>
      <c r="EW29" s="391" t="str">
        <f>""</f>
        <v/>
      </c>
      <c r="EX29" s="393" t="str">
        <f>""</f>
        <v/>
      </c>
      <c r="EY29" s="391" t="str">
        <f>""</f>
        <v/>
      </c>
      <c r="EZ29" s="18"/>
      <c r="FA29" s="18" t="str">
        <f>IF($DM29=FB$5,MAX(FA$6:FA28)+1,"")</f>
        <v/>
      </c>
      <c r="FB29" s="58" t="str">
        <f t="shared" si="122"/>
        <v/>
      </c>
      <c r="FC29" s="18"/>
      <c r="FE29" s="18" t="str">
        <f>IF($DM29=FF$5,MAX(FE$6:FE28)+1,"")</f>
        <v/>
      </c>
      <c r="FF29" s="58" t="str">
        <f t="shared" si="123"/>
        <v/>
      </c>
      <c r="FG29" s="18"/>
      <c r="FI29" s="18" t="str">
        <f>IF($DM29=FJ$5,MAX(FI$6:FI28)+1,"")</f>
        <v/>
      </c>
      <c r="FJ29" s="58" t="str">
        <f t="shared" si="124"/>
        <v/>
      </c>
      <c r="FK29" s="18"/>
      <c r="FM29" s="18"/>
      <c r="FN29" s="18"/>
      <c r="FO29" s="18"/>
      <c r="FP29" s="18"/>
      <c r="FQ29" s="18"/>
      <c r="FR29" s="18"/>
      <c r="FS29" s="18"/>
      <c r="FT29" s="18"/>
      <c r="FU29" s="18"/>
      <c r="FV29" s="18"/>
      <c r="FX29" s="59" t="s">
        <v>412</v>
      </c>
      <c r="FY29" s="543" t="s">
        <v>3506</v>
      </c>
      <c r="FZ29" s="104"/>
      <c r="GA29" s="104"/>
      <c r="GB29" s="104"/>
      <c r="GC29" s="104"/>
      <c r="GD29" s="104"/>
      <c r="GE29" s="104"/>
      <c r="GF29" s="104"/>
      <c r="GG29" s="104"/>
      <c r="GH29" s="104"/>
      <c r="GI29" s="104"/>
      <c r="GJ29" s="104"/>
      <c r="GK29" s="18"/>
      <c r="GL29" s="18"/>
      <c r="GM29" s="18"/>
      <c r="GN29" s="18"/>
      <c r="GO29" s="18"/>
      <c r="GP29" s="18"/>
      <c r="GQ29" s="18"/>
      <c r="GR29" s="18"/>
      <c r="GZ29" s="59"/>
      <c r="HA29" s="59"/>
      <c r="HB29" s="59"/>
      <c r="HC29" s="59"/>
      <c r="HD29" s="59"/>
      <c r="HE29" s="59"/>
      <c r="HF29" s="59"/>
      <c r="HG29" s="59"/>
      <c r="HH29" s="59"/>
      <c r="HI29" s="59"/>
      <c r="HJ29" s="59"/>
      <c r="HK29" s="58" t="s">
        <v>2917</v>
      </c>
      <c r="HL29" s="59" t="s">
        <v>2905</v>
      </c>
      <c r="HM29" s="59" t="s">
        <v>2931</v>
      </c>
      <c r="HN29" s="59"/>
      <c r="HO29" s="59"/>
      <c r="HP29" s="59"/>
      <c r="HQ29" s="59"/>
      <c r="HR29" s="59"/>
      <c r="HS29" s="59"/>
      <c r="HT29" s="59"/>
      <c r="HU29" s="59"/>
      <c r="HV29" s="59"/>
      <c r="HW29" s="59"/>
      <c r="HX29" s="59"/>
      <c r="HY29" s="59"/>
      <c r="HZ29" s="59"/>
      <c r="IA29" s="59"/>
      <c r="IC29" s="59"/>
      <c r="ID29" s="59"/>
      <c r="IE29" s="59"/>
      <c r="IF29" s="59"/>
      <c r="IG29" s="59"/>
      <c r="IH29" s="18">
        <f>IF(IJ29=1,MAX($IH$2:IH28)+1,"")</f>
        <v>12</v>
      </c>
      <c r="II29" s="59" t="s">
        <v>3319</v>
      </c>
      <c r="IJ29" s="59">
        <f>1</f>
        <v>1</v>
      </c>
      <c r="IK29" s="59" t="s">
        <v>3365</v>
      </c>
      <c r="IL29" s="18">
        <f t="shared" si="105"/>
        <v>27</v>
      </c>
      <c r="IM29" s="59" t="str">
        <f t="shared" si="77"/>
        <v/>
      </c>
      <c r="IN29" s="59"/>
      <c r="IO29" s="59"/>
      <c r="IP29" s="59"/>
      <c r="IQ29" s="59"/>
      <c r="IR29" s="59"/>
      <c r="IS29" s="59"/>
      <c r="IT29" s="59"/>
      <c r="IU29" s="59"/>
      <c r="IX29" s="59" t="s">
        <v>1495</v>
      </c>
      <c r="IY29" s="59" t="s">
        <v>955</v>
      </c>
      <c r="IZ29" s="59" t="s">
        <v>198</v>
      </c>
      <c r="JA29" s="59" t="s">
        <v>281</v>
      </c>
      <c r="JB29" s="59" t="s">
        <v>914</v>
      </c>
      <c r="JI29" s="60"/>
      <c r="JJ29" s="60"/>
      <c r="JX29" s="302"/>
      <c r="JY29" s="302"/>
      <c r="KT29" s="93" t="s">
        <v>1536</v>
      </c>
      <c r="KU29" s="80" t="str">
        <f t="shared" si="128"/>
        <v>No</v>
      </c>
      <c r="KV29" s="89" t="s">
        <v>333</v>
      </c>
      <c r="KW29" s="270"/>
      <c r="KX29" s="270"/>
      <c r="KY29" s="270"/>
      <c r="KZ29" s="270"/>
      <c r="LA29" s="270"/>
      <c r="LB29" s="92"/>
      <c r="LC29" s="270"/>
      <c r="LD29" s="270"/>
      <c r="LE29" s="270"/>
      <c r="LF29" s="455"/>
      <c r="LG29" s="270"/>
      <c r="LH29" s="270"/>
      <c r="LI29" s="270"/>
      <c r="LJ29" s="270"/>
      <c r="LK29" s="270"/>
      <c r="LL29" s="406"/>
      <c r="LM29" s="455"/>
      <c r="LN29" s="270"/>
      <c r="LO29" s="270"/>
      <c r="LP29" s="270"/>
      <c r="LQ29" s="92"/>
      <c r="LR29" s="270"/>
      <c r="LS29" s="270"/>
      <c r="LT29" s="92"/>
      <c r="LU29" s="92"/>
      <c r="LV29" s="270"/>
      <c r="LW29" s="270"/>
      <c r="LX29" s="270"/>
      <c r="LY29" s="92"/>
      <c r="LZ29" s="92"/>
      <c r="MA29" s="92"/>
      <c r="MB29" s="92"/>
      <c r="MC29" s="92"/>
      <c r="MD29" s="92"/>
      <c r="ME29" s="92"/>
      <c r="MF29" s="92"/>
      <c r="MG29" s="92"/>
      <c r="MH29" s="92"/>
      <c r="MI29" s="92"/>
      <c r="MJ29" s="92"/>
      <c r="MK29" s="92"/>
      <c r="ML29" s="94"/>
      <c r="MM29" s="94"/>
      <c r="MN29" s="94"/>
      <c r="MO29" s="94"/>
      <c r="MP29" s="94"/>
      <c r="MQ29" s="94"/>
      <c r="MR29" s="94"/>
      <c r="MS29" s="94"/>
      <c r="MT29" s="94"/>
      <c r="MU29" s="94"/>
      <c r="MV29" s="94"/>
      <c r="MW29" s="94"/>
      <c r="MX29" s="94"/>
      <c r="MY29" s="94"/>
      <c r="MZ29" s="94"/>
      <c r="NA29" s="94"/>
      <c r="NB29" s="94"/>
      <c r="NC29" s="94"/>
      <c r="ND29" s="94"/>
      <c r="NE29" s="94"/>
      <c r="NF29" s="94"/>
      <c r="NG29" s="94"/>
      <c r="NH29" s="94"/>
      <c r="NI29" s="94"/>
      <c r="NJ29" s="94"/>
      <c r="NK29" s="94"/>
      <c r="NL29" s="94"/>
      <c r="NM29" s="94"/>
      <c r="NN29" s="94"/>
      <c r="NO29" s="94"/>
      <c r="NP29" s="438"/>
      <c r="NQ29" s="94"/>
      <c r="NR29" s="94"/>
      <c r="NS29" s="94"/>
      <c r="NT29" s="94"/>
      <c r="NU29" s="94"/>
      <c r="NV29" s="456"/>
      <c r="NW29" s="456"/>
      <c r="NX29" s="456"/>
      <c r="NY29" s="456"/>
      <c r="NZ29" s="456"/>
      <c r="OA29" s="94"/>
      <c r="OB29" s="94"/>
      <c r="OC29" s="94"/>
      <c r="OD29" s="94"/>
      <c r="OE29" s="94"/>
      <c r="OF29" s="94"/>
      <c r="OG29" s="94"/>
      <c r="OH29" s="94"/>
      <c r="OI29" s="94"/>
      <c r="OJ29" s="94"/>
      <c r="OK29" s="94"/>
      <c r="OL29" s="94"/>
      <c r="OM29" s="94"/>
      <c r="ON29" s="94"/>
      <c r="OO29" s="94"/>
      <c r="OP29" s="94"/>
      <c r="OQ29" s="94"/>
      <c r="OR29" s="94"/>
      <c r="OS29" s="94"/>
      <c r="OT29" s="94"/>
      <c r="OU29" s="94"/>
      <c r="OV29" s="94"/>
      <c r="OW29" s="94"/>
      <c r="OX29" s="94"/>
      <c r="OY29" s="94"/>
      <c r="OZ29" s="94"/>
      <c r="PA29" s="94"/>
      <c r="PB29" s="94"/>
      <c r="PC29" s="94"/>
      <c r="PD29" s="94"/>
      <c r="PE29" s="94"/>
      <c r="PF29" s="94"/>
      <c r="PG29" s="94"/>
      <c r="PH29" s="94"/>
      <c r="PI29" s="94"/>
      <c r="PJ29" s="94"/>
      <c r="PK29" s="94"/>
      <c r="PL29" s="94"/>
      <c r="PM29" s="94"/>
      <c r="PN29" s="94"/>
      <c r="PO29" s="94"/>
      <c r="PP29" s="94"/>
      <c r="PQ29" s="94"/>
      <c r="PR29" s="94"/>
      <c r="PS29" s="94" t="str">
        <f>IF(COUNTIF(Start!$AX$59:$BF$68,Tables!KT29)&gt;0,Tables!KT29,"")</f>
        <v/>
      </c>
      <c r="PT29" s="94"/>
      <c r="PU29" s="59" t="str">
        <f t="shared" si="129"/>
        <v/>
      </c>
      <c r="PV29" s="59" t="str">
        <f>IF(PU29="","",IF(COUNTIF(PU29:$PU$57,"&gt;&lt;")&gt;1,PU29&amp;", ", PU29))</f>
        <v/>
      </c>
      <c r="PW29" s="59"/>
      <c r="PX29" s="59"/>
      <c r="PZ29" s="19" t="s">
        <v>121</v>
      </c>
      <c r="QA29" s="19" t="s">
        <v>129</v>
      </c>
      <c r="QB29" s="27" t="str">
        <f t="shared" ca="1" si="79"/>
        <v>not proficient</v>
      </c>
      <c r="QC29" s="67" t="s">
        <v>105</v>
      </c>
      <c r="QD29" s="19" t="s">
        <v>106</v>
      </c>
      <c r="QE29" s="26" t="s">
        <v>140</v>
      </c>
      <c r="QF29" s="26">
        <v>18</v>
      </c>
      <c r="QG29" s="26" t="str">
        <f>""</f>
        <v/>
      </c>
      <c r="QH29" s="26" t="str">
        <f>""</f>
        <v/>
      </c>
      <c r="QI29" s="26" t="s">
        <v>137</v>
      </c>
      <c r="QJ29" s="26" t="str">
        <f>""</f>
        <v/>
      </c>
      <c r="QK29" s="26" t="str">
        <f>""</f>
        <v/>
      </c>
      <c r="QL29" s="26" t="str">
        <f>""</f>
        <v/>
      </c>
      <c r="QM29" s="26" t="s">
        <v>144</v>
      </c>
      <c r="QN29" s="26" t="str">
        <f>""</f>
        <v/>
      </c>
      <c r="QO29" s="26" t="s">
        <v>147</v>
      </c>
      <c r="QP29" s="26" t="str">
        <f>""</f>
        <v/>
      </c>
      <c r="QQ29" s="27" t="str">
        <f>""</f>
        <v/>
      </c>
      <c r="QR29" s="27" t="str">
        <f>""</f>
        <v/>
      </c>
      <c r="QT29" s="634"/>
      <c r="QU29" s="727" t="s">
        <v>95</v>
      </c>
      <c r="QV29" s="726"/>
      <c r="QW29" s="634"/>
      <c r="QX29" s="634"/>
      <c r="QY29" s="528"/>
      <c r="QZ29" s="727" t="str">
        <f>IF(QZ16="","",IF(COUNTIF(QZ16:$QZ$18,"&gt;&lt;$Q$1")&gt;1,QZ16&amp;", ",QZ16))</f>
        <v/>
      </c>
      <c r="RA29" s="634"/>
      <c r="RB29" s="634"/>
      <c r="RC29" s="634"/>
      <c r="RD29" s="634"/>
      <c r="RE29" s="634"/>
      <c r="RF29" s="634"/>
      <c r="RG29" s="634"/>
      <c r="RH29" s="727" t="str">
        <f>IF(RH16="","",IF(COUNTIF($RH16:RH$18,"&gt;&lt;$Q$1")&gt;1,RH16&amp;", ",RH16))</f>
        <v/>
      </c>
      <c r="RI29" s="634"/>
      <c r="RJ29" s="634"/>
      <c r="RK29" s="634"/>
      <c r="RL29" s="634"/>
      <c r="RM29" s="634"/>
      <c r="RN29" s="634"/>
      <c r="RO29" s="634"/>
      <c r="RP29" s="727" t="str">
        <f>IF(RP16="","",IF(COUNTIF($RP16:RP$18,"&gt;&lt;$Q$1")&gt;1,RP16&amp;", ",RP16))</f>
        <v/>
      </c>
      <c r="RQ29" s="634"/>
      <c r="RR29" s="634"/>
      <c r="RS29" s="634"/>
      <c r="RT29" s="634"/>
      <c r="RU29" s="634"/>
      <c r="RV29" s="634"/>
      <c r="RW29" s="634"/>
      <c r="RX29" s="727" t="str">
        <f>IF(RX16="","",IF(COUNTIF($RX16:RX$18,"&gt;&lt;$Q$1")&gt;1,RX16&amp;", ",RX16))</f>
        <v/>
      </c>
      <c r="RY29" s="634"/>
      <c r="RZ29" s="634"/>
      <c r="SA29" s="634"/>
      <c r="SB29" s="634"/>
      <c r="SC29" s="634"/>
      <c r="SD29" s="634"/>
      <c r="SE29" s="634"/>
      <c r="SF29" s="727" t="str">
        <f>IF(SF16="","",IF(COUNTIF($SF16:SF$18,"&gt;&lt;$Q$1")&gt;1,SF16&amp;", ",SF16))</f>
        <v/>
      </c>
      <c r="SG29" s="634"/>
      <c r="SH29" s="634"/>
      <c r="SI29" s="634"/>
      <c r="SJ29" s="634"/>
      <c r="SK29" s="634"/>
      <c r="SL29" s="634"/>
      <c r="SM29" s="634"/>
      <c r="SN29" s="727" t="str">
        <f>IF(SN16="","",IF(COUNTIF($SN16:SN$18,"&gt;&lt;$Q$1")&gt;1,SN16&amp;", ",SN16))</f>
        <v/>
      </c>
      <c r="SO29" s="634"/>
      <c r="SP29" s="634"/>
      <c r="SQ29" s="634"/>
      <c r="SR29" s="19"/>
      <c r="SS29" s="19"/>
      <c r="ST29" s="19"/>
      <c r="SU29" s="68"/>
      <c r="SV29" s="44"/>
      <c r="SW29" s="231"/>
      <c r="SX29" s="45"/>
      <c r="SY29" s="27"/>
      <c r="SZ29" s="26"/>
      <c r="TA29" s="19"/>
      <c r="TB29" s="19"/>
      <c r="TC29" s="19"/>
      <c r="TD29" s="44"/>
      <c r="TE29" s="26"/>
      <c r="TF29" s="68"/>
      <c r="TG29" s="26"/>
      <c r="TH29" s="27"/>
      <c r="TI29" s="27"/>
      <c r="TJ29" s="18">
        <f t="shared" si="115"/>
        <v>27</v>
      </c>
      <c r="TK29" s="58" t="s">
        <v>530</v>
      </c>
      <c r="TL29" s="58" t="s">
        <v>459</v>
      </c>
      <c r="TM29" s="18">
        <v>2</v>
      </c>
      <c r="TN29" s="59" t="str">
        <f t="shared" si="47"/>
        <v xml:space="preserve">Barkskin </v>
      </c>
      <c r="TO29" s="18" t="str">
        <f>""</f>
        <v/>
      </c>
      <c r="TP29" s="18" t="str">
        <f t="shared" si="48"/>
        <v/>
      </c>
      <c r="TQ29" s="18" t="str">
        <f>IF(OR(TK29=Spellcasting!$AC$18,TK29=Spellcasting!$AC$19),"ᵐ","")</f>
        <v/>
      </c>
      <c r="TR29" s="18" t="str">
        <f>IF(OR(TK29=Spellcasting!$AC$20,TK29=Spellcasting!$AC$21),"ˢ","")</f>
        <v/>
      </c>
      <c r="TS29" s="18" t="str">
        <f>""</f>
        <v/>
      </c>
      <c r="TT29" s="18" t="s">
        <v>484</v>
      </c>
      <c r="TU29" s="18" t="s">
        <v>519</v>
      </c>
      <c r="TV29" s="18" t="s">
        <v>490</v>
      </c>
      <c r="TW29" s="18" t="s">
        <v>495</v>
      </c>
      <c r="TX29" s="59" t="s">
        <v>1306</v>
      </c>
      <c r="TY29" s="18" t="s">
        <v>491</v>
      </c>
      <c r="TZ29" s="18" t="s">
        <v>492</v>
      </c>
      <c r="UA29" s="59" t="s">
        <v>1307</v>
      </c>
      <c r="UB29" s="319" t="s">
        <v>3241</v>
      </c>
      <c r="UE29" s="18" t="str">
        <f ca="1">IF(UE$1&gt;=$TM29,1,"0")</f>
        <v>0</v>
      </c>
      <c r="UI29" s="18" t="str">
        <f ca="1">IF(UI$1&gt;=$TM29,1,"0")</f>
        <v>0</v>
      </c>
      <c r="VB29" s="18" t="str">
        <f>IF(VB$1&gt;=$TM29,1,"0")</f>
        <v>0</v>
      </c>
      <c r="VJ29" s="18" t="str">
        <f>IF(VJ$1&gt;=$TM29,1,"0")</f>
        <v>0</v>
      </c>
      <c r="WD29" s="18" t="str">
        <f ca="1">IF(SUM($VZ$1:$WC$1)&gt;0,IF(AND(SUM($VZ29:$WC29)&gt;0,$TM29=WE$1),MAX(WD$2:WD28)+1,""),IF(AND(SUM($UC29:$VY29)&gt;0,$TM29=WE$1),MAX(WD$2:WD28)+1,""))</f>
        <v/>
      </c>
      <c r="WE29" s="59" t="str">
        <f t="shared" ca="1" si="80"/>
        <v/>
      </c>
      <c r="WF29" s="18" t="str">
        <f ca="1">IF(AND(SUM($UB29:$VY29)&gt;0,$TM29=WG$1),MAX(WF$2:WF28)+1,"")</f>
        <v/>
      </c>
      <c r="WG29" s="59" t="str">
        <f t="shared" ca="1" si="81"/>
        <v/>
      </c>
      <c r="WH29" s="18" t="str">
        <f ca="1">IF(AND(SUM($UB29:$VY29)&gt;0,$TM29=WI$1),MAX(WH$2:WH28)+1,"")</f>
        <v/>
      </c>
      <c r="WI29" s="59" t="str">
        <f t="shared" ca="1" si="82"/>
        <v/>
      </c>
      <c r="WJ29" s="18" t="str">
        <f ca="1">IF(AND(SUM($UB29:$VY29)&gt;0,$TM29=WK$1),MAX(WJ$2:WJ28)+1,"")</f>
        <v/>
      </c>
      <c r="WK29" s="59" t="str">
        <f t="shared" ca="1" si="83"/>
        <v/>
      </c>
      <c r="WL29" s="18" t="str">
        <f ca="1">IF(AND(SUM($UB29:$VY29)&gt;0,$TM29=WM$1),MAX(WL$2:WL28)+1,"")</f>
        <v/>
      </c>
      <c r="WM29" s="59" t="str">
        <f t="shared" ca="1" si="84"/>
        <v/>
      </c>
      <c r="WN29" s="18" t="str">
        <f ca="1">IF(AND(SUM($UB29:$VY29)&gt;0,$TM29=WO$1),MAX(WN$2:WN28)+1,"")</f>
        <v/>
      </c>
      <c r="WO29" s="59" t="str">
        <f t="shared" ca="1" si="85"/>
        <v/>
      </c>
      <c r="WP29" s="18" t="str">
        <f ca="1">IF(AND(SUM($UB29:$VY29)&gt;0,$TM29=WQ$1),MAX(WP$2:WP28)+1,"")</f>
        <v/>
      </c>
      <c r="WQ29" s="59" t="str">
        <f t="shared" ca="1" si="86"/>
        <v/>
      </c>
      <c r="WR29" s="18" t="str">
        <f ca="1">IF(AND(SUM($UB29:$VY29)&gt;0,$TM29=WS$1),MAX(WR$2:WR28)+1,"")</f>
        <v/>
      </c>
      <c r="WS29" s="59" t="str">
        <f t="shared" ca="1" si="87"/>
        <v/>
      </c>
      <c r="WT29" s="18" t="str">
        <f ca="1">IF(AND(SUM($UB29:$VY29)&gt;0,$TM29=WU$1),MAX(WT$2:WT28)+1,"")</f>
        <v/>
      </c>
      <c r="WU29" s="59" t="str">
        <f t="shared" ca="1" si="88"/>
        <v/>
      </c>
      <c r="WV29" s="18" t="str">
        <f ca="1">IF(AND(SUM($UB29:$VY29)&gt;0,$TM29=WW$1),MAX(WV$2:WV28)+1,"")</f>
        <v/>
      </c>
      <c r="WW29" s="59" t="str">
        <f t="shared" ca="1" si="89"/>
        <v/>
      </c>
      <c r="WX29" s="18" t="str">
        <f ca="1">IF(AND(SUM($UB29:$VY29)&gt;0,$TM29=WY$1),MAX(WX$2:WX28)+1,"")</f>
        <v/>
      </c>
      <c r="WY29" s="59" t="str">
        <f t="shared" ca="1" si="90"/>
        <v/>
      </c>
      <c r="WZ29" s="18">
        <v>28</v>
      </c>
      <c r="XA29" s="59" t="str">
        <f t="shared" ca="1" si="91"/>
        <v/>
      </c>
      <c r="XB29" s="59" t="str">
        <f t="shared" ca="1" si="28"/>
        <v/>
      </c>
      <c r="XC29" s="59" t="str">
        <f t="shared" ca="1" si="29"/>
        <v/>
      </c>
      <c r="XD29" s="59" t="str">
        <f t="shared" ca="1" si="60"/>
        <v/>
      </c>
      <c r="XE29" s="59" t="str">
        <f t="shared" ca="1" si="61"/>
        <v/>
      </c>
      <c r="XF29" s="59" t="str">
        <f t="shared" ca="1" si="62"/>
        <v/>
      </c>
      <c r="XG29" s="59" t="str">
        <f t="shared" ca="1" si="63"/>
        <v/>
      </c>
      <c r="XH29" s="59" t="str">
        <f t="shared" ca="1" si="64"/>
        <v/>
      </c>
      <c r="XI29" s="59" t="str">
        <f t="shared" ca="1" si="65"/>
        <v/>
      </c>
      <c r="XJ29" s="59" t="str">
        <f t="shared" ca="1" si="66"/>
        <v/>
      </c>
      <c r="XK29" s="59" t="str">
        <f t="shared" ca="1" si="67"/>
        <v/>
      </c>
      <c r="XL29" s="18">
        <v>1</v>
      </c>
      <c r="XM29" s="59">
        <f>IF(XL29=1,MAX($XM$27:XM28)+1,"")</f>
        <v>2</v>
      </c>
      <c r="XN29" s="59" t="s">
        <v>744</v>
      </c>
      <c r="XO29" s="58" t="s">
        <v>3384</v>
      </c>
      <c r="XP29" s="18" t="s">
        <v>3070</v>
      </c>
      <c r="XQ29" s="18">
        <v>12</v>
      </c>
      <c r="XR29" s="18">
        <v>1</v>
      </c>
      <c r="XS29" s="59" t="s">
        <v>1737</v>
      </c>
      <c r="XT29" s="18">
        <v>2</v>
      </c>
      <c r="XU29" s="18">
        <v>15</v>
      </c>
      <c r="XV29" s="18">
        <v>8</v>
      </c>
      <c r="XW29" s="18">
        <v>2</v>
      </c>
      <c r="XX29" s="18">
        <v>12</v>
      </c>
      <c r="XY29" s="18">
        <v>4</v>
      </c>
      <c r="XZ29" s="73" t="s">
        <v>187</v>
      </c>
      <c r="YA29" s="142" t="s">
        <v>2860</v>
      </c>
      <c r="YB29" s="142" t="s">
        <v>2855</v>
      </c>
      <c r="YC29" s="142" t="s">
        <v>3394</v>
      </c>
      <c r="YG29" s="58" t="s">
        <v>759</v>
      </c>
      <c r="YH29" s="58" t="s">
        <v>1760</v>
      </c>
      <c r="YI29" s="215" t="s">
        <v>1804</v>
      </c>
      <c r="YJ29" s="215" t="s">
        <v>3444</v>
      </c>
      <c r="YK29" s="215" t="str">
        <f>""</f>
        <v/>
      </c>
      <c r="YL29" s="249" t="str">
        <f>""</f>
        <v/>
      </c>
      <c r="YM29" s="249" t="s">
        <v>3087</v>
      </c>
      <c r="YN29" s="249">
        <v>1</v>
      </c>
      <c r="YO29" s="249"/>
      <c r="YP29" s="249"/>
      <c r="YQ29" s="215"/>
      <c r="YR29" s="215"/>
      <c r="YS29" s="215"/>
      <c r="YT29" s="18" t="s">
        <v>288</v>
      </c>
      <c r="YU29" s="18">
        <v>19</v>
      </c>
      <c r="YV29" s="18" t="str">
        <f t="shared" ca="1" si="134"/>
        <v/>
      </c>
      <c r="YW29" s="18" t="str">
        <f ca="1">IF(YX29="","",MAX($YW$1:YW28)+1)</f>
        <v/>
      </c>
      <c r="YX29" s="59" t="str">
        <f t="shared" ca="1" si="71"/>
        <v/>
      </c>
      <c r="YY29" s="18" t="str">
        <f t="shared" ca="1" si="72"/>
        <v/>
      </c>
      <c r="ZR29"/>
    </row>
    <row r="30" spans="5:694" ht="9.9499999999999993" customHeight="1" x14ac:dyDescent="0.25">
      <c r="AE30" s="17"/>
      <c r="AF30" s="17"/>
      <c r="AG30" s="252"/>
      <c r="AH30" s="17"/>
      <c r="AI30" s="287"/>
      <c r="AJ30" s="17"/>
      <c r="AK30" s="267"/>
      <c r="AL30" s="291"/>
      <c r="AM30" s="17"/>
      <c r="AN30" s="18"/>
      <c r="AO30" s="18">
        <f t="shared" si="119"/>
        <v>29</v>
      </c>
      <c r="AP30" s="59" t="str">
        <f t="shared" si="135"/>
        <v/>
      </c>
      <c r="AQ30" s="59" t="str">
        <f>""</f>
        <v/>
      </c>
      <c r="AR30" s="254" t="s">
        <v>1071</v>
      </c>
      <c r="AS30" s="385" t="s">
        <v>2442</v>
      </c>
      <c r="AT30" s="254" t="s">
        <v>1096</v>
      </c>
      <c r="AU30" s="385" t="s">
        <v>2476</v>
      </c>
      <c r="AV30" s="255" t="s">
        <v>1137</v>
      </c>
      <c r="AW30" s="385" t="s">
        <v>2522</v>
      </c>
      <c r="AX30" s="385" t="s">
        <v>2555</v>
      </c>
      <c r="AY30" s="58" t="s">
        <v>1167</v>
      </c>
      <c r="AZ30" s="58" t="s">
        <v>2591</v>
      </c>
      <c r="BA30" s="254" t="s">
        <v>1034</v>
      </c>
      <c r="BB30" s="385" t="s">
        <v>2617</v>
      </c>
      <c r="BC30" s="58" t="s">
        <v>1193</v>
      </c>
      <c r="BD30" s="58" t="s">
        <v>2385</v>
      </c>
      <c r="BE30" s="18" t="str">
        <f>""</f>
        <v/>
      </c>
      <c r="BJ30" s="70"/>
      <c r="BK30" s="70"/>
      <c r="BL30" s="48"/>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48"/>
      <c r="CN30" s="48"/>
      <c r="CO30" s="48"/>
      <c r="CP30" s="48"/>
      <c r="CQ30" s="48"/>
      <c r="CR30" s="48"/>
      <c r="CS30" s="48"/>
      <c r="CT30" s="48"/>
      <c r="CU30" s="48"/>
      <c r="CV30" s="48"/>
      <c r="CW30" s="48"/>
      <c r="CX30" s="48"/>
      <c r="CY30" s="48"/>
      <c r="CZ30" s="48"/>
      <c r="DA30" s="48"/>
      <c r="DB30" s="48"/>
      <c r="DC30" s="48"/>
      <c r="DD30" s="48"/>
      <c r="DE30" s="48"/>
      <c r="DF30" s="48"/>
      <c r="DG30" s="104"/>
      <c r="DH30" s="104"/>
      <c r="DI30" s="104"/>
      <c r="DK30" s="104"/>
      <c r="DL30" s="393" t="s">
        <v>2648</v>
      </c>
      <c r="DM30" s="391" t="s">
        <v>279</v>
      </c>
      <c r="DN30" s="391">
        <f t="shared" ca="1" si="121"/>
        <v>0</v>
      </c>
      <c r="DO30" s="392" t="str">
        <f>""</f>
        <v/>
      </c>
      <c r="DP30" s="393" t="str">
        <f>""</f>
        <v/>
      </c>
      <c r="DQ30" s="392" t="s">
        <v>2649</v>
      </c>
      <c r="DR30" s="393" t="str">
        <f>""</f>
        <v/>
      </c>
      <c r="DS30" s="393" t="str">
        <f>""</f>
        <v/>
      </c>
      <c r="DT30" s="393" t="s">
        <v>2650</v>
      </c>
      <c r="DU30" s="393" t="str">
        <f>""</f>
        <v/>
      </c>
      <c r="DV30" s="393" t="str">
        <f>""</f>
        <v/>
      </c>
      <c r="DW30" s="393" t="str">
        <f>""</f>
        <v/>
      </c>
      <c r="DX30" s="393" t="str">
        <f>""</f>
        <v/>
      </c>
      <c r="DY30" s="393" t="str">
        <f>""</f>
        <v/>
      </c>
      <c r="DZ30" s="393" t="str">
        <f>""</f>
        <v/>
      </c>
      <c r="EA30" s="393" t="str">
        <f>""</f>
        <v/>
      </c>
      <c r="EB30" s="393" t="s">
        <v>2651</v>
      </c>
      <c r="EC30" s="393" t="str">
        <f>""</f>
        <v/>
      </c>
      <c r="ED30" s="393" t="str">
        <f>""</f>
        <v/>
      </c>
      <c r="EE30" s="393" t="str">
        <f>""</f>
        <v/>
      </c>
      <c r="EF30" s="393" t="str">
        <f>""</f>
        <v/>
      </c>
      <c r="EG30" s="393" t="str">
        <f>""</f>
        <v/>
      </c>
      <c r="EH30" s="393" t="str">
        <f>""</f>
        <v/>
      </c>
      <c r="EI30" s="445" t="str">
        <f>""</f>
        <v/>
      </c>
      <c r="EJ30" s="445" t="str">
        <f>""</f>
        <v/>
      </c>
      <c r="EK30" s="445"/>
      <c r="EL30" s="445" t="str">
        <f>""</f>
        <v/>
      </c>
      <c r="EM30" s="445"/>
      <c r="EN30" s="445" t="str">
        <f>""</f>
        <v/>
      </c>
      <c r="EO30" s="445"/>
      <c r="EP30" s="445" t="str">
        <f>""</f>
        <v/>
      </c>
      <c r="EQ30" s="445"/>
      <c r="ER30" s="445" t="str">
        <f>""</f>
        <v/>
      </c>
      <c r="ES30" s="445"/>
      <c r="ET30" s="393" t="str">
        <f>""</f>
        <v/>
      </c>
      <c r="EU30" s="391" t="str">
        <f>""</f>
        <v/>
      </c>
      <c r="EV30" s="393" t="str">
        <f>IF(BardLevel&gt;=3,DL30&amp;"
• Choose 3 skills of your choice.
","")</f>
        <v/>
      </c>
      <c r="EW30" s="391" t="str">
        <f>IF(BardLevel&gt;=3,3,"")</f>
        <v/>
      </c>
      <c r="EX30" s="393" t="str">
        <f>""</f>
        <v/>
      </c>
      <c r="EY30" s="391" t="str">
        <f>""</f>
        <v/>
      </c>
      <c r="EZ30" s="18"/>
      <c r="FA30" s="18" t="str">
        <f>IF($DM30=FB$5,MAX(FA$6:FA29)+1,"")</f>
        <v/>
      </c>
      <c r="FB30" s="58" t="str">
        <f t="shared" si="122"/>
        <v/>
      </c>
      <c r="FC30" s="18"/>
      <c r="FE30" s="18" t="str">
        <f>IF($DM30=FF$5,MAX(FE$6:FE29)+1,"")</f>
        <v/>
      </c>
      <c r="FF30" s="58" t="str">
        <f t="shared" si="123"/>
        <v/>
      </c>
      <c r="FG30" s="18"/>
      <c r="FI30" s="18" t="str">
        <f>IF($DM30=FJ$5,MAX(FI$6:FI29)+1,"")</f>
        <v/>
      </c>
      <c r="FJ30" s="58" t="str">
        <f t="shared" si="124"/>
        <v/>
      </c>
      <c r="FK30" s="18"/>
      <c r="FM30" s="18"/>
      <c r="FN30" s="18"/>
      <c r="FO30" s="18"/>
      <c r="FP30" s="18"/>
      <c r="FQ30" s="18"/>
      <c r="FR30" s="18"/>
      <c r="FS30" s="18"/>
      <c r="FT30" s="18"/>
      <c r="FU30" s="18"/>
      <c r="FV30" s="18"/>
      <c r="FX30" s="59" t="s">
        <v>413</v>
      </c>
      <c r="FY30" s="543" t="s">
        <v>3062</v>
      </c>
      <c r="FZ30" s="104"/>
      <c r="GA30" s="104"/>
      <c r="GB30" s="104"/>
      <c r="GC30" s="104"/>
      <c r="GD30" s="104"/>
      <c r="GE30" s="104"/>
      <c r="GF30" s="104"/>
      <c r="GG30" s="104"/>
      <c r="GH30" s="104"/>
      <c r="GI30" s="104"/>
      <c r="GJ30" s="104"/>
      <c r="GK30" s="18"/>
      <c r="GL30" s="18"/>
      <c r="GM30" s="18"/>
      <c r="GN30" s="18"/>
      <c r="GO30" s="18"/>
      <c r="GP30" s="18"/>
      <c r="GQ30" s="59"/>
      <c r="GR30" s="59"/>
      <c r="GZ30" s="59"/>
      <c r="HA30" s="59"/>
      <c r="HB30" s="59"/>
      <c r="HC30" s="59"/>
      <c r="HD30" s="59"/>
      <c r="HE30" s="59"/>
      <c r="HF30" s="59"/>
      <c r="HG30" s="59"/>
      <c r="HH30" s="59"/>
      <c r="HI30" s="59"/>
      <c r="HJ30" s="59"/>
      <c r="HK30" s="58" t="s">
        <v>2918</v>
      </c>
      <c r="HL30" s="59" t="s">
        <v>2905</v>
      </c>
      <c r="HM30" s="59" t="s">
        <v>2932</v>
      </c>
      <c r="HN30" s="59"/>
      <c r="HO30" s="59"/>
      <c r="HP30" s="59"/>
      <c r="HQ30" s="59"/>
      <c r="HR30" s="59"/>
      <c r="HS30" s="59"/>
      <c r="HT30" s="59"/>
      <c r="HU30" s="59"/>
      <c r="HV30" s="59"/>
      <c r="HW30" s="59"/>
      <c r="HX30" s="59"/>
      <c r="HY30" s="59"/>
      <c r="HZ30" s="59"/>
      <c r="IA30" s="59"/>
      <c r="IC30" s="59"/>
      <c r="ID30" s="59"/>
      <c r="IE30" s="59"/>
      <c r="IF30" s="59"/>
      <c r="IG30" s="59"/>
      <c r="IH30" s="18" t="str">
        <f>IF(IJ30=1,MAX($IH$2:IH29)+1,"")</f>
        <v/>
      </c>
      <c r="II30" s="59" t="s">
        <v>3320</v>
      </c>
      <c r="IJ30" s="59" t="str">
        <f>IF(AND(WarlockLevel&gt;=5,Start!AJ70="Pact of the Blade"),1,"")</f>
        <v/>
      </c>
      <c r="IK30" s="59" t="s">
        <v>3366</v>
      </c>
      <c r="IL30" s="18">
        <f t="shared" si="105"/>
        <v>28</v>
      </c>
      <c r="IM30" s="59" t="str">
        <f t="shared" si="77"/>
        <v/>
      </c>
      <c r="IN30" s="59"/>
      <c r="IO30" s="59"/>
      <c r="IP30" s="59"/>
      <c r="IQ30" s="59"/>
      <c r="IR30" s="59"/>
      <c r="IS30" s="59"/>
      <c r="IT30" s="59"/>
      <c r="IU30" s="59"/>
      <c r="IX30" s="59" t="s">
        <v>1496</v>
      </c>
      <c r="IY30" s="59" t="s">
        <v>956</v>
      </c>
      <c r="IZ30" s="59" t="s">
        <v>197</v>
      </c>
      <c r="JA30" s="59" t="s">
        <v>915</v>
      </c>
      <c r="JB30" s="59" t="s">
        <v>916</v>
      </c>
      <c r="JI30" s="60"/>
      <c r="JJ30" s="60"/>
      <c r="JX30" s="302"/>
      <c r="JY30" s="302"/>
      <c r="KT30" s="93" t="s">
        <v>1537</v>
      </c>
      <c r="KU30" s="80" t="str">
        <f t="shared" si="128"/>
        <v>No</v>
      </c>
      <c r="KV30" s="89" t="s">
        <v>333</v>
      </c>
      <c r="KW30" s="270"/>
      <c r="KX30" s="270"/>
      <c r="KY30" s="270"/>
      <c r="KZ30" s="270"/>
      <c r="LA30" s="270"/>
      <c r="LB30" s="92"/>
      <c r="LC30" s="270"/>
      <c r="LD30" s="270"/>
      <c r="LE30" s="270"/>
      <c r="LF30" s="455"/>
      <c r="LG30" s="270"/>
      <c r="LH30" s="270"/>
      <c r="LI30" s="270"/>
      <c r="LJ30" s="270"/>
      <c r="LK30" s="270"/>
      <c r="LL30" s="406"/>
      <c r="LM30" s="455"/>
      <c r="LN30" s="270"/>
      <c r="LO30" s="270"/>
      <c r="LP30" s="270"/>
      <c r="LQ30" s="92"/>
      <c r="LR30" s="270"/>
      <c r="LS30" s="270"/>
      <c r="LT30" s="92"/>
      <c r="LU30" s="92"/>
      <c r="LV30" s="270"/>
      <c r="LW30" s="270"/>
      <c r="LX30" s="270"/>
      <c r="LY30" s="92"/>
      <c r="LZ30" s="92"/>
      <c r="MA30" s="92"/>
      <c r="MB30" s="92"/>
      <c r="MC30" s="92"/>
      <c r="MD30" s="92"/>
      <c r="ME30" s="92"/>
      <c r="MF30" s="92"/>
      <c r="MG30" s="92"/>
      <c r="MH30" s="92"/>
      <c r="MI30" s="92"/>
      <c r="MJ30" s="92"/>
      <c r="MK30" s="92"/>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438"/>
      <c r="NQ30" s="94"/>
      <c r="NR30" s="94"/>
      <c r="NS30" s="94"/>
      <c r="NT30" s="94"/>
      <c r="NU30" s="94"/>
      <c r="NV30" s="456"/>
      <c r="NW30" s="456"/>
      <c r="NX30" s="456"/>
      <c r="NY30" s="456"/>
      <c r="NZ30" s="456"/>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t="str">
        <f>IF(COUNTIF(Start!$AX$59:$BF$68,Tables!KT30)&gt;0,Tables!KT30,"")</f>
        <v/>
      </c>
      <c r="PT30" s="94"/>
      <c r="PU30" s="59" t="str">
        <f t="shared" si="129"/>
        <v/>
      </c>
      <c r="PV30" s="59" t="str">
        <f>IF(PU30="","",IF(COUNTIF(PU30:$PU$57,"&gt;&lt;")&gt;1,PU30&amp;", ", PU30))</f>
        <v/>
      </c>
      <c r="PW30" s="59"/>
      <c r="PX30" s="59"/>
      <c r="PZ30" s="28" t="s">
        <v>159</v>
      </c>
      <c r="QA30" s="28" t="s">
        <v>167</v>
      </c>
      <c r="QB30" s="30" t="str">
        <f t="shared" ca="1" si="79"/>
        <v>not proficient</v>
      </c>
      <c r="QC30" s="31" t="s">
        <v>104</v>
      </c>
      <c r="QD30" s="28" t="s">
        <v>107</v>
      </c>
      <c r="QE30" s="29" t="s">
        <v>140</v>
      </c>
      <c r="QF30" s="29">
        <v>4</v>
      </c>
      <c r="QG30" s="29" t="str">
        <f>""</f>
        <v/>
      </c>
      <c r="QH30" s="29" t="str">
        <f>""</f>
        <v/>
      </c>
      <c r="QI30" s="29" t="str">
        <f>""</f>
        <v/>
      </c>
      <c r="QJ30" s="29" t="str">
        <f>""</f>
        <v/>
      </c>
      <c r="QK30" s="29" t="str">
        <f>""</f>
        <v/>
      </c>
      <c r="QL30" s="29" t="str">
        <f>""</f>
        <v/>
      </c>
      <c r="QM30" s="29" t="str">
        <f>""</f>
        <v/>
      </c>
      <c r="QN30" s="29" t="str">
        <f>""</f>
        <v/>
      </c>
      <c r="QO30" s="29" t="str">
        <f>""</f>
        <v/>
      </c>
      <c r="QP30" s="29" t="s">
        <v>179</v>
      </c>
      <c r="QQ30" s="30" t="str">
        <f>""</f>
        <v/>
      </c>
      <c r="QR30" s="30" t="str">
        <f>""</f>
        <v/>
      </c>
      <c r="QT30" s="634"/>
      <c r="QU30" s="727" t="s">
        <v>94</v>
      </c>
      <c r="QV30" s="726"/>
      <c r="QW30" s="634"/>
      <c r="QX30" s="634"/>
      <c r="QY30" s="528"/>
      <c r="QZ30" s="727" t="str">
        <f>IF(QZ17="","",IF(COUNTIF(QZ17:$QZ$18,"&gt;&lt;$Q$1")&gt;1,QZ17&amp;", ",QZ17))</f>
        <v/>
      </c>
      <c r="RA30" s="634"/>
      <c r="RB30" s="634"/>
      <c r="RC30" s="634"/>
      <c r="RD30" s="634"/>
      <c r="RE30" s="634"/>
      <c r="RF30" s="634"/>
      <c r="RG30" s="634"/>
      <c r="RH30" s="727" t="str">
        <f>IF(RH17="","",IF(COUNTIF($RH17:RH$18,"&gt;&lt;$Q$1")&gt;1,RH17&amp;", ",RH17))</f>
        <v/>
      </c>
      <c r="RI30" s="634"/>
      <c r="RJ30" s="634"/>
      <c r="RK30" s="634"/>
      <c r="RL30" s="634"/>
      <c r="RM30" s="634"/>
      <c r="RN30" s="634"/>
      <c r="RO30" s="634"/>
      <c r="RP30" s="727" t="str">
        <f>IF(RP17="","",IF(COUNTIF($RP17:RP$18,"&gt;&lt;$Q$1")&gt;1,RP17&amp;", ",RP17))</f>
        <v/>
      </c>
      <c r="RQ30" s="634"/>
      <c r="RR30" s="634"/>
      <c r="RS30" s="634"/>
      <c r="RT30" s="634"/>
      <c r="RU30" s="634"/>
      <c r="RV30" s="634"/>
      <c r="RW30" s="634"/>
      <c r="RX30" s="727" t="str">
        <f>IF(RX17="","",IF(COUNTIF($RX17:RX$18,"&gt;&lt;$Q$1")&gt;1,RX17&amp;", ",RX17))</f>
        <v/>
      </c>
      <c r="RY30" s="634"/>
      <c r="RZ30" s="634"/>
      <c r="SA30" s="634"/>
      <c r="SB30" s="634"/>
      <c r="SC30" s="634"/>
      <c r="SD30" s="634"/>
      <c r="SE30" s="634"/>
      <c r="SF30" s="727" t="str">
        <f>IF(SF17="","",IF(COUNTIF($SF17:SF$18,"&gt;&lt;$Q$1")&gt;1,SF17&amp;", ",SF17))</f>
        <v/>
      </c>
      <c r="SG30" s="634"/>
      <c r="SH30" s="634"/>
      <c r="SI30" s="634"/>
      <c r="SJ30" s="634"/>
      <c r="SK30" s="634"/>
      <c r="SL30" s="634"/>
      <c r="SM30" s="634"/>
      <c r="SN30" s="727" t="str">
        <f>IF(SN17="","",IF(COUNTIF($SN17:SN$18,"&gt;&lt;$Q$1")&gt;1,SN17&amp;", ",SN17))</f>
        <v/>
      </c>
      <c r="SO30" s="634"/>
      <c r="SP30" s="634"/>
      <c r="SQ30" s="634"/>
      <c r="SR30" s="28"/>
      <c r="SS30" s="28"/>
      <c r="ST30" s="28"/>
      <c r="SU30" s="69"/>
      <c r="SV30" s="42"/>
      <c r="SW30" s="232"/>
      <c r="SX30" s="46"/>
      <c r="SY30" s="30"/>
      <c r="SZ30" s="29"/>
      <c r="TA30" s="28"/>
      <c r="TB30" s="28"/>
      <c r="TC30" s="28"/>
      <c r="TD30" s="42"/>
      <c r="TE30" s="29"/>
      <c r="TF30" s="69"/>
      <c r="TG30" s="29"/>
      <c r="TH30" s="30"/>
      <c r="TI30" s="30"/>
      <c r="TJ30" s="18">
        <f t="shared" si="115"/>
        <v>28</v>
      </c>
      <c r="TK30" s="58" t="s">
        <v>531</v>
      </c>
      <c r="TL30" s="58" t="s">
        <v>460</v>
      </c>
      <c r="TM30" s="18">
        <v>3</v>
      </c>
      <c r="TN30" s="59" t="str">
        <f t="shared" si="47"/>
        <v xml:space="preserve">Beacon of Hope </v>
      </c>
      <c r="TO30" s="18" t="str">
        <f>""</f>
        <v/>
      </c>
      <c r="TP30" s="18" t="str">
        <f t="shared" si="48"/>
        <v/>
      </c>
      <c r="TQ30" s="18" t="str">
        <f>IF(OR(TK30=Spellcasting!$AC$18,TK30=Spellcasting!$AC$19),"ᵐ","")</f>
        <v/>
      </c>
      <c r="TR30" s="18" t="str">
        <f>IF(OR(TK30=Spellcasting!$AC$20,TK30=Spellcasting!$AC$21),"ˢ","")</f>
        <v/>
      </c>
      <c r="TS30" s="18" t="str">
        <f>""</f>
        <v/>
      </c>
      <c r="TT30" s="18" t="s">
        <v>484</v>
      </c>
      <c r="TU30" s="18" t="s">
        <v>851</v>
      </c>
      <c r="TV30" s="18" t="s">
        <v>558</v>
      </c>
      <c r="TW30" s="18" t="s">
        <v>486</v>
      </c>
      <c r="TX30" s="59" t="str">
        <f>""</f>
        <v/>
      </c>
      <c r="TY30" s="18" t="s">
        <v>487</v>
      </c>
      <c r="TZ30" s="18" t="s">
        <v>488</v>
      </c>
      <c r="UA30" s="142" t="s">
        <v>863</v>
      </c>
      <c r="UB30" s="319" t="s">
        <v>3242</v>
      </c>
      <c r="UH30" s="18" t="str">
        <f ca="1">IF(UH$1&gt;=$TM30,1,"0")</f>
        <v>0</v>
      </c>
      <c r="UO30" s="18" t="str">
        <f>IF(UO$1&gt;=$TM30,1,"0")</f>
        <v>0</v>
      </c>
      <c r="UZ30" s="18" t="str">
        <f>IF(UZ$1&gt;=$TM30,1,"0")</f>
        <v>0</v>
      </c>
      <c r="WD30" s="18" t="str">
        <f ca="1">IF(SUM($VZ$1:$WC$1)&gt;0,IF(AND(SUM($VZ30:$WC30)&gt;0,$TM30=WE$1),MAX(WD$2:WD29)+1,""),IF(AND(SUM($UC30:$VY30)&gt;0,$TM30=WE$1),MAX(WD$2:WD29)+1,""))</f>
        <v/>
      </c>
      <c r="WE30" s="59" t="str">
        <f t="shared" ca="1" si="80"/>
        <v/>
      </c>
      <c r="WF30" s="18" t="str">
        <f ca="1">IF(AND(SUM($UB30:$VY30)&gt;0,$TM30=WG$1),MAX(WF$2:WF29)+1,"")</f>
        <v/>
      </c>
      <c r="WG30" s="59" t="str">
        <f t="shared" ca="1" si="81"/>
        <v/>
      </c>
      <c r="WH30" s="18" t="str">
        <f ca="1">IF(AND(SUM($UB30:$VY30)&gt;0,$TM30=WI$1),MAX(WH$2:WH29)+1,"")</f>
        <v/>
      </c>
      <c r="WI30" s="59" t="str">
        <f t="shared" ca="1" si="82"/>
        <v/>
      </c>
      <c r="WJ30" s="18" t="str">
        <f ca="1">IF(AND(SUM($UB30:$VY30)&gt;0,$TM30=WK$1),MAX(WJ$2:WJ29)+1,"")</f>
        <v/>
      </c>
      <c r="WK30" s="59" t="str">
        <f t="shared" ca="1" si="83"/>
        <v/>
      </c>
      <c r="WL30" s="18" t="str">
        <f ca="1">IF(AND(SUM($UB30:$VY30)&gt;0,$TM30=WM$1),MAX(WL$2:WL29)+1,"")</f>
        <v/>
      </c>
      <c r="WM30" s="59" t="str">
        <f t="shared" ca="1" si="84"/>
        <v/>
      </c>
      <c r="WN30" s="18" t="str">
        <f ca="1">IF(AND(SUM($UB30:$VY30)&gt;0,$TM30=WO$1),MAX(WN$2:WN29)+1,"")</f>
        <v/>
      </c>
      <c r="WO30" s="59" t="str">
        <f t="shared" ca="1" si="85"/>
        <v/>
      </c>
      <c r="WP30" s="18" t="str">
        <f ca="1">IF(AND(SUM($UB30:$VY30)&gt;0,$TM30=WQ$1),MAX(WP$2:WP29)+1,"")</f>
        <v/>
      </c>
      <c r="WQ30" s="59" t="str">
        <f t="shared" ca="1" si="86"/>
        <v/>
      </c>
      <c r="WR30" s="18" t="str">
        <f ca="1">IF(AND(SUM($UB30:$VY30)&gt;0,$TM30=WS$1),MAX(WR$2:WR29)+1,"")</f>
        <v/>
      </c>
      <c r="WS30" s="59" t="str">
        <f t="shared" ca="1" si="87"/>
        <v/>
      </c>
      <c r="WT30" s="18" t="str">
        <f ca="1">IF(AND(SUM($UB30:$VY30)&gt;0,$TM30=WU$1),MAX(WT$2:WT29)+1,"")</f>
        <v/>
      </c>
      <c r="WU30" s="59" t="str">
        <f t="shared" ca="1" si="88"/>
        <v/>
      </c>
      <c r="WV30" s="18" t="str">
        <f ca="1">IF(AND(SUM($UB30:$VY30)&gt;0,$TM30=WW$1),MAX(WV$2:WV29)+1,"")</f>
        <v/>
      </c>
      <c r="WW30" s="59" t="str">
        <f t="shared" ca="1" si="89"/>
        <v/>
      </c>
      <c r="WX30" s="18" t="str">
        <f ca="1">IF(AND(SUM($UB30:$VY30)&gt;0,$TM30=WY$1),MAX(WX$2:WX29)+1,"")</f>
        <v/>
      </c>
      <c r="WY30" s="59" t="str">
        <f t="shared" ca="1" si="90"/>
        <v/>
      </c>
      <c r="WZ30" s="18">
        <v>29</v>
      </c>
      <c r="XA30" s="59" t="str">
        <f t="shared" ca="1" si="91"/>
        <v/>
      </c>
      <c r="XB30" s="59" t="str">
        <f t="shared" ca="1" si="28"/>
        <v/>
      </c>
      <c r="XC30" s="59" t="str">
        <f t="shared" ca="1" si="29"/>
        <v/>
      </c>
      <c r="XD30" s="59" t="str">
        <f t="shared" ca="1" si="60"/>
        <v/>
      </c>
      <c r="XE30" s="59" t="str">
        <f t="shared" ca="1" si="61"/>
        <v/>
      </c>
      <c r="XF30" s="59" t="str">
        <f t="shared" ca="1" si="62"/>
        <v/>
      </c>
      <c r="XG30" s="59" t="str">
        <f t="shared" ca="1" si="63"/>
        <v/>
      </c>
      <c r="XH30" s="59" t="str">
        <f t="shared" ca="1" si="64"/>
        <v/>
      </c>
      <c r="XI30" s="59" t="str">
        <f t="shared" ca="1" si="65"/>
        <v/>
      </c>
      <c r="XJ30" s="59" t="str">
        <f t="shared" ca="1" si="66"/>
        <v/>
      </c>
      <c r="XK30" s="59" t="str">
        <f t="shared" ca="1" si="67"/>
        <v/>
      </c>
      <c r="XL30" s="18">
        <v>1</v>
      </c>
      <c r="XM30" s="59">
        <f>IF(XL30=1,MAX($XM$27:XM29)+1,"")</f>
        <v>3</v>
      </c>
      <c r="XN30" s="59" t="s">
        <v>745</v>
      </c>
      <c r="XO30" s="58" t="s">
        <v>3384</v>
      </c>
      <c r="XP30" s="18" t="s">
        <v>3070</v>
      </c>
      <c r="XQ30" s="18">
        <v>12</v>
      </c>
      <c r="XR30" s="18">
        <v>2</v>
      </c>
      <c r="XS30" s="59" t="s">
        <v>1742</v>
      </c>
      <c r="XT30" s="18">
        <v>3</v>
      </c>
      <c r="XU30" s="18">
        <v>15</v>
      </c>
      <c r="XV30" s="18">
        <v>10</v>
      </c>
      <c r="XW30" s="18">
        <v>3</v>
      </c>
      <c r="XX30" s="18">
        <v>12</v>
      </c>
      <c r="XY30" s="18">
        <v>7</v>
      </c>
      <c r="XZ30" s="59" t="s">
        <v>1739</v>
      </c>
      <c r="YA30" s="215" t="s">
        <v>2861</v>
      </c>
      <c r="YB30" s="73" t="s">
        <v>2856</v>
      </c>
      <c r="YC30" s="142" t="s">
        <v>3395</v>
      </c>
      <c r="YG30" s="58" t="s">
        <v>1761</v>
      </c>
      <c r="YH30" s="58" t="s">
        <v>1775</v>
      </c>
      <c r="YI30" s="58" t="s">
        <v>1852</v>
      </c>
      <c r="YJ30" s="215" t="s">
        <v>3445</v>
      </c>
      <c r="YK30" s="215" t="str">
        <f>""</f>
        <v/>
      </c>
      <c r="YL30" s="249" t="str">
        <f>""</f>
        <v/>
      </c>
      <c r="YM30" s="249" t="str">
        <f>""</f>
        <v/>
      </c>
      <c r="YN30" s="249" t="str">
        <f>""</f>
        <v/>
      </c>
      <c r="YO30" s="249"/>
      <c r="YP30" s="249"/>
      <c r="YQ30" s="215"/>
      <c r="YR30" s="215"/>
      <c r="YS30" s="215"/>
      <c r="YT30" s="18" t="s">
        <v>308</v>
      </c>
      <c r="YU30" s="18">
        <v>4</v>
      </c>
      <c r="YV30" s="18" t="str">
        <f ca="1">VLOOKUP(YY30,$ZI$2:$ZP$23,$ZI$1,FALSE)</f>
        <v/>
      </c>
      <c r="YW30" s="18" t="str">
        <f ca="1">IF(YX30="","",MAX($YW$1:YW29)+1)</f>
        <v/>
      </c>
      <c r="YX30" s="59" t="str">
        <f t="shared" ca="1" si="71"/>
        <v/>
      </c>
      <c r="YY30" s="18" t="str">
        <f t="shared" ca="1" si="72"/>
        <v/>
      </c>
      <c r="ZR30"/>
    </row>
    <row r="31" spans="5:694" ht="9.9499999999999993" customHeight="1" x14ac:dyDescent="0.25">
      <c r="AE31" s="17"/>
      <c r="AN31" s="18"/>
      <c r="AO31" s="18">
        <f t="shared" si="119"/>
        <v>30</v>
      </c>
      <c r="AP31" s="59" t="str">
        <f>HLOOKUP(CharacterBackground,$AQ$2:$BD$53,$AO31,FALSE)</f>
        <v/>
      </c>
      <c r="AQ31" s="59" t="str">
        <f>""</f>
        <v/>
      </c>
      <c r="AR31" s="59" t="str">
        <f>""</f>
        <v/>
      </c>
      <c r="AS31" s="59" t="str">
        <f>""</f>
        <v/>
      </c>
      <c r="AT31" s="59" t="str">
        <f>""</f>
        <v/>
      </c>
      <c r="AU31" s="59" t="str">
        <f>""</f>
        <v/>
      </c>
      <c r="AV31" s="59" t="str">
        <f>""</f>
        <v/>
      </c>
      <c r="AW31" s="59" t="str">
        <f>""</f>
        <v/>
      </c>
      <c r="AX31" s="59" t="str">
        <f>""</f>
        <v/>
      </c>
      <c r="AY31" s="59" t="str">
        <f>""</f>
        <v/>
      </c>
      <c r="AZ31" s="59" t="str">
        <f>""</f>
        <v/>
      </c>
      <c r="BA31" s="59" t="str">
        <f>""</f>
        <v/>
      </c>
      <c r="BB31" s="59" t="str">
        <f>""</f>
        <v/>
      </c>
      <c r="BC31" s="59" t="str">
        <f>""</f>
        <v/>
      </c>
      <c r="BD31" s="59" t="str">
        <f>""</f>
        <v/>
      </c>
      <c r="BE31" s="18" t="str">
        <f>""</f>
        <v/>
      </c>
      <c r="BJ31" s="70"/>
      <c r="BK31" s="70"/>
      <c r="BL31" s="48"/>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48"/>
      <c r="CN31" s="48"/>
      <c r="CO31" s="48"/>
      <c r="CP31" s="48"/>
      <c r="CQ31" s="48"/>
      <c r="CR31" s="48"/>
      <c r="CS31" s="48"/>
      <c r="CT31" s="48"/>
      <c r="CU31" s="48"/>
      <c r="CV31" s="48"/>
      <c r="CW31" s="48"/>
      <c r="CX31" s="48"/>
      <c r="CY31" s="48"/>
      <c r="CZ31" s="48"/>
      <c r="DA31" s="48"/>
      <c r="DB31" s="48"/>
      <c r="DC31" s="48"/>
      <c r="DD31" s="48"/>
      <c r="DE31" s="48"/>
      <c r="DF31" s="48"/>
      <c r="DG31" s="104"/>
      <c r="DH31" s="104"/>
      <c r="DI31" s="104"/>
      <c r="DJ31" s="104"/>
      <c r="DK31" s="104"/>
      <c r="DL31" s="393" t="s">
        <v>280</v>
      </c>
      <c r="DM31" s="391" t="s">
        <v>279</v>
      </c>
      <c r="DN31" s="391">
        <f t="shared" ca="1" si="121"/>
        <v>0</v>
      </c>
      <c r="DO31" s="392" t="str">
        <f>""</f>
        <v/>
      </c>
      <c r="DP31" s="393" t="str">
        <f>""</f>
        <v/>
      </c>
      <c r="DQ31" s="392" t="s">
        <v>2652</v>
      </c>
      <c r="DR31" s="393" t="str">
        <f>""</f>
        <v/>
      </c>
      <c r="DS31" s="393" t="str">
        <f>""</f>
        <v/>
      </c>
      <c r="DT31" s="393" t="s">
        <v>2653</v>
      </c>
      <c r="DU31" s="393" t="str">
        <f>""</f>
        <v/>
      </c>
      <c r="DV31" s="393" t="str">
        <f>""</f>
        <v/>
      </c>
      <c r="DW31" s="393" t="str">
        <f>""</f>
        <v/>
      </c>
      <c r="DX31" s="393" t="str">
        <f>""</f>
        <v/>
      </c>
      <c r="DY31" s="393" t="str">
        <f>""</f>
        <v/>
      </c>
      <c r="DZ31" s="393" t="str">
        <f>""</f>
        <v/>
      </c>
      <c r="EA31" s="393" t="str">
        <f>""</f>
        <v/>
      </c>
      <c r="EB31" s="393" t="s">
        <v>2654</v>
      </c>
      <c r="EC31" s="393" t="str">
        <f>""</f>
        <v/>
      </c>
      <c r="ED31" s="393" t="str">
        <f>""</f>
        <v/>
      </c>
      <c r="EE31" s="393" t="str">
        <f>""</f>
        <v/>
      </c>
      <c r="EF31" s="393" t="str">
        <f>""</f>
        <v/>
      </c>
      <c r="EG31" s="393" t="str">
        <f>""</f>
        <v/>
      </c>
      <c r="EH31" s="393" t="str">
        <f>""</f>
        <v/>
      </c>
      <c r="EI31" s="445" t="str">
        <f>""</f>
        <v/>
      </c>
      <c r="EJ31" s="445" t="str">
        <f>""</f>
        <v/>
      </c>
      <c r="EK31" s="445"/>
      <c r="EL31" s="445" t="str">
        <f>""</f>
        <v/>
      </c>
      <c r="EM31" s="445"/>
      <c r="EN31" s="445" t="str">
        <f>""</f>
        <v/>
      </c>
      <c r="EO31" s="445"/>
      <c r="EP31" s="445" t="str">
        <f>""</f>
        <v/>
      </c>
      <c r="EQ31" s="445"/>
      <c r="ER31" s="445" t="str">
        <f>""</f>
        <v/>
      </c>
      <c r="ES31" s="445"/>
      <c r="ET31" s="393" t="str">
        <f>""</f>
        <v/>
      </c>
      <c r="EU31" s="391" t="str">
        <f>""</f>
        <v/>
      </c>
      <c r="EV31" s="393" t="str">
        <f>""</f>
        <v/>
      </c>
      <c r="EW31" s="391" t="str">
        <f>""</f>
        <v/>
      </c>
      <c r="EX31" s="393" t="str">
        <f>""</f>
        <v/>
      </c>
      <c r="EY31" s="391" t="str">
        <f>""</f>
        <v/>
      </c>
      <c r="EZ31" s="18"/>
      <c r="FA31" s="18" t="str">
        <f>IF($DM31=FB$5,MAX(FA$6:FA30)+1,"")</f>
        <v/>
      </c>
      <c r="FB31" s="58" t="str">
        <f t="shared" si="122"/>
        <v/>
      </c>
      <c r="FC31" s="18"/>
      <c r="FE31" s="18" t="str">
        <f>IF($DM31=FF$5,MAX(FE$6:FE30)+1,"")</f>
        <v/>
      </c>
      <c r="FF31" s="58" t="str">
        <f t="shared" si="123"/>
        <v/>
      </c>
      <c r="FG31" s="18"/>
      <c r="FI31" s="18" t="str">
        <f>IF($DM31=FJ$5,MAX(FI$6:FI30)+1,"")</f>
        <v/>
      </c>
      <c r="FJ31" s="58" t="str">
        <f t="shared" si="124"/>
        <v/>
      </c>
      <c r="FK31" s="18"/>
      <c r="FM31" s="18"/>
      <c r="FN31" s="18"/>
      <c r="FO31" s="18"/>
      <c r="FP31" s="18"/>
      <c r="FQ31" s="18"/>
      <c r="FR31" s="18"/>
      <c r="FS31" s="18"/>
      <c r="FT31" s="18"/>
      <c r="FU31" s="18"/>
      <c r="FV31" s="18"/>
      <c r="FX31" s="104"/>
      <c r="FY31" s="104"/>
      <c r="FZ31" s="104"/>
      <c r="GA31" s="104"/>
      <c r="GB31" s="104"/>
      <c r="GC31" s="104"/>
      <c r="GD31" s="104"/>
      <c r="GE31" s="104"/>
      <c r="GF31" s="104"/>
      <c r="GG31" s="104"/>
      <c r="GH31" s="104"/>
      <c r="GI31" s="104"/>
      <c r="GJ31" s="104"/>
      <c r="GK31" s="18"/>
      <c r="GL31" s="18"/>
      <c r="GM31" s="18"/>
      <c r="GN31" s="18"/>
      <c r="GO31" s="18"/>
      <c r="GP31" s="18"/>
      <c r="GQ31" s="59"/>
      <c r="GR31" s="59"/>
      <c r="GZ31" s="59"/>
      <c r="HA31" s="59"/>
      <c r="HB31" s="59"/>
      <c r="HC31" s="59"/>
      <c r="HD31" s="59"/>
      <c r="HE31" s="59"/>
      <c r="HF31" s="59"/>
      <c r="HG31" s="59"/>
      <c r="HH31" s="59"/>
      <c r="HI31" s="59"/>
      <c r="HJ31" s="59"/>
      <c r="HK31" s="58" t="s">
        <v>2919</v>
      </c>
      <c r="HL31" s="59" t="s">
        <v>2905</v>
      </c>
      <c r="HM31" s="59" t="s">
        <v>2933</v>
      </c>
      <c r="HN31" s="59"/>
      <c r="HO31" s="59"/>
      <c r="HP31" s="59"/>
      <c r="HQ31" s="59"/>
      <c r="HR31" s="59"/>
      <c r="HS31" s="59"/>
      <c r="HT31" s="59"/>
      <c r="HU31" s="59"/>
      <c r="HV31" s="59"/>
      <c r="HW31" s="59"/>
      <c r="HX31" s="59"/>
      <c r="HY31" s="59"/>
      <c r="HZ31" s="59"/>
      <c r="IA31" s="59"/>
      <c r="IC31" s="59"/>
      <c r="ID31" s="59"/>
      <c r="IE31" s="59"/>
      <c r="IF31" s="59"/>
      <c r="IG31" s="59"/>
      <c r="IH31" s="18" t="str">
        <f>IF(IJ31=1,MAX($IH$2:IH30)+1,"")</f>
        <v/>
      </c>
      <c r="II31" s="59" t="s">
        <v>3323</v>
      </c>
      <c r="IJ31" s="59" t="str">
        <f>IF(WarlockLevel&gt;=15,1,"")</f>
        <v/>
      </c>
      <c r="IK31" s="59" t="s">
        <v>3367</v>
      </c>
      <c r="IL31" s="18">
        <f t="shared" si="105"/>
        <v>29</v>
      </c>
      <c r="IM31" s="59" t="str">
        <f t="shared" si="77"/>
        <v/>
      </c>
      <c r="IN31" s="59"/>
      <c r="IO31" s="59"/>
      <c r="IP31" s="59"/>
      <c r="IQ31" s="59"/>
      <c r="IR31" s="59"/>
      <c r="IS31" s="59"/>
      <c r="IT31" s="59"/>
      <c r="IU31" s="59"/>
      <c r="IX31" s="59" t="s">
        <v>1497</v>
      </c>
      <c r="IY31" s="59" t="s">
        <v>957</v>
      </c>
      <c r="IZ31" s="59" t="s">
        <v>201</v>
      </c>
      <c r="JA31" s="59" t="s">
        <v>917</v>
      </c>
      <c r="JB31" s="59" t="s">
        <v>918</v>
      </c>
      <c r="JI31" s="60"/>
      <c r="JJ31" s="60"/>
      <c r="JM31" s="58" t="s">
        <v>3100</v>
      </c>
      <c r="JW31" s="295"/>
      <c r="JY31" s="579"/>
      <c r="KA31" s="579"/>
      <c r="KC31" s="579"/>
      <c r="KT31" s="276" t="s">
        <v>2853</v>
      </c>
      <c r="KU31" s="80" t="str">
        <f t="shared" si="128"/>
        <v>No</v>
      </c>
      <c r="KV31" s="89" t="s">
        <v>333</v>
      </c>
      <c r="KW31" s="455"/>
      <c r="KX31" s="455"/>
      <c r="KY31" s="455"/>
      <c r="KZ31" s="455"/>
      <c r="LA31" s="455"/>
      <c r="LB31" s="92"/>
      <c r="LC31" s="455"/>
      <c r="LD31" s="455"/>
      <c r="LE31" s="455"/>
      <c r="LF31" s="455"/>
      <c r="LG31" s="455"/>
      <c r="LH31" s="455"/>
      <c r="LI31" s="455"/>
      <c r="LJ31" s="455"/>
      <c r="LK31" s="455"/>
      <c r="LL31" s="455"/>
      <c r="LM31" s="455"/>
      <c r="LN31" s="455"/>
      <c r="LO31" s="455"/>
      <c r="LP31" s="455"/>
      <c r="LQ31" s="92"/>
      <c r="LR31" s="455"/>
      <c r="LS31" s="455"/>
      <c r="LT31" s="92"/>
      <c r="LU31" s="92"/>
      <c r="LV31" s="455"/>
      <c r="LW31" s="455"/>
      <c r="LX31" s="455"/>
      <c r="LY31" s="92"/>
      <c r="LZ31" s="92"/>
      <c r="MA31" s="92"/>
      <c r="MB31" s="92"/>
      <c r="MC31" s="92"/>
      <c r="MD31" s="92"/>
      <c r="ME31" s="92"/>
      <c r="MF31" s="92"/>
      <c r="MG31" s="92"/>
      <c r="MH31" s="92"/>
      <c r="MI31" s="92"/>
      <c r="MJ31" s="92"/>
      <c r="MK31" s="92"/>
      <c r="ML31" s="456"/>
      <c r="MM31" s="456"/>
      <c r="MN31" s="456"/>
      <c r="MO31" s="456"/>
      <c r="MP31" s="456"/>
      <c r="MQ31" s="456"/>
      <c r="MR31" s="456"/>
      <c r="MS31" s="456"/>
      <c r="MT31" s="456"/>
      <c r="MU31" s="456"/>
      <c r="MV31" s="456"/>
      <c r="MW31" s="456"/>
      <c r="MX31" s="456"/>
      <c r="MY31" s="456"/>
      <c r="MZ31" s="456"/>
      <c r="NA31" s="456"/>
      <c r="NB31" s="456"/>
      <c r="NC31" s="456"/>
      <c r="ND31" s="456"/>
      <c r="NE31" s="456"/>
      <c r="NF31" s="456"/>
      <c r="NG31" s="456"/>
      <c r="NH31" s="456"/>
      <c r="NI31" s="456"/>
      <c r="NJ31" s="456"/>
      <c r="NK31" s="456"/>
      <c r="NL31" s="456"/>
      <c r="NM31" s="456"/>
      <c r="NN31" s="456"/>
      <c r="NO31" s="456"/>
      <c r="NP31" s="456"/>
      <c r="NQ31" s="456"/>
      <c r="NR31" s="456"/>
      <c r="NS31" s="456"/>
      <c r="NT31" s="456"/>
      <c r="NU31" s="456"/>
      <c r="NV31" s="456"/>
      <c r="NW31" s="456"/>
      <c r="NX31" s="456"/>
      <c r="NY31" s="456"/>
      <c r="NZ31" s="456"/>
      <c r="OA31" s="456"/>
      <c r="OB31" s="456"/>
      <c r="OC31" s="456"/>
      <c r="OD31" s="456"/>
      <c r="OE31" s="456"/>
      <c r="OF31" s="456"/>
      <c r="OG31" s="456"/>
      <c r="OH31" s="456"/>
      <c r="OI31" s="456"/>
      <c r="OJ31" s="456"/>
      <c r="OK31" s="456"/>
      <c r="OL31" s="456"/>
      <c r="OM31" s="456"/>
      <c r="ON31" s="456"/>
      <c r="OO31" s="456"/>
      <c r="OP31" s="456"/>
      <c r="OQ31" s="456"/>
      <c r="OR31" s="456"/>
      <c r="OS31" s="456"/>
      <c r="OT31" s="456"/>
      <c r="OU31" s="456"/>
      <c r="OV31" s="456"/>
      <c r="OW31" s="456"/>
      <c r="OX31" s="456"/>
      <c r="OY31" s="456"/>
      <c r="OZ31" s="456"/>
      <c r="PA31" s="456"/>
      <c r="PB31" s="456"/>
      <c r="PC31" s="456"/>
      <c r="PD31" s="456"/>
      <c r="PE31" s="456"/>
      <c r="PF31" s="456"/>
      <c r="PG31" s="456"/>
      <c r="PH31" s="456"/>
      <c r="PI31" s="456"/>
      <c r="PJ31" s="456"/>
      <c r="PK31" s="456"/>
      <c r="PL31" s="456"/>
      <c r="PM31" s="456"/>
      <c r="PN31" s="456"/>
      <c r="PO31" s="456"/>
      <c r="PP31" s="456"/>
      <c r="PQ31" s="456"/>
      <c r="PR31" s="456"/>
      <c r="PS31" s="456" t="str">
        <f>IF(COUNTIF(Start!$AX$59:$BF$68,Tables!KT31)&gt;0,Tables!KT31,"")</f>
        <v/>
      </c>
      <c r="PT31" s="456"/>
      <c r="PU31" s="59" t="str">
        <f t="shared" si="129"/>
        <v/>
      </c>
      <c r="PV31" s="59" t="str">
        <f>IF(PU31="","",IF(COUNTIF(PU31:$PU$57,"&gt;&lt;")&gt;1,PU31&amp;", ", PU31))</f>
        <v/>
      </c>
      <c r="PW31" s="59"/>
      <c r="PX31" s="59"/>
      <c r="PZ31" s="19" t="s">
        <v>122</v>
      </c>
      <c r="QA31" s="19" t="s">
        <v>129</v>
      </c>
      <c r="QB31" s="27" t="str">
        <f t="shared" ca="1" si="79"/>
        <v>not proficient</v>
      </c>
      <c r="QC31" s="67" t="s">
        <v>88</v>
      </c>
      <c r="QD31" s="19" t="s">
        <v>106</v>
      </c>
      <c r="QE31" s="26" t="s">
        <v>140</v>
      </c>
      <c r="QF31" s="26">
        <v>2</v>
      </c>
      <c r="QG31" s="26" t="str">
        <f>""</f>
        <v/>
      </c>
      <c r="QH31" s="26" t="s">
        <v>136</v>
      </c>
      <c r="QI31" s="26" t="str">
        <f>""</f>
        <v/>
      </c>
      <c r="QJ31" s="26" t="str">
        <f>""</f>
        <v/>
      </c>
      <c r="QK31" s="26" t="str">
        <f>""</f>
        <v/>
      </c>
      <c r="QL31" s="26" t="str">
        <f>""</f>
        <v/>
      </c>
      <c r="QM31" s="26" t="str">
        <f>""</f>
        <v/>
      </c>
      <c r="QN31" s="26" t="str">
        <f>""</f>
        <v/>
      </c>
      <c r="QO31" s="26" t="str">
        <f>""</f>
        <v/>
      </c>
      <c r="QP31" s="26" t="str">
        <f>""</f>
        <v/>
      </c>
      <c r="QQ31" s="27" t="str">
        <f>""</f>
        <v/>
      </c>
      <c r="QR31" s="27" t="str">
        <f>""</f>
        <v/>
      </c>
      <c r="QT31" s="634"/>
      <c r="QU31" s="727" t="s">
        <v>99</v>
      </c>
      <c r="QV31" s="726"/>
      <c r="QW31" s="634"/>
      <c r="QX31" s="634"/>
      <c r="QY31" s="528"/>
      <c r="QZ31" s="727" t="str">
        <f>IF(QZ18="","",IF(COUNTIF(QZ18:$QZ$18,"&gt;&lt;$Q$1")&gt;1,QZ18&amp;", ",QZ18))</f>
        <v/>
      </c>
      <c r="RA31" s="634"/>
      <c r="RB31" s="634"/>
      <c r="RC31" s="634"/>
      <c r="RD31" s="634"/>
      <c r="RE31" s="634"/>
      <c r="RF31" s="634"/>
      <c r="RG31" s="634"/>
      <c r="RH31" s="727" t="str">
        <f>IF(RH18="","",IF(COUNTIF($RH18:RH$18,"&gt;&lt;$Q$1")&gt;1,RH18&amp;", ",RH18))</f>
        <v/>
      </c>
      <c r="RI31" s="634"/>
      <c r="RJ31" s="634"/>
      <c r="RK31" s="634"/>
      <c r="RL31" s="634"/>
      <c r="RM31" s="634"/>
      <c r="RN31" s="634"/>
      <c r="RO31" s="634"/>
      <c r="RP31" s="727" t="str">
        <f>IF(RP18="","",IF(COUNTIF($RP18:RP$18,"&gt;&lt;$Q$1")&gt;1,RP18&amp;", ",RP18))</f>
        <v/>
      </c>
      <c r="RQ31" s="634"/>
      <c r="RR31" s="634"/>
      <c r="RS31" s="634"/>
      <c r="RT31" s="634"/>
      <c r="RU31" s="634"/>
      <c r="RV31" s="634"/>
      <c r="RW31" s="634"/>
      <c r="RX31" s="727" t="str">
        <f>IF(RX18="","",IF(COUNTIF($RX18:RX$18,"&gt;&lt;$Q$1")&gt;1,RX18&amp;", ",RX18))</f>
        <v/>
      </c>
      <c r="RY31" s="634"/>
      <c r="RZ31" s="634"/>
      <c r="SA31" s="634"/>
      <c r="SB31" s="634"/>
      <c r="SC31" s="634"/>
      <c r="SD31" s="634"/>
      <c r="SE31" s="634"/>
      <c r="SF31" s="727" t="str">
        <f>IF(SF18="","",IF(COUNTIF($SF18:SF$18,"&gt;&lt;$Q$1")&gt;1,SF18&amp;", ",SF18))</f>
        <v/>
      </c>
      <c r="SG31" s="634"/>
      <c r="SH31" s="634"/>
      <c r="SI31" s="634"/>
      <c r="SJ31" s="634"/>
      <c r="SK31" s="634"/>
      <c r="SL31" s="634"/>
      <c r="SM31" s="634"/>
      <c r="SN31" s="727" t="str">
        <f>IF(SN18="","",IF(COUNTIF($SN18:SN$18,"&gt;&lt;$Q$1")&gt;1,SN18&amp;", ",SN18))</f>
        <v/>
      </c>
      <c r="SO31" s="634"/>
      <c r="SP31" s="634"/>
      <c r="SQ31" s="634"/>
      <c r="SR31" s="19"/>
      <c r="SS31" s="19"/>
      <c r="ST31" s="19"/>
      <c r="SU31" s="68"/>
      <c r="SV31" s="44"/>
      <c r="SW31" s="231"/>
      <c r="SX31" s="45"/>
      <c r="SY31" s="27"/>
      <c r="SZ31" s="26"/>
      <c r="TA31" s="19"/>
      <c r="TB31" s="19"/>
      <c r="TC31" s="19"/>
      <c r="TD31" s="44"/>
      <c r="TE31" s="26"/>
      <c r="TF31" s="68"/>
      <c r="TG31" s="26"/>
      <c r="TH31" s="27"/>
      <c r="TI31" s="27"/>
      <c r="TJ31" s="18">
        <f t="shared" si="115"/>
        <v>29</v>
      </c>
      <c r="TK31" s="58" t="s">
        <v>1308</v>
      </c>
      <c r="TL31" s="58" t="s">
        <v>459</v>
      </c>
      <c r="TM31" s="18">
        <v>2</v>
      </c>
      <c r="TN31" s="59" t="str">
        <f t="shared" si="47"/>
        <v xml:space="preserve">Beast Sense </v>
      </c>
      <c r="TO31" s="18" t="str">
        <f>""</f>
        <v/>
      </c>
      <c r="TP31" s="18" t="str">
        <f t="shared" si="48"/>
        <v/>
      </c>
      <c r="TQ31" s="18" t="str">
        <f>IF(OR(TK31=Spellcasting!$AC$18,TK31=Spellcasting!$AC$19),"ᵐ","")</f>
        <v/>
      </c>
      <c r="TR31" s="18" t="str">
        <f>IF(OR(TK31=Spellcasting!$AC$20,TK31=Spellcasting!$AC$21),"ˢ","")</f>
        <v/>
      </c>
      <c r="TS31" s="18" t="s">
        <v>477</v>
      </c>
      <c r="TT31" s="18" t="s">
        <v>501</v>
      </c>
      <c r="TU31" s="18" t="s">
        <v>519</v>
      </c>
      <c r="TV31" s="18" t="s">
        <v>490</v>
      </c>
      <c r="TW31" s="18" t="s">
        <v>875</v>
      </c>
      <c r="TX31" s="59" t="str">
        <f>""</f>
        <v/>
      </c>
      <c r="TY31" s="18" t="s">
        <v>511</v>
      </c>
      <c r="TZ31" s="18" t="s">
        <v>512</v>
      </c>
      <c r="UA31" s="59" t="s">
        <v>1309</v>
      </c>
      <c r="UB31" s="319" t="s">
        <v>3243</v>
      </c>
      <c r="UI31" s="18" t="str">
        <f ca="1">IF(UI$1&gt;=$TM31,1,"0")</f>
        <v>0</v>
      </c>
      <c r="WD31" s="18" t="str">
        <f ca="1">IF(SUM($VZ$1:$WC$1)&gt;0,IF(AND(SUM($VZ31:$WC31)&gt;0,$TM31=WE$1),MAX(WD$2:WD30)+1,""),IF(AND(SUM($UC31:$VY31)&gt;0,$TM31=WE$1),MAX(WD$2:WD30)+1,""))</f>
        <v/>
      </c>
      <c r="WE31" s="59" t="str">
        <f t="shared" ca="1" si="80"/>
        <v/>
      </c>
      <c r="WF31" s="18" t="str">
        <f ca="1">IF(AND(SUM($UB31:$VY31)&gt;0,$TM31=WG$1),MAX(WF$2:WF30)+1,"")</f>
        <v/>
      </c>
      <c r="WG31" s="59" t="str">
        <f t="shared" ca="1" si="81"/>
        <v/>
      </c>
      <c r="WH31" s="18" t="str">
        <f ca="1">IF(AND(SUM($UB31:$VY31)&gt;0,$TM31=WI$1),MAX(WH$2:WH30)+1,"")</f>
        <v/>
      </c>
      <c r="WI31" s="59" t="str">
        <f t="shared" ca="1" si="82"/>
        <v/>
      </c>
      <c r="WJ31" s="18" t="str">
        <f ca="1">IF(AND(SUM($UB31:$VY31)&gt;0,$TM31=WK$1),MAX(WJ$2:WJ30)+1,"")</f>
        <v/>
      </c>
      <c r="WK31" s="59" t="str">
        <f t="shared" ca="1" si="83"/>
        <v/>
      </c>
      <c r="WL31" s="18" t="str">
        <f ca="1">IF(AND(SUM($UB31:$VY31)&gt;0,$TM31=WM$1),MAX(WL$2:WL30)+1,"")</f>
        <v/>
      </c>
      <c r="WM31" s="59" t="str">
        <f t="shared" ca="1" si="84"/>
        <v/>
      </c>
      <c r="WN31" s="18" t="str">
        <f ca="1">IF(AND(SUM($UB31:$VY31)&gt;0,$TM31=WO$1),MAX(WN$2:WN30)+1,"")</f>
        <v/>
      </c>
      <c r="WO31" s="59" t="str">
        <f t="shared" ca="1" si="85"/>
        <v/>
      </c>
      <c r="WP31" s="18" t="str">
        <f ca="1">IF(AND(SUM($UB31:$VY31)&gt;0,$TM31=WQ$1),MAX(WP$2:WP30)+1,"")</f>
        <v/>
      </c>
      <c r="WQ31" s="59" t="str">
        <f t="shared" ca="1" si="86"/>
        <v/>
      </c>
      <c r="WR31" s="18" t="str">
        <f ca="1">IF(AND(SUM($UB31:$VY31)&gt;0,$TM31=WS$1),MAX(WR$2:WR30)+1,"")</f>
        <v/>
      </c>
      <c r="WS31" s="59" t="str">
        <f t="shared" ca="1" si="87"/>
        <v/>
      </c>
      <c r="WT31" s="18" t="str">
        <f ca="1">IF(AND(SUM($UB31:$VY31)&gt;0,$TM31=WU$1),MAX(WT$2:WT30)+1,"")</f>
        <v/>
      </c>
      <c r="WU31" s="59" t="str">
        <f t="shared" ca="1" si="88"/>
        <v/>
      </c>
      <c r="WV31" s="18" t="str">
        <f ca="1">IF(AND(SUM($UB31:$VY31)&gt;0,$TM31=WW$1),MAX(WV$2:WV30)+1,"")</f>
        <v/>
      </c>
      <c r="WW31" s="59" t="str">
        <f t="shared" ca="1" si="89"/>
        <v/>
      </c>
      <c r="WX31" s="18" t="str">
        <f ca="1">IF(AND(SUM($UB31:$VY31)&gt;0,$TM31=WY$1),MAX(WX$2:WX30)+1,"")</f>
        <v/>
      </c>
      <c r="WY31" s="59" t="str">
        <f t="shared" ca="1" si="90"/>
        <v/>
      </c>
      <c r="WZ31" s="18">
        <v>30</v>
      </c>
      <c r="XA31" s="59" t="str">
        <f t="shared" ca="1" si="91"/>
        <v/>
      </c>
      <c r="XB31" s="59" t="str">
        <f t="shared" ca="1" si="28"/>
        <v/>
      </c>
      <c r="XC31" s="59" t="str">
        <f t="shared" ca="1" si="29"/>
        <v/>
      </c>
      <c r="XD31" s="59" t="str">
        <f t="shared" ca="1" si="60"/>
        <v/>
      </c>
      <c r="XE31" s="59" t="str">
        <f t="shared" ca="1" si="61"/>
        <v/>
      </c>
      <c r="XF31" s="59" t="str">
        <f t="shared" ca="1" si="62"/>
        <v/>
      </c>
      <c r="XG31" s="59" t="str">
        <f t="shared" ca="1" si="63"/>
        <v/>
      </c>
      <c r="XH31" s="59" t="str">
        <f t="shared" ca="1" si="64"/>
        <v/>
      </c>
      <c r="XI31" s="59" t="str">
        <f t="shared" ca="1" si="65"/>
        <v/>
      </c>
      <c r="XJ31" s="59" t="str">
        <f t="shared" ca="1" si="66"/>
        <v/>
      </c>
      <c r="XK31" s="59" t="str">
        <f t="shared" ca="1" si="67"/>
        <v/>
      </c>
      <c r="XL31" s="18">
        <v>1</v>
      </c>
      <c r="XM31" s="59">
        <f>IF(XL31=1,MAX($XM$27:XM30)+1,"")</f>
        <v>4</v>
      </c>
      <c r="XN31" s="59" t="s">
        <v>2857</v>
      </c>
      <c r="XO31" s="58" t="s">
        <v>3384</v>
      </c>
      <c r="XP31" s="18" t="s">
        <v>3070</v>
      </c>
      <c r="XQ31" s="18">
        <v>11</v>
      </c>
      <c r="XR31" s="18">
        <v>2</v>
      </c>
      <c r="XS31" s="59" t="s">
        <v>2858</v>
      </c>
      <c r="XT31" s="18">
        <v>2</v>
      </c>
      <c r="XU31" s="18">
        <v>11</v>
      </c>
      <c r="XV31" s="18">
        <v>10</v>
      </c>
      <c r="XW31" s="18">
        <v>1</v>
      </c>
      <c r="XX31" s="18">
        <v>8</v>
      </c>
      <c r="XY31" s="18">
        <v>2</v>
      </c>
      <c r="XZ31" s="59" t="s">
        <v>2859</v>
      </c>
      <c r="YA31" s="215" t="s">
        <v>2862</v>
      </c>
      <c r="YB31" s="73" t="s">
        <v>2868</v>
      </c>
      <c r="YC31" s="142" t="s">
        <v>3396</v>
      </c>
      <c r="YG31" s="58" t="s">
        <v>1762</v>
      </c>
      <c r="YH31" s="58" t="s">
        <v>187</v>
      </c>
      <c r="YI31" s="215" t="s">
        <v>1763</v>
      </c>
      <c r="YJ31" s="215" t="s">
        <v>1812</v>
      </c>
      <c r="YK31" s="215" t="str">
        <f>""</f>
        <v/>
      </c>
      <c r="YL31" s="249" t="str">
        <f>""</f>
        <v/>
      </c>
      <c r="YM31" s="249" t="s">
        <v>3088</v>
      </c>
      <c r="YN31" s="249">
        <v>1</v>
      </c>
      <c r="YO31" s="249"/>
      <c r="YP31" s="249"/>
      <c r="YQ31" s="215"/>
      <c r="YR31" s="215"/>
      <c r="YS31" s="215"/>
      <c r="YT31" s="18" t="s">
        <v>308</v>
      </c>
      <c r="YU31" s="18">
        <v>8</v>
      </c>
      <c r="YV31" s="18" t="str">
        <f ca="1">VLOOKUP(YY31,$ZI$2:$ZP$23,$ZI$1,FALSE)</f>
        <v/>
      </c>
      <c r="YW31" s="18" t="str">
        <f ca="1">IF(YX31="","",MAX($YW$1:YW30)+1)</f>
        <v/>
      </c>
      <c r="YX31" s="59" t="str">
        <f t="shared" ca="1" si="71"/>
        <v/>
      </c>
      <c r="YY31" s="18" t="str">
        <f t="shared" ca="1" si="72"/>
        <v/>
      </c>
      <c r="ZR31"/>
    </row>
    <row r="32" spans="5:694" ht="9.9499999999999993" customHeight="1" x14ac:dyDescent="0.25">
      <c r="AE32" s="17"/>
      <c r="AO32" s="18">
        <f t="shared" si="119"/>
        <v>31</v>
      </c>
      <c r="AP32" s="272" t="s">
        <v>1014</v>
      </c>
      <c r="AQ32" s="59" t="str">
        <f>""</f>
        <v/>
      </c>
      <c r="AR32" s="254"/>
      <c r="AS32" s="385"/>
      <c r="AT32" s="254"/>
      <c r="AU32" s="385"/>
      <c r="AV32" s="255"/>
      <c r="AW32" s="385"/>
      <c r="AX32" s="385"/>
      <c r="BA32" s="254"/>
      <c r="BB32" s="385"/>
      <c r="BE32" s="18" t="str">
        <f>""</f>
        <v/>
      </c>
      <c r="BJ32" s="70"/>
      <c r="BK32" s="70"/>
      <c r="BL32" s="48"/>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48"/>
      <c r="CN32" s="48"/>
      <c r="CO32" s="48"/>
      <c r="CP32" s="48"/>
      <c r="CQ32" s="48"/>
      <c r="CR32" s="48"/>
      <c r="CS32" s="48"/>
      <c r="CT32" s="48"/>
      <c r="CU32" s="48"/>
      <c r="CV32" s="48"/>
      <c r="CW32" s="48"/>
      <c r="CX32" s="48"/>
      <c r="CY32" s="48"/>
      <c r="CZ32" s="48"/>
      <c r="DA32" s="48"/>
      <c r="DB32" s="48"/>
      <c r="DC32" s="48"/>
      <c r="DD32" s="48"/>
      <c r="DE32" s="48"/>
      <c r="DF32" s="48"/>
      <c r="DG32" s="104"/>
      <c r="DH32" s="104"/>
      <c r="DI32" s="104"/>
      <c r="DJ32" s="104"/>
      <c r="DK32" s="104"/>
      <c r="DL32" s="393" t="s">
        <v>286</v>
      </c>
      <c r="DM32" s="391" t="s">
        <v>287</v>
      </c>
      <c r="DN32" s="391">
        <f t="shared" ca="1" si="121"/>
        <v>0</v>
      </c>
      <c r="DP32" s="392" t="str">
        <f>"• Druid Circle Feature (Bonus Cantrip, Natural Recovery)
"&amp;IF(DruidLevel&gt;=3,"• Circle Spells
"&amp;VLOOKUP($BI13,$DM$3:$EI$5,EI$2-1,FALSE),"")</f>
        <v xml:space="preserve">• Druid Circle Feature (Bonus Cantrip, Natural Recovery)
</v>
      </c>
      <c r="DQ32" s="393" t="str">
        <f>""</f>
        <v/>
      </c>
      <c r="DR32" s="393" t="str">
        <f>""</f>
        <v/>
      </c>
      <c r="DS32" s="393" t="str">
        <f>""</f>
        <v/>
      </c>
      <c r="DT32" s="393" t="s">
        <v>2658</v>
      </c>
      <c r="DU32" s="393" t="str">
        <f>""</f>
        <v/>
      </c>
      <c r="DV32" s="393" t="str">
        <f>""</f>
        <v/>
      </c>
      <c r="DW32" s="393" t="str">
        <f>""</f>
        <v/>
      </c>
      <c r="DX32" s="393" t="s">
        <v>423</v>
      </c>
      <c r="DY32" s="393" t="str">
        <f>""</f>
        <v/>
      </c>
      <c r="DZ32" s="393" t="str">
        <f>""</f>
        <v/>
      </c>
      <c r="EA32" s="393" t="str">
        <f>""</f>
        <v/>
      </c>
      <c r="EB32" s="393" t="s">
        <v>2659</v>
      </c>
      <c r="EC32" s="393" t="str">
        <f>""</f>
        <v/>
      </c>
      <c r="ED32" s="393" t="str">
        <f>""</f>
        <v/>
      </c>
      <c r="EE32" s="393" t="str">
        <f>""</f>
        <v/>
      </c>
      <c r="EF32" s="393" t="str">
        <f>""</f>
        <v/>
      </c>
      <c r="EG32" s="393" t="str">
        <f>""</f>
        <v/>
      </c>
      <c r="EH32" s="393" t="str">
        <f>""</f>
        <v/>
      </c>
      <c r="EI32" s="103" t="str">
        <f>IF(AND(DruidLevel&gt;=9,DruidLandOrigin="Arctic"),"  3rd (hold person, spike growth)
  5th (sleet storm, slow)
  7th (freedom of movement, ice storm)
  9th (commune with nature, cone of cold)",IF(AND(DruidLevel&gt;=7,DruidLandOrigin="Arctic"),"  3rd (hold person, spike growth)
  5th (sleet storm, slow)
  7th (freedom of movement, ice storm)",IF(AND(DruidLevel&gt;=5,DruidLandOrigin="Arctic"),"  3rd (hold person, spike growth)
  5th (sleet storm, slow)",IF(AND(DruidLevel&gt;=3,DruidLandOrigin="Arctic"),"  3rd (hold person, spike growth)",IF(AND(DruidLevel&gt;=9,DruidLandOrigin="Coast"),"  3rd (mirror image, misty step)
  5th (water breathing, water walk)
  7th (control water, freedom of movement)
  9th (conjure elemental, scrying)",IF(AND(DruidLevel&gt;=7,DruidLandOrigin="Coast"),"  3rd (mirror image, misty step)
  5th (water breathing, water walk)
  7th (control water, freedom of movement)",IF(AND(DruidLevel&gt;=5,DruidLandOrigin="Coast"),"  3rd (mirror image, misty step)
  5th (water breathing, water walk)",IF(AND(DruidLevel&gt;=3,DruidLandOrigin="Coast"),"  3rd (mirror image, misty step)",IF(AND(DruidLevel&gt;=9,DruidLandOrigin="Desert"),"  3rd (blur, silence)
  5th (create food and water, protection from energy)
  7th (blight, hallucinatory terrain)
  9th (insect plague, wall of stone)",IF(AND(DruidLevel&gt;=7,DruidLandOrigin="Desert"),"  3rd (blur, silence)
  5th (create food and water, protection from energy)
  7th (blight, hallucinatory terrain)",IF(AND(DruidLevel&gt;=5,DruidLandOrigin="Desert"),"  3rd (blur, silence)
  5th (create food and water, protection from energy)",IF(AND(DruidLevel&gt;=3,DruidLandOrigin="Desert"),"  3rd (blur, silence)",IF(AND(DruidLevel&gt;=9,DruidLandOrigin="Forest"),"  3rd (barkskin, spider climb)
  5th (call lightning, plant growth)
  7th (divination, freedom of movement)
  9th (commune with nature, tree stride)",IF(AND(DruidLevel&gt;=7,DruidLandOrigin="Forest"),"  3rd (barkskin, spider climb)
  5th (call lightning, plant growth)
  7th (divination, freedom of movement)",IF(AND(DruidLevel&gt;=5,DruidLandOrigin="Forest"),"  3rd (barkskin, spider climb)
  5th (call lightning, plant growth)",IF(AND(DruidLevel&gt;=3,DruidLandOrigin="Forest"),"  3rd (barkskin, spider climb)",IF(AND(DruidLevel&gt;=9,DruidLandOrigin="Grassland"),"  3rd (invisibility, pass without trace)
  5th (daylight, haste)
  7th (divination, freedom of movement)
  9th (dream, insect plague)",IF(AND(DruidLevel&gt;=7,DruidLandOrigin="Grassland"),"  3rd (invisibility, pass without trace)
  5th (daylight, haste)
  7th (divination, freedom of movement)",IF(AND(DruidLevel&gt;=5,DruidLandOrigin="Grassland"),"  3rd (invisibility, pass without trace)
  5th (daylight, haste)",IF(AND(DruidLevel&gt;=3,DruidLandOrigin="Grassland"),"  3rd (invisibility, pass without trace)",IF(AND(DruidLevel&gt;=9,DruidLandOrigin="Mountain"),"  3rd (spider climb, spike growth)
  5th (lightning bolt, meld into stone)
  7th (stone shape, stoneskin)
  9th (passwall, wall of stone)",IF(AND(DruidLevel&gt;=7,DruidLandOrigin="Mountain"),"  3rd (spider climb, spike growth)
  5th (lightning bolt, meld into stone)
  7th (stone shape, stoneskin)",IF(AND(DruidLevel&gt;=5,DruidLandOrigin="Mountain"),"  3rd (spider climb, spike growth)
  5th (lightning bolt, meld into stone)",IF(AND(DruidLevel&gt;=3,DruidLandOrigin="Mountain"),"  3rd (spider climb, spike growth)",IF(AND(DruidLevel&gt;=9,DruidLandOrigin="Swamp"),"  3rd (darkness, Melf ’s acid arrow)
  5th (water walk, stinking cloud)
  7th (freedom of movement, locate creature)
  9th (insect plague, scrying)",IF(AND(DruidLevel&gt;=7,DruidLandOrigin="Swamp"),"  3rd (darkness, Melf ’s acid arrow)
  5th (water walk, stinking cloud)
  7th (freedom of movement, locate creature)",IF(AND(DruidLevel&gt;=5,DruidLandOrigin="Swamp"),"  3rd (darkness, Melf ’s acid arrow)
  5th (water walk, stinking cloud)",IF(AND(DruidLevel&gt;=3,DruidLandOrigin="Swamp"),"  3rd (darkness, Melf ’s acid arrow)",IF(AND(DruidLevel&gt;=9,DruidLandOrigin="Underdark"),"  3rd (spider climb, web)
  5th (gaseous form, stinking cloud)
  7th (greater invisibility, stone shape)
  9th (cloudkill, insect plague)",IF(AND(DruidLevel&gt;=7,DruidLandOrigin="Underdark"),"  3rd (spider climb, web)
  5th (gaseous form, stinking cloud)
  7th (greater invisibility, stone shape)",IF(AND(DruidLevel&gt;=5,DruidLandOrigin="Underdark"),"  3rd (spider climb, web)
  5th (gaseous form, stinking cloud)",IF(AND(DruidLevel&gt;=3,DruidLandOrigin="Underdark"),"  3rd (spider climb, web)",""))))))))))))))))))))))))))))))))</f>
        <v/>
      </c>
      <c r="EJ32" s="103" t="str">
        <f>""</f>
        <v/>
      </c>
      <c r="EK32" s="103"/>
      <c r="EL32" s="103" t="str">
        <f ca="1">IF(DruidLandLevel&gt;=3,DM32&amp;" ","")&amp;IF(AND(DruidLevel&gt;=3,DruidLandOrigin="Arctic"),"(hold person, spike growth)
",IF(AND(DruidLevel&gt;=3,DruidLandOrigin="Coast"),"(mirror image, misty step)
",IF(AND(DruidLevel&gt;=3,DruidLandOrigin="Desert"),"(blur, silence)
",IF(AND(DruidLevel&gt;=3,DruidLandOrigin="Forest"),"(barkskin, spider climb)
",IF(AND(DruidLevel&gt;=3,DruidLandOrigin="Grassland"),"(invisibility, pass without trace)
",IF(AND(DruidLevel&gt;=3,DruidLandOrigin="Mountain"),"(spider climb, spike growth)
",IF(AND(DruidLevel&gt;=3,DruidLandOrigin="Swamp"),"(darkness, Melf ’s acid arrow)
",IF(AND(DruidLevel&gt;=3,DruidLandOrigin="Underdark"),"(spider climb, web)
",""))))))))</f>
        <v/>
      </c>
      <c r="EM32" s="103"/>
      <c r="EN32" s="103" t="str">
        <f ca="1">IF(DruidLandLevel&gt;=5,DM32&amp;" ","")&amp;IF(AND(DruidLevel&gt;=5,DruidLandOrigin="Arctic"),"(sleet storm, slow)
",IF(AND(DruidLevel&gt;=5,DruidLandOrigin="Coast"),"(water breathing, water walk)
",IF(AND(DruidLevel&gt;=5,DruidLandOrigin="Desert"),"(create food and water, protection from energy)
",IF(AND(DruidLevel&gt;=5,DruidLandOrigin="Forest"),"(call lightning, plant growth)
",IF(AND(DruidLevel&gt;=5,DruidLandOrigin="Grassland"),"(daylight, haste)
",IF(AND(DruidLevel&gt;=5,DruidLandOrigin="Mountain"),"(lightning bolt, meld into stone)
",IF(AND(DruidLevel&gt;=5,DruidLandOrigin="Swamp"),"(water walk, stinking cloud)
",IF(AND(DruidLevel&gt;=5,DruidLandOrigin="Underdark"),"(gaseous form, stinking cloud)
",""))))))))</f>
        <v/>
      </c>
      <c r="EO32" s="103"/>
      <c r="EP32" s="103" t="str">
        <f ca="1">IF(DruidLandLevel&gt;=7,DM32&amp;" ","")&amp;IF(AND(DruidLevel&gt;=7,DruidLandOrigin="Arctic"),"(freedom of movement, ice storm)
",IF(AND(DruidLevel&gt;=7,DruidLandOrigin="Coast"),"(control water, freedom of movement)
",IF(AND(DruidLevel&gt;=7,DruidLandOrigin="Desert"),"(blight, hallucinatory terrain)
",IF(AND(DruidLevel&gt;=7,DruidLandOrigin="Forest"),"(divination, freedom of movement)
",IF(AND(DruidLevel&gt;=7,DruidLandOrigin="Grassland"),"(divination, freedom of movement)
",IF(AND(DruidLevel&gt;=7,DruidLandOrigin="Mountain"),"(stone shape, stoneskin)
",IF(AND(DruidLevel&gt;=7,DruidLandOrigin="Swamp"),"(freedom of movement, locate creature)
",IF(AND(DruidLevel&gt;=7,DruidLandOrigin="Underdark"),"(greater invisibility, stone shape)
",""))))))))</f>
        <v/>
      </c>
      <c r="EQ32" s="103"/>
      <c r="ER32" s="103" t="str">
        <f ca="1">IF(DruidLandLevel&gt;=9,DM32&amp;" ","")&amp;IF(AND(DruidLevel&gt;=9,DruidLandOrigin="Arctic"),"(commune with nature, cone of cold)
",IF(AND(DruidLevel&gt;=9,DruidLandOrigin="Coast"),"(conjure elemental, scrying)
",IF(AND(DruidLevel&gt;=9,DruidLandOrigin="Desert"),"(insect plague, wall of stone)
",IF(AND(DruidLevel&gt;=9,DruidLandOrigin="Forest"),"(commune with nature, tree stride)
",IF(AND(DruidLevel&gt;=9,DruidLandOrigin="Grassland"),"(dream, insect plague)
",IF(AND(DruidLevel&gt;=9,DruidLandOrigin="Mountain"),"(passwall, wall of stone)
",IF(AND(DruidLevel&gt;=9,DruidLandOrigin="Swamp"),"(insect plague, scrying)
",IF(AND(DruidLevel&gt;=9,DruidLandOrigin="Underdark"),"(cloudkill, insect plague)
",""))))))))</f>
        <v/>
      </c>
      <c r="ES32" s="103"/>
      <c r="ET32" s="393" t="str">
        <f>""</f>
        <v/>
      </c>
      <c r="EU32" s="391" t="str">
        <f>""</f>
        <v/>
      </c>
      <c r="EV32" s="393" t="str">
        <f>""</f>
        <v/>
      </c>
      <c r="EW32" s="391" t="str">
        <f>""</f>
        <v/>
      </c>
      <c r="EX32" s="393" t="str">
        <f>""</f>
        <v/>
      </c>
      <c r="EY32" s="391" t="str">
        <f>""</f>
        <v/>
      </c>
      <c r="EZ32" s="18"/>
      <c r="FA32" s="18" t="str">
        <f>IF($DM32=FB$5,MAX(FA$6:FA31)+1,"")</f>
        <v/>
      </c>
      <c r="FB32" s="58" t="str">
        <f t="shared" si="122"/>
        <v/>
      </c>
      <c r="FC32" s="18"/>
      <c r="FE32" s="18" t="str">
        <f>IF($DM32=FF$5,MAX(FE$6:FE31)+1,"")</f>
        <v/>
      </c>
      <c r="FF32" s="58" t="str">
        <f t="shared" si="123"/>
        <v/>
      </c>
      <c r="FG32" s="18"/>
      <c r="FI32" s="18" t="str">
        <f>IF($DM32=FJ$5,MAX(FI$6:FI31)+1,"")</f>
        <v/>
      </c>
      <c r="FJ32" s="58" t="str">
        <f t="shared" si="124"/>
        <v/>
      </c>
      <c r="FK32" s="18"/>
      <c r="FM32" s="18"/>
      <c r="FX32" s="104"/>
      <c r="FY32" s="104"/>
      <c r="FZ32" s="104"/>
      <c r="GA32" s="104"/>
      <c r="GB32" s="104"/>
      <c r="GC32" s="104"/>
      <c r="GD32" s="104"/>
      <c r="GE32" s="104"/>
      <c r="GF32" s="104"/>
      <c r="GG32" s="104"/>
      <c r="GH32" s="104"/>
      <c r="GI32" s="104"/>
      <c r="GJ32" s="104"/>
      <c r="GP32" s="18"/>
      <c r="GQ32" s="59"/>
      <c r="GR32" s="59"/>
      <c r="GZ32" s="59"/>
      <c r="HA32" s="59"/>
      <c r="HB32" s="59"/>
      <c r="HC32" s="59"/>
      <c r="HD32" s="59"/>
      <c r="HE32" s="59"/>
      <c r="HF32" s="59"/>
      <c r="HG32" s="59"/>
      <c r="HH32" s="59"/>
      <c r="HI32" s="59"/>
      <c r="HJ32" s="59"/>
      <c r="HK32" s="58" t="s">
        <v>2920</v>
      </c>
      <c r="HL32" s="59" t="s">
        <v>2905</v>
      </c>
      <c r="HM32" s="59" t="s">
        <v>2934</v>
      </c>
      <c r="HN32" s="59"/>
      <c r="HO32" s="59"/>
      <c r="HP32" s="59"/>
      <c r="HQ32" s="59"/>
      <c r="HR32" s="59"/>
      <c r="HS32" s="59"/>
      <c r="HT32" s="59"/>
      <c r="HU32" s="59"/>
      <c r="HV32" s="59"/>
      <c r="HW32" s="59"/>
      <c r="HX32" s="59"/>
      <c r="HY32" s="59"/>
      <c r="HZ32" s="59"/>
      <c r="IA32" s="59"/>
      <c r="IC32" s="59"/>
      <c r="ID32" s="59"/>
      <c r="IE32" s="59"/>
      <c r="IF32" s="59"/>
      <c r="IG32" s="59"/>
      <c r="IH32" s="18" t="str">
        <f>IF(IJ32=1,MAX($IH$2:IH31)+1,"")</f>
        <v/>
      </c>
      <c r="II32" s="59" t="s">
        <v>3325</v>
      </c>
      <c r="IJ32" s="59" t="str">
        <f>IF(Start!AJ90="Pact of the Chain",1,"")</f>
        <v/>
      </c>
      <c r="IK32" s="142" t="s">
        <v>3362</v>
      </c>
      <c r="IL32" s="18">
        <f t="shared" si="105"/>
        <v>30</v>
      </c>
      <c r="IM32" s="59" t="str">
        <f t="shared" si="77"/>
        <v/>
      </c>
      <c r="IN32" s="59"/>
      <c r="IO32" s="59"/>
      <c r="IP32" s="59"/>
      <c r="IQ32" s="59"/>
      <c r="IR32" s="59"/>
      <c r="IS32" s="59"/>
      <c r="IT32" s="59"/>
      <c r="IU32" s="59"/>
      <c r="IX32" s="59" t="s">
        <v>1498</v>
      </c>
      <c r="IY32" s="59" t="s">
        <v>958</v>
      </c>
      <c r="IZ32" s="59" t="s">
        <v>203</v>
      </c>
      <c r="JA32" s="59" t="s">
        <v>283</v>
      </c>
      <c r="JB32" s="59" t="s">
        <v>919</v>
      </c>
      <c r="JI32" s="60"/>
      <c r="JJ32" s="60"/>
      <c r="JM32" s="296" t="s">
        <v>7</v>
      </c>
      <c r="JN32" s="297">
        <v>1</v>
      </c>
      <c r="JO32" s="298">
        <v>2</v>
      </c>
      <c r="JP32" s="299">
        <v>3</v>
      </c>
      <c r="JQ32" s="300">
        <v>4</v>
      </c>
      <c r="JR32" s="300">
        <v>5</v>
      </c>
      <c r="JS32" s="300">
        <v>6</v>
      </c>
      <c r="JT32" s="300">
        <v>7</v>
      </c>
      <c r="JU32" s="300">
        <v>8</v>
      </c>
      <c r="JV32" s="300">
        <v>9</v>
      </c>
      <c r="JW32" s="296"/>
      <c r="JX32" s="302"/>
      <c r="JY32" s="302"/>
      <c r="KT32" s="93" t="s">
        <v>351</v>
      </c>
      <c r="KU32" s="80" t="str">
        <f t="shared" si="128"/>
        <v>No</v>
      </c>
      <c r="KV32" s="89" t="s">
        <v>333</v>
      </c>
      <c r="KW32" s="270"/>
      <c r="KX32" s="270"/>
      <c r="KY32" s="270"/>
      <c r="KZ32" s="270"/>
      <c r="LA32" s="270"/>
      <c r="LB32" s="92"/>
      <c r="LC32" s="270"/>
      <c r="LD32" s="270"/>
      <c r="LE32" s="270"/>
      <c r="LF32" s="455"/>
      <c r="LG32" s="270"/>
      <c r="LH32" s="270"/>
      <c r="LI32" s="270"/>
      <c r="LJ32" s="270"/>
      <c r="LK32" s="270"/>
      <c r="LL32" s="406"/>
      <c r="LM32" s="455"/>
      <c r="LN32" s="270"/>
      <c r="LO32" s="270"/>
      <c r="LP32" s="270"/>
      <c r="LQ32" s="92"/>
      <c r="LR32" s="270"/>
      <c r="LS32" s="270"/>
      <c r="LT32" s="92"/>
      <c r="LU32" s="92"/>
      <c r="LV32" s="270"/>
      <c r="LW32" s="270"/>
      <c r="LX32" s="270"/>
      <c r="LY32" s="92"/>
      <c r="LZ32" s="92"/>
      <c r="MA32" s="92"/>
      <c r="MB32" s="92"/>
      <c r="MC32" s="92"/>
      <c r="MD32" s="92"/>
      <c r="ME32" s="92"/>
      <c r="MF32" s="92"/>
      <c r="MG32" s="92"/>
      <c r="MH32" s="92"/>
      <c r="MI32" s="92"/>
      <c r="MJ32" s="92"/>
      <c r="MK32" s="92"/>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438"/>
      <c r="NQ32" s="94"/>
      <c r="NR32" s="94"/>
      <c r="NS32" s="94"/>
      <c r="NT32" s="94"/>
      <c r="NU32" s="94"/>
      <c r="NV32" s="456"/>
      <c r="NW32" s="456"/>
      <c r="NX32" s="456"/>
      <c r="NY32" s="456"/>
      <c r="NZ32" s="456"/>
      <c r="OA32" s="94"/>
      <c r="OB32" s="94"/>
      <c r="OC32" s="94"/>
      <c r="OD32" s="94"/>
      <c r="OE32" s="94"/>
      <c r="OF32" s="94"/>
      <c r="OG32" s="94"/>
      <c r="OH32" s="94"/>
      <c r="OI32" s="94"/>
      <c r="OJ32" s="94"/>
      <c r="OK32" s="94"/>
      <c r="OL32" s="94"/>
      <c r="OM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t="str">
        <f>IF(COUNTIF(Start!$AX$59:$BF$68,Tables!KT32)&gt;0,Tables!KT32,"")</f>
        <v/>
      </c>
      <c r="PT32" s="94"/>
      <c r="PU32" s="59" t="str">
        <f t="shared" si="129"/>
        <v/>
      </c>
      <c r="PV32" s="59" t="str">
        <f>IF(PU32="","",IF(COUNTIF(PU32:$PU$57,"&gt;&lt;")&gt;1,PU32&amp;", ", PU32))</f>
        <v/>
      </c>
      <c r="PW32" s="59"/>
      <c r="PX32" s="59"/>
      <c r="PZ32" s="28" t="s">
        <v>123</v>
      </c>
      <c r="QA32" s="28" t="s">
        <v>129</v>
      </c>
      <c r="QB32" s="30" t="str">
        <f t="shared" ca="1" si="79"/>
        <v>not proficient</v>
      </c>
      <c r="QC32" s="31" t="s">
        <v>104</v>
      </c>
      <c r="QD32" s="28" t="s">
        <v>134</v>
      </c>
      <c r="QE32" s="29" t="s">
        <v>140</v>
      </c>
      <c r="QF32" s="29">
        <v>3</v>
      </c>
      <c r="QG32" s="29" t="str">
        <f>""</f>
        <v/>
      </c>
      <c r="QH32" s="29" t="s">
        <v>136</v>
      </c>
      <c r="QI32" s="29" t="str">
        <f>""</f>
        <v/>
      </c>
      <c r="QJ32" s="29" t="s">
        <v>138</v>
      </c>
      <c r="QK32" s="29" t="str">
        <f>""</f>
        <v/>
      </c>
      <c r="QL32" s="29" t="str">
        <f>""</f>
        <v/>
      </c>
      <c r="QM32" s="29" t="str">
        <f>""</f>
        <v/>
      </c>
      <c r="QN32" s="29" t="str">
        <f>""</f>
        <v/>
      </c>
      <c r="QO32" s="29" t="str">
        <f>""</f>
        <v/>
      </c>
      <c r="QP32" s="29" t="str">
        <f>""</f>
        <v/>
      </c>
      <c r="QQ32" s="30" t="str">
        <f>""</f>
        <v/>
      </c>
      <c r="QR32" s="30" t="str">
        <f>""</f>
        <v/>
      </c>
      <c r="QT32" s="473"/>
      <c r="QU32" s="634"/>
      <c r="QV32" s="634"/>
      <c r="QW32" s="634"/>
      <c r="QX32" s="634"/>
      <c r="QY32" s="634"/>
      <c r="QZ32" s="634"/>
      <c r="RA32" s="634"/>
      <c r="RB32" s="634"/>
      <c r="RC32" s="634"/>
      <c r="RD32" s="634"/>
      <c r="RE32" s="634"/>
      <c r="RF32" s="634"/>
      <c r="RG32" s="634"/>
      <c r="RH32" s="634"/>
      <c r="RI32" s="634"/>
      <c r="RJ32" s="634"/>
      <c r="RK32" s="634"/>
      <c r="RL32" s="634"/>
      <c r="RM32" s="634"/>
      <c r="RN32" s="634"/>
      <c r="RO32" s="634"/>
      <c r="RP32" s="634"/>
      <c r="RQ32" s="634"/>
      <c r="RR32" s="634"/>
      <c r="RS32" s="634"/>
      <c r="RT32" s="634"/>
      <c r="RU32" s="634"/>
      <c r="RV32" s="634"/>
      <c r="RW32" s="634"/>
      <c r="RX32" s="634"/>
      <c r="RY32" s="634"/>
      <c r="RZ32" s="634"/>
      <c r="SA32" s="634"/>
      <c r="SB32" s="634"/>
      <c r="SC32" s="634"/>
      <c r="SD32" s="634"/>
      <c r="SE32" s="634"/>
      <c r="SF32" s="634"/>
      <c r="SG32" s="634"/>
      <c r="SH32" s="634"/>
      <c r="SI32" s="634"/>
      <c r="SJ32" s="634"/>
      <c r="SK32" s="634"/>
      <c r="SL32" s="634"/>
      <c r="SM32" s="634"/>
      <c r="SN32" s="634"/>
      <c r="SO32" s="634"/>
      <c r="SP32" s="634"/>
      <c r="SQ32" s="634"/>
      <c r="SR32" s="28"/>
      <c r="SS32" s="28"/>
      <c r="ST32" s="28"/>
      <c r="SU32" s="69"/>
      <c r="SV32" s="42"/>
      <c r="SW32" s="232"/>
      <c r="SX32" s="46"/>
      <c r="SY32" s="30"/>
      <c r="SZ32" s="29"/>
      <c r="TA32" s="28"/>
      <c r="TB32" s="28"/>
      <c r="TC32" s="28"/>
      <c r="TD32" s="42"/>
      <c r="TE32" s="29"/>
      <c r="TF32" s="69"/>
      <c r="TG32" s="29"/>
      <c r="TH32" s="30"/>
      <c r="TI32" s="30"/>
      <c r="TJ32" s="18">
        <f t="shared" si="115"/>
        <v>30</v>
      </c>
      <c r="TK32" s="58" t="s">
        <v>1234</v>
      </c>
      <c r="TL32" s="58" t="s">
        <v>460</v>
      </c>
      <c r="TM32" s="18">
        <v>3</v>
      </c>
      <c r="TN32" s="59" t="str">
        <f t="shared" si="47"/>
        <v xml:space="preserve">Bestow Curse ᴴ </v>
      </c>
      <c r="TO32" s="350" t="s">
        <v>2991</v>
      </c>
      <c r="TP32" s="18" t="str">
        <f t="shared" si="48"/>
        <v/>
      </c>
      <c r="TQ32" s="18" t="str">
        <f>IF(OR(TK32=Spellcasting!$AC$18,TK32=Spellcasting!$AC$19),"ᵐ","")</f>
        <v/>
      </c>
      <c r="TR32" s="18" t="str">
        <f>IF(OR(TK32=Spellcasting!$AC$20,TK32=Spellcasting!$AC$21),"ˢ","")</f>
        <v/>
      </c>
      <c r="TS32" s="18" t="str">
        <f>""</f>
        <v/>
      </c>
      <c r="TT32" s="18" t="s">
        <v>484</v>
      </c>
      <c r="TU32" s="18" t="s">
        <v>519</v>
      </c>
      <c r="TV32" s="18" t="s">
        <v>558</v>
      </c>
      <c r="TW32" s="18" t="s">
        <v>486</v>
      </c>
      <c r="TX32" s="59" t="str">
        <f>""</f>
        <v/>
      </c>
      <c r="TY32" s="18" t="s">
        <v>506</v>
      </c>
      <c r="TZ32" s="18" t="s">
        <v>507</v>
      </c>
      <c r="UA32" s="142" t="s">
        <v>3142</v>
      </c>
      <c r="UB32" s="319" t="s">
        <v>1310</v>
      </c>
      <c r="UC32" s="18" t="str">
        <f ca="1">IF(UC$1&gt;=$TM32,1,"0")</f>
        <v>0</v>
      </c>
      <c r="UH32" s="18" t="str">
        <f ca="1">IF(UH$1&gt;=$TM32,1,"0")</f>
        <v>0</v>
      </c>
      <c r="UL32" s="18" t="str">
        <f ca="1">IF(UL$1&gt;=$TM32,1,"0")</f>
        <v>0</v>
      </c>
      <c r="WD32" s="18" t="str">
        <f ca="1">IF(SUM($VZ$1:$WC$1)&gt;0,IF(AND(SUM($VZ32:$WC32)&gt;0,$TM32=WE$1),MAX(WD$2:WD31)+1,""),IF(AND(SUM($UC32:$VY32)&gt;0,$TM32=WE$1),MAX(WD$2:WD31)+1,""))</f>
        <v/>
      </c>
      <c r="WE32" s="59" t="str">
        <f t="shared" ca="1" si="80"/>
        <v/>
      </c>
      <c r="WF32" s="18" t="str">
        <f ca="1">IF(AND(SUM($UB32:$VY32)&gt;0,$TM32=WG$1),MAX(WF$2:WF31)+1,"")</f>
        <v/>
      </c>
      <c r="WG32" s="59" t="str">
        <f t="shared" ca="1" si="81"/>
        <v/>
      </c>
      <c r="WH32" s="18" t="str">
        <f ca="1">IF(AND(SUM($UB32:$VY32)&gt;0,$TM32=WI$1),MAX(WH$2:WH31)+1,"")</f>
        <v/>
      </c>
      <c r="WI32" s="59" t="str">
        <f t="shared" ca="1" si="82"/>
        <v/>
      </c>
      <c r="WJ32" s="18" t="str">
        <f ca="1">IF(AND(SUM($UB32:$VY32)&gt;0,$TM32=WK$1),MAX(WJ$2:WJ31)+1,"")</f>
        <v/>
      </c>
      <c r="WK32" s="59" t="str">
        <f t="shared" ca="1" si="83"/>
        <v/>
      </c>
      <c r="WL32" s="18" t="str">
        <f ca="1">IF(AND(SUM($UB32:$VY32)&gt;0,$TM32=WM$1),MAX(WL$2:WL31)+1,"")</f>
        <v/>
      </c>
      <c r="WM32" s="59" t="str">
        <f t="shared" ca="1" si="84"/>
        <v/>
      </c>
      <c r="WN32" s="18" t="str">
        <f ca="1">IF(AND(SUM($UB32:$VY32)&gt;0,$TM32=WO$1),MAX(WN$2:WN31)+1,"")</f>
        <v/>
      </c>
      <c r="WO32" s="59" t="str">
        <f t="shared" ca="1" si="85"/>
        <v/>
      </c>
      <c r="WP32" s="18" t="str">
        <f ca="1">IF(AND(SUM($UB32:$VY32)&gt;0,$TM32=WQ$1),MAX(WP$2:WP31)+1,"")</f>
        <v/>
      </c>
      <c r="WQ32" s="59" t="str">
        <f t="shared" ca="1" si="86"/>
        <v/>
      </c>
      <c r="WR32" s="18" t="str">
        <f ca="1">IF(AND(SUM($UB32:$VY32)&gt;0,$TM32=WS$1),MAX(WR$2:WR31)+1,"")</f>
        <v/>
      </c>
      <c r="WS32" s="59" t="str">
        <f t="shared" ca="1" si="87"/>
        <v/>
      </c>
      <c r="WT32" s="18" t="str">
        <f ca="1">IF(AND(SUM($UB32:$VY32)&gt;0,$TM32=WU$1),MAX(WT$2:WT31)+1,"")</f>
        <v/>
      </c>
      <c r="WU32" s="59" t="str">
        <f t="shared" ca="1" si="88"/>
        <v/>
      </c>
      <c r="WV32" s="18" t="str">
        <f ca="1">IF(AND(SUM($UB32:$VY32)&gt;0,$TM32=WW$1),MAX(WV$2:WV31)+1,"")</f>
        <v/>
      </c>
      <c r="WW32" s="59" t="str">
        <f t="shared" ca="1" si="89"/>
        <v/>
      </c>
      <c r="WX32" s="18" t="str">
        <f ca="1">IF(AND(SUM($UB32:$VY32)&gt;0,$TM32=WY$1),MAX(WX$2:WX31)+1,"")</f>
        <v/>
      </c>
      <c r="WY32" s="59" t="str">
        <f t="shared" ca="1" si="90"/>
        <v/>
      </c>
      <c r="WZ32" s="18">
        <v>31</v>
      </c>
      <c r="XA32" s="59" t="str">
        <f t="shared" ca="1" si="91"/>
        <v/>
      </c>
      <c r="XB32" s="59" t="str">
        <f t="shared" ca="1" si="28"/>
        <v/>
      </c>
      <c r="XC32" s="59" t="str">
        <f t="shared" ca="1" si="29"/>
        <v/>
      </c>
      <c r="XD32" s="59" t="str">
        <f t="shared" ca="1" si="60"/>
        <v/>
      </c>
      <c r="XE32" s="59" t="str">
        <f t="shared" ca="1" si="61"/>
        <v/>
      </c>
      <c r="XF32" s="59" t="str">
        <f t="shared" ca="1" si="62"/>
        <v/>
      </c>
      <c r="XG32" s="59" t="str">
        <f t="shared" ca="1" si="63"/>
        <v/>
      </c>
      <c r="XH32" s="59" t="str">
        <f t="shared" ca="1" si="64"/>
        <v/>
      </c>
      <c r="XI32" s="59" t="str">
        <f t="shared" ca="1" si="65"/>
        <v/>
      </c>
      <c r="XJ32" s="59" t="str">
        <f t="shared" ca="1" si="66"/>
        <v/>
      </c>
      <c r="XK32" s="59" t="str">
        <f t="shared" ca="1" si="67"/>
        <v/>
      </c>
      <c r="XL32" s="18">
        <v>1</v>
      </c>
      <c r="XM32" s="59">
        <f>IF(XL32=1,MAX($XM$27:XM31)+1,"")</f>
        <v>5</v>
      </c>
      <c r="XN32" s="58" t="s">
        <v>1740</v>
      </c>
      <c r="XO32" s="58" t="s">
        <v>3384</v>
      </c>
      <c r="XP32" s="18" t="s">
        <v>3070</v>
      </c>
      <c r="XQ32" s="18">
        <v>11</v>
      </c>
      <c r="XR32" s="18">
        <v>1</v>
      </c>
      <c r="XS32" s="59" t="s">
        <v>1741</v>
      </c>
      <c r="XT32" s="18">
        <v>1</v>
      </c>
      <c r="XU32" s="18">
        <v>13</v>
      </c>
      <c r="XV32" s="18">
        <v>8</v>
      </c>
      <c r="XW32" s="18">
        <v>1</v>
      </c>
      <c r="XX32" s="18">
        <v>8</v>
      </c>
      <c r="XY32" s="18">
        <v>3</v>
      </c>
      <c r="XZ32" s="59" t="s">
        <v>1743</v>
      </c>
      <c r="YA32" s="215" t="s">
        <v>2863</v>
      </c>
      <c r="YB32" s="142" t="s">
        <v>187</v>
      </c>
      <c r="YC32" s="142" t="s">
        <v>3397</v>
      </c>
      <c r="YG32" s="58" t="s">
        <v>1764</v>
      </c>
      <c r="YH32" s="58" t="s">
        <v>187</v>
      </c>
      <c r="YI32" s="215" t="s">
        <v>1765</v>
      </c>
      <c r="YJ32" s="215" t="s">
        <v>1813</v>
      </c>
      <c r="YK32" s="215" t="str">
        <f>""</f>
        <v/>
      </c>
      <c r="YL32" s="249" t="str">
        <f>""</f>
        <v/>
      </c>
      <c r="YM32" s="249" t="s">
        <v>3091</v>
      </c>
      <c r="YN32" s="249">
        <v>1</v>
      </c>
      <c r="YO32" s="249"/>
      <c r="YP32" s="249"/>
      <c r="YQ32" s="215"/>
      <c r="YR32" s="215"/>
      <c r="YS32" s="215"/>
      <c r="YT32" s="18" t="s">
        <v>308</v>
      </c>
      <c r="YU32" s="18">
        <v>12</v>
      </c>
      <c r="YV32" s="18" t="str">
        <f ca="1">VLOOKUP(YY32,$ZI$2:$ZP$23,$ZI$1,FALSE)</f>
        <v/>
      </c>
      <c r="YW32" s="18" t="str">
        <f ca="1">IF(YX32="","",MAX($YW$1:YW31)+1)</f>
        <v/>
      </c>
      <c r="YX32" s="59" t="str">
        <f t="shared" ca="1" si="71"/>
        <v/>
      </c>
      <c r="YY32" s="18" t="str">
        <f t="shared" ca="1" si="72"/>
        <v/>
      </c>
      <c r="ZR32"/>
    </row>
    <row r="33" spans="31:694" ht="9.9499999999999993" customHeight="1" x14ac:dyDescent="0.2">
      <c r="AE33" s="17"/>
      <c r="AO33" s="18">
        <f t="shared" si="119"/>
        <v>32</v>
      </c>
      <c r="AP33" s="272" t="str">
        <f>SelectText</f>
        <v>Select…</v>
      </c>
      <c r="AQ33" s="59" t="str">
        <f>""</f>
        <v/>
      </c>
      <c r="AR33" s="272"/>
      <c r="AS33" s="385"/>
      <c r="AT33" s="272"/>
      <c r="AU33" s="385"/>
      <c r="AV33" s="272"/>
      <c r="AW33" s="385"/>
      <c r="AX33" s="385"/>
      <c r="BA33" s="272"/>
      <c r="BB33" s="385"/>
      <c r="BE33" s="18" t="str">
        <f>""</f>
        <v/>
      </c>
      <c r="BJ33" s="70"/>
      <c r="BK33" s="70"/>
      <c r="BL33" s="48"/>
      <c r="BM33" s="70"/>
      <c r="BN33" s="70"/>
      <c r="BO33" s="70"/>
      <c r="BP33" s="70"/>
      <c r="BQ33" s="70"/>
      <c r="BR33" s="70"/>
      <c r="BS33" s="70"/>
      <c r="BU33" s="70"/>
      <c r="BV33" s="70"/>
      <c r="BW33" s="70"/>
      <c r="BX33" s="70"/>
      <c r="BY33" s="70"/>
      <c r="BZ33" s="70"/>
      <c r="CA33" s="70"/>
      <c r="CB33" s="70"/>
      <c r="CC33" s="70"/>
      <c r="CD33" s="70"/>
      <c r="CE33" s="70"/>
      <c r="CF33" s="70"/>
      <c r="CG33" s="70"/>
      <c r="CH33" s="70"/>
      <c r="CI33" s="70"/>
      <c r="CJ33" s="70"/>
      <c r="CK33" s="70"/>
      <c r="CL33" s="70"/>
      <c r="CM33" s="48"/>
      <c r="CN33" s="48"/>
      <c r="CO33" s="48"/>
      <c r="CP33" s="48"/>
      <c r="CQ33" s="48"/>
      <c r="CR33" s="48"/>
      <c r="CS33" s="48"/>
      <c r="CT33" s="48"/>
      <c r="CU33" s="48"/>
      <c r="CV33" s="48"/>
      <c r="CW33" s="48"/>
      <c r="CX33" s="48"/>
      <c r="CY33" s="48"/>
      <c r="CZ33" s="48"/>
      <c r="DA33" s="48"/>
      <c r="DB33" s="48"/>
      <c r="DC33" s="48"/>
      <c r="DD33" s="48"/>
      <c r="DE33" s="48"/>
      <c r="DF33" s="48"/>
      <c r="DG33" s="104"/>
      <c r="DH33" s="104"/>
      <c r="DI33" s="104"/>
      <c r="DJ33" s="104"/>
      <c r="DK33" s="104"/>
      <c r="DL33" s="393" t="s">
        <v>285</v>
      </c>
      <c r="DM33" s="391" t="s">
        <v>287</v>
      </c>
      <c r="DN33" s="391">
        <f t="shared" ca="1" si="121"/>
        <v>0</v>
      </c>
      <c r="DO33" s="392" t="str">
        <f>""</f>
        <v/>
      </c>
      <c r="DP33" s="393" t="str">
        <f>"• Druid Circle Feature (Combat Wild Shape, Circle Forms)"</f>
        <v>• Druid Circle Feature (Combat Wild Shape, Circle Forms)</v>
      </c>
      <c r="DQ33" s="392" t="str">
        <f>""</f>
        <v/>
      </c>
      <c r="DR33" s="393" t="str">
        <f>""</f>
        <v/>
      </c>
      <c r="DS33" s="393" t="str">
        <f>""</f>
        <v/>
      </c>
      <c r="DT33" s="393" t="s">
        <v>2660</v>
      </c>
      <c r="DU33" s="393" t="str">
        <f>""</f>
        <v/>
      </c>
      <c r="DV33" s="393" t="str">
        <f>""</f>
        <v/>
      </c>
      <c r="DW33" s="393" t="str">
        <f>""</f>
        <v/>
      </c>
      <c r="DX33" s="393" t="s">
        <v>2661</v>
      </c>
      <c r="DY33" s="393" t="str">
        <f>""</f>
        <v/>
      </c>
      <c r="DZ33" s="393" t="str">
        <f>""</f>
        <v/>
      </c>
      <c r="EA33" s="393" t="str">
        <f>""</f>
        <v/>
      </c>
      <c r="EB33" s="393" t="s">
        <v>2662</v>
      </c>
      <c r="EC33" s="393" t="str">
        <f>""</f>
        <v/>
      </c>
      <c r="ED33" s="393" t="str">
        <f>""</f>
        <v/>
      </c>
      <c r="EE33" s="393" t="str">
        <f>""</f>
        <v/>
      </c>
      <c r="EF33" s="393" t="str">
        <f>""</f>
        <v/>
      </c>
      <c r="EG33" s="393" t="str">
        <f>""</f>
        <v/>
      </c>
      <c r="EH33" s="393" t="str">
        <f>""</f>
        <v/>
      </c>
      <c r="EI33" s="445" t="str">
        <f>""</f>
        <v/>
      </c>
      <c r="EJ33" s="445" t="str">
        <f>""</f>
        <v/>
      </c>
      <c r="EK33" s="445"/>
      <c r="EL33" s="445" t="str">
        <f>""</f>
        <v/>
      </c>
      <c r="EM33" s="445"/>
      <c r="EN33" s="445" t="str">
        <f>""</f>
        <v/>
      </c>
      <c r="EO33" s="445"/>
      <c r="EP33" s="445" t="str">
        <f>""</f>
        <v/>
      </c>
      <c r="EQ33" s="445"/>
      <c r="ER33" s="445" t="str">
        <f>""</f>
        <v/>
      </c>
      <c r="ES33" s="445"/>
      <c r="ET33" s="393" t="str">
        <f>""</f>
        <v/>
      </c>
      <c r="EU33" s="391" t="str">
        <f>""</f>
        <v/>
      </c>
      <c r="EV33" s="393" t="str">
        <f>""</f>
        <v/>
      </c>
      <c r="EW33" s="391" t="str">
        <f>""</f>
        <v/>
      </c>
      <c r="EX33" s="393" t="str">
        <f>""</f>
        <v/>
      </c>
      <c r="EY33" s="391" t="str">
        <f>""</f>
        <v/>
      </c>
      <c r="EZ33" s="18"/>
      <c r="FA33" s="18" t="str">
        <f>IF($DM33=FB$5,MAX(FA$6:FA32)+1,"")</f>
        <v/>
      </c>
      <c r="FB33" s="58" t="str">
        <f t="shared" si="122"/>
        <v/>
      </c>
      <c r="FC33" s="18"/>
      <c r="FE33" s="18" t="str">
        <f>IF($DM33=FF$5,MAX(FE$6:FE32)+1,"")</f>
        <v/>
      </c>
      <c r="FF33" s="58" t="str">
        <f t="shared" si="123"/>
        <v/>
      </c>
      <c r="FG33" s="18"/>
      <c r="FI33" s="18" t="str">
        <f>IF($DM33=FJ$5,MAX(FI$6:FI32)+1,"")</f>
        <v/>
      </c>
      <c r="FJ33" s="58" t="str">
        <f t="shared" si="124"/>
        <v/>
      </c>
      <c r="FK33" s="18"/>
      <c r="FM33" s="18"/>
      <c r="FX33" s="104"/>
      <c r="FY33" s="104"/>
      <c r="FZ33" s="104"/>
      <c r="GA33" s="104"/>
      <c r="GB33" s="104"/>
      <c r="GC33" s="104"/>
      <c r="GD33" s="104"/>
      <c r="GE33" s="104"/>
      <c r="GF33" s="104"/>
      <c r="GG33" s="104"/>
      <c r="GH33" s="104"/>
      <c r="GI33" s="104"/>
      <c r="GJ33" s="104"/>
      <c r="GP33" s="18"/>
      <c r="GQ33" s="59"/>
      <c r="GR33" s="59"/>
      <c r="GZ33" s="59"/>
      <c r="HA33" s="59"/>
      <c r="HB33" s="59"/>
      <c r="HC33" s="59"/>
      <c r="HD33" s="59"/>
      <c r="HE33" s="59"/>
      <c r="HF33" s="59"/>
      <c r="HG33" s="59"/>
      <c r="HH33" s="59"/>
      <c r="HI33" s="59"/>
      <c r="HJ33" s="59"/>
      <c r="HK33" s="59" t="s">
        <v>2921</v>
      </c>
      <c r="HL33" s="59" t="s">
        <v>2905</v>
      </c>
      <c r="HM33" s="59" t="s">
        <v>2935</v>
      </c>
      <c r="HN33" s="59"/>
      <c r="HO33" s="59"/>
      <c r="HP33" s="59"/>
      <c r="HQ33" s="59"/>
      <c r="HR33" s="59"/>
      <c r="HS33" s="59"/>
      <c r="HT33" s="59"/>
      <c r="HU33" s="59"/>
      <c r="HV33" s="59"/>
      <c r="HW33" s="59"/>
      <c r="HX33" s="59"/>
      <c r="HY33" s="59"/>
      <c r="HZ33" s="59"/>
      <c r="IA33" s="59"/>
      <c r="IC33" s="59"/>
      <c r="ID33" s="59"/>
      <c r="IE33" s="59"/>
      <c r="IF33" s="59"/>
      <c r="IG33" s="59"/>
      <c r="IH33" s="18" t="str">
        <f>IF(IJ33=1,MAX($IH$2:IH32)+1,"")</f>
        <v/>
      </c>
      <c r="II33" s="59" t="s">
        <v>3321</v>
      </c>
      <c r="IJ33" s="59" t="str">
        <f>IF(WarlockLevel&gt;=9,1,"")</f>
        <v/>
      </c>
      <c r="IK33" s="59" t="s">
        <v>3368</v>
      </c>
      <c r="IL33" s="18">
        <f t="shared" si="105"/>
        <v>31</v>
      </c>
      <c r="IM33" s="59" t="str">
        <f t="shared" si="77"/>
        <v/>
      </c>
      <c r="IN33" s="59"/>
      <c r="IO33" s="59"/>
      <c r="IP33" s="59"/>
      <c r="IQ33" s="59"/>
      <c r="IR33" s="59"/>
      <c r="IS33" s="59"/>
      <c r="IT33" s="59"/>
      <c r="IU33" s="59"/>
      <c r="IX33" s="59" t="s">
        <v>1499</v>
      </c>
      <c r="IY33" s="59" t="s">
        <v>959</v>
      </c>
      <c r="IZ33" s="59" t="s">
        <v>197</v>
      </c>
      <c r="JA33" s="59" t="s">
        <v>898</v>
      </c>
      <c r="JB33" s="59" t="s">
        <v>920</v>
      </c>
      <c r="JJ33" s="481"/>
      <c r="JM33" s="296">
        <v>1</v>
      </c>
      <c r="JN33" s="296">
        <v>2</v>
      </c>
      <c r="JO33" s="302" t="s">
        <v>140</v>
      </c>
      <c r="JP33" s="302" t="s">
        <v>140</v>
      </c>
      <c r="JQ33" s="302" t="s">
        <v>140</v>
      </c>
      <c r="JR33" s="302" t="s">
        <v>140</v>
      </c>
      <c r="JS33" s="302" t="s">
        <v>140</v>
      </c>
      <c r="JT33" s="302" t="s">
        <v>140</v>
      </c>
      <c r="JU33" s="302" t="s">
        <v>140</v>
      </c>
      <c r="JV33" s="302" t="s">
        <v>140</v>
      </c>
      <c r="JW33" s="98">
        <v>1</v>
      </c>
      <c r="JX33" s="302"/>
      <c r="JY33" s="302"/>
      <c r="KT33" s="93" t="s">
        <v>1508</v>
      </c>
      <c r="KU33" s="80" t="str">
        <f t="shared" si="128"/>
        <v>No</v>
      </c>
      <c r="KV33" s="89" t="s">
        <v>333</v>
      </c>
      <c r="KW33" s="270"/>
      <c r="KX33" s="270"/>
      <c r="KY33" s="270"/>
      <c r="KZ33" s="270"/>
      <c r="LA33" s="270"/>
      <c r="LB33" s="92"/>
      <c r="LC33" s="270"/>
      <c r="LD33" s="270"/>
      <c r="LE33" s="270"/>
      <c r="LF33" s="455"/>
      <c r="LG33" s="270"/>
      <c r="LH33" s="270"/>
      <c r="LI33" s="270"/>
      <c r="LJ33" s="270"/>
      <c r="LK33" s="270"/>
      <c r="LL33" s="406"/>
      <c r="LM33" s="455"/>
      <c r="LN33" s="270"/>
      <c r="LO33" s="270"/>
      <c r="LP33" s="270"/>
      <c r="LQ33" s="92"/>
      <c r="LR33" s="270"/>
      <c r="LS33" s="270"/>
      <c r="LT33" s="92"/>
      <c r="LU33" s="92"/>
      <c r="LV33" s="270"/>
      <c r="LW33" s="270"/>
      <c r="LX33" s="270"/>
      <c r="LY33" s="92"/>
      <c r="LZ33" s="92"/>
      <c r="MA33" s="92"/>
      <c r="MB33" s="92"/>
      <c r="MC33" s="92"/>
      <c r="MD33" s="92"/>
      <c r="ME33" s="92"/>
      <c r="MF33" s="92"/>
      <c r="MG33" s="92"/>
      <c r="MH33" s="92"/>
      <c r="MI33" s="92"/>
      <c r="MJ33" s="92"/>
      <c r="MK33" s="92"/>
      <c r="ML33" s="94"/>
      <c r="MM33" s="94"/>
      <c r="MN33" s="94"/>
      <c r="MO33" s="94"/>
      <c r="MP33" s="94"/>
      <c r="MQ33" s="94"/>
      <c r="MR33" s="94"/>
      <c r="MS33" s="94"/>
      <c r="MT33" s="94"/>
      <c r="MU33" s="94"/>
      <c r="MV33" s="94"/>
      <c r="MW33" s="94"/>
      <c r="MX33" s="94"/>
      <c r="MY33" s="94"/>
      <c r="MZ33" s="94"/>
      <c r="NA33" s="94"/>
      <c r="NB33" s="94"/>
      <c r="NC33" s="94"/>
      <c r="ND33" s="94"/>
      <c r="NE33" s="94"/>
      <c r="NF33" s="94"/>
      <c r="NG33" s="94"/>
      <c r="NH33" s="94"/>
      <c r="NI33" s="94"/>
      <c r="NJ33" s="94"/>
      <c r="NK33" s="94"/>
      <c r="NL33" s="94"/>
      <c r="NM33" s="94"/>
      <c r="NN33" s="94"/>
      <c r="NO33" s="94"/>
      <c r="NP33" s="438"/>
      <c r="NQ33" s="94"/>
      <c r="NR33" s="94"/>
      <c r="NS33" s="94"/>
      <c r="NT33" s="94"/>
      <c r="NU33" s="94"/>
      <c r="NV33" s="456"/>
      <c r="NW33" s="456"/>
      <c r="NX33" s="456"/>
      <c r="NY33" s="456"/>
      <c r="NZ33" s="456"/>
      <c r="OA33" s="94"/>
      <c r="OB33" s="94"/>
      <c r="OC33" s="94"/>
      <c r="OD33" s="94"/>
      <c r="OE33" s="94"/>
      <c r="OF33" s="94"/>
      <c r="OG33" s="94"/>
      <c r="OH33" s="94"/>
      <c r="OI33" s="94"/>
      <c r="OJ33" s="94"/>
      <c r="OK33" s="94"/>
      <c r="OL33" s="94"/>
      <c r="OM33" s="94"/>
      <c r="ON33" s="94"/>
      <c r="OO33" s="94"/>
      <c r="OP33" s="94"/>
      <c r="OQ33" s="94"/>
      <c r="OR33" s="94"/>
      <c r="OS33" s="94"/>
      <c r="OT33" s="94"/>
      <c r="OU33" s="94"/>
      <c r="OV33" s="94"/>
      <c r="OW33" s="94"/>
      <c r="OX33" s="94"/>
      <c r="OY33" s="94"/>
      <c r="OZ33" s="94"/>
      <c r="PA33" s="94"/>
      <c r="PB33" s="94"/>
      <c r="PC33" s="94"/>
      <c r="PD33" s="94"/>
      <c r="PE33" s="94"/>
      <c r="PF33" s="94"/>
      <c r="PG33" s="94"/>
      <c r="PH33" s="94"/>
      <c r="PI33" s="94"/>
      <c r="PJ33" s="94"/>
      <c r="PK33" s="94"/>
      <c r="PL33" s="94"/>
      <c r="PM33" s="94"/>
      <c r="PN33" s="94"/>
      <c r="PO33" s="94"/>
      <c r="PP33" s="94"/>
      <c r="PQ33" s="94"/>
      <c r="PR33" s="94"/>
      <c r="PS33" s="94" t="str">
        <f>IF(COUNTIF(Start!$AX$59:$BF$68,Tables!KT33)&gt;0,Tables!KT33,"")</f>
        <v/>
      </c>
      <c r="PT33" s="94"/>
      <c r="PU33" s="59" t="str">
        <f t="shared" si="129"/>
        <v/>
      </c>
      <c r="PV33" s="59" t="str">
        <f>IF(PU33="","",IF(COUNTIF(PU33:$PU$57,"&gt;&lt;")&gt;1,PU33&amp;", ", PU33))</f>
        <v/>
      </c>
      <c r="PW33" s="59"/>
      <c r="PX33" s="59"/>
      <c r="PZ33" s="19" t="s">
        <v>124</v>
      </c>
      <c r="QA33" s="19" t="s">
        <v>129</v>
      </c>
      <c r="QB33" s="27" t="str">
        <f t="shared" ca="1" si="79"/>
        <v>not proficient</v>
      </c>
      <c r="QC33" s="67" t="s">
        <v>104</v>
      </c>
      <c r="QD33" s="19" t="s">
        <v>106</v>
      </c>
      <c r="QE33" s="26" t="s">
        <v>140</v>
      </c>
      <c r="QF33" s="26">
        <v>2</v>
      </c>
      <c r="QG33" s="26" t="str">
        <f>""</f>
        <v/>
      </c>
      <c r="QH33" s="26" t="s">
        <v>136</v>
      </c>
      <c r="QI33" s="26" t="str">
        <f>""</f>
        <v/>
      </c>
      <c r="QJ33" s="26" t="s">
        <v>138</v>
      </c>
      <c r="QK33" s="26" t="str">
        <f>""</f>
        <v/>
      </c>
      <c r="QL33" s="26" t="str">
        <f>""</f>
        <v/>
      </c>
      <c r="QM33" s="26" t="str">
        <f>""</f>
        <v/>
      </c>
      <c r="QN33" s="26" t="str">
        <f>""</f>
        <v/>
      </c>
      <c r="QO33" s="26" t="str">
        <f>""</f>
        <v/>
      </c>
      <c r="QP33" s="26" t="str">
        <f>""</f>
        <v/>
      </c>
      <c r="QQ33" s="27" t="str">
        <f>""</f>
        <v/>
      </c>
      <c r="QR33" s="27" t="str">
        <f>""</f>
        <v/>
      </c>
      <c r="SR33" s="19"/>
      <c r="SS33" s="19"/>
      <c r="ST33" s="19"/>
      <c r="SU33" s="68"/>
      <c r="SV33" s="44"/>
      <c r="SW33" s="231"/>
      <c r="SX33" s="45"/>
      <c r="SY33" s="27"/>
      <c r="SZ33" s="26"/>
      <c r="TA33" s="19"/>
      <c r="TB33" s="19"/>
      <c r="TC33" s="19"/>
      <c r="TD33" s="44"/>
      <c r="TE33" s="26"/>
      <c r="TF33" s="68"/>
      <c r="TG33" s="26"/>
      <c r="TH33" s="27"/>
      <c r="TI33" s="27"/>
      <c r="TJ33" s="18">
        <f>TJ32+1</f>
        <v>31</v>
      </c>
      <c r="TK33" s="58" t="s">
        <v>1311</v>
      </c>
      <c r="TL33" s="58" t="s">
        <v>462</v>
      </c>
      <c r="TM33" s="18">
        <v>5</v>
      </c>
      <c r="TN33" s="59" t="str">
        <f t="shared" ref="TN33:TN66" si="137">TK33&amp;" "&amp;TO33&amp;TP33&amp;TQ33&amp;TR33</f>
        <v xml:space="preserve">Bigby's Hand ᴴ </v>
      </c>
      <c r="TO33" s="350" t="s">
        <v>2991</v>
      </c>
      <c r="TP33" s="18" t="str">
        <f t="shared" si="48"/>
        <v/>
      </c>
      <c r="TQ33" s="18" t="str">
        <f>IF(OR(TK33=Spellcasting!$AC$18,TK33=Spellcasting!$AC$19),"ᵐ","")</f>
        <v/>
      </c>
      <c r="TR33" s="18" t="str">
        <f>IF(OR(TK33=Spellcasting!$AC$20,TK33=Spellcasting!$AC$21),"ˢ","")</f>
        <v/>
      </c>
      <c r="TS33" s="18" t="str">
        <f>""</f>
        <v/>
      </c>
      <c r="TT33" s="18" t="s">
        <v>484</v>
      </c>
      <c r="TU33" s="18" t="s">
        <v>848</v>
      </c>
      <c r="TV33" s="18" t="s">
        <v>558</v>
      </c>
      <c r="TW33" s="18" t="s">
        <v>495</v>
      </c>
      <c r="TX33" s="59" t="s">
        <v>1312</v>
      </c>
      <c r="TY33" s="18" t="s">
        <v>534</v>
      </c>
      <c r="TZ33" s="18" t="s">
        <v>535</v>
      </c>
      <c r="UA33" s="142" t="s">
        <v>3143</v>
      </c>
      <c r="UB33" s="319" t="str">
        <f>"Clenched 4d8+"&amp;INTMod&amp;" force, Forceful, Grasping 2d8+"&amp;INTMod&amp;" (b), Interposing"</f>
        <v>Clenched 4d8+-5 force, Forceful, Grasping 2d8+-5 (b), Interposing</v>
      </c>
      <c r="UL33" s="18" t="str">
        <f ca="1">IF(UL$1&gt;=$TM33,1,"0")</f>
        <v>0</v>
      </c>
      <c r="WD33" s="18" t="str">
        <f ca="1">IF(SUM($VZ$1:$WC$1)&gt;0,IF(AND(SUM($VZ33:$WC33)&gt;0,$TM33=WE$1),MAX(WD$2:WD32)+1,""),IF(AND(SUM($UC33:$VY33)&gt;0,$TM33=WE$1),MAX(WD$2:WD32)+1,""))</f>
        <v/>
      </c>
      <c r="WE33" s="59" t="str">
        <f t="shared" ca="1" si="80"/>
        <v/>
      </c>
      <c r="WF33" s="18" t="str">
        <f ca="1">IF(AND(SUM($UB33:$VY33)&gt;0,$TM33=WG$1),MAX(WF$2:WF32)+1,"")</f>
        <v/>
      </c>
      <c r="WG33" s="59" t="str">
        <f t="shared" ca="1" si="81"/>
        <v/>
      </c>
      <c r="WH33" s="18" t="str">
        <f ca="1">IF(AND(SUM($UB33:$VY33)&gt;0,$TM33=WI$1),MAX(WH$2:WH32)+1,"")</f>
        <v/>
      </c>
      <c r="WI33" s="59" t="str">
        <f t="shared" ca="1" si="82"/>
        <v/>
      </c>
      <c r="WJ33" s="18" t="str">
        <f ca="1">IF(AND(SUM($UB33:$VY33)&gt;0,$TM33=WK$1),MAX(WJ$2:WJ32)+1,"")</f>
        <v/>
      </c>
      <c r="WK33" s="59" t="str">
        <f t="shared" ca="1" si="83"/>
        <v/>
      </c>
      <c r="WL33" s="18" t="str">
        <f ca="1">IF(AND(SUM($UB33:$VY33)&gt;0,$TM33=WM$1),MAX(WL$2:WL32)+1,"")</f>
        <v/>
      </c>
      <c r="WM33" s="59" t="str">
        <f t="shared" ca="1" si="84"/>
        <v/>
      </c>
      <c r="WN33" s="18" t="str">
        <f ca="1">IF(AND(SUM($UB33:$VY33)&gt;0,$TM33=WO$1),MAX(WN$2:WN32)+1,"")</f>
        <v/>
      </c>
      <c r="WO33" s="59" t="str">
        <f t="shared" ca="1" si="85"/>
        <v/>
      </c>
      <c r="WP33" s="18" t="str">
        <f ca="1">IF(AND(SUM($UB33:$VY33)&gt;0,$TM33=WQ$1),MAX(WP$2:WP32)+1,"")</f>
        <v/>
      </c>
      <c r="WQ33" s="59" t="str">
        <f t="shared" ca="1" si="86"/>
        <v/>
      </c>
      <c r="WR33" s="18" t="str">
        <f ca="1">IF(AND(SUM($UB33:$VY33)&gt;0,$TM33=WS$1),MAX(WR$2:WR32)+1,"")</f>
        <v/>
      </c>
      <c r="WS33" s="59" t="str">
        <f t="shared" ca="1" si="87"/>
        <v/>
      </c>
      <c r="WT33" s="18" t="str">
        <f ca="1">IF(AND(SUM($UB33:$VY33)&gt;0,$TM33=WU$1),MAX(WT$2:WT32)+1,"")</f>
        <v/>
      </c>
      <c r="WU33" s="59" t="str">
        <f t="shared" ca="1" si="88"/>
        <v/>
      </c>
      <c r="WV33" s="18" t="str">
        <f ca="1">IF(AND(SUM($UB33:$VY33)&gt;0,$TM33=WW$1),MAX(WV$2:WV32)+1,"")</f>
        <v/>
      </c>
      <c r="WW33" s="59" t="str">
        <f t="shared" ca="1" si="89"/>
        <v/>
      </c>
      <c r="WX33" s="18" t="str">
        <f ca="1">IF(AND(SUM($UB33:$VY33)&gt;0,$TM33=WY$1),MAX(WX$2:WX32)+1,"")</f>
        <v/>
      </c>
      <c r="WY33" s="59" t="str">
        <f t="shared" ca="1" si="90"/>
        <v/>
      </c>
      <c r="WZ33" s="18">
        <v>32</v>
      </c>
      <c r="XA33" s="59" t="str">
        <f t="shared" ca="1" si="91"/>
        <v/>
      </c>
      <c r="XB33" s="59" t="str">
        <f t="shared" ca="1" si="28"/>
        <v/>
      </c>
      <c r="XC33" s="59" t="str">
        <f t="shared" ca="1" si="29"/>
        <v/>
      </c>
      <c r="XD33" s="59" t="str">
        <f t="shared" ca="1" si="60"/>
        <v/>
      </c>
      <c r="XE33" s="59" t="str">
        <f t="shared" ca="1" si="61"/>
        <v/>
      </c>
      <c r="XF33" s="59" t="str">
        <f t="shared" ca="1" si="62"/>
        <v/>
      </c>
      <c r="XG33" s="59" t="str">
        <f t="shared" ca="1" si="63"/>
        <v/>
      </c>
      <c r="XH33" s="59" t="str">
        <f t="shared" ca="1" si="64"/>
        <v/>
      </c>
      <c r="XI33" s="59" t="str">
        <f t="shared" ca="1" si="65"/>
        <v/>
      </c>
      <c r="XJ33" s="59" t="str">
        <f t="shared" ca="1" si="66"/>
        <v/>
      </c>
      <c r="XK33" s="59" t="str">
        <f t="shared" ca="1" si="67"/>
        <v/>
      </c>
      <c r="XL33" s="18">
        <v>1</v>
      </c>
      <c r="XM33" s="59">
        <f>IF(XL33=1,MAX($XM$27:XM32)+1,"")</f>
        <v>6</v>
      </c>
      <c r="XN33" s="58" t="s">
        <v>746</v>
      </c>
      <c r="XO33" s="58" t="s">
        <v>3384</v>
      </c>
      <c r="XP33" s="18" t="s">
        <v>3070</v>
      </c>
      <c r="XQ33" s="18">
        <v>13</v>
      </c>
      <c r="XR33" s="18">
        <v>1</v>
      </c>
      <c r="XS33" s="59" t="s">
        <v>1746</v>
      </c>
      <c r="XT33" s="18">
        <v>5</v>
      </c>
      <c r="XU33" s="18">
        <v>16</v>
      </c>
      <c r="XV33" s="18">
        <v>8</v>
      </c>
      <c r="XW33" s="18">
        <v>2</v>
      </c>
      <c r="XX33" s="18">
        <v>14</v>
      </c>
      <c r="XY33" s="18">
        <v>6</v>
      </c>
      <c r="XZ33" s="59" t="s">
        <v>1744</v>
      </c>
      <c r="YA33" s="215" t="s">
        <v>2864</v>
      </c>
      <c r="YB33" s="59" t="s">
        <v>2872</v>
      </c>
      <c r="YC33" s="142" t="s">
        <v>3393</v>
      </c>
      <c r="YG33" s="58" t="s">
        <v>1766</v>
      </c>
      <c r="YH33" s="58" t="s">
        <v>187</v>
      </c>
      <c r="YI33" s="215" t="s">
        <v>3677</v>
      </c>
      <c r="YJ33" s="215" t="str">
        <f>"  - Increase your Intelligence score by 1, to a maximum of 20. 
  - You learn three languages of your choice. 
  - You can create written ciphers."&amp;" Others can’t decipher a code you create unless you teach them, they succeed on an
     Intelligence check DC "&amp;INT+ProfBonus&amp;", or they use magic to decipher it."</f>
        <v xml:space="preserve">  - Increase your Intelligence score by 1, to a maximum of 20. 
  - You learn three languages of your choice. 
  - You can create written ciphers. Others can’t decipher a code you create unless you teach them, they succeed on an
     Intelligence check DC 2, or they use magic to decipher it.</v>
      </c>
      <c r="YK33" s="215" t="s">
        <v>2349</v>
      </c>
      <c r="YL33" s="249">
        <v>3</v>
      </c>
      <c r="YM33" s="249" t="s">
        <v>3088</v>
      </c>
      <c r="YN33" s="249">
        <v>1</v>
      </c>
      <c r="YO33" s="249"/>
      <c r="YP33" s="249"/>
      <c r="YQ33" s="215"/>
      <c r="YR33" s="215"/>
      <c r="YS33" s="215"/>
      <c r="YT33" s="18" t="s">
        <v>308</v>
      </c>
      <c r="YU33" s="18">
        <v>16</v>
      </c>
      <c r="YV33" s="18" t="str">
        <f ca="1">VLOOKUP(YY33,$ZI$2:$ZP$23,$ZI$1,FALSE)</f>
        <v/>
      </c>
      <c r="YW33" s="18" t="str">
        <f ca="1">IF(YX33="","",MAX($YW$1:YW32)+1)</f>
        <v/>
      </c>
      <c r="YX33" s="59" t="str">
        <f t="shared" ca="1" si="71"/>
        <v/>
      </c>
      <c r="YY33" s="18" t="str">
        <f t="shared" ca="1" si="72"/>
        <v/>
      </c>
      <c r="ZR33"/>
    </row>
    <row r="34" spans="31:694" ht="9.9499999999999993" customHeight="1" x14ac:dyDescent="0.2">
      <c r="AE34" s="17"/>
      <c r="AO34" s="18">
        <f t="shared" si="119"/>
        <v>33</v>
      </c>
      <c r="AP34" s="59" t="str">
        <f t="shared" ref="AP34:AP63" si="138">HLOOKUP(CharacterBackground,$AQ$2:$BD$63,$AO34,FALSE)</f>
        <v/>
      </c>
      <c r="AQ34" s="59" t="str">
        <f>""</f>
        <v/>
      </c>
      <c r="AR34" s="254" t="s">
        <v>1072</v>
      </c>
      <c r="AS34" s="385" t="s">
        <v>2443</v>
      </c>
      <c r="AT34" s="254" t="s">
        <v>1098</v>
      </c>
      <c r="AU34" s="385" t="s">
        <v>2477</v>
      </c>
      <c r="AV34" s="255" t="s">
        <v>1138</v>
      </c>
      <c r="AW34" s="385" t="s">
        <v>2523</v>
      </c>
      <c r="AX34" s="385" t="s">
        <v>2556</v>
      </c>
      <c r="AY34" s="58" t="s">
        <v>1168</v>
      </c>
      <c r="AZ34" s="58" t="s">
        <v>2592</v>
      </c>
      <c r="BA34" s="254" t="s">
        <v>1035</v>
      </c>
      <c r="BB34" s="385" t="s">
        <v>2618</v>
      </c>
      <c r="BC34" s="58" t="s">
        <v>1194</v>
      </c>
      <c r="BD34" s="58" t="s">
        <v>2386</v>
      </c>
      <c r="BE34" s="18" t="str">
        <f>""</f>
        <v/>
      </c>
      <c r="BJ34" s="70"/>
      <c r="BK34" s="70"/>
      <c r="BL34" s="48"/>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48"/>
      <c r="CN34" s="48"/>
      <c r="CO34" s="48"/>
      <c r="CP34" s="48"/>
      <c r="CQ34" s="48"/>
      <c r="CR34" s="48"/>
      <c r="CS34" s="48"/>
      <c r="CT34" s="48"/>
      <c r="CU34" s="48"/>
      <c r="CV34" s="48"/>
      <c r="CW34" s="48"/>
      <c r="CX34" s="48"/>
      <c r="CY34" s="48"/>
      <c r="CZ34" s="48"/>
      <c r="DA34" s="48"/>
      <c r="DB34" s="48"/>
      <c r="DC34" s="48"/>
      <c r="DD34" s="48"/>
      <c r="DE34" s="48"/>
      <c r="DF34" s="48"/>
      <c r="DG34" s="104"/>
      <c r="DH34" s="104"/>
      <c r="DI34" s="104"/>
      <c r="DJ34" s="104"/>
      <c r="DK34" s="104"/>
      <c r="DL34" s="393" t="s">
        <v>2797</v>
      </c>
      <c r="DM34" s="391" t="s">
        <v>308</v>
      </c>
      <c r="DN34" s="391">
        <f t="shared" ca="1" si="121"/>
        <v>0</v>
      </c>
      <c r="DO34" s="392" t="str">
        <f>""</f>
        <v/>
      </c>
      <c r="DP34" s="393" t="str">
        <f>""</f>
        <v/>
      </c>
      <c r="DQ34" s="392" t="str">
        <f>"• Monastic Tradition Feature (Disciple of the Elements)
• Elemental Disciplines
"&amp;EI34&amp;"
"</f>
        <v xml:space="preserve">• Monastic Tradition Feature (Disciple of the Elements)
• Elemental Disciplines
</v>
      </c>
      <c r="DR34" s="393" t="str">
        <f>""</f>
        <v/>
      </c>
      <c r="DS34" s="393" t="str">
        <f>""</f>
        <v/>
      </c>
      <c r="DT34" s="393" t="str">
        <f>""</f>
        <v/>
      </c>
      <c r="DU34" s="393" t="str">
        <f>""</f>
        <v/>
      </c>
      <c r="DV34" s="393" t="str">
        <f>""</f>
        <v/>
      </c>
      <c r="DW34" s="393" t="str">
        <f>""</f>
        <v/>
      </c>
      <c r="DX34" s="393" t="str">
        <f>""</f>
        <v/>
      </c>
      <c r="DY34" s="393" t="str">
        <f>""</f>
        <v/>
      </c>
      <c r="DZ34" s="393" t="str">
        <f>""</f>
        <v/>
      </c>
      <c r="EA34" s="393" t="str">
        <f>""</f>
        <v/>
      </c>
      <c r="EB34" s="393" t="str">
        <f>""</f>
        <v/>
      </c>
      <c r="EC34" s="393" t="str">
        <f>""</f>
        <v/>
      </c>
      <c r="ED34" s="393" t="str">
        <f>""</f>
        <v/>
      </c>
      <c r="EE34" s="393" t="str">
        <f>""</f>
        <v/>
      </c>
      <c r="EF34" s="393" t="str">
        <f>""</f>
        <v/>
      </c>
      <c r="EG34" s="393" t="str">
        <f>""</f>
        <v/>
      </c>
      <c r="EH34" s="393" t="str">
        <f>""</f>
        <v/>
      </c>
      <c r="EI34" s="445" t="str">
        <f>IF(MonkLevel&gt;=17," 3rd "&amp;HB3&amp;"
 3rd "&amp;HB4&amp;"
 6th "&amp; HB5&amp;"
 11th "&amp;HB6&amp;"
 17th "&amp;HB7,IF(MonkLevel&gt;=11," 3rd "&amp;HB3&amp;"
 3rd "&amp;HB4&amp;"
 6th "&amp;HB5&amp;"
 11th "&amp;HB6,IF(MonkLevel&gt;=6," 3rd "&amp;HB3&amp;"
 3rd "&amp;HB4&amp;"
 6th "&amp;HB5,IF(MonkLevel&gt;=3," 3rd "&amp;HB3&amp;"
  3rd "&amp;HB4,""))))</f>
        <v/>
      </c>
      <c r="EJ34" s="445" t="str">
        <f>""</f>
        <v/>
      </c>
      <c r="EK34" s="445"/>
      <c r="EL34" s="445" t="str">
        <f>""</f>
        <v/>
      </c>
      <c r="EM34" s="445"/>
      <c r="EN34" s="445" t="str">
        <f>""</f>
        <v/>
      </c>
      <c r="EO34" s="445"/>
      <c r="EP34" s="445" t="str">
        <f>""</f>
        <v/>
      </c>
      <c r="EQ34" s="445"/>
      <c r="ER34" s="445" t="str">
        <f>""</f>
        <v/>
      </c>
      <c r="ES34" s="445"/>
      <c r="ET34" s="393" t="str">
        <f>""</f>
        <v/>
      </c>
      <c r="EU34" s="391" t="str">
        <f>""</f>
        <v/>
      </c>
      <c r="EV34" s="393" t="str">
        <f>""</f>
        <v/>
      </c>
      <c r="EW34" s="391" t="str">
        <f>""</f>
        <v/>
      </c>
      <c r="EX34" s="393" t="str">
        <f>""</f>
        <v/>
      </c>
      <c r="EY34" s="391" t="str">
        <f>""</f>
        <v/>
      </c>
      <c r="EZ34" s="18"/>
      <c r="FA34" s="18" t="str">
        <f>IF($DM34=FB$5,MAX(FA$6:FA33)+1,"")</f>
        <v/>
      </c>
      <c r="FB34" s="58" t="str">
        <f t="shared" si="122"/>
        <v/>
      </c>
      <c r="FC34" s="18"/>
      <c r="FE34" s="18" t="str">
        <f>IF($DM34=FF$5,MAX(FE$6:FE33)+1,"")</f>
        <v/>
      </c>
      <c r="FF34" s="58" t="str">
        <f t="shared" si="123"/>
        <v/>
      </c>
      <c r="FG34" s="18"/>
      <c r="FI34" s="18" t="str">
        <f>IF($DM34=FJ$5,MAX(FI$6:FI33)+1,"")</f>
        <v/>
      </c>
      <c r="FJ34" s="58" t="str">
        <f t="shared" si="124"/>
        <v/>
      </c>
      <c r="FK34" s="18"/>
      <c r="FX34" s="104"/>
      <c r="FY34" s="104"/>
      <c r="FZ34" s="104"/>
      <c r="GA34" s="104"/>
      <c r="GB34" s="104"/>
      <c r="GC34" s="104"/>
      <c r="GD34" s="104"/>
      <c r="GE34" s="104"/>
      <c r="GF34" s="104"/>
      <c r="GG34" s="104"/>
      <c r="GH34" s="104"/>
      <c r="GI34" s="104"/>
      <c r="GJ34" s="104"/>
      <c r="GQ34" s="59"/>
      <c r="GR34" s="59"/>
      <c r="GZ34" s="59"/>
      <c r="HA34" s="59"/>
      <c r="HB34" s="59"/>
      <c r="HC34" s="59"/>
      <c r="HD34" s="59"/>
      <c r="HE34" s="59"/>
      <c r="HF34" s="59"/>
      <c r="HG34" s="59"/>
      <c r="HH34" s="59"/>
      <c r="HI34" s="59"/>
      <c r="HJ34" s="59"/>
      <c r="HK34" s="59" t="s">
        <v>2922</v>
      </c>
      <c r="HL34" s="59" t="s">
        <v>2905</v>
      </c>
      <c r="HM34" s="59" t="s">
        <v>2936</v>
      </c>
      <c r="HN34" s="59"/>
      <c r="HO34" s="59"/>
      <c r="HP34" s="59"/>
      <c r="HQ34" s="59"/>
      <c r="HR34" s="59"/>
      <c r="HS34" s="59"/>
      <c r="HT34" s="59"/>
      <c r="HU34" s="59"/>
      <c r="HV34" s="59"/>
      <c r="HW34" s="59"/>
      <c r="HX34" s="59"/>
      <c r="HY34" s="59"/>
      <c r="HZ34" s="59"/>
      <c r="IA34" s="59"/>
      <c r="IC34" s="59"/>
      <c r="ID34" s="59"/>
      <c r="IE34" s="59"/>
      <c r="IF34" s="59"/>
      <c r="IG34" s="59"/>
      <c r="IH34" s="18" t="str">
        <f>IF(IJ34=1,MAX($IH$2:IH33)+1,"")</f>
        <v/>
      </c>
      <c r="II34" s="59" t="s">
        <v>3322</v>
      </c>
      <c r="IJ34" s="59" t="str">
        <f>IF(WarlockLevel&gt;=15,1,"")</f>
        <v/>
      </c>
      <c r="IK34" s="142" t="s">
        <v>3369</v>
      </c>
      <c r="IL34" s="18">
        <f t="shared" si="105"/>
        <v>32</v>
      </c>
      <c r="IM34" s="59" t="str">
        <f t="shared" si="77"/>
        <v/>
      </c>
      <c r="IN34" s="59"/>
      <c r="IO34" s="59"/>
      <c r="IP34" s="59"/>
      <c r="IQ34" s="59"/>
      <c r="IR34" s="59"/>
      <c r="IS34" s="59"/>
      <c r="IT34" s="59"/>
      <c r="IU34" s="59"/>
      <c r="IX34" s="59" t="s">
        <v>1500</v>
      </c>
      <c r="IY34" s="59" t="s">
        <v>960</v>
      </c>
      <c r="IZ34" s="59" t="s">
        <v>202</v>
      </c>
      <c r="JA34" s="59" t="s">
        <v>890</v>
      </c>
      <c r="JB34" s="59" t="s">
        <v>921</v>
      </c>
      <c r="JI34" s="60"/>
      <c r="JJ34" s="60"/>
      <c r="JM34" s="296">
        <v>2</v>
      </c>
      <c r="JN34" s="296">
        <v>3</v>
      </c>
      <c r="JO34" s="302" t="s">
        <v>140</v>
      </c>
      <c r="JP34" s="302" t="s">
        <v>140</v>
      </c>
      <c r="JQ34" s="302" t="s">
        <v>140</v>
      </c>
      <c r="JR34" s="302" t="s">
        <v>140</v>
      </c>
      <c r="JS34" s="302" t="s">
        <v>140</v>
      </c>
      <c r="JT34" s="302" t="s">
        <v>140</v>
      </c>
      <c r="JU34" s="302" t="s">
        <v>140</v>
      </c>
      <c r="JV34" s="302" t="s">
        <v>140</v>
      </c>
      <c r="JW34" s="98">
        <v>1</v>
      </c>
      <c r="JX34" s="302"/>
      <c r="JY34" s="302"/>
      <c r="KT34" s="276" t="s">
        <v>1538</v>
      </c>
      <c r="KU34" s="80" t="str">
        <f t="shared" si="128"/>
        <v>No</v>
      </c>
      <c r="KV34" s="89" t="s">
        <v>333</v>
      </c>
      <c r="KW34" s="270"/>
      <c r="KX34" s="270"/>
      <c r="KY34" s="270"/>
      <c r="KZ34" s="270"/>
      <c r="LA34" s="270"/>
      <c r="LB34" s="92"/>
      <c r="LC34" s="270"/>
      <c r="LD34" s="270"/>
      <c r="LE34" s="270"/>
      <c r="LF34" s="455"/>
      <c r="LG34" s="270"/>
      <c r="LH34" s="270"/>
      <c r="LI34" s="270"/>
      <c r="LJ34" s="270"/>
      <c r="LK34" s="270"/>
      <c r="LL34" s="406"/>
      <c r="LM34" s="455"/>
      <c r="LN34" s="270"/>
      <c r="LO34" s="270"/>
      <c r="LP34" s="270"/>
      <c r="LQ34" s="92"/>
      <c r="LR34" s="270"/>
      <c r="LS34" s="270"/>
      <c r="LT34" s="92"/>
      <c r="LU34" s="92"/>
      <c r="LV34" s="270"/>
      <c r="LW34" s="270"/>
      <c r="LX34" s="270"/>
      <c r="LY34" s="92"/>
      <c r="LZ34" s="92"/>
      <c r="MA34" s="92"/>
      <c r="MB34" s="92"/>
      <c r="MC34" s="92"/>
      <c r="MD34" s="92"/>
      <c r="ME34" s="92"/>
      <c r="MF34" s="92"/>
      <c r="MG34" s="92"/>
      <c r="MH34" s="92"/>
      <c r="MI34" s="92"/>
      <c r="MJ34" s="92"/>
      <c r="MK34" s="92"/>
      <c r="ML34" s="94"/>
      <c r="MM34" s="94"/>
      <c r="MN34" s="94"/>
      <c r="MO34" s="94"/>
      <c r="MP34" s="94"/>
      <c r="MQ34" s="94"/>
      <c r="MR34" s="94"/>
      <c r="MS34" s="94"/>
      <c r="MT34" s="94"/>
      <c r="MU34" s="94"/>
      <c r="MV34" s="94"/>
      <c r="MW34" s="94"/>
      <c r="MX34" s="94"/>
      <c r="MY34" s="94"/>
      <c r="MZ34" s="94"/>
      <c r="NA34" s="94"/>
      <c r="NB34" s="94"/>
      <c r="NC34" s="94"/>
      <c r="ND34" s="94"/>
      <c r="NE34" s="94"/>
      <c r="NF34" s="94"/>
      <c r="NG34" s="94"/>
      <c r="NH34" s="94"/>
      <c r="NI34" s="94"/>
      <c r="NJ34" s="94"/>
      <c r="NK34" s="94"/>
      <c r="NL34" s="94"/>
      <c r="NM34" s="94"/>
      <c r="NN34" s="94"/>
      <c r="NO34" s="94"/>
      <c r="NP34" s="438"/>
      <c r="NQ34" s="94"/>
      <c r="NR34" s="94"/>
      <c r="NS34" s="94"/>
      <c r="NT34" s="94"/>
      <c r="NU34" s="94"/>
      <c r="NV34" s="456"/>
      <c r="NW34" s="456"/>
      <c r="NX34" s="456"/>
      <c r="NY34" s="456"/>
      <c r="NZ34" s="456"/>
      <c r="OA34" s="94"/>
      <c r="OB34" s="94"/>
      <c r="OC34" s="94"/>
      <c r="OD34" s="94"/>
      <c r="OE34" s="94"/>
      <c r="OF34" s="94"/>
      <c r="OG34" s="94"/>
      <c r="OH34" s="94"/>
      <c r="OI34" s="94"/>
      <c r="OJ34" s="94"/>
      <c r="OK34" s="94"/>
      <c r="OL34" s="94"/>
      <c r="OM34" s="94"/>
      <c r="ON34" s="94"/>
      <c r="OO34" s="94"/>
      <c r="OP34" s="94"/>
      <c r="OQ34" s="94"/>
      <c r="OR34" s="94"/>
      <c r="OS34" s="94"/>
      <c r="OT34" s="94"/>
      <c r="OU34" s="94"/>
      <c r="OV34" s="94"/>
      <c r="OW34" s="94"/>
      <c r="OX34" s="94"/>
      <c r="OY34" s="94"/>
      <c r="OZ34" s="94"/>
      <c r="PA34" s="94"/>
      <c r="PB34" s="94"/>
      <c r="PC34" s="94"/>
      <c r="PD34" s="94"/>
      <c r="PE34" s="94"/>
      <c r="PF34" s="94"/>
      <c r="PG34" s="94"/>
      <c r="PH34" s="94"/>
      <c r="PI34" s="94"/>
      <c r="PJ34" s="94"/>
      <c r="PK34" s="94"/>
      <c r="PL34" s="94"/>
      <c r="PM34" s="94"/>
      <c r="PN34" s="94"/>
      <c r="PO34" s="94"/>
      <c r="PP34" s="94"/>
      <c r="PQ34" s="94"/>
      <c r="PR34" s="94"/>
      <c r="PS34" s="94" t="str">
        <f>IF(COUNTIF(Start!$AX$59:$BF$68,Tables!KT34)&gt;0,Tables!KT34,"")</f>
        <v/>
      </c>
      <c r="PT34" s="94"/>
      <c r="PU34" s="59" t="str">
        <f t="shared" si="129"/>
        <v/>
      </c>
      <c r="PV34" s="59" t="str">
        <f>IF(PU34="","",IF(COUNTIF(PU34:$PU$57,"&gt;&lt;")&gt;1,PU34&amp;", ", PU34))</f>
        <v/>
      </c>
      <c r="PW34" s="59"/>
      <c r="PX34" s="59"/>
      <c r="PZ34" s="28" t="s">
        <v>165</v>
      </c>
      <c r="QA34" s="28" t="s">
        <v>168</v>
      </c>
      <c r="QB34" s="30" t="str">
        <f t="shared" ca="1" si="79"/>
        <v>not proficient</v>
      </c>
      <c r="QC34" s="31" t="s">
        <v>104</v>
      </c>
      <c r="QD34" s="28" t="s">
        <v>106</v>
      </c>
      <c r="QE34" s="29" t="s">
        <v>170</v>
      </c>
      <c r="QF34" s="29">
        <v>2</v>
      </c>
      <c r="QG34" s="29" t="s">
        <v>135</v>
      </c>
      <c r="QH34" s="29" t="str">
        <f>""</f>
        <v/>
      </c>
      <c r="QI34" s="29" t="str">
        <f>""</f>
        <v/>
      </c>
      <c r="QJ34" s="29" t="str">
        <f>""</f>
        <v/>
      </c>
      <c r="QK34" s="29" t="str">
        <f>""</f>
        <v/>
      </c>
      <c r="QL34" s="29" t="str">
        <f>""</f>
        <v/>
      </c>
      <c r="QM34" s="29" t="str">
        <f>""</f>
        <v/>
      </c>
      <c r="QN34" s="29" t="str">
        <f>""</f>
        <v/>
      </c>
      <c r="QO34" s="29" t="s">
        <v>147</v>
      </c>
      <c r="QP34" s="29" t="str">
        <f>""</f>
        <v/>
      </c>
      <c r="QQ34" s="30" t="str">
        <f>""</f>
        <v/>
      </c>
      <c r="QR34" s="30" t="s">
        <v>778</v>
      </c>
      <c r="SR34" s="28"/>
      <c r="SS34" s="28"/>
      <c r="ST34" s="28"/>
      <c r="SU34" s="69"/>
      <c r="SV34" s="42"/>
      <c r="SW34" s="232"/>
      <c r="SX34" s="46"/>
      <c r="SY34" s="30"/>
      <c r="SZ34" s="29"/>
      <c r="TA34" s="28"/>
      <c r="TB34" s="28"/>
      <c r="TC34" s="28"/>
      <c r="TD34" s="42"/>
      <c r="TE34" s="29"/>
      <c r="TF34" s="69"/>
      <c r="TG34" s="29"/>
      <c r="TH34" s="30"/>
      <c r="TI34" s="30"/>
      <c r="TJ34" s="18">
        <f t="shared" si="115"/>
        <v>32</v>
      </c>
      <c r="TK34" s="58" t="s">
        <v>532</v>
      </c>
      <c r="TL34" s="58" t="s">
        <v>463</v>
      </c>
      <c r="TM34" s="18">
        <v>6</v>
      </c>
      <c r="TN34" s="59" t="str">
        <f t="shared" si="137"/>
        <v xml:space="preserve">Blade Barrier </v>
      </c>
      <c r="TO34" s="18" t="str">
        <f>""</f>
        <v/>
      </c>
      <c r="TP34" s="18" t="str">
        <f t="shared" si="48"/>
        <v/>
      </c>
      <c r="TQ34" s="18" t="str">
        <f>IF(OR(TK34=Spellcasting!$AC$18,TK34=Spellcasting!$AC$19),"ᵐ","")</f>
        <v/>
      </c>
      <c r="TR34" s="18" t="str">
        <f>IF(OR(TK34=Spellcasting!$AC$20,TK34=Spellcasting!$AC$21),"ˢ","")</f>
        <v/>
      </c>
      <c r="TS34" s="18" t="str">
        <f>""</f>
        <v/>
      </c>
      <c r="TT34" s="18" t="s">
        <v>484</v>
      </c>
      <c r="TU34" s="18" t="s">
        <v>864</v>
      </c>
      <c r="TV34" s="18" t="s">
        <v>515</v>
      </c>
      <c r="TW34" s="18" t="s">
        <v>486</v>
      </c>
      <c r="TX34" s="59" t="str">
        <f>""</f>
        <v/>
      </c>
      <c r="TY34" s="18" t="s">
        <v>534</v>
      </c>
      <c r="TZ34" s="18" t="s">
        <v>535</v>
      </c>
      <c r="UA34" s="142" t="s">
        <v>1313</v>
      </c>
      <c r="UB34" s="319" t="s">
        <v>3244</v>
      </c>
      <c r="UH34" s="18" t="str">
        <f ca="1">IF(UH$1&gt;=$TM34,1,"0")</f>
        <v>0</v>
      </c>
      <c r="WD34" s="18" t="str">
        <f ca="1">IF(SUM($VZ$1:$WC$1)&gt;0,IF(AND(SUM($VZ34:$WC34)&gt;0,$TM34=WE$1),MAX(WD$2:WD33)+1,""),IF(AND(SUM($UC34:$VY34)&gt;0,$TM34=WE$1),MAX(WD$2:WD33)+1,""))</f>
        <v/>
      </c>
      <c r="WE34" s="59" t="str">
        <f t="shared" ca="1" si="80"/>
        <v/>
      </c>
      <c r="WF34" s="18" t="str">
        <f ca="1">IF(AND(SUM($UB34:$VY34)&gt;0,$TM34=WG$1),MAX(WF$2:WF33)+1,"")</f>
        <v/>
      </c>
      <c r="WG34" s="59" t="str">
        <f t="shared" ca="1" si="81"/>
        <v/>
      </c>
      <c r="WH34" s="18" t="str">
        <f ca="1">IF(AND(SUM($UB34:$VY34)&gt;0,$TM34=WI$1),MAX(WH$2:WH33)+1,"")</f>
        <v/>
      </c>
      <c r="WI34" s="59" t="str">
        <f t="shared" ca="1" si="82"/>
        <v/>
      </c>
      <c r="WJ34" s="18" t="str">
        <f ca="1">IF(AND(SUM($UB34:$VY34)&gt;0,$TM34=WK$1),MAX(WJ$2:WJ33)+1,"")</f>
        <v/>
      </c>
      <c r="WK34" s="59" t="str">
        <f t="shared" ca="1" si="83"/>
        <v/>
      </c>
      <c r="WL34" s="18" t="str">
        <f ca="1">IF(AND(SUM($UB34:$VY34)&gt;0,$TM34=WM$1),MAX(WL$2:WL33)+1,"")</f>
        <v/>
      </c>
      <c r="WM34" s="59" t="str">
        <f t="shared" ca="1" si="84"/>
        <v/>
      </c>
      <c r="WN34" s="18" t="str">
        <f ca="1">IF(AND(SUM($UB34:$VY34)&gt;0,$TM34=WO$1),MAX(WN$2:WN33)+1,"")</f>
        <v/>
      </c>
      <c r="WO34" s="59" t="str">
        <f t="shared" ca="1" si="85"/>
        <v/>
      </c>
      <c r="WP34" s="18" t="str">
        <f ca="1">IF(AND(SUM($UB34:$VY34)&gt;0,$TM34=WQ$1),MAX(WP$2:WP33)+1,"")</f>
        <v/>
      </c>
      <c r="WQ34" s="59" t="str">
        <f t="shared" ca="1" si="86"/>
        <v/>
      </c>
      <c r="WR34" s="18" t="str">
        <f ca="1">IF(AND(SUM($UB34:$VY34)&gt;0,$TM34=WS$1),MAX(WR$2:WR33)+1,"")</f>
        <v/>
      </c>
      <c r="WS34" s="59" t="str">
        <f t="shared" ca="1" si="87"/>
        <v/>
      </c>
      <c r="WT34" s="18" t="str">
        <f ca="1">IF(AND(SUM($UB34:$VY34)&gt;0,$TM34=WU$1),MAX(WT$2:WT33)+1,"")</f>
        <v/>
      </c>
      <c r="WU34" s="59" t="str">
        <f t="shared" ca="1" si="88"/>
        <v/>
      </c>
      <c r="WV34" s="18" t="str">
        <f ca="1">IF(AND(SUM($UB34:$VY34)&gt;0,$TM34=WW$1),MAX(WV$2:WV33)+1,"")</f>
        <v/>
      </c>
      <c r="WW34" s="59" t="str">
        <f t="shared" ca="1" si="89"/>
        <v/>
      </c>
      <c r="WX34" s="18" t="str">
        <f ca="1">IF(AND(SUM($UB34:$VY34)&gt;0,$TM34=WY$1),MAX(WX$2:WX33)+1,"")</f>
        <v/>
      </c>
      <c r="WY34" s="59" t="str">
        <f t="shared" ca="1" si="90"/>
        <v/>
      </c>
      <c r="WZ34" s="18">
        <v>33</v>
      </c>
      <c r="XA34" s="59" t="str">
        <f t="shared" ca="1" si="91"/>
        <v/>
      </c>
      <c r="XB34" s="59" t="str">
        <f t="shared" ref="XB34:XB51" ca="1" si="139">IF(ISERROR(VLOOKUP($WZ34,$WF$1:$WG$5013,2,FALSE)),"",VLOOKUP($WZ34,$WF$1:$WG$5013,2,FALSE))</f>
        <v/>
      </c>
      <c r="XC34" s="59" t="str">
        <f t="shared" ref="XC34:XC70" ca="1" si="140">IF(ISERROR(VLOOKUP($WZ34,$WH$1:$WI$5013,2,FALSE)),"",VLOOKUP($WZ34,$WH$1:$WI$5013,2,FALSE))</f>
        <v/>
      </c>
      <c r="XD34" s="59" t="str">
        <f t="shared" ca="1" si="60"/>
        <v/>
      </c>
      <c r="XE34" s="59" t="str">
        <f t="shared" ca="1" si="61"/>
        <v/>
      </c>
      <c r="XF34" s="59" t="str">
        <f t="shared" ca="1" si="62"/>
        <v/>
      </c>
      <c r="XG34" s="59" t="str">
        <f t="shared" ca="1" si="63"/>
        <v/>
      </c>
      <c r="XH34" s="59" t="str">
        <f t="shared" ca="1" si="64"/>
        <v/>
      </c>
      <c r="XI34" s="59" t="str">
        <f t="shared" ca="1" si="65"/>
        <v/>
      </c>
      <c r="XJ34" s="59" t="str">
        <f t="shared" ca="1" si="66"/>
        <v/>
      </c>
      <c r="XK34" s="59" t="str">
        <f t="shared" ca="1" si="67"/>
        <v/>
      </c>
      <c r="XL34" s="18" t="str">
        <f>IF(Start!$AJ$54=Tables!$IS$4,1,"")</f>
        <v/>
      </c>
      <c r="XM34" s="59" t="str">
        <f>IF(XL34=1,MAX($XM$27:XM33)+1,"")</f>
        <v/>
      </c>
      <c r="XN34" s="58" t="s">
        <v>3373</v>
      </c>
      <c r="XO34" s="58" t="s">
        <v>3069</v>
      </c>
      <c r="XP34" s="18" t="s">
        <v>3070</v>
      </c>
      <c r="XQ34" s="18">
        <v>13</v>
      </c>
      <c r="XR34" s="58">
        <v>10</v>
      </c>
      <c r="XS34" s="58" t="s">
        <v>3374</v>
      </c>
      <c r="XT34" s="18">
        <v>6</v>
      </c>
      <c r="XU34" s="18">
        <v>17</v>
      </c>
      <c r="XV34" s="18">
        <v>13</v>
      </c>
      <c r="XW34" s="18">
        <v>11</v>
      </c>
      <c r="XX34" s="18">
        <v>12</v>
      </c>
      <c r="XY34" s="18">
        <v>14</v>
      </c>
      <c r="XZ34" s="215" t="s">
        <v>3375</v>
      </c>
      <c r="YA34" s="142" t="s">
        <v>3408</v>
      </c>
      <c r="YB34" s="215" t="s">
        <v>3383</v>
      </c>
      <c r="YC34" s="142" t="s">
        <v>3392</v>
      </c>
      <c r="YG34" s="58" t="s">
        <v>760</v>
      </c>
      <c r="YH34" s="58" t="s">
        <v>187</v>
      </c>
      <c r="YI34" s="215" t="s">
        <v>1776</v>
      </c>
      <c r="YJ34" s="215" t="s">
        <v>3446</v>
      </c>
      <c r="YK34" s="215" t="str">
        <f>""</f>
        <v/>
      </c>
      <c r="YL34" s="249" t="str">
        <f>""</f>
        <v/>
      </c>
      <c r="YM34" s="249" t="str">
        <f>""</f>
        <v/>
      </c>
      <c r="YN34" s="249" t="str">
        <f>""</f>
        <v/>
      </c>
      <c r="YO34" s="249"/>
      <c r="YP34" s="249"/>
      <c r="YQ34" s="215"/>
      <c r="YR34" s="215"/>
      <c r="YS34" s="215"/>
      <c r="YT34" s="18" t="s">
        <v>308</v>
      </c>
      <c r="YU34" s="18">
        <v>19</v>
      </c>
      <c r="YV34" s="18" t="str">
        <f ca="1">VLOOKUP(YY34,$ZI$2:$ZP$23,$ZI$1,FALSE)</f>
        <v/>
      </c>
      <c r="YW34" s="18" t="str">
        <f ca="1">IF(YX34="","",MAX($YW$1:YW33)+1)</f>
        <v/>
      </c>
      <c r="YX34" s="59" t="str">
        <f t="shared" ca="1" si="71"/>
        <v/>
      </c>
      <c r="YY34" s="18" t="str">
        <f t="shared" ca="1" si="72"/>
        <v/>
      </c>
      <c r="ZR34"/>
    </row>
    <row r="35" spans="31:694" ht="9.9499999999999993" customHeight="1" x14ac:dyDescent="0.2">
      <c r="AE35" s="17"/>
      <c r="AO35" s="18">
        <f t="shared" si="119"/>
        <v>34</v>
      </c>
      <c r="AP35" s="59" t="str">
        <f t="shared" si="138"/>
        <v/>
      </c>
      <c r="AQ35" s="59" t="str">
        <f>""</f>
        <v/>
      </c>
      <c r="AR35" s="254" t="s">
        <v>1073</v>
      </c>
      <c r="AS35" s="385" t="s">
        <v>2444</v>
      </c>
      <c r="AT35" s="254" t="s">
        <v>1099</v>
      </c>
      <c r="AU35" s="385" t="s">
        <v>2478</v>
      </c>
      <c r="AV35" s="255" t="s">
        <v>1146</v>
      </c>
      <c r="AW35" s="385" t="s">
        <v>2524</v>
      </c>
      <c r="AX35" s="385" t="s">
        <v>2557</v>
      </c>
      <c r="AY35" s="58" t="s">
        <v>1169</v>
      </c>
      <c r="AZ35" s="58" t="s">
        <v>2593</v>
      </c>
      <c r="BA35" s="254" t="s">
        <v>1036</v>
      </c>
      <c r="BB35" s="385" t="s">
        <v>2619</v>
      </c>
      <c r="BC35" s="58" t="s">
        <v>1195</v>
      </c>
      <c r="BD35" s="215" t="s">
        <v>2387</v>
      </c>
      <c r="BE35" s="18" t="str">
        <f>""</f>
        <v/>
      </c>
      <c r="BJ35" s="70"/>
      <c r="BK35" s="70"/>
      <c r="BL35" s="48"/>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48"/>
      <c r="CN35" s="48"/>
      <c r="CO35" s="48"/>
      <c r="CP35" s="48"/>
      <c r="CQ35" s="48"/>
      <c r="CR35" s="48"/>
      <c r="CS35" s="48"/>
      <c r="CT35" s="48"/>
      <c r="CU35" s="48"/>
      <c r="CV35" s="48"/>
      <c r="CW35" s="48"/>
      <c r="CX35" s="48"/>
      <c r="CY35" s="48"/>
      <c r="CZ35" s="48"/>
      <c r="DA35" s="48"/>
      <c r="DB35" s="48"/>
      <c r="DC35" s="48"/>
      <c r="DD35" s="48"/>
      <c r="DE35" s="48"/>
      <c r="DF35" s="48"/>
      <c r="DG35" s="104"/>
      <c r="DH35" s="104"/>
      <c r="DI35" s="104"/>
      <c r="DJ35" s="104"/>
      <c r="DK35" s="104"/>
      <c r="DL35" s="393" t="s">
        <v>2798</v>
      </c>
      <c r="DM35" s="391" t="s">
        <v>308</v>
      </c>
      <c r="DN35" s="391">
        <f t="shared" ca="1" si="121"/>
        <v>0</v>
      </c>
      <c r="DO35" s="392" t="str">
        <f>""</f>
        <v/>
      </c>
      <c r="DP35" s="393" t="str">
        <f>""</f>
        <v/>
      </c>
      <c r="DQ35" s="392" t="str">
        <f>"• Monastic Tradition Feature (Open Hand Technique)
"</f>
        <v xml:space="preserve">• Monastic Tradition Feature (Open Hand Technique)
</v>
      </c>
      <c r="DR35" s="393" t="str">
        <f>""</f>
        <v/>
      </c>
      <c r="DS35" s="393" t="str">
        <f>""</f>
        <v/>
      </c>
      <c r="DT35" s="393" t="str">
        <f>"• Monastic Tradition Feature (Wholeness of Body: "&amp;MonkLevel*3&amp;" HP)
"</f>
        <v xml:space="preserve">• Monastic Tradition Feature (Wholeness of Body: 0 HP)
</v>
      </c>
      <c r="DU35" s="393" t="str">
        <f>""</f>
        <v/>
      </c>
      <c r="DV35" s="393" t="str">
        <f>""</f>
        <v/>
      </c>
      <c r="DW35" s="393" t="str">
        <f>""</f>
        <v/>
      </c>
      <c r="DX35" s="393" t="str">
        <f>""</f>
        <v/>
      </c>
      <c r="DY35" s="393" t="str">
        <f>"• Monastic Tradition Feature (Tranquility)
"</f>
        <v xml:space="preserve">• Monastic Tradition Feature (Tranquility)
</v>
      </c>
      <c r="DZ35" s="393" t="str">
        <f>""</f>
        <v/>
      </c>
      <c r="EA35" s="393" t="str">
        <f>""</f>
        <v/>
      </c>
      <c r="EB35" s="393" t="str">
        <f>""</f>
        <v/>
      </c>
      <c r="EC35" s="393" t="str">
        <f>""</f>
        <v/>
      </c>
      <c r="ED35" s="393" t="str">
        <f>""</f>
        <v/>
      </c>
      <c r="EE35" s="393" t="str">
        <f>"• Monastic Tradition Feature (Quivering Palm: "&amp;MonkLevel&amp;" days)
"</f>
        <v xml:space="preserve">• Monastic Tradition Feature (Quivering Palm: 0 days)
</v>
      </c>
      <c r="EF35" s="393" t="str">
        <f>""</f>
        <v/>
      </c>
      <c r="EG35" s="393" t="str">
        <f>""</f>
        <v/>
      </c>
      <c r="EH35" s="393" t="str">
        <f>""</f>
        <v/>
      </c>
      <c r="EI35" s="445" t="str">
        <f>""</f>
        <v/>
      </c>
      <c r="EJ35" s="445" t="str">
        <f>""</f>
        <v/>
      </c>
      <c r="EK35" s="445"/>
      <c r="EL35" s="445" t="str">
        <f>""</f>
        <v/>
      </c>
      <c r="EM35" s="445"/>
      <c r="EN35" s="445" t="str">
        <f>""</f>
        <v/>
      </c>
      <c r="EO35" s="445"/>
      <c r="EP35" s="445" t="str">
        <f>""</f>
        <v/>
      </c>
      <c r="EQ35" s="445"/>
      <c r="ER35" s="445" t="str">
        <f>""</f>
        <v/>
      </c>
      <c r="ES35" s="445"/>
      <c r="ET35" s="393" t="str">
        <f>""</f>
        <v/>
      </c>
      <c r="EU35" s="391" t="str">
        <f>""</f>
        <v/>
      </c>
      <c r="EV35" s="393" t="str">
        <f>""</f>
        <v/>
      </c>
      <c r="EW35" s="391" t="str">
        <f>""</f>
        <v/>
      </c>
      <c r="EX35" s="393" t="str">
        <f>""</f>
        <v/>
      </c>
      <c r="EY35" s="391" t="str">
        <f>""</f>
        <v/>
      </c>
      <c r="EZ35" s="18"/>
      <c r="FA35" s="18" t="str">
        <f>IF($DM35=FB$5,MAX(FA$6:FA34)+1,"")</f>
        <v/>
      </c>
      <c r="FB35" s="58" t="str">
        <f t="shared" si="122"/>
        <v/>
      </c>
      <c r="FE35" s="18" t="str">
        <f>IF($DM35=FF$5,MAX(FE$6:FE34)+1,"")</f>
        <v/>
      </c>
      <c r="FF35" s="58" t="str">
        <f t="shared" si="123"/>
        <v/>
      </c>
      <c r="FI35" s="18" t="str">
        <f>IF($DM35=FJ$5,MAX(FI$6:FI34)+1,"")</f>
        <v/>
      </c>
      <c r="FJ35" s="58" t="str">
        <f t="shared" si="124"/>
        <v/>
      </c>
      <c r="FX35" s="104"/>
      <c r="FY35" s="104"/>
      <c r="FZ35" s="104"/>
      <c r="GA35" s="104"/>
      <c r="GB35" s="104"/>
      <c r="GC35" s="104"/>
      <c r="GD35" s="104"/>
      <c r="GE35" s="104"/>
      <c r="GF35" s="104"/>
      <c r="GG35" s="104"/>
      <c r="GH35" s="104"/>
      <c r="GI35" s="104"/>
      <c r="GJ35" s="104"/>
      <c r="GQ35" s="59"/>
      <c r="GR35" s="59"/>
      <c r="GZ35" s="59"/>
      <c r="HA35" s="59"/>
      <c r="HB35" s="59"/>
      <c r="HC35" s="59"/>
      <c r="HD35" s="59"/>
      <c r="HE35" s="59"/>
      <c r="HF35" s="59"/>
      <c r="HG35" s="59"/>
      <c r="HH35" s="59"/>
      <c r="HI35" s="59"/>
      <c r="HJ35" s="59"/>
      <c r="HK35" s="59" t="s">
        <v>2923</v>
      </c>
      <c r="HL35" s="59" t="s">
        <v>2905</v>
      </c>
      <c r="HM35" s="59" t="s">
        <v>2937</v>
      </c>
      <c r="HN35" s="59"/>
      <c r="HO35" s="59"/>
      <c r="HP35" s="59"/>
      <c r="HQ35" s="59"/>
      <c r="HR35" s="59"/>
      <c r="HS35" s="59"/>
      <c r="HT35" s="59"/>
      <c r="HU35" s="59"/>
      <c r="HV35" s="59"/>
      <c r="HW35" s="59"/>
      <c r="HX35" s="59"/>
      <c r="HY35" s="59"/>
      <c r="HZ35" s="59"/>
      <c r="IA35" s="59"/>
      <c r="IC35" s="59"/>
      <c r="ID35" s="59"/>
      <c r="IE35" s="59"/>
      <c r="IF35" s="59"/>
      <c r="IG35" s="59"/>
      <c r="IH35" s="59" t="str">
        <f>IF(IJ35=TRUE,MAX($IH$2:IH34)+1,"")</f>
        <v/>
      </c>
      <c r="II35" s="59"/>
      <c r="IJ35" s="59"/>
      <c r="IK35" s="59"/>
      <c r="IL35" s="59"/>
      <c r="IM35" s="59"/>
      <c r="IN35" s="59"/>
      <c r="IO35" s="59"/>
      <c r="IP35" s="59"/>
      <c r="IQ35" s="59"/>
      <c r="IR35" s="59"/>
      <c r="IS35" s="59"/>
      <c r="IT35" s="59"/>
      <c r="IU35" s="59"/>
      <c r="IX35" s="59" t="s">
        <v>1501</v>
      </c>
      <c r="IY35" s="59" t="s">
        <v>961</v>
      </c>
      <c r="IZ35" s="59" t="s">
        <v>202</v>
      </c>
      <c r="JA35" s="59" t="s">
        <v>922</v>
      </c>
      <c r="JB35" s="59" t="s">
        <v>923</v>
      </c>
      <c r="JI35" s="60"/>
      <c r="JJ35" s="60"/>
      <c r="JM35" s="296">
        <v>3</v>
      </c>
      <c r="JN35" s="296">
        <v>4</v>
      </c>
      <c r="JO35" s="296">
        <v>2</v>
      </c>
      <c r="JP35" s="302" t="s">
        <v>140</v>
      </c>
      <c r="JQ35" s="302" t="s">
        <v>140</v>
      </c>
      <c r="JR35" s="302" t="s">
        <v>140</v>
      </c>
      <c r="JS35" s="302" t="s">
        <v>140</v>
      </c>
      <c r="JT35" s="302" t="s">
        <v>140</v>
      </c>
      <c r="JU35" s="302" t="s">
        <v>140</v>
      </c>
      <c r="JV35" s="302" t="s">
        <v>140</v>
      </c>
      <c r="JW35" s="98">
        <v>2</v>
      </c>
      <c r="JX35" s="302"/>
      <c r="JY35" s="302"/>
      <c r="KT35" s="93" t="s">
        <v>1539</v>
      </c>
      <c r="KU35" s="80" t="str">
        <f t="shared" si="128"/>
        <v>No</v>
      </c>
      <c r="KV35" s="89" t="s">
        <v>333</v>
      </c>
      <c r="KW35" s="270"/>
      <c r="KX35" s="270"/>
      <c r="KY35" s="270"/>
      <c r="KZ35" s="270"/>
      <c r="LA35" s="270"/>
      <c r="LB35" s="92"/>
      <c r="LC35" s="270"/>
      <c r="LD35" s="270"/>
      <c r="LE35" s="270"/>
      <c r="LF35" s="455"/>
      <c r="LG35" s="270"/>
      <c r="LH35" s="270"/>
      <c r="LI35" s="270"/>
      <c r="LJ35" s="270"/>
      <c r="LK35" s="270"/>
      <c r="LL35" s="406"/>
      <c r="LM35" s="455"/>
      <c r="LN35" s="270"/>
      <c r="LO35" s="270"/>
      <c r="LP35" s="270"/>
      <c r="LQ35" s="92"/>
      <c r="LR35" s="270"/>
      <c r="LS35" s="270"/>
      <c r="LT35" s="92"/>
      <c r="LU35" s="92"/>
      <c r="LV35" s="270"/>
      <c r="LW35" s="270"/>
      <c r="LX35" s="270"/>
      <c r="LY35" s="92"/>
      <c r="LZ35" s="92"/>
      <c r="MA35" s="92"/>
      <c r="MB35" s="92"/>
      <c r="MC35" s="92"/>
      <c r="MD35" s="92"/>
      <c r="ME35" s="92"/>
      <c r="MF35" s="92"/>
      <c r="MG35" s="92"/>
      <c r="MH35" s="92"/>
      <c r="MI35" s="92"/>
      <c r="MJ35" s="92"/>
      <c r="MK35" s="92"/>
      <c r="ML35" s="94"/>
      <c r="MM35" s="94"/>
      <c r="MN35" s="94"/>
      <c r="MO35" s="94"/>
      <c r="MP35" s="94"/>
      <c r="MQ35" s="94"/>
      <c r="MR35" s="94"/>
      <c r="MS35" s="94"/>
      <c r="MT35" s="94"/>
      <c r="MU35" s="94"/>
      <c r="MV35" s="94"/>
      <c r="MW35" s="94"/>
      <c r="MX35" s="94"/>
      <c r="MY35" s="94"/>
      <c r="MZ35" s="94"/>
      <c r="NA35" s="94"/>
      <c r="NB35" s="94"/>
      <c r="NC35" s="94"/>
      <c r="ND35" s="94"/>
      <c r="NE35" s="94"/>
      <c r="NF35" s="94"/>
      <c r="NG35" s="94"/>
      <c r="NH35" s="94"/>
      <c r="NI35" s="94"/>
      <c r="NJ35" s="94"/>
      <c r="NK35" s="94"/>
      <c r="NL35" s="94"/>
      <c r="NM35" s="94"/>
      <c r="NN35" s="94"/>
      <c r="NO35" s="94"/>
      <c r="NP35" s="438"/>
      <c r="NQ35" s="94"/>
      <c r="NR35" s="94"/>
      <c r="NS35" s="94"/>
      <c r="NT35" s="94"/>
      <c r="NU35" s="94"/>
      <c r="NV35" s="456"/>
      <c r="NW35" s="456"/>
      <c r="NX35" s="456"/>
      <c r="NY35" s="456"/>
      <c r="NZ35" s="456"/>
      <c r="OA35" s="94"/>
      <c r="OB35" s="94"/>
      <c r="OC35" s="94"/>
      <c r="OD35" s="94"/>
      <c r="OE35" s="94"/>
      <c r="OF35" s="94"/>
      <c r="OG35" s="94"/>
      <c r="OH35" s="94"/>
      <c r="OI35" s="94"/>
      <c r="OJ35" s="94"/>
      <c r="OK35" s="94"/>
      <c r="OL35" s="94"/>
      <c r="OM35" s="94"/>
      <c r="ON35" s="94"/>
      <c r="OO35" s="94"/>
      <c r="OP35" s="94"/>
      <c r="OQ35" s="94"/>
      <c r="OR35" s="94"/>
      <c r="OS35" s="94"/>
      <c r="OT35" s="94"/>
      <c r="OU35" s="94"/>
      <c r="OV35" s="94"/>
      <c r="OW35" s="94"/>
      <c r="OX35" s="94"/>
      <c r="OY35" s="94"/>
      <c r="OZ35" s="94"/>
      <c r="PA35" s="94"/>
      <c r="PB35" s="94"/>
      <c r="PC35" s="94"/>
      <c r="PD35" s="94"/>
      <c r="PE35" s="94"/>
      <c r="PF35" s="94"/>
      <c r="PG35" s="94"/>
      <c r="PH35" s="94"/>
      <c r="PI35" s="94"/>
      <c r="PJ35" s="94"/>
      <c r="PK35" s="94"/>
      <c r="PL35" s="94"/>
      <c r="PM35" s="94"/>
      <c r="PN35" s="94"/>
      <c r="PO35" s="94"/>
      <c r="PP35" s="94"/>
      <c r="PQ35" s="94"/>
      <c r="PR35" s="94"/>
      <c r="PS35" s="94" t="str">
        <f>IF(COUNTIF(Start!$AX$59:$BF$68,Tables!KT35)&gt;0,Tables!KT35,"")</f>
        <v/>
      </c>
      <c r="PT35" s="94"/>
      <c r="PU35" s="59" t="str">
        <f t="shared" si="129"/>
        <v/>
      </c>
      <c r="PV35" s="59" t="str">
        <f>IF(PU35="","",IF(COUNTIF(PU35:$PU$57,"&gt;&lt;")&gt;1,PU35&amp;", ", PU35))</f>
        <v/>
      </c>
      <c r="PW35" s="59"/>
      <c r="PX35" s="59"/>
      <c r="PZ35" s="19" t="s">
        <v>160</v>
      </c>
      <c r="QA35" s="19" t="s">
        <v>167</v>
      </c>
      <c r="QB35" s="27" t="str">
        <f t="shared" ca="1" si="79"/>
        <v>not proficient</v>
      </c>
      <c r="QC35" s="67" t="s">
        <v>133</v>
      </c>
      <c r="QD35" s="19" t="s">
        <v>134</v>
      </c>
      <c r="QE35" s="26" t="s">
        <v>140</v>
      </c>
      <c r="QF35" s="26">
        <v>2</v>
      </c>
      <c r="QG35" s="26" t="str">
        <f>""</f>
        <v/>
      </c>
      <c r="QH35" s="26" t="str">
        <f>""</f>
        <v/>
      </c>
      <c r="QI35" s="26" t="str">
        <f>""</f>
        <v/>
      </c>
      <c r="QJ35" s="26" t="s">
        <v>138</v>
      </c>
      <c r="QK35" s="26" t="str">
        <f>""</f>
        <v/>
      </c>
      <c r="QL35" s="26" t="str">
        <f>""</f>
        <v/>
      </c>
      <c r="QM35" s="26" t="str">
        <f>""</f>
        <v/>
      </c>
      <c r="QN35" s="26" t="str">
        <f>""</f>
        <v/>
      </c>
      <c r="QO35" s="26" t="str">
        <f>""</f>
        <v/>
      </c>
      <c r="QP35" s="26" t="str">
        <f>""</f>
        <v/>
      </c>
      <c r="QQ35" s="27" t="str">
        <f>""</f>
        <v/>
      </c>
      <c r="QR35" s="27" t="str">
        <f>""</f>
        <v/>
      </c>
      <c r="SR35" s="19"/>
      <c r="SS35" s="19"/>
      <c r="ST35" s="19"/>
      <c r="SU35" s="26"/>
      <c r="SV35" s="44"/>
      <c r="SW35" s="68"/>
      <c r="SX35" s="26"/>
      <c r="SY35" s="27"/>
      <c r="SZ35" s="26"/>
      <c r="TA35" s="19"/>
      <c r="TB35" s="19"/>
      <c r="TC35" s="19"/>
      <c r="TD35" s="44"/>
      <c r="TE35" s="26"/>
      <c r="TF35" s="68"/>
      <c r="TG35" s="26"/>
      <c r="TH35" s="27"/>
      <c r="TI35" s="27"/>
      <c r="TJ35" s="18">
        <f t="shared" si="115"/>
        <v>33</v>
      </c>
      <c r="TK35" s="58" t="s">
        <v>1213</v>
      </c>
      <c r="TL35" s="58" t="s">
        <v>1840</v>
      </c>
      <c r="TM35" s="18">
        <v>0.5</v>
      </c>
      <c r="TN35" s="59" t="str">
        <f t="shared" si="137"/>
        <v xml:space="preserve">Blade Ward </v>
      </c>
      <c r="TO35" s="18" t="str">
        <f>""</f>
        <v/>
      </c>
      <c r="TP35" s="18" t="str">
        <f t="shared" si="48"/>
        <v/>
      </c>
      <c r="TQ35" s="18" t="str">
        <f>IF(OR(TK35=Spellcasting!$AC$18,TK35=Spellcasting!$AC$19),"ᵐ","")</f>
        <v/>
      </c>
      <c r="TR35" s="18" t="str">
        <f>IF(OR(TK35=Spellcasting!$AC$20,TK35=Spellcasting!$AC$21),"ˢ","")</f>
        <v/>
      </c>
      <c r="TS35" s="18" t="str">
        <f>""</f>
        <v/>
      </c>
      <c r="TT35" s="18" t="s">
        <v>484</v>
      </c>
      <c r="TU35" s="18" t="s">
        <v>509</v>
      </c>
      <c r="TV35" s="18" t="s">
        <v>547</v>
      </c>
      <c r="TW35" s="18" t="s">
        <v>486</v>
      </c>
      <c r="TX35" s="59" t="str">
        <f>""</f>
        <v/>
      </c>
      <c r="TY35" s="18" t="s">
        <v>487</v>
      </c>
      <c r="TZ35" s="18" t="s">
        <v>488</v>
      </c>
      <c r="UA35" s="142" t="s">
        <v>1255</v>
      </c>
      <c r="UB35" s="319" t="s">
        <v>3038</v>
      </c>
      <c r="UC35" s="18" t="str">
        <f ca="1">IF(UC$1&gt;=$TM35,1,"0")</f>
        <v>0</v>
      </c>
      <c r="UF35" s="18" t="str">
        <f ca="1">IF(UF$1&gt;=$TM35,1,"0")</f>
        <v>0</v>
      </c>
      <c r="UG35" s="18" t="str">
        <f ca="1">IF(UG$1&gt;=$TM35,1,"0")</f>
        <v>0</v>
      </c>
      <c r="UL35" s="18" t="str">
        <f ca="1">IF(UL$1&gt;=$TM35,1,"0")</f>
        <v>0</v>
      </c>
      <c r="VP35" s="18" t="str">
        <f>IF(VP$1&gt;=$TM35,1,"0")</f>
        <v>0</v>
      </c>
      <c r="VQ35" s="18" t="str">
        <f>IF(VQ$1&gt;=$TM35,1,"0")</f>
        <v>0</v>
      </c>
      <c r="WB35" s="18" t="str">
        <f>IF(WB$1&gt;=$TM35,1,"0")</f>
        <v>0</v>
      </c>
      <c r="WC35" s="18"/>
      <c r="WD35" s="18" t="str">
        <f ca="1">IF(SUM($VZ$1:$WC$1)&gt;0,IF(AND(SUM($VZ35:$WC35)&gt;0,$TM35=WE$1),MAX(WD$2:WD34)+1,""),IF(AND(SUM($UC35:$VY35)&gt;0,$TM35=WE$1),MAX(WD$2:WD34)+1,""))</f>
        <v/>
      </c>
      <c r="WE35" s="59" t="str">
        <f t="shared" ca="1" si="80"/>
        <v/>
      </c>
      <c r="WF35" s="18" t="str">
        <f ca="1">IF(AND(SUM($UB35:$VY35)&gt;0,$TM35=WG$1),MAX(WF$2:WF34)+1,"")</f>
        <v/>
      </c>
      <c r="WG35" s="59" t="str">
        <f t="shared" ca="1" si="81"/>
        <v/>
      </c>
      <c r="WH35" s="18" t="str">
        <f ca="1">IF(AND(SUM($UB35:$VY35)&gt;0,$TM35=WI$1),MAX(WH$2:WH34)+1,"")</f>
        <v/>
      </c>
      <c r="WI35" s="59" t="str">
        <f t="shared" ca="1" si="82"/>
        <v/>
      </c>
      <c r="WJ35" s="18" t="str">
        <f ca="1">IF(AND(SUM($UB35:$VY35)&gt;0,$TM35=WK$1),MAX(WJ$2:WJ34)+1,"")</f>
        <v/>
      </c>
      <c r="WK35" s="59" t="str">
        <f t="shared" ca="1" si="83"/>
        <v/>
      </c>
      <c r="WL35" s="18" t="str">
        <f ca="1">IF(AND(SUM($UB35:$VY35)&gt;0,$TM35=WM$1),MAX(WL$2:WL34)+1,"")</f>
        <v/>
      </c>
      <c r="WM35" s="59" t="str">
        <f t="shared" ca="1" si="84"/>
        <v/>
      </c>
      <c r="WN35" s="18" t="str">
        <f ca="1">IF(AND(SUM($UB35:$VY35)&gt;0,$TM35=WO$1),MAX(WN$2:WN34)+1,"")</f>
        <v/>
      </c>
      <c r="WO35" s="59" t="str">
        <f t="shared" ca="1" si="85"/>
        <v/>
      </c>
      <c r="WP35" s="18" t="str">
        <f ca="1">IF(AND(SUM($UB35:$VY35)&gt;0,$TM35=WQ$1),MAX(WP$2:WP34)+1,"")</f>
        <v/>
      </c>
      <c r="WQ35" s="59" t="str">
        <f t="shared" ca="1" si="86"/>
        <v/>
      </c>
      <c r="WR35" s="18" t="str">
        <f ca="1">IF(AND(SUM($UB35:$VY35)&gt;0,$TM35=WS$1),MAX(WR$2:WR34)+1,"")</f>
        <v/>
      </c>
      <c r="WS35" s="59" t="str">
        <f t="shared" ca="1" si="87"/>
        <v/>
      </c>
      <c r="WT35" s="18" t="str">
        <f ca="1">IF(AND(SUM($UB35:$VY35)&gt;0,$TM35=WU$1),MAX(WT$2:WT34)+1,"")</f>
        <v/>
      </c>
      <c r="WU35" s="59" t="str">
        <f t="shared" ca="1" si="88"/>
        <v/>
      </c>
      <c r="WV35" s="18" t="str">
        <f ca="1">IF(AND(SUM($UB35:$VY35)&gt;0,$TM35=WW$1),MAX(WV$2:WV34)+1,"")</f>
        <v/>
      </c>
      <c r="WW35" s="59" t="str">
        <f t="shared" ca="1" si="89"/>
        <v/>
      </c>
      <c r="WX35" s="18" t="str">
        <f ca="1">IF(AND(SUM($UB35:$VY35)&gt;0,$TM35=WY$1),MAX(WX$2:WX34)+1,"")</f>
        <v/>
      </c>
      <c r="WY35" s="59" t="str">
        <f t="shared" ca="1" si="90"/>
        <v/>
      </c>
      <c r="WZ35" s="18">
        <v>34</v>
      </c>
      <c r="XA35" s="59" t="str">
        <f t="shared" ca="1" si="91"/>
        <v/>
      </c>
      <c r="XB35" s="59" t="str">
        <f t="shared" ca="1" si="139"/>
        <v/>
      </c>
      <c r="XC35" s="59" t="str">
        <f t="shared" ca="1" si="140"/>
        <v/>
      </c>
      <c r="XD35" s="59" t="str">
        <f t="shared" ref="XD35:XD51" ca="1" si="141">IF(ISERROR(VLOOKUP($WZ35,$WJ$1:$WK$5013,2,FALSE)),"",VLOOKUP($WZ35,$WJ$1:$WK$5013,2,FALSE))</f>
        <v/>
      </c>
      <c r="XE35" s="59" t="str">
        <f t="shared" ref="XE35:XE51" ca="1" si="142">IF(ISERROR(VLOOKUP($WZ35,$WL$1:$WM$5013,2,FALSE)),"",VLOOKUP($WZ35,$WL$1:$WM$5013,2,FALSE))</f>
        <v/>
      </c>
      <c r="XF35" s="59" t="str">
        <f t="shared" ref="XF35:XF51" ca="1" si="143">IF(ISERROR(VLOOKUP($WZ35,$WN$1:$WO$5013,2,FALSE)),"",VLOOKUP($WZ35,$WN$1:$WO$5013,2,FALSE))</f>
        <v/>
      </c>
      <c r="XG35" s="59" t="str">
        <f t="shared" ref="XG35:XG51" ca="1" si="144">IF(ISERROR(VLOOKUP($WZ35,$WP$1:$WQ$5013,2,FALSE)),"",VLOOKUP($WZ35,$WP$1:$WQ$5013,2,FALSE))</f>
        <v/>
      </c>
      <c r="XH35" s="59" t="str">
        <f t="shared" ref="XH35:XH51" ca="1" si="145">IF(ISERROR(VLOOKUP($WZ35,$WR$1:$WS$5013,2,FALSE)),"",VLOOKUP($WZ35,$WR$1:$WS$5013,2,FALSE))</f>
        <v/>
      </c>
      <c r="XI35" s="59" t="str">
        <f t="shared" ref="XI35:XI51" ca="1" si="146">IF(ISERROR(VLOOKUP($WZ35,$WT$1:$WU$5013,2,FALSE)),"",VLOOKUP($WZ35,$WT$1:$WU$5013,2,FALSE))</f>
        <v/>
      </c>
      <c r="XJ35" s="59" t="str">
        <f t="shared" ref="XJ35:XJ51" ca="1" si="147">IF(ISERROR(VLOOKUP($WZ35,$WV$1:$WW$5013,2,FALSE)),"",VLOOKUP($WZ35,$WV$1:$WW$5013,2,FALSE))</f>
        <v/>
      </c>
      <c r="XK35" s="59" t="str">
        <f t="shared" ref="XK35:XK51" ca="1" si="148">IF(ISERROR(VLOOKUP($WZ35,$WX$1:$WY$5013,2,FALSE)),"",VLOOKUP($WZ35,$WX$1:$WY$5013,2,FALSE))</f>
        <v/>
      </c>
      <c r="XL35" s="18">
        <v>1</v>
      </c>
      <c r="XM35" s="59">
        <f>IF(XL35=1,MAX($XM$27:XM34)+1,"")</f>
        <v>7</v>
      </c>
      <c r="XN35" s="58" t="s">
        <v>2881</v>
      </c>
      <c r="XO35" s="58" t="s">
        <v>3384</v>
      </c>
      <c r="XP35" s="18" t="s">
        <v>3070</v>
      </c>
      <c r="XQ35" s="18">
        <v>10</v>
      </c>
      <c r="XR35" s="18">
        <v>2</v>
      </c>
      <c r="XS35" s="59" t="s">
        <v>1865</v>
      </c>
      <c r="XT35" s="18">
        <v>2</v>
      </c>
      <c r="XU35" s="18">
        <v>11</v>
      </c>
      <c r="XV35" s="18">
        <v>10</v>
      </c>
      <c r="XW35" s="18">
        <v>1</v>
      </c>
      <c r="XX35" s="18">
        <v>8</v>
      </c>
      <c r="XY35" s="18">
        <v>3</v>
      </c>
      <c r="XZ35" s="59" t="s">
        <v>187</v>
      </c>
      <c r="YA35" s="215" t="s">
        <v>2873</v>
      </c>
      <c r="YB35" s="59" t="s">
        <v>2855</v>
      </c>
      <c r="YC35" s="142" t="s">
        <v>187</v>
      </c>
      <c r="YG35" s="58" t="s">
        <v>1777</v>
      </c>
      <c r="YH35" s="58" t="s">
        <v>187</v>
      </c>
      <c r="YI35" s="215" t="s">
        <v>1778</v>
      </c>
      <c r="YJ35" s="215" t="s">
        <v>3447</v>
      </c>
      <c r="YK35" s="215" t="str">
        <f>""</f>
        <v/>
      </c>
      <c r="YL35" s="249" t="str">
        <f>""</f>
        <v/>
      </c>
      <c r="YM35" s="249" t="str">
        <f>""</f>
        <v/>
      </c>
      <c r="YN35" s="249" t="str">
        <f>""</f>
        <v/>
      </c>
      <c r="YO35" s="249"/>
      <c r="YP35" s="249"/>
      <c r="YQ35" s="215"/>
      <c r="YR35" s="215"/>
      <c r="YS35" s="215"/>
      <c r="YT35" s="18" t="s">
        <v>309</v>
      </c>
      <c r="YU35" s="18">
        <v>4</v>
      </c>
      <c r="YV35" s="18" t="str">
        <f ca="1">VLOOKUP(YY35,$ZJ$2:$ZP$23,$ZJ$1,FALSE)</f>
        <v/>
      </c>
      <c r="YW35" s="18" t="str">
        <f ca="1">IF(YX35="","",MAX($YW$1:YW34)+1)</f>
        <v/>
      </c>
      <c r="YX35" s="59" t="str">
        <f t="shared" ref="YX35:YX65" ca="1" si="149">IF(INDIRECT(YT35&amp;TEXT("Level",0))&gt;=YU35,YT35&amp;" - Level "&amp;YU35,"")</f>
        <v/>
      </c>
      <c r="YY35" s="18" t="str">
        <f t="shared" ref="YY35:YY65" ca="1" si="150">IF(INDIRECT(YT35&amp;TEXT("level",0))&gt;=YU35,YU35,"")</f>
        <v/>
      </c>
      <c r="ZR35"/>
    </row>
    <row r="36" spans="31:694" ht="9.9499999999999993" customHeight="1" x14ac:dyDescent="0.2">
      <c r="AE36" s="17"/>
      <c r="AO36" s="18">
        <f t="shared" si="119"/>
        <v>35</v>
      </c>
      <c r="AP36" s="59" t="str">
        <f t="shared" si="138"/>
        <v/>
      </c>
      <c r="AQ36" s="59" t="str">
        <f>""</f>
        <v/>
      </c>
      <c r="AR36" s="254" t="s">
        <v>1074</v>
      </c>
      <c r="AS36" s="385" t="s">
        <v>2445</v>
      </c>
      <c r="AT36" s="254" t="s">
        <v>1100</v>
      </c>
      <c r="AU36" s="385" t="s">
        <v>2479</v>
      </c>
      <c r="AV36" s="255" t="s">
        <v>1147</v>
      </c>
      <c r="AW36" s="385" t="s">
        <v>2525</v>
      </c>
      <c r="AX36" s="385" t="s">
        <v>2558</v>
      </c>
      <c r="AY36" s="58" t="s">
        <v>1170</v>
      </c>
      <c r="AZ36" s="58" t="s">
        <v>2594</v>
      </c>
      <c r="BA36" s="254" t="s">
        <v>1037</v>
      </c>
      <c r="BB36" s="385" t="s">
        <v>2620</v>
      </c>
      <c r="BC36" s="58" t="s">
        <v>1196</v>
      </c>
      <c r="BD36" s="58" t="s">
        <v>2388</v>
      </c>
      <c r="BE36" s="18" t="str">
        <f>""</f>
        <v/>
      </c>
      <c r="BJ36" s="70"/>
      <c r="BK36" s="70"/>
      <c r="BL36" s="48"/>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48"/>
      <c r="CN36" s="48"/>
      <c r="CO36" s="48"/>
      <c r="CP36" s="48"/>
      <c r="CQ36" s="48"/>
      <c r="CR36" s="48"/>
      <c r="CS36" s="48"/>
      <c r="CT36" s="48"/>
      <c r="CU36" s="48"/>
      <c r="CV36" s="48"/>
      <c r="CW36" s="48"/>
      <c r="CX36" s="48"/>
      <c r="CY36" s="48"/>
      <c r="CZ36" s="48"/>
      <c r="DA36" s="48"/>
      <c r="DB36" s="48"/>
      <c r="DC36" s="48"/>
      <c r="DD36" s="48"/>
      <c r="DE36" s="48"/>
      <c r="DF36" s="48"/>
      <c r="DG36" s="104"/>
      <c r="DH36" s="104"/>
      <c r="DI36" s="104"/>
      <c r="DJ36" s="104"/>
      <c r="DK36" s="104"/>
      <c r="DL36" s="393" t="s">
        <v>2799</v>
      </c>
      <c r="DM36" s="391" t="s">
        <v>308</v>
      </c>
      <c r="DN36" s="391">
        <f t="shared" ca="1" si="121"/>
        <v>0</v>
      </c>
      <c r="DO36" s="392" t="str">
        <f>""</f>
        <v/>
      </c>
      <c r="DP36" s="393" t="str">
        <f>""</f>
        <v/>
      </c>
      <c r="DQ36" s="392" t="str">
        <f>"• Monastic Tradition Feature (Shadow Arts)
"</f>
        <v xml:space="preserve">• Monastic Tradition Feature (Shadow Arts)
</v>
      </c>
      <c r="DR36" s="393" t="str">
        <f>""</f>
        <v/>
      </c>
      <c r="DS36" s="393" t="str">
        <f>""</f>
        <v/>
      </c>
      <c r="DT36" s="393" t="str">
        <f>"• Monastic Tradition Feature (Shadow Step)
"</f>
        <v xml:space="preserve">• Monastic Tradition Feature (Shadow Step)
</v>
      </c>
      <c r="DU36" s="393" t="str">
        <f>""</f>
        <v/>
      </c>
      <c r="DV36" s="393" t="str">
        <f>""</f>
        <v/>
      </c>
      <c r="DW36" s="393" t="str">
        <f>""</f>
        <v/>
      </c>
      <c r="DX36" s="393" t="str">
        <f>""</f>
        <v/>
      </c>
      <c r="DY36" s="393" t="str">
        <f>"• Monastic Tradition Feature (Cloak of Shadows)
"</f>
        <v xml:space="preserve">• Monastic Tradition Feature (Cloak of Shadows)
</v>
      </c>
      <c r="DZ36" s="393" t="str">
        <f>""</f>
        <v/>
      </c>
      <c r="EA36" s="393" t="str">
        <f>""</f>
        <v/>
      </c>
      <c r="EB36" s="393" t="str">
        <f>""</f>
        <v/>
      </c>
      <c r="EC36" s="393" t="str">
        <f>""</f>
        <v/>
      </c>
      <c r="ED36" s="393" t="str">
        <f>""</f>
        <v/>
      </c>
      <c r="EE36" s="393" t="str">
        <f>"• Monastic Tradition Feature (Opportunist)
"</f>
        <v xml:space="preserve">• Monastic Tradition Feature (Opportunist)
</v>
      </c>
      <c r="EF36" s="393" t="str">
        <f>""</f>
        <v/>
      </c>
      <c r="EG36" s="393" t="str">
        <f>""</f>
        <v/>
      </c>
      <c r="EH36" s="393" t="str">
        <f>""</f>
        <v/>
      </c>
      <c r="EI36" s="445" t="str">
        <f>""</f>
        <v/>
      </c>
      <c r="EJ36" s="445" t="str">
        <f>""</f>
        <v/>
      </c>
      <c r="EK36" s="445"/>
      <c r="EL36" s="445" t="str">
        <f>""</f>
        <v/>
      </c>
      <c r="EM36" s="445"/>
      <c r="EN36" s="445" t="str">
        <f>""</f>
        <v/>
      </c>
      <c r="EO36" s="445"/>
      <c r="EP36" s="445" t="str">
        <f>""</f>
        <v/>
      </c>
      <c r="EQ36" s="445"/>
      <c r="ER36" s="445" t="str">
        <f>""</f>
        <v/>
      </c>
      <c r="ES36" s="445"/>
      <c r="ET36" s="393" t="str">
        <f>""</f>
        <v/>
      </c>
      <c r="EU36" s="391" t="str">
        <f>""</f>
        <v/>
      </c>
      <c r="EV36" s="393" t="str">
        <f>""</f>
        <v/>
      </c>
      <c r="EW36" s="391" t="str">
        <f>""</f>
        <v/>
      </c>
      <c r="EX36" s="393" t="str">
        <f>""</f>
        <v/>
      </c>
      <c r="EY36" s="391" t="str">
        <f>""</f>
        <v/>
      </c>
      <c r="EZ36" s="18"/>
      <c r="FA36" s="18" t="str">
        <f>IF($DM36=FB$5,MAX(FA$6:FA35)+1,"")</f>
        <v/>
      </c>
      <c r="FB36" s="58" t="str">
        <f t="shared" si="122"/>
        <v/>
      </c>
      <c r="FE36" s="18" t="str">
        <f>IF($DM36=FF$5,MAX(FE$6:FE35)+1,"")</f>
        <v/>
      </c>
      <c r="FF36" s="58" t="str">
        <f t="shared" si="123"/>
        <v/>
      </c>
      <c r="FI36" s="18" t="str">
        <f>IF($DM36=FJ$5,MAX(FI$6:FI35)+1,"")</f>
        <v/>
      </c>
      <c r="FJ36" s="58" t="str">
        <f t="shared" ref="FJ36:FJ40" si="151">IF(FI36="","",$DL36)</f>
        <v/>
      </c>
      <c r="FX36" s="104"/>
      <c r="FY36" s="104"/>
      <c r="FZ36" s="104"/>
      <c r="GA36" s="104"/>
      <c r="GB36" s="104"/>
      <c r="GC36" s="104"/>
      <c r="GD36" s="104"/>
      <c r="GE36" s="104"/>
      <c r="GF36" s="104"/>
      <c r="GG36" s="104"/>
      <c r="GH36" s="104"/>
      <c r="GI36" s="104"/>
      <c r="GJ36" s="104"/>
      <c r="GQ36" s="59"/>
      <c r="GR36" s="59"/>
      <c r="GZ36" s="59"/>
      <c r="HA36" s="59"/>
      <c r="HB36" s="59"/>
      <c r="HC36" s="59"/>
      <c r="HD36" s="59"/>
      <c r="HE36" s="59"/>
      <c r="HF36" s="59"/>
      <c r="HG36" s="59"/>
      <c r="HH36" s="59"/>
      <c r="HI36" s="59"/>
      <c r="HJ36" s="59"/>
      <c r="HK36" s="59" t="s">
        <v>2924</v>
      </c>
      <c r="HL36" s="59" t="s">
        <v>2905</v>
      </c>
      <c r="HM36" s="59" t="s">
        <v>2938</v>
      </c>
      <c r="HN36" s="59"/>
      <c r="HO36" s="59"/>
      <c r="HP36" s="59"/>
      <c r="HQ36" s="59"/>
      <c r="HR36" s="59"/>
      <c r="HS36" s="59"/>
      <c r="HT36" s="59"/>
      <c r="HU36" s="59"/>
      <c r="HV36" s="59"/>
      <c r="HW36" s="59"/>
      <c r="HX36" s="59"/>
      <c r="HY36" s="59"/>
      <c r="HZ36" s="59"/>
      <c r="IA36" s="59"/>
      <c r="IC36" s="59"/>
      <c r="ID36" s="59"/>
      <c r="IE36" s="59"/>
      <c r="IF36" s="59"/>
      <c r="IG36" s="59"/>
      <c r="IH36" s="59" t="str">
        <f>IF(IJ36=TRUE,MAX($IH$2:IH35)+1,"")</f>
        <v/>
      </c>
      <c r="II36" s="59"/>
      <c r="IJ36" s="59"/>
      <c r="IK36" s="59"/>
      <c r="IL36" s="59"/>
      <c r="IM36" s="59"/>
      <c r="IN36" s="59"/>
      <c r="IO36" s="59"/>
      <c r="IP36" s="59"/>
      <c r="IQ36" s="59"/>
      <c r="IR36" s="59"/>
      <c r="IS36" s="59"/>
      <c r="IT36" s="59"/>
      <c r="IU36" s="59"/>
      <c r="IX36" s="59" t="s">
        <v>1502</v>
      </c>
      <c r="IY36" s="59" t="s">
        <v>962</v>
      </c>
      <c r="IZ36" s="59" t="s">
        <v>203</v>
      </c>
      <c r="JA36" s="59" t="s">
        <v>284</v>
      </c>
      <c r="JB36" s="59" t="s">
        <v>924</v>
      </c>
      <c r="JI36" s="60"/>
      <c r="JJ36" s="60"/>
      <c r="JM36" s="296">
        <v>4</v>
      </c>
      <c r="JN36" s="296">
        <v>4</v>
      </c>
      <c r="JO36" s="296">
        <v>3</v>
      </c>
      <c r="JP36" s="302" t="s">
        <v>140</v>
      </c>
      <c r="JQ36" s="302" t="s">
        <v>140</v>
      </c>
      <c r="JR36" s="302" t="s">
        <v>140</v>
      </c>
      <c r="JS36" s="302" t="s">
        <v>140</v>
      </c>
      <c r="JT36" s="302" t="s">
        <v>140</v>
      </c>
      <c r="JU36" s="302" t="s">
        <v>140</v>
      </c>
      <c r="JV36" s="302" t="s">
        <v>140</v>
      </c>
      <c r="JW36" s="98">
        <v>2</v>
      </c>
      <c r="JX36" s="302"/>
      <c r="JY36" s="302"/>
      <c r="KT36" s="93" t="s">
        <v>1540</v>
      </c>
      <c r="KU36" s="80" t="str">
        <f t="shared" si="128"/>
        <v>No</v>
      </c>
      <c r="KV36" s="89" t="s">
        <v>333</v>
      </c>
      <c r="KW36" s="270"/>
      <c r="KX36" s="270"/>
      <c r="KY36" s="270"/>
      <c r="KZ36" s="270"/>
      <c r="LA36" s="270"/>
      <c r="LB36" s="92"/>
      <c r="LC36" s="270"/>
      <c r="LD36" s="270"/>
      <c r="LE36" s="270"/>
      <c r="LF36" s="455"/>
      <c r="LG36" s="270"/>
      <c r="LH36" s="270"/>
      <c r="LI36" s="270"/>
      <c r="LJ36" s="270"/>
      <c r="LK36" s="270"/>
      <c r="LL36" s="406"/>
      <c r="LM36" s="455"/>
      <c r="LN36" s="270"/>
      <c r="LO36" s="270"/>
      <c r="LP36" s="270"/>
      <c r="LQ36" s="92"/>
      <c r="LR36" s="270"/>
      <c r="LS36" s="270"/>
      <c r="LT36" s="92"/>
      <c r="LU36" s="92"/>
      <c r="LV36" s="270"/>
      <c r="LW36" s="270"/>
      <c r="LX36" s="270"/>
      <c r="LY36" s="92"/>
      <c r="LZ36" s="92"/>
      <c r="MA36" s="92"/>
      <c r="MB36" s="92"/>
      <c r="MC36" s="92"/>
      <c r="MD36" s="92"/>
      <c r="ME36" s="92"/>
      <c r="MF36" s="92"/>
      <c r="MG36" s="92"/>
      <c r="MH36" s="92"/>
      <c r="MI36" s="92"/>
      <c r="MJ36" s="92"/>
      <c r="MK36" s="92"/>
      <c r="ML36" s="94"/>
      <c r="MM36" s="94"/>
      <c r="MN36" s="94"/>
      <c r="MO36" s="94"/>
      <c r="MP36" s="94"/>
      <c r="MQ36" s="94"/>
      <c r="MR36" s="94"/>
      <c r="MS36" s="94"/>
      <c r="MT36" s="94"/>
      <c r="MU36" s="94"/>
      <c r="MV36" s="94"/>
      <c r="MW36" s="94"/>
      <c r="MX36" s="94"/>
      <c r="MY36" s="94"/>
      <c r="MZ36" s="94"/>
      <c r="NA36" s="94"/>
      <c r="NB36" s="94"/>
      <c r="NC36" s="94"/>
      <c r="ND36" s="94"/>
      <c r="NE36" s="94"/>
      <c r="NF36" s="94"/>
      <c r="NG36" s="94"/>
      <c r="NH36" s="94"/>
      <c r="NI36" s="94"/>
      <c r="NJ36" s="94"/>
      <c r="NK36" s="94"/>
      <c r="NL36" s="94"/>
      <c r="NM36" s="94"/>
      <c r="NN36" s="94"/>
      <c r="NO36" s="94"/>
      <c r="NP36" s="438"/>
      <c r="NQ36" s="94"/>
      <c r="NR36" s="94"/>
      <c r="NS36" s="94"/>
      <c r="NT36" s="94"/>
      <c r="NU36" s="94"/>
      <c r="NV36" s="456"/>
      <c r="NW36" s="456"/>
      <c r="NX36" s="456"/>
      <c r="NY36" s="456"/>
      <c r="NZ36" s="456"/>
      <c r="OA36" s="94"/>
      <c r="OB36" s="94"/>
      <c r="OC36" s="94"/>
      <c r="OD36" s="94"/>
      <c r="OE36" s="94"/>
      <c r="OF36" s="94"/>
      <c r="OG36" s="94"/>
      <c r="OH36" s="94"/>
      <c r="OI36" s="94"/>
      <c r="OJ36" s="94"/>
      <c r="OK36" s="94"/>
      <c r="OL36" s="94"/>
      <c r="OM36" s="94"/>
      <c r="ON36" s="94"/>
      <c r="OO36" s="94"/>
      <c r="OP36" s="94"/>
      <c r="OQ36" s="94"/>
      <c r="OR36" s="94"/>
      <c r="OS36" s="94"/>
      <c r="OT36" s="94"/>
      <c r="OU36" s="94"/>
      <c r="OV36" s="94"/>
      <c r="OW36" s="94"/>
      <c r="OX36" s="94"/>
      <c r="OY36" s="94"/>
      <c r="OZ36" s="94"/>
      <c r="PA36" s="94"/>
      <c r="PB36" s="94"/>
      <c r="PC36" s="94"/>
      <c r="PD36" s="94"/>
      <c r="PE36" s="94"/>
      <c r="PF36" s="94"/>
      <c r="PG36" s="94"/>
      <c r="PH36" s="94"/>
      <c r="PI36" s="94"/>
      <c r="PJ36" s="94"/>
      <c r="PK36" s="94"/>
      <c r="PL36" s="94"/>
      <c r="PM36" s="94"/>
      <c r="PN36" s="94"/>
      <c r="PO36" s="94"/>
      <c r="PP36" s="94"/>
      <c r="PQ36" s="94"/>
      <c r="PR36" s="94"/>
      <c r="PS36" s="94" t="str">
        <f>IF(COUNTIF(Start!$AX$59:$BF$68,Tables!KT36)&gt;0,Tables!KT36,"")</f>
        <v/>
      </c>
      <c r="PT36" s="94"/>
      <c r="PU36" s="59" t="str">
        <f t="shared" si="129"/>
        <v/>
      </c>
      <c r="PV36" s="59" t="str">
        <f>IF(PU36="","",IF(COUNTIF(PU36:$PU$57,"&gt;&lt;")&gt;1,PU36&amp;", ", PU36))</f>
        <v/>
      </c>
      <c r="PW36" s="59"/>
      <c r="PX36" s="59"/>
      <c r="PZ36" s="28" t="s">
        <v>169</v>
      </c>
      <c r="QA36" s="28" t="s">
        <v>168</v>
      </c>
      <c r="QB36" s="30" t="str">
        <f t="shared" ca="1" si="79"/>
        <v>not proficient</v>
      </c>
      <c r="QC36" s="31" t="s">
        <v>133</v>
      </c>
      <c r="QD36" s="28" t="s">
        <v>107</v>
      </c>
      <c r="QE36" s="29" t="s">
        <v>109</v>
      </c>
      <c r="QF36" s="29">
        <v>0</v>
      </c>
      <c r="QG36" s="29" t="s">
        <v>135</v>
      </c>
      <c r="QH36" s="29" t="str">
        <f>""</f>
        <v/>
      </c>
      <c r="QI36" s="29" t="str">
        <f>""</f>
        <v/>
      </c>
      <c r="QJ36" s="29" t="str">
        <f>""</f>
        <v/>
      </c>
      <c r="QK36" s="29" t="str">
        <f>""</f>
        <v/>
      </c>
      <c r="QL36" s="29" t="str">
        <f>""</f>
        <v/>
      </c>
      <c r="QM36" s="29" t="str">
        <f>""</f>
        <v/>
      </c>
      <c r="QN36" s="29" t="str">
        <f>""</f>
        <v/>
      </c>
      <c r="QO36" s="29" t="str">
        <f>""</f>
        <v/>
      </c>
      <c r="QP36" s="29" t="str">
        <f>""</f>
        <v/>
      </c>
      <c r="QQ36" s="30" t="str">
        <f>""</f>
        <v/>
      </c>
      <c r="QR36" s="30" t="s">
        <v>781</v>
      </c>
      <c r="SR36" s="28"/>
      <c r="SS36" s="28"/>
      <c r="ST36" s="28"/>
      <c r="SU36" s="29"/>
      <c r="SV36" s="42"/>
      <c r="SW36" s="69"/>
      <c r="SX36" s="29"/>
      <c r="SY36" s="30"/>
      <c r="SZ36" s="29"/>
      <c r="TA36" s="28"/>
      <c r="TB36" s="28"/>
      <c r="TC36" s="28"/>
      <c r="TD36" s="42"/>
      <c r="TE36" s="29"/>
      <c r="TF36" s="69"/>
      <c r="TG36" s="29"/>
      <c r="TH36" s="30"/>
      <c r="TI36" s="30"/>
      <c r="TJ36" s="18">
        <f t="shared" si="115"/>
        <v>34</v>
      </c>
      <c r="TK36" s="58" t="s">
        <v>536</v>
      </c>
      <c r="TL36" s="58" t="s">
        <v>448</v>
      </c>
      <c r="TM36" s="18">
        <v>1</v>
      </c>
      <c r="TN36" s="59" t="str">
        <f t="shared" si="137"/>
        <v xml:space="preserve">Bless ᴴ </v>
      </c>
      <c r="TO36" s="350" t="s">
        <v>2991</v>
      </c>
      <c r="TP36" s="18" t="str">
        <f t="shared" si="48"/>
        <v/>
      </c>
      <c r="TQ36" s="18" t="str">
        <f>IF(OR(TK36=Spellcasting!$AC$18,TK36=Spellcasting!$AC$19),"ᵐ","")</f>
        <v/>
      </c>
      <c r="TR36" s="18" t="str">
        <f>IF(OR(TK36=Spellcasting!$AC$20,TK36=Spellcasting!$AC$21),"ˢ","")</f>
        <v/>
      </c>
      <c r="TS36" s="18" t="str">
        <f>""</f>
        <v/>
      </c>
      <c r="TT36" s="18" t="s">
        <v>484</v>
      </c>
      <c r="TU36" s="18" t="s">
        <v>851</v>
      </c>
      <c r="TV36" s="18" t="s">
        <v>558</v>
      </c>
      <c r="TW36" s="18" t="s">
        <v>495</v>
      </c>
      <c r="TX36" s="59" t="s">
        <v>865</v>
      </c>
      <c r="TY36" s="18" t="s">
        <v>498</v>
      </c>
      <c r="TZ36" s="18" t="s">
        <v>499</v>
      </c>
      <c r="UA36" s="142" t="s">
        <v>3144</v>
      </c>
      <c r="UB36" s="319" t="s">
        <v>2273</v>
      </c>
      <c r="UD36" s="18" t="str">
        <f ca="1">IF(UD$1&gt;=$TM36,1,"0")</f>
        <v>0</v>
      </c>
      <c r="UH36" s="18" t="str">
        <f ca="1">IF(UH$1&gt;=$TM36,1,"0")</f>
        <v>0</v>
      </c>
      <c r="UZ36" s="18" t="str">
        <f>IF(UZ$1&gt;=$TM36,1,"0")</f>
        <v>0</v>
      </c>
      <c r="WD36" s="18" t="str">
        <f ca="1">IF(SUM($VZ$1:$WC$1)&gt;0,IF(AND(SUM($VZ36:$WC36)&gt;0,$TM36=WE$1),MAX(WD$2:WD35)+1,""),IF(AND(SUM($UC36:$VY36)&gt;0,$TM36=WE$1),MAX(WD$2:WD35)+1,""))</f>
        <v/>
      </c>
      <c r="WE36" s="59" t="str">
        <f t="shared" ca="1" si="80"/>
        <v/>
      </c>
      <c r="WF36" s="18" t="str">
        <f ca="1">IF(AND(SUM($UB36:$VY36)&gt;0,$TM36=WG$1),MAX(WF$2:WF35)+1,"")</f>
        <v/>
      </c>
      <c r="WG36" s="59" t="str">
        <f t="shared" ca="1" si="81"/>
        <v/>
      </c>
      <c r="WH36" s="18" t="str">
        <f ca="1">IF(AND(SUM($UB36:$VY36)&gt;0,$TM36=WI$1),MAX(WH$2:WH35)+1,"")</f>
        <v/>
      </c>
      <c r="WI36" s="59" t="str">
        <f t="shared" ca="1" si="82"/>
        <v/>
      </c>
      <c r="WJ36" s="18" t="str">
        <f ca="1">IF(AND(SUM($UB36:$VY36)&gt;0,$TM36=WK$1),MAX(WJ$2:WJ35)+1,"")</f>
        <v/>
      </c>
      <c r="WK36" s="59" t="str">
        <f t="shared" ca="1" si="83"/>
        <v/>
      </c>
      <c r="WL36" s="18" t="str">
        <f ca="1">IF(AND(SUM($UB36:$VY36)&gt;0,$TM36=WM$1),MAX(WL$2:WL35)+1,"")</f>
        <v/>
      </c>
      <c r="WM36" s="59" t="str">
        <f t="shared" ca="1" si="84"/>
        <v/>
      </c>
      <c r="WN36" s="18" t="str">
        <f ca="1">IF(AND(SUM($UB36:$VY36)&gt;0,$TM36=WO$1),MAX(WN$2:WN35)+1,"")</f>
        <v/>
      </c>
      <c r="WO36" s="59" t="str">
        <f t="shared" ca="1" si="85"/>
        <v/>
      </c>
      <c r="WP36" s="18" t="str">
        <f ca="1">IF(AND(SUM($UB36:$VY36)&gt;0,$TM36=WQ$1),MAX(WP$2:WP35)+1,"")</f>
        <v/>
      </c>
      <c r="WQ36" s="59" t="str">
        <f t="shared" ca="1" si="86"/>
        <v/>
      </c>
      <c r="WR36" s="18" t="str">
        <f ca="1">IF(AND(SUM($UB36:$VY36)&gt;0,$TM36=WS$1),MAX(WR$2:WR35)+1,"")</f>
        <v/>
      </c>
      <c r="WS36" s="59" t="str">
        <f t="shared" ca="1" si="87"/>
        <v/>
      </c>
      <c r="WT36" s="18" t="str">
        <f ca="1">IF(AND(SUM($UB36:$VY36)&gt;0,$TM36=WU$1),MAX(WT$2:WT35)+1,"")</f>
        <v/>
      </c>
      <c r="WU36" s="59" t="str">
        <f t="shared" ca="1" si="88"/>
        <v/>
      </c>
      <c r="WV36" s="18" t="str">
        <f ca="1">IF(AND(SUM($UB36:$VY36)&gt;0,$TM36=WW$1),MAX(WV$2:WV35)+1,"")</f>
        <v/>
      </c>
      <c r="WW36" s="59" t="str">
        <f t="shared" ca="1" si="89"/>
        <v/>
      </c>
      <c r="WX36" s="18" t="str">
        <f ca="1">IF(AND(SUM($UB36:$VY36)&gt;0,$TM36=WY$1),MAX(WX$2:WX35)+1,"")</f>
        <v/>
      </c>
      <c r="WY36" s="59" t="str">
        <f t="shared" ca="1" si="90"/>
        <v/>
      </c>
      <c r="WZ36" s="18">
        <v>35</v>
      </c>
      <c r="XA36" s="59" t="str">
        <f t="shared" ca="1" si="91"/>
        <v/>
      </c>
      <c r="XB36" s="59" t="str">
        <f t="shared" ca="1" si="139"/>
        <v/>
      </c>
      <c r="XC36" s="59" t="str">
        <f t="shared" ca="1" si="140"/>
        <v/>
      </c>
      <c r="XD36" s="59" t="str">
        <f t="shared" ca="1" si="141"/>
        <v/>
      </c>
      <c r="XE36" s="59" t="str">
        <f t="shared" ca="1" si="142"/>
        <v/>
      </c>
      <c r="XF36" s="59" t="str">
        <f t="shared" ca="1" si="143"/>
        <v/>
      </c>
      <c r="XG36" s="59" t="str">
        <f t="shared" ca="1" si="144"/>
        <v/>
      </c>
      <c r="XH36" s="59" t="str">
        <f t="shared" ca="1" si="145"/>
        <v/>
      </c>
      <c r="XI36" s="59" t="str">
        <f t="shared" ca="1" si="146"/>
        <v/>
      </c>
      <c r="XJ36" s="59" t="str">
        <f t="shared" ca="1" si="147"/>
        <v/>
      </c>
      <c r="XK36" s="59" t="str">
        <f t="shared" ca="1" si="148"/>
        <v/>
      </c>
      <c r="XL36" s="18" t="str">
        <f ca="1">IF(RangerBeastMasterLevel&gt;=3,1,"")</f>
        <v/>
      </c>
      <c r="XM36" s="59" t="str">
        <f ca="1">IF(XL36=1,MAX($XM$27:XM35)+1,"")</f>
        <v/>
      </c>
      <c r="XN36" s="58" t="s">
        <v>3380</v>
      </c>
      <c r="XO36" s="58" t="s">
        <v>3384</v>
      </c>
      <c r="XP36" s="18" t="s">
        <v>195</v>
      </c>
      <c r="XQ36" s="18">
        <v>12</v>
      </c>
      <c r="XR36" s="18">
        <v>5</v>
      </c>
      <c r="XS36" s="59" t="s">
        <v>3381</v>
      </c>
      <c r="XT36" s="18">
        <v>13</v>
      </c>
      <c r="XU36" s="18">
        <v>14</v>
      </c>
      <c r="XV36" s="18">
        <v>12</v>
      </c>
      <c r="XW36" s="18">
        <v>3</v>
      </c>
      <c r="XX36" s="18">
        <v>12</v>
      </c>
      <c r="XY36" s="18">
        <v>7</v>
      </c>
      <c r="XZ36" s="59" t="s">
        <v>1750</v>
      </c>
      <c r="YA36" s="215" t="s">
        <v>2861</v>
      </c>
      <c r="YB36" s="142" t="s">
        <v>3382</v>
      </c>
      <c r="YC36" s="142" t="s">
        <v>3398</v>
      </c>
      <c r="YG36" s="58" t="s">
        <v>1779</v>
      </c>
      <c r="YH36" s="58" t="s">
        <v>187</v>
      </c>
      <c r="YI36" s="215" t="s">
        <v>1853</v>
      </c>
      <c r="YJ36" s="215" t="s">
        <v>3448</v>
      </c>
      <c r="YK36" s="215" t="str">
        <f>""</f>
        <v/>
      </c>
      <c r="YL36" s="249" t="str">
        <f>""</f>
        <v/>
      </c>
      <c r="YM36" s="249" t="str">
        <f>""</f>
        <v/>
      </c>
      <c r="YN36" s="249" t="str">
        <f>""</f>
        <v/>
      </c>
      <c r="YO36" s="249"/>
      <c r="YP36" s="249"/>
      <c r="YQ36" s="215"/>
      <c r="YR36" s="215"/>
      <c r="YS36" s="215"/>
      <c r="YT36" s="18" t="s">
        <v>309</v>
      </c>
      <c r="YU36" s="18">
        <v>8</v>
      </c>
      <c r="YV36" s="18" t="str">
        <f ca="1">VLOOKUP(YY36,$ZJ$2:$ZP$23,$ZJ$1,FALSE)</f>
        <v/>
      </c>
      <c r="YW36" s="18" t="str">
        <f ca="1">IF(YX36="","",MAX($YW$1:YW35)+1)</f>
        <v/>
      </c>
      <c r="YX36" s="59" t="str">
        <f t="shared" ca="1" si="149"/>
        <v/>
      </c>
      <c r="YY36" s="18" t="str">
        <f t="shared" ca="1" si="150"/>
        <v/>
      </c>
      <c r="ZR36"/>
    </row>
    <row r="37" spans="31:694" ht="9.9499999999999993" customHeight="1" x14ac:dyDescent="0.2">
      <c r="AE37" s="17"/>
      <c r="AO37" s="18">
        <f t="shared" si="119"/>
        <v>36</v>
      </c>
      <c r="AP37" s="59" t="str">
        <f t="shared" si="138"/>
        <v/>
      </c>
      <c r="AQ37" s="59" t="str">
        <f>""</f>
        <v/>
      </c>
      <c r="AR37" s="59" t="s">
        <v>1075</v>
      </c>
      <c r="AS37" s="59" t="s">
        <v>2446</v>
      </c>
      <c r="AT37" s="59" t="s">
        <v>1101</v>
      </c>
      <c r="AU37" s="59" t="s">
        <v>2480</v>
      </c>
      <c r="AV37" s="59" t="s">
        <v>1139</v>
      </c>
      <c r="AW37" s="59" t="s">
        <v>2526</v>
      </c>
      <c r="AX37" s="59" t="s">
        <v>2559</v>
      </c>
      <c r="AY37" s="58" t="s">
        <v>1171</v>
      </c>
      <c r="AZ37" s="58" t="s">
        <v>2595</v>
      </c>
      <c r="BA37" s="254" t="s">
        <v>1038</v>
      </c>
      <c r="BB37" s="385" t="s">
        <v>2621</v>
      </c>
      <c r="BC37" s="58" t="s">
        <v>1197</v>
      </c>
      <c r="BD37" s="58" t="s">
        <v>2389</v>
      </c>
      <c r="BE37" s="18" t="str">
        <f>""</f>
        <v/>
      </c>
      <c r="BJ37" s="70"/>
      <c r="BK37" s="70"/>
      <c r="BL37" s="48"/>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48"/>
      <c r="CN37" s="48"/>
      <c r="CO37" s="48"/>
      <c r="CP37" s="48"/>
      <c r="CQ37" s="48"/>
      <c r="CR37" s="48"/>
      <c r="CS37" s="48"/>
      <c r="CT37" s="48"/>
      <c r="CU37" s="48"/>
      <c r="CV37" s="48"/>
      <c r="CW37" s="48"/>
      <c r="CX37" s="48"/>
      <c r="CY37" s="48"/>
      <c r="CZ37" s="48"/>
      <c r="DA37" s="48"/>
      <c r="DB37" s="48"/>
      <c r="DC37" s="48"/>
      <c r="DD37" s="48"/>
      <c r="DE37" s="48"/>
      <c r="DF37" s="48"/>
      <c r="DG37" s="104"/>
      <c r="DH37" s="104"/>
      <c r="DI37" s="104"/>
      <c r="DJ37" s="104"/>
      <c r="DK37" s="104"/>
      <c r="DL37" s="393" t="s">
        <v>310</v>
      </c>
      <c r="DM37" s="391" t="s">
        <v>309</v>
      </c>
      <c r="DN37" s="391">
        <f t="shared" ca="1" si="121"/>
        <v>0</v>
      </c>
      <c r="DO37" s="392" t="str">
        <f>""</f>
        <v/>
      </c>
      <c r="DP37" s="429" t="str">
        <f>"• Oath Spells
"&amp;EI37&amp;"
"</f>
        <v xml:space="preserve">• Oath Spells
</v>
      </c>
      <c r="DQ37" s="429" t="str">
        <f>"• Sacred Oath Feature (Channel Divinity: Turn the Unholy, Sacred Weapon)
• Tenets of Devotion: Honesty. Compassion. Honor. Duty.
"</f>
        <v xml:space="preserve">• Sacred Oath Feature (Channel Divinity: Turn the Unholy, Sacred Weapon)
• Tenets of Devotion: Honesty. Compassion. Honor. Duty.
</v>
      </c>
      <c r="DR37" s="393" t="str">
        <f>""</f>
        <v/>
      </c>
      <c r="DS37" s="393" t="str">
        <f>""</f>
        <v/>
      </c>
      <c r="DT37" s="393" t="str">
        <f>""</f>
        <v/>
      </c>
      <c r="DU37" s="393" t="str">
        <f>"• Sacred Oath Feature (Aura of Devotion)
"</f>
        <v xml:space="preserve">• Sacred Oath Feature (Aura of Devotion)
</v>
      </c>
      <c r="DV37" s="393" t="str">
        <f>""</f>
        <v/>
      </c>
      <c r="DW37" s="393" t="str">
        <f>""</f>
        <v/>
      </c>
      <c r="DX37" s="393" t="str">
        <f>""</f>
        <v/>
      </c>
      <c r="DY37" s="393" t="str">
        <f>""</f>
        <v/>
      </c>
      <c r="DZ37" s="393" t="str">
        <f>""</f>
        <v/>
      </c>
      <c r="EA37" s="393" t="str">
        <f>""</f>
        <v/>
      </c>
      <c r="EB37" s="393" t="str">
        <f>""</f>
        <v/>
      </c>
      <c r="EC37" s="393" t="str">
        <f>"• Sacred Oath Feature (Purity of Spirit)
"</f>
        <v xml:space="preserve">• Sacred Oath Feature (Purity of Spirit)
</v>
      </c>
      <c r="ED37" s="393" t="str">
        <f>""</f>
        <v/>
      </c>
      <c r="EE37" s="393" t="str">
        <f>""</f>
        <v/>
      </c>
      <c r="EF37" s="393" t="str">
        <f>""</f>
        <v/>
      </c>
      <c r="EG37" s="393" t="str">
        <f>""</f>
        <v/>
      </c>
      <c r="EH37" s="393" t="str">
        <f>"• Sacred Oath Feature (Holy Nimbus)
"</f>
        <v xml:space="preserve">• Sacred Oath Feature (Holy Nimbus)
</v>
      </c>
      <c r="EI37" s="445" t="str">
        <f>IF(PaladinLevel&gt;=17,"  3rd (protection from evil and good, sanctuary)
  5th (lesser restoration, zone of truth)
  9th (beacon of hope, dispel magic)
  13th (freedom of movement, guardian of faith)
  17th (commune, flame strike)",IF(PaladinLevel&gt;=13,"  3rd (protection from evil and good, sanctuary)
  5th (lesser restoration, zone of truth)
  9th (beacon of hope, dispel magic)
  13th (freedom of movement, guardian of faith)",IF(PaladinLevel&gt;=9,"  3rd (protection from evil and good, sanctuary)
  5th (lesser restoration, zone of truth)
  9th (beacon of hope, dispel magic)",IF(PaladinLevel&gt;=5,"  3rd (protection from evil and good, sanctuary)
  5th (lesser restoration, zone of truth)",IF(PaladinLevel&gt;=3,"  3rd (protection from evil and good, sanctuary)","")))))</f>
        <v/>
      </c>
      <c r="EJ37" s="445" t="str">
        <f>IF(PaladinLevel&gt;=3,$DM37&amp;" (protection from evil and good, sanctuary)
","")</f>
        <v/>
      </c>
      <c r="EK37" s="445"/>
      <c r="EL37" s="445" t="str">
        <f>IF(PaladinLevel&gt;=5,$DM37&amp;" (lesser restoration, zone of truth)
","")</f>
        <v/>
      </c>
      <c r="EM37" s="445"/>
      <c r="EN37" s="445" t="str">
        <f>IF(PaladinLevel&gt;=9,$DM37&amp;" (beacon of hope, dispel magic)
","")</f>
        <v/>
      </c>
      <c r="EO37" s="445"/>
      <c r="EP37" s="445" t="str">
        <f>IF(PaladinLevel&gt;=13,$DM37&amp;" (freedom of movement, guardian of faith)
","")</f>
        <v/>
      </c>
      <c r="EQ37" s="445"/>
      <c r="ER37" s="445" t="str">
        <f>IF(PaladinLevel&gt;=17,$DM37&amp;" (commune, flame strike)
","")</f>
        <v/>
      </c>
      <c r="ES37" s="445"/>
      <c r="ET37" s="393" t="str">
        <f>""</f>
        <v/>
      </c>
      <c r="EU37" s="391" t="str">
        <f>""</f>
        <v/>
      </c>
      <c r="EV37" s="393" t="str">
        <f>""</f>
        <v/>
      </c>
      <c r="EW37" s="391" t="str">
        <f>""</f>
        <v/>
      </c>
      <c r="EX37" s="393" t="str">
        <f>""</f>
        <v/>
      </c>
      <c r="EY37" s="391" t="str">
        <f>""</f>
        <v/>
      </c>
      <c r="FA37" s="18" t="str">
        <f>IF($DM37=FB$5,MAX(FA$6:FA36)+1,"")</f>
        <v/>
      </c>
      <c r="FB37" s="58" t="str">
        <f t="shared" si="122"/>
        <v/>
      </c>
      <c r="FE37" s="18" t="str">
        <f>IF($DM37=FF$5,MAX(FE$6:FE36)+1,"")</f>
        <v/>
      </c>
      <c r="FF37" s="58" t="str">
        <f t="shared" si="123"/>
        <v/>
      </c>
      <c r="FI37" s="18" t="str">
        <f>IF($DM37=FJ$5,MAX(FI$6:FI36)+1,"")</f>
        <v/>
      </c>
      <c r="FJ37" s="58" t="str">
        <f t="shared" si="151"/>
        <v/>
      </c>
      <c r="FX37" s="104"/>
      <c r="FY37" s="104"/>
      <c r="FZ37" s="104"/>
      <c r="GA37" s="104"/>
      <c r="GB37" s="104"/>
      <c r="GC37" s="104"/>
      <c r="GD37" s="104"/>
      <c r="GE37" s="104"/>
      <c r="GF37" s="104"/>
      <c r="GG37" s="104"/>
      <c r="GH37" s="104"/>
      <c r="GI37" s="104"/>
      <c r="GJ37" s="104"/>
      <c r="GQ37" s="59"/>
      <c r="GR37" s="59"/>
      <c r="GZ37" s="59"/>
      <c r="HA37" s="59"/>
      <c r="HB37" s="59"/>
      <c r="HC37" s="59"/>
      <c r="HD37" s="59"/>
      <c r="HE37" s="59"/>
      <c r="HF37" s="59"/>
      <c r="HG37" s="59"/>
      <c r="HH37" s="59"/>
      <c r="HI37" s="59"/>
      <c r="HJ37" s="59"/>
      <c r="HK37" s="59" t="s">
        <v>2925</v>
      </c>
      <c r="HL37" s="59" t="s">
        <v>2905</v>
      </c>
      <c r="HM37" s="59" t="s">
        <v>2939</v>
      </c>
      <c r="HN37" s="59"/>
      <c r="HO37" s="59"/>
      <c r="HP37" s="59"/>
      <c r="HQ37" s="59"/>
      <c r="HR37" s="59"/>
      <c r="HS37" s="59"/>
      <c r="HT37" s="59"/>
      <c r="HU37" s="59"/>
      <c r="HV37" s="59"/>
      <c r="HW37" s="59"/>
      <c r="HX37" s="59"/>
      <c r="HY37" s="59"/>
      <c r="HZ37" s="59"/>
      <c r="IA37" s="59"/>
      <c r="IC37" s="59"/>
      <c r="ID37" s="59"/>
      <c r="IE37" s="59"/>
      <c r="IF37" s="59"/>
      <c r="IG37" s="59"/>
      <c r="IH37" s="59" t="str">
        <f>IF(IJ37=TRUE,MAX($IH$2:IH36)+1,"")</f>
        <v/>
      </c>
      <c r="II37" s="59"/>
      <c r="IJ37" s="59"/>
      <c r="IK37" s="59"/>
      <c r="IL37" s="59"/>
      <c r="IM37" s="59"/>
      <c r="IN37" s="59"/>
      <c r="IO37" s="59"/>
      <c r="IP37" s="59"/>
      <c r="IQ37" s="59"/>
      <c r="IR37" s="59"/>
      <c r="IS37" s="59"/>
      <c r="IT37" s="59"/>
      <c r="IU37" s="59"/>
      <c r="IX37" s="59" t="s">
        <v>1503</v>
      </c>
      <c r="IY37" s="59" t="s">
        <v>963</v>
      </c>
      <c r="IZ37" s="59" t="s">
        <v>196</v>
      </c>
      <c r="JA37" s="59" t="s">
        <v>284</v>
      </c>
      <c r="JB37" s="59" t="s">
        <v>925</v>
      </c>
      <c r="JI37" s="60"/>
      <c r="JJ37" s="60"/>
      <c r="JM37" s="296">
        <v>5</v>
      </c>
      <c r="JN37" s="296">
        <v>4</v>
      </c>
      <c r="JO37" s="296">
        <v>3</v>
      </c>
      <c r="JP37" s="296">
        <v>2</v>
      </c>
      <c r="JQ37" s="302" t="s">
        <v>140</v>
      </c>
      <c r="JR37" s="302" t="s">
        <v>140</v>
      </c>
      <c r="JS37" s="302" t="s">
        <v>140</v>
      </c>
      <c r="JT37" s="302" t="s">
        <v>140</v>
      </c>
      <c r="JU37" s="302" t="s">
        <v>140</v>
      </c>
      <c r="JV37" s="302" t="s">
        <v>140</v>
      </c>
      <c r="JW37" s="98">
        <v>3</v>
      </c>
      <c r="JX37" s="302"/>
      <c r="JY37" s="302"/>
      <c r="KT37" s="93" t="s">
        <v>1541</v>
      </c>
      <c r="KU37" s="80" t="str">
        <f t="shared" si="128"/>
        <v>No</v>
      </c>
      <c r="KV37" s="89" t="s">
        <v>333</v>
      </c>
      <c r="KW37" s="270"/>
      <c r="KX37" s="270"/>
      <c r="KY37" s="270"/>
      <c r="KZ37" s="270"/>
      <c r="LA37" s="270"/>
      <c r="LB37" s="92"/>
      <c r="LC37" s="270"/>
      <c r="LD37" s="270"/>
      <c r="LE37" s="270"/>
      <c r="LF37" s="455"/>
      <c r="LG37" s="270"/>
      <c r="LH37" s="270"/>
      <c r="LI37" s="270"/>
      <c r="LJ37" s="270"/>
      <c r="LK37" s="270"/>
      <c r="LL37" s="406"/>
      <c r="LM37" s="455"/>
      <c r="LN37" s="270"/>
      <c r="LO37" s="270"/>
      <c r="LP37" s="270"/>
      <c r="LQ37" s="92"/>
      <c r="LR37" s="270"/>
      <c r="LS37" s="270"/>
      <c r="LT37" s="92"/>
      <c r="LU37" s="92"/>
      <c r="LV37" s="270"/>
      <c r="LW37" s="270"/>
      <c r="LX37" s="270"/>
      <c r="LY37" s="92"/>
      <c r="LZ37" s="92"/>
      <c r="MA37" s="92"/>
      <c r="MB37" s="92"/>
      <c r="MC37" s="92"/>
      <c r="MD37" s="92"/>
      <c r="ME37" s="92"/>
      <c r="MF37" s="92"/>
      <c r="MG37" s="92"/>
      <c r="MH37" s="92"/>
      <c r="MI37" s="92"/>
      <c r="MJ37" s="92"/>
      <c r="MK37" s="92"/>
      <c r="ML37" s="94"/>
      <c r="MM37" s="94"/>
      <c r="MN37" s="94"/>
      <c r="MO37" s="94"/>
      <c r="MP37" s="94"/>
      <c r="MQ37" s="94"/>
      <c r="MR37" s="94"/>
      <c r="MS37" s="94"/>
      <c r="MT37" s="94"/>
      <c r="MU37" s="94"/>
      <c r="MV37" s="94"/>
      <c r="MW37" s="94"/>
      <c r="MX37" s="94"/>
      <c r="MY37" s="94"/>
      <c r="MZ37" s="94"/>
      <c r="NA37" s="94"/>
      <c r="NB37" s="94"/>
      <c r="NC37" s="94"/>
      <c r="ND37" s="94"/>
      <c r="NE37" s="94"/>
      <c r="NF37" s="94"/>
      <c r="NG37" s="94"/>
      <c r="NH37" s="94"/>
      <c r="NI37" s="94"/>
      <c r="NJ37" s="94"/>
      <c r="NK37" s="94"/>
      <c r="NL37" s="94"/>
      <c r="NM37" s="94"/>
      <c r="NN37" s="94"/>
      <c r="NO37" s="94"/>
      <c r="NP37" s="438"/>
      <c r="NQ37" s="94"/>
      <c r="NR37" s="94"/>
      <c r="NS37" s="94"/>
      <c r="NT37" s="94"/>
      <c r="NU37" s="94"/>
      <c r="NV37" s="456"/>
      <c r="NW37" s="456"/>
      <c r="NX37" s="456"/>
      <c r="NY37" s="456"/>
      <c r="NZ37" s="456"/>
      <c r="OA37" s="94"/>
      <c r="OB37" s="94"/>
      <c r="OC37" s="94"/>
      <c r="OD37" s="94"/>
      <c r="OE37" s="94"/>
      <c r="OF37" s="94"/>
      <c r="OG37" s="94"/>
      <c r="OH37" s="94"/>
      <c r="OI37" s="94"/>
      <c r="OJ37" s="94"/>
      <c r="OK37" s="94"/>
      <c r="OL37" s="94"/>
      <c r="OM37" s="94"/>
      <c r="ON37" s="94"/>
      <c r="OO37" s="94"/>
      <c r="OP37" s="94"/>
      <c r="OQ37" s="94"/>
      <c r="OR37" s="94"/>
      <c r="OS37" s="94"/>
      <c r="OT37" s="94"/>
      <c r="OU37" s="94"/>
      <c r="OV37" s="94"/>
      <c r="OW37" s="94"/>
      <c r="OX37" s="94"/>
      <c r="OY37" s="94"/>
      <c r="OZ37" s="94"/>
      <c r="PA37" s="94"/>
      <c r="PB37" s="94"/>
      <c r="PC37" s="94"/>
      <c r="PD37" s="94"/>
      <c r="PE37" s="94"/>
      <c r="PF37" s="94"/>
      <c r="PG37" s="94"/>
      <c r="PH37" s="94"/>
      <c r="PI37" s="94"/>
      <c r="PJ37" s="94"/>
      <c r="PK37" s="94"/>
      <c r="PL37" s="94"/>
      <c r="PM37" s="94"/>
      <c r="PN37" s="94"/>
      <c r="PO37" s="94"/>
      <c r="PP37" s="94"/>
      <c r="PQ37" s="94"/>
      <c r="PR37" s="94"/>
      <c r="PS37" s="94" t="str">
        <f>IF(COUNTIF(Start!$AX$59:$BF$68,Tables!KT37)&gt;0,Tables!KT37,"")</f>
        <v/>
      </c>
      <c r="PT37" s="94"/>
      <c r="PU37" s="59" t="str">
        <f t="shared" si="129"/>
        <v/>
      </c>
      <c r="PV37" s="59" t="str">
        <f>IF(PU37="","",IF(COUNTIF(PU37:$PU$57,"&gt;&lt;")&gt;1,PU37&amp;", ", PU37))</f>
        <v/>
      </c>
      <c r="PW37" s="59"/>
      <c r="PX37" s="59"/>
      <c r="PZ37" s="19" t="s">
        <v>161</v>
      </c>
      <c r="QA37" s="19" t="s">
        <v>167</v>
      </c>
      <c r="QB37" s="27" t="str">
        <f t="shared" ca="1" si="79"/>
        <v>not proficient</v>
      </c>
      <c r="QC37" s="67" t="s">
        <v>104</v>
      </c>
      <c r="QD37" s="19" t="s">
        <v>106</v>
      </c>
      <c r="QE37" s="26" t="s">
        <v>142</v>
      </c>
      <c r="QF37" s="26">
        <v>3</v>
      </c>
      <c r="QG37" s="26" t="str">
        <f>""</f>
        <v/>
      </c>
      <c r="QH37" s="26" t="str">
        <f>""</f>
        <v/>
      </c>
      <c r="QI37" s="26" t="str">
        <f>""</f>
        <v/>
      </c>
      <c r="QJ37" s="26" t="str">
        <f>""</f>
        <v/>
      </c>
      <c r="QK37" s="26" t="str">
        <f>""</f>
        <v/>
      </c>
      <c r="QL37" s="26" t="str">
        <f>""</f>
        <v/>
      </c>
      <c r="QM37" s="26" t="str">
        <f>""</f>
        <v/>
      </c>
      <c r="QN37" s="26" t="s">
        <v>146</v>
      </c>
      <c r="QO37" s="26" t="str">
        <f>""</f>
        <v/>
      </c>
      <c r="QP37" s="26" t="s">
        <v>179</v>
      </c>
      <c r="QQ37" s="27" t="str">
        <f>""</f>
        <v/>
      </c>
      <c r="QR37" s="27" t="str">
        <f>""</f>
        <v/>
      </c>
      <c r="SR37" s="19"/>
      <c r="SS37" s="19"/>
      <c r="ST37" s="19"/>
      <c r="SU37" s="26"/>
      <c r="SV37" s="44"/>
      <c r="SW37" s="68"/>
      <c r="SX37" s="26"/>
      <c r="SY37" s="27"/>
      <c r="SZ37" s="26"/>
      <c r="TA37" s="19"/>
      <c r="TB37" s="19"/>
      <c r="TC37" s="19"/>
      <c r="TD37" s="44"/>
      <c r="TE37" s="26"/>
      <c r="TF37" s="68"/>
      <c r="TG37" s="26"/>
      <c r="TH37" s="27"/>
      <c r="TI37" s="27"/>
      <c r="TJ37" s="18">
        <f t="shared" si="115"/>
        <v>35</v>
      </c>
      <c r="TK37" s="58" t="s">
        <v>537</v>
      </c>
      <c r="TL37" s="58" t="s">
        <v>461</v>
      </c>
      <c r="TM37" s="18">
        <v>4</v>
      </c>
      <c r="TN37" s="59" t="str">
        <f t="shared" si="137"/>
        <v xml:space="preserve">Blight ᴴ </v>
      </c>
      <c r="TO37" s="350" t="s">
        <v>2991</v>
      </c>
      <c r="TP37" s="18" t="str">
        <f t="shared" si="48"/>
        <v/>
      </c>
      <c r="TQ37" s="18" t="str">
        <f>IF(OR(TK37=Spellcasting!$AC$18,TK37=Spellcasting!$AC$19),"ᵐ","")</f>
        <v/>
      </c>
      <c r="TR37" s="18" t="str">
        <f>IF(OR(TK37=Spellcasting!$AC$20,TK37=Spellcasting!$AC$21),"ˢ","")</f>
        <v/>
      </c>
      <c r="TS37" s="18" t="str">
        <f>""</f>
        <v/>
      </c>
      <c r="TT37" s="18" t="s">
        <v>484</v>
      </c>
      <c r="TU37" s="18" t="s">
        <v>851</v>
      </c>
      <c r="TV37" s="18" t="s">
        <v>505</v>
      </c>
      <c r="TW37" s="18" t="s">
        <v>486</v>
      </c>
      <c r="TX37" s="59" t="str">
        <f>""</f>
        <v/>
      </c>
      <c r="TY37" s="18" t="s">
        <v>506</v>
      </c>
      <c r="TZ37" s="18" t="s">
        <v>507</v>
      </c>
      <c r="UA37" s="142" t="s">
        <v>3145</v>
      </c>
      <c r="UB37" s="319" t="s">
        <v>1314</v>
      </c>
      <c r="UF37" s="18" t="str">
        <f ca="1">IF(UF$1&gt;=$TM37,1,"0")</f>
        <v>0</v>
      </c>
      <c r="UG37" s="18" t="str">
        <f ca="1">IF(UG$1&gt;=$TM37,1,"0")</f>
        <v>0</v>
      </c>
      <c r="UI37" s="18" t="str">
        <f ca="1">IF(UI$1&gt;=$TM37,1,"0")</f>
        <v>0</v>
      </c>
      <c r="UL37" s="18" t="str">
        <f ca="1">IF(UL$1&gt;=$TM37,1,"0")</f>
        <v>0</v>
      </c>
      <c r="VI37" s="18" t="str">
        <f>IF(VI$1&gt;=$TM37,1,"0")</f>
        <v>0</v>
      </c>
      <c r="WD37" s="18" t="str">
        <f ca="1">IF(SUM($VZ$1:$WC$1)&gt;0,IF(AND(SUM($VZ37:$WC37)&gt;0,$TM37=WE$1),MAX(WD$2:WD36)+1,""),IF(AND(SUM($UC37:$VY37)&gt;0,$TM37=WE$1),MAX(WD$2:WD36)+1,""))</f>
        <v/>
      </c>
      <c r="WE37" s="59" t="str">
        <f t="shared" ca="1" si="80"/>
        <v/>
      </c>
      <c r="WF37" s="18" t="str">
        <f ca="1">IF(AND(SUM($UB37:$VY37)&gt;0,$TM37=WG$1),MAX(WF$2:WF36)+1,"")</f>
        <v/>
      </c>
      <c r="WG37" s="59" t="str">
        <f t="shared" ca="1" si="81"/>
        <v/>
      </c>
      <c r="WH37" s="18" t="str">
        <f ca="1">IF(AND(SUM($UB37:$VY37)&gt;0,$TM37=WI$1),MAX(WH$2:WH36)+1,"")</f>
        <v/>
      </c>
      <c r="WI37" s="59" t="str">
        <f t="shared" ca="1" si="82"/>
        <v/>
      </c>
      <c r="WJ37" s="18" t="str">
        <f ca="1">IF(AND(SUM($UB37:$VY37)&gt;0,$TM37=WK$1),MAX(WJ$2:WJ36)+1,"")</f>
        <v/>
      </c>
      <c r="WK37" s="59" t="str">
        <f t="shared" ca="1" si="83"/>
        <v/>
      </c>
      <c r="WL37" s="18" t="str">
        <f ca="1">IF(AND(SUM($UB37:$VY37)&gt;0,$TM37=WM$1),MAX(WL$2:WL36)+1,"")</f>
        <v/>
      </c>
      <c r="WM37" s="59" t="str">
        <f t="shared" ca="1" si="84"/>
        <v/>
      </c>
      <c r="WN37" s="18" t="str">
        <f ca="1">IF(AND(SUM($UB37:$VY37)&gt;0,$TM37=WO$1),MAX(WN$2:WN36)+1,"")</f>
        <v/>
      </c>
      <c r="WO37" s="59" t="str">
        <f t="shared" ca="1" si="85"/>
        <v/>
      </c>
      <c r="WP37" s="18" t="str">
        <f ca="1">IF(AND(SUM($UB37:$VY37)&gt;0,$TM37=WQ$1),MAX(WP$2:WP36)+1,"")</f>
        <v/>
      </c>
      <c r="WQ37" s="59" t="str">
        <f t="shared" ca="1" si="86"/>
        <v/>
      </c>
      <c r="WR37" s="18" t="str">
        <f ca="1">IF(AND(SUM($UB37:$VY37)&gt;0,$TM37=WS$1),MAX(WR$2:WR36)+1,"")</f>
        <v/>
      </c>
      <c r="WS37" s="59" t="str">
        <f t="shared" ca="1" si="87"/>
        <v/>
      </c>
      <c r="WT37" s="18" t="str">
        <f ca="1">IF(AND(SUM($UB37:$VY37)&gt;0,$TM37=WU$1),MAX(WT$2:WT36)+1,"")</f>
        <v/>
      </c>
      <c r="WU37" s="59" t="str">
        <f t="shared" ca="1" si="88"/>
        <v/>
      </c>
      <c r="WV37" s="18" t="str">
        <f ca="1">IF(AND(SUM($UB37:$VY37)&gt;0,$TM37=WW$1),MAX(WV$2:WV36)+1,"")</f>
        <v/>
      </c>
      <c r="WW37" s="59" t="str">
        <f t="shared" ca="1" si="89"/>
        <v/>
      </c>
      <c r="WX37" s="18" t="str">
        <f ca="1">IF(AND(SUM($UB37:$VY37)&gt;0,$TM37=WY$1),MAX(WX$2:WX36)+1,"")</f>
        <v/>
      </c>
      <c r="WY37" s="59" t="str">
        <f t="shared" ca="1" si="90"/>
        <v/>
      </c>
      <c r="WZ37" s="18">
        <v>36</v>
      </c>
      <c r="XA37" s="59" t="str">
        <f t="shared" ca="1" si="91"/>
        <v/>
      </c>
      <c r="XB37" s="59" t="str">
        <f t="shared" ca="1" si="139"/>
        <v/>
      </c>
      <c r="XC37" s="59" t="str">
        <f t="shared" ca="1" si="140"/>
        <v/>
      </c>
      <c r="XD37" s="59" t="str">
        <f t="shared" ca="1" si="141"/>
        <v/>
      </c>
      <c r="XE37" s="59" t="str">
        <f t="shared" ca="1" si="142"/>
        <v/>
      </c>
      <c r="XF37" s="59" t="str">
        <f t="shared" ca="1" si="143"/>
        <v/>
      </c>
      <c r="XG37" s="59" t="str">
        <f t="shared" ca="1" si="144"/>
        <v/>
      </c>
      <c r="XH37" s="59" t="str">
        <f t="shared" ca="1" si="145"/>
        <v/>
      </c>
      <c r="XI37" s="59" t="str">
        <f t="shared" ca="1" si="146"/>
        <v/>
      </c>
      <c r="XJ37" s="59" t="str">
        <f t="shared" ca="1" si="147"/>
        <v/>
      </c>
      <c r="XK37" s="59" t="str">
        <f t="shared" ca="1" si="148"/>
        <v/>
      </c>
      <c r="XL37" s="18">
        <v>1</v>
      </c>
      <c r="XM37" s="59">
        <f ca="1">IF(XL37=1,MAX($XM$27:XM36)+1,"")</f>
        <v>8</v>
      </c>
      <c r="XN37" s="58" t="s">
        <v>2874</v>
      </c>
      <c r="XO37" s="58" t="s">
        <v>3384</v>
      </c>
      <c r="XP37" s="18" t="s">
        <v>3070</v>
      </c>
      <c r="XQ37" s="18">
        <v>12</v>
      </c>
      <c r="XR37" s="18">
        <v>3</v>
      </c>
      <c r="XS37" s="59" t="s">
        <v>2875</v>
      </c>
      <c r="XT37" s="18">
        <v>4</v>
      </c>
      <c r="XU37" s="18">
        <v>15</v>
      </c>
      <c r="XV37" s="18">
        <v>11</v>
      </c>
      <c r="XW37" s="18">
        <v>3</v>
      </c>
      <c r="XX37" s="18">
        <v>10</v>
      </c>
      <c r="XY37" s="18">
        <v>4</v>
      </c>
      <c r="XZ37" s="59" t="s">
        <v>2876</v>
      </c>
      <c r="YA37" s="215" t="s">
        <v>2877</v>
      </c>
      <c r="YB37" s="59" t="s">
        <v>2878</v>
      </c>
      <c r="YC37" s="142" t="s">
        <v>3399</v>
      </c>
      <c r="YG37" s="58" t="s">
        <v>1780</v>
      </c>
      <c r="YH37" s="58" t="s">
        <v>187</v>
      </c>
      <c r="YI37" s="215" t="s">
        <v>1782</v>
      </c>
      <c r="YJ37" s="215" t="str">
        <f ca="1">"  - You learn two maneuvers of your choice from among those available to the Battle Master archetype in the fighter class. If a
     maneuver you use requires your target to make a saving throw to resist the maneuver’s effects, the saving throw DC "&amp;8+ProfBonus+MAX(STRMod,DEXMod)&amp;"
  - If you already have superiority dice, you gain one more; otherwise, you have one superiority die, which is a d6. This die is
    used to fuel your maneuvers."&amp;"A superiority die is expended when you use it. You regain your expended superiority dice
    when you finish a short or long rest."&amp;IF(FighterBattleMasterLevel&gt;=1,"",GJ2)</f>
        <v xml:space="preserve">  - You learn two maneuvers of your choice from among those available to the Battle Master archetype in the fighter class. If a
     maneuver you use requires your target to make a saving throw to resist the maneuver’s effects, the saving throw DC 5
  - If you already have superiority dice, you gain one more; otherwise, you have one superiority die, which is a d6. This die is
    used to fuel your maneuvers.A superiority die is expended when you use it. You regain your expended superiority dice
    when you finish a short or long rest.</v>
      </c>
      <c r="YK37" s="215" t="str">
        <f>""</f>
        <v/>
      </c>
      <c r="YL37" s="249" t="str">
        <f>""</f>
        <v/>
      </c>
      <c r="YM37" s="249" t="str">
        <f>""</f>
        <v/>
      </c>
      <c r="YN37" s="249" t="str">
        <f>""</f>
        <v/>
      </c>
      <c r="YO37" s="249"/>
      <c r="YP37" s="249"/>
      <c r="YQ37" s="215"/>
      <c r="YR37" s="215"/>
      <c r="YS37" s="215"/>
      <c r="YT37" s="18" t="s">
        <v>309</v>
      </c>
      <c r="YU37" s="18">
        <v>12</v>
      </c>
      <c r="YV37" s="18" t="str">
        <f ca="1">VLOOKUP(YY37,$ZJ$2:$ZP$23,$ZJ$1,FALSE)</f>
        <v/>
      </c>
      <c r="YW37" s="18" t="str">
        <f ca="1">IF(YX37="","",MAX($YW$1:YW36)+1)</f>
        <v/>
      </c>
      <c r="YX37" s="59" t="str">
        <f t="shared" ca="1" si="149"/>
        <v/>
      </c>
      <c r="YY37" s="18" t="str">
        <f t="shared" ca="1" si="150"/>
        <v/>
      </c>
      <c r="ZR37"/>
    </row>
    <row r="38" spans="31:694" ht="9.9499999999999993" customHeight="1" x14ac:dyDescent="0.2">
      <c r="AO38" s="18">
        <f t="shared" si="119"/>
        <v>37</v>
      </c>
      <c r="AP38" s="59" t="str">
        <f t="shared" si="138"/>
        <v/>
      </c>
      <c r="AQ38" s="59" t="str">
        <f>""</f>
        <v/>
      </c>
      <c r="AR38" s="59" t="s">
        <v>1076</v>
      </c>
      <c r="AS38" s="59" t="s">
        <v>2447</v>
      </c>
      <c r="AT38" s="59" t="s">
        <v>1102</v>
      </c>
      <c r="AU38" s="59" t="s">
        <v>2481</v>
      </c>
      <c r="AV38" s="59" t="s">
        <v>1140</v>
      </c>
      <c r="AW38" s="59" t="s">
        <v>2527</v>
      </c>
      <c r="AX38" s="59" t="s">
        <v>2560</v>
      </c>
      <c r="AY38" s="58" t="s">
        <v>1172</v>
      </c>
      <c r="AZ38" s="58" t="s">
        <v>2596</v>
      </c>
      <c r="BA38" s="254" t="s">
        <v>1039</v>
      </c>
      <c r="BB38" s="385" t="s">
        <v>2622</v>
      </c>
      <c r="BC38" s="58" t="s">
        <v>1198</v>
      </c>
      <c r="BD38" s="58" t="s">
        <v>2390</v>
      </c>
      <c r="BE38" s="18" t="str">
        <f>""</f>
        <v/>
      </c>
      <c r="BJ38" s="70"/>
      <c r="BK38" s="70"/>
      <c r="BL38" s="48"/>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48"/>
      <c r="CN38" s="48"/>
      <c r="CO38" s="48"/>
      <c r="CP38" s="48"/>
      <c r="CQ38" s="48"/>
      <c r="CR38" s="48"/>
      <c r="CS38" s="48"/>
      <c r="CT38" s="48"/>
      <c r="CU38" s="48"/>
      <c r="CV38" s="48"/>
      <c r="CW38" s="48"/>
      <c r="CX38" s="48"/>
      <c r="CY38" s="48"/>
      <c r="CZ38" s="48"/>
      <c r="DA38" s="48"/>
      <c r="DB38" s="48"/>
      <c r="DC38" s="48"/>
      <c r="DD38" s="48"/>
      <c r="DE38" s="48"/>
      <c r="DF38" s="48"/>
      <c r="DG38" s="104"/>
      <c r="DH38" s="104"/>
      <c r="DI38" s="104"/>
      <c r="DJ38" s="104"/>
      <c r="DK38" s="104"/>
      <c r="DL38" s="393" t="s">
        <v>2730</v>
      </c>
      <c r="DM38" s="391" t="s">
        <v>309</v>
      </c>
      <c r="DN38" s="391">
        <f t="shared" ca="1" si="121"/>
        <v>0</v>
      </c>
      <c r="DO38" s="392" t="str">
        <f>""</f>
        <v/>
      </c>
      <c r="DP38" s="429" t="str">
        <f>"• Oath Spells
"&amp;EI38&amp;"
"</f>
        <v xml:space="preserve">• Oath Spells
</v>
      </c>
      <c r="DQ38" s="429" t="str">
        <f>"• Sacred Oath Feature (Channel Divinity: Turn the Faithless, Nature's Wrath)
• Tenets of The Ancients: Kindle the Light. Shelter the Light. Preserve Your Own Light. Be the Light.
"</f>
        <v xml:space="preserve">• Sacred Oath Feature (Channel Divinity: Turn the Faithless, Nature's Wrath)
• Tenets of The Ancients: Kindle the Light. Shelter the Light. Preserve Your Own Light. Be the Light.
</v>
      </c>
      <c r="DR38" s="393" t="str">
        <f>""</f>
        <v/>
      </c>
      <c r="DS38" s="393" t="str">
        <f>""</f>
        <v/>
      </c>
      <c r="DT38" s="393" t="str">
        <f>""</f>
        <v/>
      </c>
      <c r="DU38" s="393" t="str">
        <f>"• Sacred Oath Feature (Aura of Warding)
"</f>
        <v xml:space="preserve">• Sacred Oath Feature (Aura of Warding)
</v>
      </c>
      <c r="DV38" s="393" t="str">
        <f>""</f>
        <v/>
      </c>
      <c r="DW38" s="393" t="str">
        <f>""</f>
        <v/>
      </c>
      <c r="DX38" s="393" t="str">
        <f>""</f>
        <v/>
      </c>
      <c r="DY38" s="393" t="str">
        <f>""</f>
        <v/>
      </c>
      <c r="DZ38" s="393" t="str">
        <f>""</f>
        <v/>
      </c>
      <c r="EA38" s="393" t="str">
        <f>""</f>
        <v/>
      </c>
      <c r="EB38" s="393" t="str">
        <f>""</f>
        <v/>
      </c>
      <c r="EC38" s="393" t="str">
        <f>"• Sacred Oath Feature (Undying Sentinel)
"</f>
        <v xml:space="preserve">• Sacred Oath Feature (Undying Sentinel)
</v>
      </c>
      <c r="ED38" s="393" t="str">
        <f>""</f>
        <v/>
      </c>
      <c r="EE38" s="393" t="str">
        <f>""</f>
        <v/>
      </c>
      <c r="EF38" s="393" t="str">
        <f>""</f>
        <v/>
      </c>
      <c r="EG38" s="393" t="str">
        <f>""</f>
        <v/>
      </c>
      <c r="EH38" s="393" t="str">
        <f>"• Sacred Oath Feature (Elder Champion)
"</f>
        <v xml:space="preserve">• Sacred Oath Feature (Elder Champion)
</v>
      </c>
      <c r="EI38" s="445" t="str">
        <f>IF(PaladinLevel&gt;=17,"  3rd (ensnaring strike, speak with animals)
  5th (moonbeam, misty step)
  9th (plant growth, protection from energy)
  13th (ice storm, stoneskin)
  17th (commune with nature, tree stride)",IF(PaladinLevel&gt;=13,"  3rd (ensnaring strike, speak with animals)
  5th (moonbeam, misty step)
  9th (plant growth, protection from energy)
  13th (ice storm, stoneskin)",IF(PaladinLevel&gt;=9,"  3rd (ensnaring strike, speak with animals)
  5th (moonbeam, misty step)
  9th (plant growth, protection from energy)",IF(PaladinLevel&gt;=5,"  3rd (ensnaring strike, speak with animals)
  5th (moonbeam, misty step)",IF(PaladinLevel&gt;=3,"  3rd (ensnaring strike, speak with animals)","")))))</f>
        <v/>
      </c>
      <c r="EJ38" s="445" t="str">
        <f>IF(PaladinLevel&gt;=3,$DM38&amp;" (ensnaring strike, speak with animals)
","")</f>
        <v/>
      </c>
      <c r="EK38" s="445"/>
      <c r="EL38" s="445" t="str">
        <f>IF(PaladinLevel&gt;=5,$DM38&amp;" (moonbeam, misty step)
","")</f>
        <v/>
      </c>
      <c r="EM38" s="445"/>
      <c r="EN38" s="445" t="str">
        <f>IF(PaladinLevel&gt;=9,$DM38&amp;" (plant growth, protection from energy)
","")</f>
        <v/>
      </c>
      <c r="EO38" s="445"/>
      <c r="EP38" s="445" t="str">
        <f>IF(PaladinLevel&gt;=13,$DM38&amp;" (ice storm, stoneskin)
","")</f>
        <v/>
      </c>
      <c r="EQ38" s="445"/>
      <c r="ER38" s="445" t="str">
        <f>IF(PaladinLevel&gt;=17,$DM38&amp;" (commune with nature, tree stride)
","")</f>
        <v/>
      </c>
      <c r="ES38" s="445"/>
      <c r="ET38" s="393" t="str">
        <f>""</f>
        <v/>
      </c>
      <c r="EU38" s="391" t="str">
        <f>""</f>
        <v/>
      </c>
      <c r="EV38" s="393" t="str">
        <f>""</f>
        <v/>
      </c>
      <c r="EW38" s="391" t="str">
        <f>""</f>
        <v/>
      </c>
      <c r="EX38" s="393" t="str">
        <f>""</f>
        <v/>
      </c>
      <c r="EY38" s="391" t="str">
        <f>""</f>
        <v/>
      </c>
      <c r="FA38" s="18" t="str">
        <f>IF($DM38=FB$5,MAX(FA$6:FA37)+1,"")</f>
        <v/>
      </c>
      <c r="FB38" s="58" t="str">
        <f t="shared" si="122"/>
        <v/>
      </c>
      <c r="FE38" s="18" t="str">
        <f>IF($DM38=FF$5,MAX(FE$6:FE37)+1,"")</f>
        <v/>
      </c>
      <c r="FF38" s="58" t="str">
        <f t="shared" si="123"/>
        <v/>
      </c>
      <c r="FI38" s="18" t="str">
        <f>IF($DM38=FJ$5,MAX(FI$6:FI37)+1,"")</f>
        <v/>
      </c>
      <c r="FJ38" s="58" t="str">
        <f t="shared" si="151"/>
        <v/>
      </c>
      <c r="FX38" s="104"/>
      <c r="FY38" s="104"/>
      <c r="FZ38" s="104"/>
      <c r="GA38" s="104"/>
      <c r="GB38" s="104"/>
      <c r="GC38" s="104"/>
      <c r="GD38" s="104"/>
      <c r="GE38" s="104"/>
      <c r="GF38" s="104"/>
      <c r="GG38" s="104"/>
      <c r="GH38" s="104"/>
      <c r="GI38" s="104"/>
      <c r="GJ38" s="104"/>
      <c r="GQ38" s="59"/>
      <c r="GR38" s="59"/>
      <c r="GZ38" s="59"/>
      <c r="HA38" s="59"/>
      <c r="HB38" s="59"/>
      <c r="HC38" s="59"/>
      <c r="HD38" s="59"/>
      <c r="HE38" s="59"/>
      <c r="HF38" s="59"/>
      <c r="HG38" s="59"/>
      <c r="HH38" s="59"/>
      <c r="HI38" s="59"/>
      <c r="HJ38" s="59"/>
      <c r="HK38" s="59" t="s">
        <v>2926</v>
      </c>
      <c r="HL38" s="59" t="s">
        <v>2905</v>
      </c>
      <c r="HM38" s="59" t="s">
        <v>2940</v>
      </c>
      <c r="HN38" s="59"/>
      <c r="HO38" s="59"/>
      <c r="HP38" s="59"/>
      <c r="HQ38" s="59"/>
      <c r="HR38" s="59"/>
      <c r="HS38" s="59"/>
      <c r="HT38" s="59"/>
      <c r="HU38" s="59"/>
      <c r="HV38" s="59"/>
      <c r="HW38" s="59"/>
      <c r="HX38" s="59"/>
      <c r="HY38" s="59"/>
      <c r="HZ38" s="59"/>
      <c r="IA38" s="59"/>
      <c r="IC38" s="59"/>
      <c r="ID38" s="59"/>
      <c r="IE38" s="59"/>
      <c r="IF38" s="59"/>
      <c r="IG38" s="59"/>
      <c r="IH38" s="59" t="str">
        <f>IF(IJ38=TRUE,MAX($IH$2:IH37)+1,"")</f>
        <v/>
      </c>
      <c r="II38" s="59"/>
      <c r="IJ38" s="59"/>
      <c r="IK38" s="59"/>
      <c r="IL38" s="59"/>
      <c r="IM38" s="59"/>
      <c r="IN38" s="59"/>
      <c r="IO38" s="59"/>
      <c r="IP38" s="59"/>
      <c r="IQ38" s="59"/>
      <c r="IR38" s="59"/>
      <c r="IS38" s="59"/>
      <c r="IT38" s="59"/>
      <c r="IU38" s="59"/>
      <c r="IX38" s="59" t="s">
        <v>1504</v>
      </c>
      <c r="IY38" s="59" t="s">
        <v>964</v>
      </c>
      <c r="IZ38" s="59" t="s">
        <v>197</v>
      </c>
      <c r="JA38" s="59" t="s">
        <v>888</v>
      </c>
      <c r="JB38" s="59" t="s">
        <v>926</v>
      </c>
      <c r="JI38" s="60"/>
      <c r="JJ38" s="60"/>
      <c r="JM38" s="296">
        <v>6</v>
      </c>
      <c r="JN38" s="296">
        <v>4</v>
      </c>
      <c r="JO38" s="296">
        <v>3</v>
      </c>
      <c r="JP38" s="296">
        <v>3</v>
      </c>
      <c r="JQ38" s="302" t="s">
        <v>140</v>
      </c>
      <c r="JR38" s="302" t="s">
        <v>140</v>
      </c>
      <c r="JS38" s="302" t="s">
        <v>140</v>
      </c>
      <c r="JT38" s="302" t="s">
        <v>140</v>
      </c>
      <c r="JU38" s="302" t="s">
        <v>140</v>
      </c>
      <c r="JV38" s="302" t="s">
        <v>140</v>
      </c>
      <c r="JW38" s="98">
        <v>3</v>
      </c>
      <c r="JX38" s="302"/>
      <c r="JY38" s="302"/>
      <c r="KT38" s="93" t="s">
        <v>1542</v>
      </c>
      <c r="KU38" s="80" t="str">
        <f t="shared" si="128"/>
        <v>No</v>
      </c>
      <c r="KV38" s="89" t="s">
        <v>333</v>
      </c>
      <c r="KW38" s="270"/>
      <c r="KX38" s="270"/>
      <c r="KY38" s="270"/>
      <c r="KZ38" s="270"/>
      <c r="LA38" s="270"/>
      <c r="LB38" s="92"/>
      <c r="LC38" s="270"/>
      <c r="LD38" s="270"/>
      <c r="LE38" s="270"/>
      <c r="LF38" s="455"/>
      <c r="LG38" s="270"/>
      <c r="LH38" s="270"/>
      <c r="LI38" s="270"/>
      <c r="LJ38" s="270"/>
      <c r="LK38" s="270"/>
      <c r="LL38" s="406"/>
      <c r="LM38" s="455"/>
      <c r="LN38" s="270"/>
      <c r="LO38" s="270"/>
      <c r="LP38" s="270"/>
      <c r="LQ38" s="92"/>
      <c r="LR38" s="270"/>
      <c r="LS38" s="270"/>
      <c r="LT38" s="92"/>
      <c r="LU38" s="92"/>
      <c r="LV38" s="270"/>
      <c r="LW38" s="270"/>
      <c r="LX38" s="270"/>
      <c r="LY38" s="92"/>
      <c r="LZ38" s="92"/>
      <c r="MA38" s="92"/>
      <c r="MB38" s="92"/>
      <c r="MC38" s="92"/>
      <c r="MD38" s="92"/>
      <c r="ME38" s="92"/>
      <c r="MF38" s="92"/>
      <c r="MG38" s="92"/>
      <c r="MH38" s="92"/>
      <c r="MI38" s="92"/>
      <c r="MJ38" s="92"/>
      <c r="MK38" s="92"/>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438"/>
      <c r="NQ38" s="94"/>
      <c r="NR38" s="94"/>
      <c r="NS38" s="94"/>
      <c r="NT38" s="94"/>
      <c r="NU38" s="94"/>
      <c r="NV38" s="456"/>
      <c r="NW38" s="456"/>
      <c r="NX38" s="456"/>
      <c r="NY38" s="456"/>
      <c r="NZ38" s="456"/>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t="str">
        <f>IF(COUNTIF(Start!$AX$59:$BF$68,Tables!KT38)&gt;0,Tables!KT38,"")</f>
        <v/>
      </c>
      <c r="PT38" s="94"/>
      <c r="PU38" s="59" t="str">
        <f t="shared" si="129"/>
        <v/>
      </c>
      <c r="PV38" s="59" t="str">
        <f>IF(PU38="","",IF(COUNTIF(PU38:$PU$57,"&gt;&lt;")&gt;1,PU38&amp;", ", PU38))</f>
        <v/>
      </c>
      <c r="PW38" s="59"/>
      <c r="PX38" s="59"/>
      <c r="PZ38" s="28" t="s">
        <v>125</v>
      </c>
      <c r="QA38" s="28" t="s">
        <v>129</v>
      </c>
      <c r="QB38" s="30" t="str">
        <f t="shared" ca="1" si="79"/>
        <v>not proficient</v>
      </c>
      <c r="QC38" s="31" t="s">
        <v>104</v>
      </c>
      <c r="QD38" s="28" t="s">
        <v>106</v>
      </c>
      <c r="QE38" s="29" t="s">
        <v>142</v>
      </c>
      <c r="QF38" s="29">
        <v>4</v>
      </c>
      <c r="QG38" s="29" t="str">
        <f>""</f>
        <v/>
      </c>
      <c r="QH38" s="29" t="str">
        <f>""</f>
        <v/>
      </c>
      <c r="QI38" s="29" t="str">
        <f>""</f>
        <v/>
      </c>
      <c r="QJ38" s="29" t="str">
        <f>""</f>
        <v/>
      </c>
      <c r="QK38" s="29" t="str">
        <f>""</f>
        <v/>
      </c>
      <c r="QL38" s="29" t="str">
        <f>""</f>
        <v/>
      </c>
      <c r="QM38" s="29" t="str">
        <f>""</f>
        <v/>
      </c>
      <c r="QN38" s="29" t="s">
        <v>146</v>
      </c>
      <c r="QO38" s="29" t="str">
        <f>""</f>
        <v/>
      </c>
      <c r="QP38" s="29" t="s">
        <v>179</v>
      </c>
      <c r="QQ38" s="30" t="str">
        <f>""</f>
        <v/>
      </c>
      <c r="QR38" s="30" t="str">
        <f>""</f>
        <v/>
      </c>
      <c r="SR38" s="28"/>
      <c r="SS38" s="28"/>
      <c r="ST38" s="28"/>
      <c r="SU38" s="29"/>
      <c r="SV38" s="42"/>
      <c r="SW38" s="69"/>
      <c r="SX38" s="29"/>
      <c r="SY38" s="30"/>
      <c r="SZ38" s="29"/>
      <c r="TA38" s="28"/>
      <c r="TB38" s="28"/>
      <c r="TC38" s="28"/>
      <c r="TD38" s="42"/>
      <c r="TE38" s="29"/>
      <c r="TF38" s="69"/>
      <c r="TG38" s="29"/>
      <c r="TH38" s="30"/>
      <c r="TI38" s="30"/>
      <c r="TJ38" s="18">
        <f t="shared" si="115"/>
        <v>36</v>
      </c>
      <c r="TK38" s="58" t="s">
        <v>1315</v>
      </c>
      <c r="TL38" s="58" t="s">
        <v>460</v>
      </c>
      <c r="TM38" s="18">
        <v>3</v>
      </c>
      <c r="TN38" s="59" t="str">
        <f t="shared" si="137"/>
        <v xml:space="preserve">Blinding Smite </v>
      </c>
      <c r="TO38" s="18" t="str">
        <f>""</f>
        <v/>
      </c>
      <c r="TP38" s="18" t="str">
        <f t="shared" si="48"/>
        <v/>
      </c>
      <c r="TQ38" s="18" t="str">
        <f>IF(OR(TK38=Spellcasting!$AC$18,TK38=Spellcasting!$AC$19),"ᵐ","")</f>
        <v/>
      </c>
      <c r="TR38" s="18" t="str">
        <f>IF(OR(TK38=Spellcasting!$AC$20,TK38=Spellcasting!$AC$21),"ˢ","")</f>
        <v/>
      </c>
      <c r="TS38" s="18" t="str">
        <f>""</f>
        <v/>
      </c>
      <c r="TT38" s="18" t="s">
        <v>1256</v>
      </c>
      <c r="TU38" s="18" t="s">
        <v>509</v>
      </c>
      <c r="TV38" s="18" t="s">
        <v>558</v>
      </c>
      <c r="TW38" s="18" t="s">
        <v>541</v>
      </c>
      <c r="TX38" s="59" t="str">
        <f>""</f>
        <v/>
      </c>
      <c r="TY38" s="18" t="s">
        <v>534</v>
      </c>
      <c r="TZ38" s="18" t="s">
        <v>535</v>
      </c>
      <c r="UA38" s="142" t="s">
        <v>1316</v>
      </c>
      <c r="UB38" s="319" t="s">
        <v>3245</v>
      </c>
      <c r="UD38" s="18" t="str">
        <f ca="1">IF(UD$1&gt;=$TM38,1,"0")</f>
        <v>0</v>
      </c>
      <c r="WD38" s="18" t="str">
        <f ca="1">IF(SUM($VZ$1:$WC$1)&gt;0,IF(AND(SUM($VZ38:$WC38)&gt;0,$TM38=WE$1),MAX(WD$2:WD37)+1,""),IF(AND(SUM($UC38:$VY38)&gt;0,$TM38=WE$1),MAX(WD$2:WD37)+1,""))</f>
        <v/>
      </c>
      <c r="WE38" s="59" t="str">
        <f t="shared" ca="1" si="80"/>
        <v/>
      </c>
      <c r="WF38" s="18" t="str">
        <f ca="1">IF(AND(SUM($UB38:$VY38)&gt;0,$TM38=WG$1),MAX(WF$2:WF37)+1,"")</f>
        <v/>
      </c>
      <c r="WG38" s="59" t="str">
        <f t="shared" ca="1" si="81"/>
        <v/>
      </c>
      <c r="WH38" s="18" t="str">
        <f ca="1">IF(AND(SUM($UB38:$VY38)&gt;0,$TM38=WI$1),MAX(WH$2:WH37)+1,"")</f>
        <v/>
      </c>
      <c r="WI38" s="59" t="str">
        <f t="shared" ca="1" si="82"/>
        <v/>
      </c>
      <c r="WJ38" s="18" t="str">
        <f ca="1">IF(AND(SUM($UB38:$VY38)&gt;0,$TM38=WK$1),MAX(WJ$2:WJ37)+1,"")</f>
        <v/>
      </c>
      <c r="WK38" s="59" t="str">
        <f t="shared" ca="1" si="83"/>
        <v/>
      </c>
      <c r="WL38" s="18" t="str">
        <f ca="1">IF(AND(SUM($UB38:$VY38)&gt;0,$TM38=WM$1),MAX(WL$2:WL37)+1,"")</f>
        <v/>
      </c>
      <c r="WM38" s="59" t="str">
        <f t="shared" ca="1" si="84"/>
        <v/>
      </c>
      <c r="WN38" s="18" t="str">
        <f ca="1">IF(AND(SUM($UB38:$VY38)&gt;0,$TM38=WO$1),MAX(WN$2:WN37)+1,"")</f>
        <v/>
      </c>
      <c r="WO38" s="59" t="str">
        <f t="shared" ca="1" si="85"/>
        <v/>
      </c>
      <c r="WP38" s="18" t="str">
        <f ca="1">IF(AND(SUM($UB38:$VY38)&gt;0,$TM38=WQ$1),MAX(WP$2:WP37)+1,"")</f>
        <v/>
      </c>
      <c r="WQ38" s="59" t="str">
        <f t="shared" ca="1" si="86"/>
        <v/>
      </c>
      <c r="WR38" s="18" t="str">
        <f ca="1">IF(AND(SUM($UB38:$VY38)&gt;0,$TM38=WS$1),MAX(WR$2:WR37)+1,"")</f>
        <v/>
      </c>
      <c r="WS38" s="59" t="str">
        <f t="shared" ca="1" si="87"/>
        <v/>
      </c>
      <c r="WT38" s="18" t="str">
        <f ca="1">IF(AND(SUM($UB38:$VY38)&gt;0,$TM38=WU$1),MAX(WT$2:WT37)+1,"")</f>
        <v/>
      </c>
      <c r="WU38" s="59" t="str">
        <f t="shared" ca="1" si="88"/>
        <v/>
      </c>
      <c r="WV38" s="18" t="str">
        <f ca="1">IF(AND(SUM($UB38:$VY38)&gt;0,$TM38=WW$1),MAX(WV$2:WV37)+1,"")</f>
        <v/>
      </c>
      <c r="WW38" s="59" t="str">
        <f t="shared" ca="1" si="89"/>
        <v/>
      </c>
      <c r="WX38" s="18" t="str">
        <f ca="1">IF(AND(SUM($UB38:$VY38)&gt;0,$TM38=WY$1),MAX(WX$2:WX37)+1,"")</f>
        <v/>
      </c>
      <c r="WY38" s="59" t="str">
        <f t="shared" ca="1" si="90"/>
        <v/>
      </c>
      <c r="WZ38" s="18">
        <v>37</v>
      </c>
      <c r="XA38" s="59" t="str">
        <f t="shared" ca="1" si="91"/>
        <v/>
      </c>
      <c r="XB38" s="59" t="str">
        <f t="shared" ca="1" si="139"/>
        <v/>
      </c>
      <c r="XC38" s="59" t="str">
        <f t="shared" ca="1" si="140"/>
        <v/>
      </c>
      <c r="XD38" s="59" t="str">
        <f t="shared" ca="1" si="141"/>
        <v/>
      </c>
      <c r="XE38" s="59" t="str">
        <f t="shared" ca="1" si="142"/>
        <v/>
      </c>
      <c r="XF38" s="59" t="str">
        <f t="shared" ca="1" si="143"/>
        <v/>
      </c>
      <c r="XG38" s="59" t="str">
        <f t="shared" ca="1" si="144"/>
        <v/>
      </c>
      <c r="XH38" s="59" t="str">
        <f t="shared" ca="1" si="145"/>
        <v/>
      </c>
      <c r="XI38" s="59" t="str">
        <f t="shared" ca="1" si="146"/>
        <v/>
      </c>
      <c r="XJ38" s="59" t="str">
        <f t="shared" ca="1" si="147"/>
        <v/>
      </c>
      <c r="XK38" s="59" t="str">
        <f t="shared" ca="1" si="148"/>
        <v/>
      </c>
      <c r="XL38" s="18">
        <v>1</v>
      </c>
      <c r="XM38" s="59">
        <f ca="1">IF(XL38=1,MAX($XM$27:XM37)+1,"")</f>
        <v>9</v>
      </c>
      <c r="XN38" s="58" t="s">
        <v>747</v>
      </c>
      <c r="XO38" s="58" t="s">
        <v>3384</v>
      </c>
      <c r="XP38" s="18" t="s">
        <v>3070</v>
      </c>
      <c r="XQ38" s="18">
        <v>11</v>
      </c>
      <c r="XR38" s="18">
        <v>1</v>
      </c>
      <c r="XS38" s="59" t="s">
        <v>1745</v>
      </c>
      <c r="XT38" s="18">
        <v>3</v>
      </c>
      <c r="XU38" s="18">
        <v>13</v>
      </c>
      <c r="XV38" s="18">
        <v>8</v>
      </c>
      <c r="XW38" s="18">
        <v>2</v>
      </c>
      <c r="XX38" s="18">
        <v>12</v>
      </c>
      <c r="XY38" s="18">
        <v>7</v>
      </c>
      <c r="XZ38" s="59" t="s">
        <v>1747</v>
      </c>
      <c r="YA38" s="215" t="s">
        <v>2865</v>
      </c>
      <c r="YB38" s="142" t="s">
        <v>2879</v>
      </c>
      <c r="YC38" s="142" t="s">
        <v>3400</v>
      </c>
      <c r="YG38" s="58" t="s">
        <v>1781</v>
      </c>
      <c r="YH38" s="58" t="s">
        <v>187</v>
      </c>
      <c r="YI38" s="215" t="s">
        <v>1783</v>
      </c>
      <c r="YJ38" s="215" t="s">
        <v>1863</v>
      </c>
      <c r="YK38" s="215" t="str">
        <f>""</f>
        <v/>
      </c>
      <c r="YL38" s="249" t="str">
        <f>""</f>
        <v/>
      </c>
      <c r="YM38" s="249" t="str">
        <f>""</f>
        <v/>
      </c>
      <c r="YN38" s="249" t="str">
        <f>""</f>
        <v/>
      </c>
      <c r="YO38" s="249"/>
      <c r="YP38" s="249"/>
      <c r="YQ38" s="215"/>
      <c r="YR38" s="215"/>
      <c r="YS38" s="215"/>
      <c r="YT38" s="18" t="s">
        <v>309</v>
      </c>
      <c r="YU38" s="18">
        <v>16</v>
      </c>
      <c r="YV38" s="18" t="str">
        <f ca="1">VLOOKUP(YY38,$ZJ$2:$ZP$23,$ZJ$1,FALSE)</f>
        <v/>
      </c>
      <c r="YW38" s="18" t="str">
        <f ca="1">IF(YX38="","",MAX($YW$1:YW37)+1)</f>
        <v/>
      </c>
      <c r="YX38" s="59" t="str">
        <f t="shared" ca="1" si="149"/>
        <v/>
      </c>
      <c r="YY38" s="18" t="str">
        <f t="shared" ca="1" si="150"/>
        <v/>
      </c>
      <c r="ZR38"/>
    </row>
    <row r="39" spans="31:694" ht="9.9499999999999993" customHeight="1" x14ac:dyDescent="0.2">
      <c r="AO39" s="18">
        <f t="shared" si="119"/>
        <v>38</v>
      </c>
      <c r="AP39" s="59" t="str">
        <f t="shared" si="138"/>
        <v/>
      </c>
      <c r="AQ39" s="59" t="str">
        <f>""</f>
        <v/>
      </c>
      <c r="AR39" s="59" t="s">
        <v>1077</v>
      </c>
      <c r="AS39" s="59" t="s">
        <v>2448</v>
      </c>
      <c r="AT39" s="59" t="s">
        <v>1103</v>
      </c>
      <c r="AU39" s="59" t="s">
        <v>2482</v>
      </c>
      <c r="AV39" s="59" t="s">
        <v>1141</v>
      </c>
      <c r="AW39" s="59" t="s">
        <v>2528</v>
      </c>
      <c r="AX39" s="59" t="s">
        <v>2561</v>
      </c>
      <c r="AY39" s="58" t="s">
        <v>1173</v>
      </c>
      <c r="AZ39" s="58" t="s">
        <v>2597</v>
      </c>
      <c r="BA39" s="254" t="s">
        <v>1040</v>
      </c>
      <c r="BB39" s="385" t="s">
        <v>2623</v>
      </c>
      <c r="BC39" s="58" t="s">
        <v>1199</v>
      </c>
      <c r="BD39" s="58" t="s">
        <v>2391</v>
      </c>
      <c r="BE39" s="18" t="str">
        <f>""</f>
        <v/>
      </c>
      <c r="BJ39" s="70"/>
      <c r="BK39" s="70"/>
      <c r="BL39" s="48"/>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48"/>
      <c r="CN39" s="48"/>
      <c r="CO39" s="48"/>
      <c r="CP39" s="48"/>
      <c r="CQ39" s="48"/>
      <c r="CR39" s="48"/>
      <c r="CS39" s="48"/>
      <c r="CT39" s="48"/>
      <c r="CU39" s="48"/>
      <c r="CV39" s="48"/>
      <c r="CW39" s="48"/>
      <c r="CX39" s="48"/>
      <c r="CY39" s="48"/>
      <c r="CZ39" s="48"/>
      <c r="DA39" s="48"/>
      <c r="DB39" s="48"/>
      <c r="DC39" s="48"/>
      <c r="DD39" s="48"/>
      <c r="DE39" s="48"/>
      <c r="DF39" s="48"/>
      <c r="DG39" s="104"/>
      <c r="DH39" s="104"/>
      <c r="DI39" s="104"/>
      <c r="DJ39" s="104"/>
      <c r="DK39" s="104"/>
      <c r="DL39" s="393" t="s">
        <v>311</v>
      </c>
      <c r="DM39" s="391" t="s">
        <v>309</v>
      </c>
      <c r="DN39" s="391">
        <f t="shared" ca="1" si="121"/>
        <v>0</v>
      </c>
      <c r="DO39" s="392" t="str">
        <f>""</f>
        <v/>
      </c>
      <c r="DP39" s="429" t="str">
        <f>"• Oath Spells
"&amp;EI39&amp;"
"</f>
        <v xml:space="preserve">• Oath Spells
</v>
      </c>
      <c r="DQ39" s="429" t="str">
        <f>"• Sacred Oath Feature (Channel Divinity: Abjure Enemy, Vow of Enmity)
• Tenets of Vengence: Fight the Greater Evil. No Mercy for the Wicked. By Any Means Necessary. Restitution.
"</f>
        <v xml:space="preserve">• Sacred Oath Feature (Channel Divinity: Abjure Enemy, Vow of Enmity)
• Tenets of Vengence: Fight the Greater Evil. No Mercy for the Wicked. By Any Means Necessary. Restitution.
</v>
      </c>
      <c r="DR39" s="393" t="str">
        <f>""</f>
        <v/>
      </c>
      <c r="DS39" s="393" t="str">
        <f>""</f>
        <v/>
      </c>
      <c r="DT39" s="393" t="str">
        <f>""</f>
        <v/>
      </c>
      <c r="DU39" s="393" t="str">
        <f>"• Sacred Oath Feature (Relentless Avenger)
"</f>
        <v xml:space="preserve">• Sacred Oath Feature (Relentless Avenger)
</v>
      </c>
      <c r="DV39" s="393" t="str">
        <f>""</f>
        <v/>
      </c>
      <c r="DW39" s="393" t="str">
        <f>""</f>
        <v/>
      </c>
      <c r="DX39" s="393" t="str">
        <f>""</f>
        <v/>
      </c>
      <c r="DY39" s="393" t="str">
        <f>""</f>
        <v/>
      </c>
      <c r="DZ39" s="393" t="str">
        <f>""</f>
        <v/>
      </c>
      <c r="EA39" s="393" t="str">
        <f>""</f>
        <v/>
      </c>
      <c r="EB39" s="393" t="str">
        <f>""</f>
        <v/>
      </c>
      <c r="EC39" s="393" t="str">
        <f>"• Sacred Oath Feature (Soul of Vengeance)
"</f>
        <v xml:space="preserve">• Sacred Oath Feature (Soul of Vengeance)
</v>
      </c>
      <c r="ED39" s="393" t="str">
        <f>""</f>
        <v/>
      </c>
      <c r="EE39" s="393" t="str">
        <f>""</f>
        <v/>
      </c>
      <c r="EF39" s="393" t="str">
        <f>""</f>
        <v/>
      </c>
      <c r="EG39" s="393" t="str">
        <f>""</f>
        <v/>
      </c>
      <c r="EH39" s="393" t="str">
        <f>"• Sacred Oath Feature (Avenging Angel)
"</f>
        <v xml:space="preserve">• Sacred Oath Feature (Avenging Angel)
</v>
      </c>
      <c r="EI39" s="445" t="str">
        <f>IF(PaladinLevel&gt;=17,"  3rd (bane, hunter's mark)
  5th (hold person, misty step)
  9th (haste, protection from energy)
  13th (banishment, dimension door)
  17th (hold monster, scrying)",IF(PaladinLevel&gt;=13,"  3rd (bane, hunter's mark)
  5th (hold person, misty step)
  9th (haste, protection from energy)
  13th (banishment, dimension door)",IF(PaladinLevel&gt;=9,"  3rd (bane, hunter's mark)
  5th (hold person, misty step)
  9th (haste, protection from energy)",IF(PaladinLevel&gt;=5,"  3rd (bane, hunter's mark)
  5th (hold person, misty step)",IF(PaladinLevel&gt;=3,"  3rd (bane, hunter's mark)","")))))</f>
        <v/>
      </c>
      <c r="EJ39" s="445" t="str">
        <f>IF(PaladinLevel&gt;=3,$DM39&amp;" (bane, hunter's mark)
","")</f>
        <v/>
      </c>
      <c r="EK39" s="445"/>
      <c r="EL39" s="445" t="str">
        <f>IF(PaladinLevel&gt;=5,$DM39&amp;" (hold person, misty step)
","")</f>
        <v/>
      </c>
      <c r="EM39" s="445"/>
      <c r="EN39" s="445" t="str">
        <f>IF(PaladinLevel&gt;=9,$DM39&amp;" (haste, protection from energy)
","")</f>
        <v/>
      </c>
      <c r="EO39" s="445"/>
      <c r="EP39" s="445" t="str">
        <f>IF(PaladinLevel&gt;=13,$DM39&amp;" (banishment, dimension door)
","")</f>
        <v/>
      </c>
      <c r="EQ39" s="445"/>
      <c r="ER39" s="445" t="str">
        <f>IF(PaladinLevel&gt;=17,$DM39&amp;" (hold monster, scrying)
","")</f>
        <v/>
      </c>
      <c r="ES39" s="445"/>
      <c r="ET39" s="393" t="str">
        <f>""</f>
        <v/>
      </c>
      <c r="EU39" s="391" t="str">
        <f>""</f>
        <v/>
      </c>
      <c r="EV39" s="393" t="str">
        <f>""</f>
        <v/>
      </c>
      <c r="EW39" s="391" t="str">
        <f>""</f>
        <v/>
      </c>
      <c r="EX39" s="393" t="str">
        <f>""</f>
        <v/>
      </c>
      <c r="EY39" s="391" t="str">
        <f>""</f>
        <v/>
      </c>
      <c r="FA39" s="18" t="str">
        <f>IF($DM39=FB$5,MAX(FA$6:FA38)+1,"")</f>
        <v/>
      </c>
      <c r="FB39" s="58" t="str">
        <f t="shared" si="122"/>
        <v/>
      </c>
      <c r="FE39" s="18" t="str">
        <f>IF($DM39=FF$5,MAX(FE$6:FE38)+1,"")</f>
        <v/>
      </c>
      <c r="FF39" s="58" t="str">
        <f t="shared" si="123"/>
        <v/>
      </c>
      <c r="FI39" s="18" t="str">
        <f>IF($DM39=FJ$5,MAX(FI$6:FI38)+1,"")</f>
        <v/>
      </c>
      <c r="FJ39" s="58" t="str">
        <f t="shared" si="151"/>
        <v/>
      </c>
      <c r="FX39" s="104"/>
      <c r="FY39" s="104"/>
      <c r="FZ39" s="104"/>
      <c r="GA39" s="104"/>
      <c r="GB39" s="104"/>
      <c r="GC39" s="104"/>
      <c r="GD39" s="104"/>
      <c r="GE39" s="104"/>
      <c r="GF39" s="104"/>
      <c r="GG39" s="104"/>
      <c r="GH39" s="104"/>
      <c r="GI39" s="104"/>
      <c r="GJ39" s="104"/>
      <c r="GQ39" s="59"/>
      <c r="GR39" s="59"/>
      <c r="GZ39" s="59"/>
      <c r="HA39" s="59"/>
      <c r="HB39" s="59"/>
      <c r="HC39" s="59"/>
      <c r="HD39" s="59"/>
      <c r="HE39" s="59"/>
      <c r="HF39" s="59"/>
      <c r="HG39" s="59"/>
      <c r="HH39" s="59"/>
      <c r="HI39" s="59"/>
      <c r="HJ39" s="59"/>
      <c r="HK39" s="59" t="s">
        <v>2927</v>
      </c>
      <c r="HL39" s="59" t="s">
        <v>2905</v>
      </c>
      <c r="HM39" s="59" t="s">
        <v>2941</v>
      </c>
      <c r="HN39" s="59"/>
      <c r="HO39" s="59"/>
      <c r="HP39" s="59"/>
      <c r="HQ39" s="59"/>
      <c r="HR39" s="59"/>
      <c r="HS39" s="59"/>
      <c r="HT39" s="59"/>
      <c r="HU39" s="59"/>
      <c r="HV39" s="59"/>
      <c r="HW39" s="59"/>
      <c r="HX39" s="59"/>
      <c r="HY39" s="59"/>
      <c r="HZ39" s="59"/>
      <c r="IA39" s="59"/>
      <c r="IB39" s="59"/>
      <c r="IC39" s="59"/>
      <c r="ID39" s="59"/>
      <c r="IE39" s="59"/>
      <c r="IF39" s="59"/>
      <c r="IG39" s="59"/>
      <c r="IH39" s="59" t="str">
        <f>IF(IJ39=TRUE,MAX($IH$2:IH38)+1,"")</f>
        <v/>
      </c>
      <c r="II39" s="59"/>
      <c r="IJ39" s="59"/>
      <c r="IK39" s="59"/>
      <c r="IL39" s="59"/>
      <c r="IM39" s="59"/>
      <c r="IN39" s="59"/>
      <c r="IO39" s="59"/>
      <c r="IP39" s="59"/>
      <c r="IQ39" s="59"/>
      <c r="IR39" s="59"/>
      <c r="IS39" s="59"/>
      <c r="IT39" s="59"/>
      <c r="IU39" s="59"/>
      <c r="IX39" s="59" t="s">
        <v>1505</v>
      </c>
      <c r="IY39" s="59" t="s">
        <v>965</v>
      </c>
      <c r="IZ39" s="59" t="s">
        <v>196</v>
      </c>
      <c r="JA39" s="59" t="s">
        <v>284</v>
      </c>
      <c r="JB39" s="59" t="s">
        <v>927</v>
      </c>
      <c r="JI39" s="60"/>
      <c r="JJ39" s="60"/>
      <c r="JM39" s="296">
        <v>7</v>
      </c>
      <c r="JN39" s="296">
        <v>4</v>
      </c>
      <c r="JO39" s="296">
        <v>3</v>
      </c>
      <c r="JP39" s="296">
        <v>3</v>
      </c>
      <c r="JQ39" s="296">
        <v>1</v>
      </c>
      <c r="JR39" s="302" t="s">
        <v>140</v>
      </c>
      <c r="JS39" s="302" t="s">
        <v>140</v>
      </c>
      <c r="JT39" s="302" t="s">
        <v>140</v>
      </c>
      <c r="JU39" s="302" t="s">
        <v>140</v>
      </c>
      <c r="JV39" s="302" t="s">
        <v>140</v>
      </c>
      <c r="JW39" s="98">
        <v>4</v>
      </c>
      <c r="JX39" s="302"/>
      <c r="JY39" s="302"/>
      <c r="KT39" s="276" t="s">
        <v>2853</v>
      </c>
      <c r="KU39" s="80" t="str">
        <f t="shared" si="128"/>
        <v>No</v>
      </c>
      <c r="KV39" s="89" t="s">
        <v>333</v>
      </c>
      <c r="KW39" s="455"/>
      <c r="KX39" s="455"/>
      <c r="KY39" s="455"/>
      <c r="KZ39" s="455"/>
      <c r="LA39" s="455"/>
      <c r="LB39" s="92"/>
      <c r="LC39" s="455"/>
      <c r="LD39" s="455"/>
      <c r="LE39" s="455"/>
      <c r="LF39" s="455"/>
      <c r="LG39" s="455"/>
      <c r="LH39" s="455"/>
      <c r="LI39" s="455"/>
      <c r="LJ39" s="455"/>
      <c r="LK39" s="455"/>
      <c r="LL39" s="455"/>
      <c r="LM39" s="455"/>
      <c r="LN39" s="455"/>
      <c r="LO39" s="455"/>
      <c r="LP39" s="455"/>
      <c r="LQ39" s="92"/>
      <c r="LR39" s="455"/>
      <c r="LS39" s="455"/>
      <c r="LT39" s="92"/>
      <c r="LU39" s="92"/>
      <c r="LV39" s="455"/>
      <c r="LW39" s="455"/>
      <c r="LX39" s="455"/>
      <c r="LY39" s="92"/>
      <c r="LZ39" s="92"/>
      <c r="MA39" s="92"/>
      <c r="MB39" s="92"/>
      <c r="MC39" s="92"/>
      <c r="MD39" s="92"/>
      <c r="ME39" s="92"/>
      <c r="MF39" s="92"/>
      <c r="MG39" s="92"/>
      <c r="MH39" s="92"/>
      <c r="MI39" s="92"/>
      <c r="MJ39" s="92"/>
      <c r="MK39" s="92"/>
      <c r="ML39" s="456"/>
      <c r="MM39" s="456"/>
      <c r="MN39" s="456"/>
      <c r="MO39" s="456"/>
      <c r="MP39" s="456"/>
      <c r="MQ39" s="456"/>
      <c r="MR39" s="456"/>
      <c r="MS39" s="456"/>
      <c r="MT39" s="456"/>
      <c r="MU39" s="456"/>
      <c r="MV39" s="456"/>
      <c r="MW39" s="456"/>
      <c r="MX39" s="456"/>
      <c r="MY39" s="456"/>
      <c r="MZ39" s="456"/>
      <c r="NA39" s="456"/>
      <c r="NB39" s="456"/>
      <c r="NC39" s="456"/>
      <c r="ND39" s="456"/>
      <c r="NE39" s="456"/>
      <c r="NF39" s="456"/>
      <c r="NG39" s="456"/>
      <c r="NH39" s="456"/>
      <c r="NI39" s="456"/>
      <c r="NJ39" s="456"/>
      <c r="NK39" s="456"/>
      <c r="NL39" s="456"/>
      <c r="NM39" s="456"/>
      <c r="NN39" s="456"/>
      <c r="NO39" s="456"/>
      <c r="NP39" s="456"/>
      <c r="NQ39" s="456"/>
      <c r="NR39" s="456"/>
      <c r="NS39" s="456"/>
      <c r="NT39" s="456"/>
      <c r="NU39" s="456"/>
      <c r="NV39" s="456"/>
      <c r="NW39" s="456"/>
      <c r="NX39" s="456"/>
      <c r="NY39" s="456"/>
      <c r="NZ39" s="456"/>
      <c r="OA39" s="456"/>
      <c r="OB39" s="456"/>
      <c r="OC39" s="456"/>
      <c r="OD39" s="456"/>
      <c r="OE39" s="456"/>
      <c r="OF39" s="456"/>
      <c r="OG39" s="456"/>
      <c r="OH39" s="456"/>
      <c r="OI39" s="456"/>
      <c r="OJ39" s="456"/>
      <c r="OK39" s="456"/>
      <c r="OL39" s="456"/>
      <c r="OM39" s="456"/>
      <c r="ON39" s="456"/>
      <c r="OO39" s="456"/>
      <c r="OP39" s="456"/>
      <c r="OQ39" s="456"/>
      <c r="OR39" s="456"/>
      <c r="OS39" s="456"/>
      <c r="OT39" s="456"/>
      <c r="OU39" s="456"/>
      <c r="OV39" s="456"/>
      <c r="OW39" s="456"/>
      <c r="OX39" s="456"/>
      <c r="OY39" s="456"/>
      <c r="OZ39" s="456"/>
      <c r="PA39" s="456"/>
      <c r="PB39" s="456"/>
      <c r="PC39" s="456"/>
      <c r="PD39" s="456"/>
      <c r="PE39" s="456"/>
      <c r="PF39" s="456"/>
      <c r="PG39" s="456"/>
      <c r="PH39" s="456"/>
      <c r="PI39" s="456"/>
      <c r="PJ39" s="456"/>
      <c r="PK39" s="456"/>
      <c r="PL39" s="456"/>
      <c r="PM39" s="456"/>
      <c r="PN39" s="456"/>
      <c r="PO39" s="456"/>
      <c r="PP39" s="456"/>
      <c r="PQ39" s="456"/>
      <c r="PR39" s="456"/>
      <c r="PS39" s="456" t="str">
        <f>IF(COUNTIF(Start!$AX$59:$BF$68,Tables!KT39)&gt;0,Tables!KT39,"")</f>
        <v/>
      </c>
      <c r="PT39" s="456"/>
      <c r="PU39" s="59" t="str">
        <f t="shared" si="129"/>
        <v/>
      </c>
      <c r="PV39" s="59" t="str">
        <f>IF(PU39="","",IF(COUNTIF(PU39:$PU$57,"&gt;&lt;")&gt;1,PU39&amp;", ", PU39))</f>
        <v/>
      </c>
      <c r="PW39" s="59"/>
      <c r="PX39" s="59"/>
      <c r="PZ39" s="19" t="s">
        <v>162</v>
      </c>
      <c r="QA39" s="19" t="s">
        <v>167</v>
      </c>
      <c r="QB39" s="27" t="str">
        <f t="shared" ca="1" si="79"/>
        <v>not proficient</v>
      </c>
      <c r="QC39" s="67">
        <f>IF(MonkLevel&gt;=17,"1d10",IF(MonkLevel&gt;=11,"1d8",IF(MonkLevel&gt;=5,"1d6",IF(OR(PN1&gt;0,MonkLevel&gt;=1),"1d4",1))))</f>
        <v>1</v>
      </c>
      <c r="QD39" s="19" t="s">
        <v>107</v>
      </c>
      <c r="QE39" s="26" t="s">
        <v>140</v>
      </c>
      <c r="QF39" s="26" t="s">
        <v>140</v>
      </c>
      <c r="QG39" s="26" t="str">
        <f>""</f>
        <v/>
      </c>
      <c r="QH39" s="26" t="str">
        <f>""</f>
        <v/>
      </c>
      <c r="QI39" s="26" t="str">
        <f>""</f>
        <v/>
      </c>
      <c r="QJ39" s="26" t="str">
        <f>""</f>
        <v/>
      </c>
      <c r="QK39" s="26" t="str">
        <f>""</f>
        <v/>
      </c>
      <c r="QL39" s="26" t="str">
        <f>""</f>
        <v/>
      </c>
      <c r="QM39" s="26" t="str">
        <f>""</f>
        <v/>
      </c>
      <c r="QN39" s="26" t="str">
        <f>""</f>
        <v/>
      </c>
      <c r="QO39" s="26" t="str">
        <f>""</f>
        <v/>
      </c>
      <c r="QP39" s="26" t="str">
        <f>""</f>
        <v/>
      </c>
      <c r="QQ39" s="27" t="str">
        <f>""</f>
        <v/>
      </c>
      <c r="QR39" s="27" t="str">
        <f>""</f>
        <v/>
      </c>
      <c r="SR39" s="19"/>
      <c r="SS39" s="19"/>
      <c r="ST39" s="19"/>
      <c r="SU39" s="26"/>
      <c r="SV39" s="44"/>
      <c r="SW39" s="68"/>
      <c r="SX39" s="26"/>
      <c r="SY39" s="27"/>
      <c r="SZ39" s="26"/>
      <c r="TA39" s="19"/>
      <c r="TB39" s="19"/>
      <c r="TC39" s="19"/>
      <c r="TD39" s="44"/>
      <c r="TE39" s="26"/>
      <c r="TF39" s="68"/>
      <c r="TG39" s="26"/>
      <c r="TH39" s="27"/>
      <c r="TI39" s="27"/>
      <c r="TJ39" s="18">
        <f t="shared" si="115"/>
        <v>37</v>
      </c>
      <c r="TK39" s="58" t="s">
        <v>1317</v>
      </c>
      <c r="TL39" s="58" t="s">
        <v>459</v>
      </c>
      <c r="TM39" s="18">
        <v>2</v>
      </c>
      <c r="TN39" s="59" t="str">
        <f t="shared" si="137"/>
        <v xml:space="preserve">Blindness/Deafness ᴴ </v>
      </c>
      <c r="TO39" s="350" t="s">
        <v>2991</v>
      </c>
      <c r="TP39" s="18" t="str">
        <f t="shared" si="48"/>
        <v/>
      </c>
      <c r="TQ39" s="18" t="str">
        <f>IF(OR(TK39=Spellcasting!$AC$18,TK39=Spellcasting!$AC$19),"ᵐ","")</f>
        <v/>
      </c>
      <c r="TR39" s="18" t="str">
        <f>IF(OR(TK39=Spellcasting!$AC$20,TK39=Spellcasting!$AC$21),"ˢ","")</f>
        <v/>
      </c>
      <c r="TS39" s="18" t="str">
        <f>""</f>
        <v/>
      </c>
      <c r="TT39" s="18" t="s">
        <v>484</v>
      </c>
      <c r="TU39" s="18" t="s">
        <v>851</v>
      </c>
      <c r="TV39" s="18" t="s">
        <v>503</v>
      </c>
      <c r="TW39" s="18" t="s">
        <v>541</v>
      </c>
      <c r="TX39" s="59" t="str">
        <f>""</f>
        <v/>
      </c>
      <c r="TY39" s="18" t="s">
        <v>506</v>
      </c>
      <c r="TZ39" s="18" t="s">
        <v>507</v>
      </c>
      <c r="UA39" s="142" t="s">
        <v>3146</v>
      </c>
      <c r="UB39" s="319" t="s">
        <v>1318</v>
      </c>
      <c r="UC39" s="18" t="str">
        <f ca="1">IF(UC$1&gt;=$TM39,1,"0")</f>
        <v>0</v>
      </c>
      <c r="UF39" s="18" t="str">
        <f ca="1">IF(UF$1&gt;=$TM39,1,"0")</f>
        <v>0</v>
      </c>
      <c r="UH39" s="18" t="str">
        <f ca="1">IF(UH$1&gt;=$TM39,1,"0")</f>
        <v>0</v>
      </c>
      <c r="UL39" s="18" t="str">
        <f ca="1">IF(UL$1&gt;=$TM39,1,"0")</f>
        <v>0</v>
      </c>
      <c r="UW39" s="18" t="str">
        <f>IF(UW$1&gt;=$TM39,1,"0")</f>
        <v>0</v>
      </c>
      <c r="WD39" s="18" t="str">
        <f ca="1">IF(SUM($VZ$1:$WC$1)&gt;0,IF(AND(SUM($VZ39:$WC39)&gt;0,$TM39=WE$1),MAX(WD$2:WD38)+1,""),IF(AND(SUM($UC39:$VY39)&gt;0,$TM39=WE$1),MAX(WD$2:WD38)+1,""))</f>
        <v/>
      </c>
      <c r="WE39" s="59" t="str">
        <f t="shared" ca="1" si="80"/>
        <v/>
      </c>
      <c r="WF39" s="18" t="str">
        <f ca="1">IF(AND(SUM($UB39:$VY39)&gt;0,$TM39=WG$1),MAX(WF$2:WF38)+1,"")</f>
        <v/>
      </c>
      <c r="WG39" s="59" t="str">
        <f t="shared" ca="1" si="81"/>
        <v/>
      </c>
      <c r="WH39" s="18" t="str">
        <f ca="1">IF(AND(SUM($UB39:$VY39)&gt;0,$TM39=WI$1),MAX(WH$2:WH38)+1,"")</f>
        <v/>
      </c>
      <c r="WI39" s="59" t="str">
        <f t="shared" ca="1" si="82"/>
        <v/>
      </c>
      <c r="WJ39" s="18" t="str">
        <f ca="1">IF(AND(SUM($UB39:$VY39)&gt;0,$TM39=WK$1),MAX(WJ$2:WJ38)+1,"")</f>
        <v/>
      </c>
      <c r="WK39" s="59" t="str">
        <f t="shared" ca="1" si="83"/>
        <v/>
      </c>
      <c r="WL39" s="18" t="str">
        <f ca="1">IF(AND(SUM($UB39:$VY39)&gt;0,$TM39=WM$1),MAX(WL$2:WL38)+1,"")</f>
        <v/>
      </c>
      <c r="WM39" s="59" t="str">
        <f t="shared" ca="1" si="84"/>
        <v/>
      </c>
      <c r="WN39" s="18" t="str">
        <f ca="1">IF(AND(SUM($UB39:$VY39)&gt;0,$TM39=WO$1),MAX(WN$2:WN38)+1,"")</f>
        <v/>
      </c>
      <c r="WO39" s="59" t="str">
        <f t="shared" ca="1" si="85"/>
        <v/>
      </c>
      <c r="WP39" s="18" t="str">
        <f ca="1">IF(AND(SUM($UB39:$VY39)&gt;0,$TM39=WQ$1),MAX(WP$2:WP38)+1,"")</f>
        <v/>
      </c>
      <c r="WQ39" s="59" t="str">
        <f t="shared" ca="1" si="86"/>
        <v/>
      </c>
      <c r="WR39" s="18" t="str">
        <f ca="1">IF(AND(SUM($UB39:$VY39)&gt;0,$TM39=WS$1),MAX(WR$2:WR38)+1,"")</f>
        <v/>
      </c>
      <c r="WS39" s="59" t="str">
        <f t="shared" ca="1" si="87"/>
        <v/>
      </c>
      <c r="WT39" s="18" t="str">
        <f ca="1">IF(AND(SUM($UB39:$VY39)&gt;0,$TM39=WU$1),MAX(WT$2:WT38)+1,"")</f>
        <v/>
      </c>
      <c r="WU39" s="59" t="str">
        <f t="shared" ca="1" si="88"/>
        <v/>
      </c>
      <c r="WV39" s="18" t="str">
        <f ca="1">IF(AND(SUM($UB39:$VY39)&gt;0,$TM39=WW$1),MAX(WV$2:WV38)+1,"")</f>
        <v/>
      </c>
      <c r="WW39" s="59" t="str">
        <f t="shared" ca="1" si="89"/>
        <v/>
      </c>
      <c r="WX39" s="18" t="str">
        <f ca="1">IF(AND(SUM($UB39:$VY39)&gt;0,$TM39=WY$1),MAX(WX$2:WX38)+1,"")</f>
        <v/>
      </c>
      <c r="WY39" s="59" t="str">
        <f t="shared" ca="1" si="90"/>
        <v/>
      </c>
      <c r="WZ39" s="18">
        <v>38</v>
      </c>
      <c r="XA39" s="59" t="str">
        <f t="shared" ca="1" si="91"/>
        <v/>
      </c>
      <c r="XB39" s="59" t="str">
        <f t="shared" ca="1" si="139"/>
        <v/>
      </c>
      <c r="XC39" s="59" t="str">
        <f t="shared" ca="1" si="140"/>
        <v/>
      </c>
      <c r="XD39" s="59" t="str">
        <f t="shared" ca="1" si="141"/>
        <v/>
      </c>
      <c r="XE39" s="59" t="str">
        <f t="shared" ca="1" si="142"/>
        <v/>
      </c>
      <c r="XF39" s="59" t="str">
        <f t="shared" ca="1" si="143"/>
        <v/>
      </c>
      <c r="XG39" s="59" t="str">
        <f t="shared" ca="1" si="144"/>
        <v/>
      </c>
      <c r="XH39" s="59" t="str">
        <f t="shared" ca="1" si="145"/>
        <v/>
      </c>
      <c r="XI39" s="59" t="str">
        <f t="shared" ca="1" si="146"/>
        <v/>
      </c>
      <c r="XJ39" s="59" t="str">
        <f t="shared" ca="1" si="147"/>
        <v/>
      </c>
      <c r="XK39" s="59" t="str">
        <f t="shared" ca="1" si="148"/>
        <v/>
      </c>
      <c r="XL39" s="18" t="str">
        <f>IF(Start!$AJ$54=Tables!$IS$4,1,"")</f>
        <v/>
      </c>
      <c r="XM39" s="59" t="str">
        <f>IF(XL39=1,MAX($XM$27:XM38)+1,"")</f>
        <v/>
      </c>
      <c r="XN39" s="58" t="s">
        <v>3377</v>
      </c>
      <c r="XO39" s="58" t="s">
        <v>3387</v>
      </c>
      <c r="XP39" s="18" t="s">
        <v>3070</v>
      </c>
      <c r="XQ39" s="18">
        <v>13</v>
      </c>
      <c r="XR39" s="18">
        <v>7</v>
      </c>
      <c r="XS39" s="59" t="s">
        <v>3388</v>
      </c>
      <c r="XT39" s="18">
        <v>6</v>
      </c>
      <c r="XU39" s="18">
        <v>15</v>
      </c>
      <c r="XV39" s="18">
        <v>13</v>
      </c>
      <c r="XW39" s="18">
        <v>10</v>
      </c>
      <c r="XX39" s="18">
        <v>12</v>
      </c>
      <c r="XY39" s="18">
        <v>10</v>
      </c>
      <c r="XZ39" s="59" t="s">
        <v>1739</v>
      </c>
      <c r="YA39" s="215" t="s">
        <v>3407</v>
      </c>
      <c r="YB39" s="142" t="s">
        <v>3389</v>
      </c>
      <c r="YC39" s="142" t="s">
        <v>3404</v>
      </c>
      <c r="YG39" s="58" t="s">
        <v>761</v>
      </c>
      <c r="YH39" s="58" t="s">
        <v>187</v>
      </c>
      <c r="YI39" s="215" t="s">
        <v>2358</v>
      </c>
      <c r="YJ39" s="215" t="s">
        <v>3449</v>
      </c>
      <c r="YK39" s="215" t="str">
        <f>""</f>
        <v/>
      </c>
      <c r="YL39" s="249" t="str">
        <f>""</f>
        <v/>
      </c>
      <c r="YM39" s="249" t="str">
        <f>""</f>
        <v/>
      </c>
      <c r="YN39" s="249" t="str">
        <f>""</f>
        <v/>
      </c>
      <c r="YO39" s="249"/>
      <c r="YP39" s="249"/>
      <c r="YQ39" s="215"/>
      <c r="YR39" s="215"/>
      <c r="YS39" s="215"/>
      <c r="YT39" s="18" t="s">
        <v>309</v>
      </c>
      <c r="YU39" s="18">
        <v>19</v>
      </c>
      <c r="YV39" s="18" t="str">
        <f ca="1">VLOOKUP(YY39,$ZJ$2:$ZP$23,$ZJ$1,FALSE)</f>
        <v/>
      </c>
      <c r="YW39" s="18" t="str">
        <f ca="1">IF(YX39="","",MAX($YW$1:YW38)+1)</f>
        <v/>
      </c>
      <c r="YX39" s="59" t="str">
        <f t="shared" ca="1" si="149"/>
        <v/>
      </c>
      <c r="YY39" s="18" t="str">
        <f t="shared" ca="1" si="150"/>
        <v/>
      </c>
      <c r="ZR39"/>
    </row>
    <row r="40" spans="31:694" ht="9.9499999999999993" customHeight="1" x14ac:dyDescent="0.2">
      <c r="AO40" s="18">
        <f t="shared" si="119"/>
        <v>39</v>
      </c>
      <c r="AP40" s="59" t="str">
        <f t="shared" si="138"/>
        <v/>
      </c>
      <c r="AQ40" s="59" t="str">
        <f>""</f>
        <v/>
      </c>
      <c r="AR40" s="59" t="str">
        <f>""</f>
        <v/>
      </c>
      <c r="AS40" s="59" t="str">
        <f>""</f>
        <v/>
      </c>
      <c r="AT40" s="59" t="str">
        <f>""</f>
        <v/>
      </c>
      <c r="AU40" s="59" t="str">
        <f>""</f>
        <v/>
      </c>
      <c r="AV40" s="59" t="str">
        <f>""</f>
        <v/>
      </c>
      <c r="AW40" s="59" t="str">
        <f>""</f>
        <v/>
      </c>
      <c r="AX40" s="59" t="str">
        <f>""</f>
        <v/>
      </c>
      <c r="AY40" s="59" t="str">
        <f>""</f>
        <v/>
      </c>
      <c r="AZ40" s="59" t="str">
        <f>""</f>
        <v/>
      </c>
      <c r="BA40" s="59" t="str">
        <f>""</f>
        <v/>
      </c>
      <c r="BB40" s="59" t="str">
        <f>""</f>
        <v/>
      </c>
      <c r="BC40" s="59" t="str">
        <f>""</f>
        <v/>
      </c>
      <c r="BD40" s="59" t="str">
        <f>""</f>
        <v/>
      </c>
      <c r="BE40" s="18" t="str">
        <f>""</f>
        <v/>
      </c>
      <c r="BJ40" s="70"/>
      <c r="BK40" s="70"/>
      <c r="BL40" s="48"/>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48"/>
      <c r="CN40" s="48"/>
      <c r="CO40" s="48"/>
      <c r="CP40" s="48"/>
      <c r="CQ40" s="48"/>
      <c r="CR40" s="48"/>
      <c r="CS40" s="48"/>
      <c r="CT40" s="48"/>
      <c r="CU40" s="48"/>
      <c r="CV40" s="48"/>
      <c r="CW40" s="48"/>
      <c r="CX40" s="48"/>
      <c r="CY40" s="48"/>
      <c r="CZ40" s="48"/>
      <c r="DA40" s="48"/>
      <c r="DB40" s="48"/>
      <c r="DC40" s="48"/>
      <c r="DD40" s="48"/>
      <c r="DE40" s="48"/>
      <c r="DF40" s="48"/>
      <c r="DG40" s="104"/>
      <c r="DH40" s="104"/>
      <c r="DI40" s="104"/>
      <c r="DJ40" s="104"/>
      <c r="DK40" s="104"/>
      <c r="DL40" s="393" t="s">
        <v>2956</v>
      </c>
      <c r="DM40" s="391" t="s">
        <v>312</v>
      </c>
      <c r="DN40" s="391">
        <f t="shared" ca="1" si="121"/>
        <v>0</v>
      </c>
      <c r="DO40" s="392" t="str">
        <f>""</f>
        <v/>
      </c>
      <c r="DP40" s="393" t="str">
        <f>""</f>
        <v/>
      </c>
      <c r="DQ40" s="392" t="str">
        <f>"Hunter's Prey: "&amp;IA4</f>
        <v>Hunter's Prey: Select…</v>
      </c>
      <c r="DR40" s="393" t="str">
        <f>""</f>
        <v/>
      </c>
      <c r="DS40" s="393" t="str">
        <f>""</f>
        <v/>
      </c>
      <c r="DT40" s="393" t="str">
        <f>""</f>
        <v/>
      </c>
      <c r="DU40" s="393" t="str">
        <f>"Defensive Tactics: "&amp;IA5</f>
        <v>Defensive Tactics: Select…</v>
      </c>
      <c r="DV40" s="393" t="str">
        <f>""</f>
        <v/>
      </c>
      <c r="DW40" s="393" t="str">
        <f>""</f>
        <v/>
      </c>
      <c r="DX40" s="393" t="str">
        <f>""</f>
        <v/>
      </c>
      <c r="DY40" s="393" t="str">
        <f>"Multiattack: "&amp;IA6</f>
        <v>Multiattack: Select…</v>
      </c>
      <c r="DZ40" s="393" t="str">
        <f>""</f>
        <v/>
      </c>
      <c r="EA40" s="393" t="str">
        <f>""</f>
        <v/>
      </c>
      <c r="EB40" s="393" t="str">
        <f>""</f>
        <v/>
      </c>
      <c r="EC40" s="393" t="str">
        <f>"Superior Defense: "&amp;IA7</f>
        <v>Superior Defense: Select…</v>
      </c>
      <c r="ED40" s="393" t="str">
        <f>""</f>
        <v/>
      </c>
      <c r="EE40" s="393" t="str">
        <f>""</f>
        <v/>
      </c>
      <c r="EF40" s="393" t="str">
        <f>""</f>
        <v/>
      </c>
      <c r="EG40" s="393" t="str">
        <f>""</f>
        <v/>
      </c>
      <c r="EH40" s="393" t="str">
        <f>""</f>
        <v/>
      </c>
      <c r="EI40" s="103" t="str">
        <f>""</f>
        <v/>
      </c>
      <c r="EJ40" s="103" t="str">
        <f>""</f>
        <v/>
      </c>
      <c r="EK40" s="103"/>
      <c r="EL40" s="103" t="str">
        <f>""</f>
        <v/>
      </c>
      <c r="EM40" s="103"/>
      <c r="EN40" s="103" t="str">
        <f>""</f>
        <v/>
      </c>
      <c r="EO40" s="103"/>
      <c r="EP40" s="103" t="str">
        <f>""</f>
        <v/>
      </c>
      <c r="EQ40" s="103"/>
      <c r="ER40" s="103" t="str">
        <f>""</f>
        <v/>
      </c>
      <c r="ES40" s="103"/>
      <c r="ET40" s="59" t="str">
        <f>""</f>
        <v/>
      </c>
      <c r="EU40" s="18" t="str">
        <f>""</f>
        <v/>
      </c>
      <c r="EV40" s="59" t="str">
        <f>""</f>
        <v/>
      </c>
      <c r="EW40" s="18" t="str">
        <f>""</f>
        <v/>
      </c>
      <c r="EX40" s="59" t="str">
        <f>""</f>
        <v/>
      </c>
      <c r="EY40" s="18" t="str">
        <f>""</f>
        <v/>
      </c>
      <c r="FA40" s="18" t="str">
        <f>IF($DM40=FB$5,MAX(FA$6:FA39)+1,"")</f>
        <v/>
      </c>
      <c r="FB40" s="58" t="str">
        <f t="shared" si="122"/>
        <v/>
      </c>
      <c r="FE40" s="18" t="str">
        <f>IF($DM40=FF$5,MAX(FE$6:FE39)+1,"")</f>
        <v/>
      </c>
      <c r="FF40" s="58" t="str">
        <f t="shared" si="123"/>
        <v/>
      </c>
      <c r="FI40" s="18" t="str">
        <f>IF($DM40=FJ$5,MAX(FI$6:FI39)+1,"")</f>
        <v/>
      </c>
      <c r="FJ40" s="58" t="str">
        <f t="shared" si="151"/>
        <v/>
      </c>
      <c r="FX40" s="104"/>
      <c r="FY40" s="104"/>
      <c r="FZ40" s="104"/>
      <c r="GA40" s="104"/>
      <c r="GB40" s="104"/>
      <c r="GC40" s="104"/>
      <c r="GD40" s="104"/>
      <c r="GE40" s="104"/>
      <c r="GF40" s="104"/>
      <c r="GG40" s="104"/>
      <c r="GH40" s="104"/>
      <c r="GI40" s="104"/>
      <c r="GJ40" s="104"/>
      <c r="GQ40" s="59"/>
      <c r="GR40" s="59"/>
      <c r="GZ40" s="59"/>
      <c r="HA40" s="59"/>
      <c r="HB40" s="59"/>
      <c r="HC40" s="59"/>
      <c r="HD40" s="59"/>
      <c r="HE40" s="59"/>
      <c r="HF40" s="59"/>
      <c r="HG40" s="59"/>
      <c r="HH40" s="59"/>
      <c r="HI40" s="59"/>
      <c r="HJ40" s="59"/>
      <c r="HK40" s="59" t="s">
        <v>2928</v>
      </c>
      <c r="HL40" s="59" t="s">
        <v>2905</v>
      </c>
      <c r="HM40" s="59" t="s">
        <v>2942</v>
      </c>
      <c r="HN40" s="59"/>
      <c r="HO40" s="59"/>
      <c r="HP40" s="59"/>
      <c r="HQ40" s="59"/>
      <c r="HR40" s="59"/>
      <c r="HS40" s="59"/>
      <c r="HT40" s="59"/>
      <c r="HU40" s="59"/>
      <c r="HV40" s="59"/>
      <c r="HW40" s="59"/>
      <c r="HX40" s="59"/>
      <c r="HY40" s="59"/>
      <c r="HZ40" s="59"/>
      <c r="IA40" s="59"/>
      <c r="IB40" s="59"/>
      <c r="IC40" s="59"/>
      <c r="ID40" s="59"/>
      <c r="IE40" s="59"/>
      <c r="IF40" s="59"/>
      <c r="IG40" s="59"/>
      <c r="IH40" s="59" t="str">
        <f>IF(IJ40=TRUE,MAX($IH$2:IH39)+1,"")</f>
        <v/>
      </c>
      <c r="II40" s="59"/>
      <c r="IJ40" s="59"/>
      <c r="IK40" s="59"/>
      <c r="IL40" s="59"/>
      <c r="IM40" s="59"/>
      <c r="IN40" s="59"/>
      <c r="IO40" s="59"/>
      <c r="IP40" s="59"/>
      <c r="IQ40" s="59"/>
      <c r="IR40" s="59"/>
      <c r="IS40" s="59"/>
      <c r="IT40" s="59"/>
      <c r="IU40" s="59"/>
      <c r="IX40" s="59" t="s">
        <v>1506</v>
      </c>
      <c r="IY40" s="59" t="s">
        <v>966</v>
      </c>
      <c r="IZ40" s="59" t="s">
        <v>202</v>
      </c>
      <c r="JA40" s="59" t="s">
        <v>922</v>
      </c>
      <c r="JB40" s="59" t="s">
        <v>928</v>
      </c>
      <c r="JI40" s="60"/>
      <c r="JJ40" s="60"/>
      <c r="JM40" s="296">
        <v>8</v>
      </c>
      <c r="JN40" s="296">
        <v>4</v>
      </c>
      <c r="JO40" s="296">
        <v>3</v>
      </c>
      <c r="JP40" s="296">
        <v>3</v>
      </c>
      <c r="JQ40" s="296">
        <v>2</v>
      </c>
      <c r="JR40" s="302" t="s">
        <v>140</v>
      </c>
      <c r="JS40" s="302" t="s">
        <v>140</v>
      </c>
      <c r="JT40" s="302" t="s">
        <v>140</v>
      </c>
      <c r="JU40" s="302" t="s">
        <v>140</v>
      </c>
      <c r="JV40" s="302" t="s">
        <v>140</v>
      </c>
      <c r="JW40" s="98">
        <v>4</v>
      </c>
      <c r="JX40" s="302"/>
      <c r="JY40" s="302"/>
      <c r="KT40" s="93" t="s">
        <v>340</v>
      </c>
      <c r="KU40" s="80" t="str">
        <f t="shared" si="128"/>
        <v>No</v>
      </c>
      <c r="KV40" s="89" t="s">
        <v>333</v>
      </c>
      <c r="KW40" s="270"/>
      <c r="KX40" s="270"/>
      <c r="KY40" s="270"/>
      <c r="KZ40" s="270"/>
      <c r="LA40" s="270"/>
      <c r="LB40" s="92"/>
      <c r="LC40" s="270"/>
      <c r="LD40" s="270"/>
      <c r="LE40" s="270"/>
      <c r="LF40" s="455"/>
      <c r="LG40" s="270"/>
      <c r="LH40" s="270"/>
      <c r="LI40" s="270"/>
      <c r="LJ40" s="270"/>
      <c r="LK40" s="270"/>
      <c r="LL40" s="406"/>
      <c r="LM40" s="455"/>
      <c r="LN40" s="270"/>
      <c r="LO40" s="270"/>
      <c r="LP40" s="270"/>
      <c r="LQ40" s="92"/>
      <c r="LR40" s="270"/>
      <c r="LS40" s="270"/>
      <c r="LT40" s="92"/>
      <c r="LU40" s="92"/>
      <c r="LV40" s="270"/>
      <c r="LW40" s="270"/>
      <c r="LX40" s="270"/>
      <c r="LY40" s="92"/>
      <c r="LZ40" s="92"/>
      <c r="MA40" s="92"/>
      <c r="MB40" s="92"/>
      <c r="MC40" s="92"/>
      <c r="MD40" s="92"/>
      <c r="ME40" s="92"/>
      <c r="MF40" s="92"/>
      <c r="MG40" s="92"/>
      <c r="MH40" s="92"/>
      <c r="MI40" s="92"/>
      <c r="MJ40" s="92"/>
      <c r="MK40" s="92"/>
      <c r="ML40" s="94"/>
      <c r="MM40" s="94"/>
      <c r="MN40" s="94"/>
      <c r="MO40" s="94"/>
      <c r="MP40" s="94"/>
      <c r="MQ40" s="94"/>
      <c r="MR40" s="94"/>
      <c r="MS40" s="94"/>
      <c r="MT40" s="94"/>
      <c r="MU40" s="94"/>
      <c r="MV40" s="94"/>
      <c r="MW40" s="94"/>
      <c r="MX40" s="94"/>
      <c r="MY40" s="94"/>
      <c r="MZ40" s="94"/>
      <c r="NA40" s="94"/>
      <c r="NB40" s="94"/>
      <c r="NC40" s="94"/>
      <c r="ND40" s="94"/>
      <c r="NE40" s="94"/>
      <c r="NF40" s="94"/>
      <c r="NG40" s="94"/>
      <c r="NH40" s="94"/>
      <c r="NI40" s="94"/>
      <c r="NJ40" s="94"/>
      <c r="NK40" s="94"/>
      <c r="NL40" s="94"/>
      <c r="NM40" s="94"/>
      <c r="NN40" s="94"/>
      <c r="NO40" s="94"/>
      <c r="NP40" s="438"/>
      <c r="NQ40" s="94"/>
      <c r="NR40" s="94"/>
      <c r="NS40" s="94"/>
      <c r="NT40" s="94"/>
      <c r="NU40" s="94"/>
      <c r="NV40" s="456"/>
      <c r="NW40" s="456"/>
      <c r="NX40" s="456"/>
      <c r="NY40" s="456"/>
      <c r="NZ40" s="456"/>
      <c r="OA40" s="94"/>
      <c r="OB40" s="94"/>
      <c r="OC40" s="94"/>
      <c r="OD40" s="94"/>
      <c r="OE40" s="94"/>
      <c r="OF40" s="94"/>
      <c r="OG40" s="94"/>
      <c r="OH40" s="94"/>
      <c r="OI40" s="94"/>
      <c r="OJ40" s="94"/>
      <c r="OK40" s="94"/>
      <c r="OL40" s="94"/>
      <c r="OM40" s="94"/>
      <c r="ON40" s="94"/>
      <c r="OO40" s="94"/>
      <c r="OP40" s="94"/>
      <c r="OQ40" s="94"/>
      <c r="OR40" s="94"/>
      <c r="OS40" s="94"/>
      <c r="OT40" s="94"/>
      <c r="OU40" s="94"/>
      <c r="OV40" s="94"/>
      <c r="OW40" s="94"/>
      <c r="OX40" s="94"/>
      <c r="OY40" s="94"/>
      <c r="OZ40" s="94"/>
      <c r="PA40" s="94"/>
      <c r="PB40" s="94"/>
      <c r="PC40" s="94"/>
      <c r="PD40" s="94"/>
      <c r="PE40" s="94"/>
      <c r="PF40" s="94"/>
      <c r="PG40" s="94"/>
      <c r="PH40" s="94"/>
      <c r="PI40" s="94"/>
      <c r="PJ40" s="94"/>
      <c r="PK40" s="94"/>
      <c r="PL40" s="94"/>
      <c r="PM40" s="94"/>
      <c r="PN40" s="94"/>
      <c r="PO40" s="94"/>
      <c r="PP40" s="94"/>
      <c r="PQ40" s="94"/>
      <c r="PR40" s="94"/>
      <c r="PS40" s="94" t="str">
        <f>IF(COUNTIF(Start!$AX$59:$BF$68,Tables!KT40)&gt;0,Tables!KT40,"")</f>
        <v/>
      </c>
      <c r="PT40" s="94"/>
      <c r="PU40" s="59" t="str">
        <f t="shared" si="129"/>
        <v/>
      </c>
      <c r="PV40" s="59" t="str">
        <f>IF(PU40="","",IF(COUNTIF(PU40:$PU$57,"&gt;&lt;")&gt;1,PU40&amp;", ", PU40))</f>
        <v/>
      </c>
      <c r="PW40" s="59"/>
      <c r="PX40" s="59"/>
      <c r="PZ40" s="28" t="s">
        <v>126</v>
      </c>
      <c r="QA40" s="28" t="s">
        <v>129</v>
      </c>
      <c r="QB40" s="30" t="str">
        <f t="shared" ca="1" si="79"/>
        <v>not proficient</v>
      </c>
      <c r="QC40" s="31" t="s">
        <v>88</v>
      </c>
      <c r="QD40" s="28" t="s">
        <v>106</v>
      </c>
      <c r="QE40" s="29" t="s">
        <v>140</v>
      </c>
      <c r="QF40" s="29">
        <v>2</v>
      </c>
      <c r="QG40" s="29" t="str">
        <f>""</f>
        <v/>
      </c>
      <c r="QH40" s="29" t="str">
        <f>""</f>
        <v/>
      </c>
      <c r="QI40" s="29" t="str">
        <f>""</f>
        <v/>
      </c>
      <c r="QJ40" s="29" t="str">
        <f>""</f>
        <v/>
      </c>
      <c r="QK40" s="29" t="str">
        <f>""</f>
        <v/>
      </c>
      <c r="QL40" s="29" t="str">
        <f>""</f>
        <v/>
      </c>
      <c r="QM40" s="29" t="str">
        <f>""</f>
        <v/>
      </c>
      <c r="QN40" s="29" t="str">
        <f>""</f>
        <v/>
      </c>
      <c r="QO40" s="29" t="str">
        <f>""</f>
        <v/>
      </c>
      <c r="QP40" s="29" t="str">
        <f>""</f>
        <v/>
      </c>
      <c r="QQ40" s="30" t="str">
        <f>""</f>
        <v/>
      </c>
      <c r="QR40" s="30" t="str">
        <f>""</f>
        <v/>
      </c>
      <c r="SR40" s="28"/>
      <c r="SS40" s="28"/>
      <c r="ST40" s="28"/>
      <c r="SU40" s="29"/>
      <c r="SV40" s="42"/>
      <c r="SW40" s="69"/>
      <c r="SX40" s="29"/>
      <c r="SY40" s="30"/>
      <c r="SZ40" s="29"/>
      <c r="TA40" s="28"/>
      <c r="TB40" s="28"/>
      <c r="TC40" s="28"/>
      <c r="TD40" s="42"/>
      <c r="TE40" s="29"/>
      <c r="TF40" s="69"/>
      <c r="TG40" s="29"/>
      <c r="TH40" s="30"/>
      <c r="TI40" s="30"/>
      <c r="TJ40" s="18">
        <f t="shared" si="115"/>
        <v>38</v>
      </c>
      <c r="TK40" s="58" t="s">
        <v>538</v>
      </c>
      <c r="TL40" s="58" t="s">
        <v>460</v>
      </c>
      <c r="TM40" s="18">
        <v>3</v>
      </c>
      <c r="TN40" s="59" t="str">
        <f t="shared" si="137"/>
        <v xml:space="preserve">Blink </v>
      </c>
      <c r="TO40" s="18" t="str">
        <f>""</f>
        <v/>
      </c>
      <c r="TP40" s="18" t="str">
        <f t="shared" si="48"/>
        <v/>
      </c>
      <c r="TQ40" s="18" t="str">
        <f>IF(OR(TK40=Spellcasting!$AC$18,TK40=Spellcasting!$AC$19),"ᵐ","")</f>
        <v/>
      </c>
      <c r="TR40" s="18" t="str">
        <f>IF(OR(TK40=Spellcasting!$AC$20,TK40=Spellcasting!$AC$21),"ˢ","")</f>
        <v/>
      </c>
      <c r="TS40" s="18" t="str">
        <f>""</f>
        <v/>
      </c>
      <c r="TT40" s="18" t="s">
        <v>484</v>
      </c>
      <c r="TU40" s="18" t="s">
        <v>509</v>
      </c>
      <c r="TV40" s="18" t="s">
        <v>503</v>
      </c>
      <c r="TW40" s="18" t="s">
        <v>486</v>
      </c>
      <c r="TX40" s="59" t="str">
        <f>""</f>
        <v/>
      </c>
      <c r="TY40" s="18" t="s">
        <v>491</v>
      </c>
      <c r="TZ40" s="18" t="s">
        <v>492</v>
      </c>
      <c r="UA40" s="142" t="s">
        <v>1319</v>
      </c>
      <c r="UB40" s="319" t="s">
        <v>2102</v>
      </c>
      <c r="UF40" s="18" t="str">
        <f ca="1">IF(UF$1&gt;=$TM40,1,"0")</f>
        <v>0</v>
      </c>
      <c r="UL40" s="18" t="str">
        <f ca="1">IF(UL$1&gt;=$TM40,1,"0")</f>
        <v>0</v>
      </c>
      <c r="UV40" s="18" t="str">
        <f>IF(UV$1&gt;=$TM40,1,"0")</f>
        <v>0</v>
      </c>
      <c r="VD40" s="18" t="str">
        <f>IF(VD$1&gt;=$TM40,1,"0")</f>
        <v>0</v>
      </c>
      <c r="WD40" s="18" t="str">
        <f ca="1">IF(SUM($VZ$1:$WC$1)&gt;0,IF(AND(SUM($VZ40:$WC40)&gt;0,$TM40=WE$1),MAX(WD$2:WD39)+1,""),IF(AND(SUM($UC40:$VY40)&gt;0,$TM40=WE$1),MAX(WD$2:WD39)+1,""))</f>
        <v/>
      </c>
      <c r="WE40" s="59" t="str">
        <f t="shared" ca="1" si="80"/>
        <v/>
      </c>
      <c r="WF40" s="18" t="str">
        <f ca="1">IF(AND(SUM($UB40:$VY40)&gt;0,$TM40=WG$1),MAX(WF$2:WF39)+1,"")</f>
        <v/>
      </c>
      <c r="WG40" s="59" t="str">
        <f t="shared" ca="1" si="81"/>
        <v/>
      </c>
      <c r="WH40" s="18" t="str">
        <f ca="1">IF(AND(SUM($UB40:$VY40)&gt;0,$TM40=WI$1),MAX(WH$2:WH39)+1,"")</f>
        <v/>
      </c>
      <c r="WI40" s="59" t="str">
        <f t="shared" ca="1" si="82"/>
        <v/>
      </c>
      <c r="WJ40" s="18" t="str">
        <f ca="1">IF(AND(SUM($UB40:$VY40)&gt;0,$TM40=WK$1),MAX(WJ$2:WJ39)+1,"")</f>
        <v/>
      </c>
      <c r="WK40" s="59" t="str">
        <f t="shared" ca="1" si="83"/>
        <v/>
      </c>
      <c r="WL40" s="18" t="str">
        <f ca="1">IF(AND(SUM($UB40:$VY40)&gt;0,$TM40=WM$1),MAX(WL$2:WL39)+1,"")</f>
        <v/>
      </c>
      <c r="WM40" s="59" t="str">
        <f t="shared" ca="1" si="84"/>
        <v/>
      </c>
      <c r="WN40" s="18" t="str">
        <f ca="1">IF(AND(SUM($UB40:$VY40)&gt;0,$TM40=WO$1),MAX(WN$2:WN39)+1,"")</f>
        <v/>
      </c>
      <c r="WO40" s="59" t="str">
        <f t="shared" ca="1" si="85"/>
        <v/>
      </c>
      <c r="WP40" s="18" t="str">
        <f ca="1">IF(AND(SUM($UB40:$VY40)&gt;0,$TM40=WQ$1),MAX(WP$2:WP39)+1,"")</f>
        <v/>
      </c>
      <c r="WQ40" s="59" t="str">
        <f t="shared" ca="1" si="86"/>
        <v/>
      </c>
      <c r="WR40" s="18" t="str">
        <f ca="1">IF(AND(SUM($UB40:$VY40)&gt;0,$TM40=WS$1),MAX(WR$2:WR39)+1,"")</f>
        <v/>
      </c>
      <c r="WS40" s="59" t="str">
        <f t="shared" ca="1" si="87"/>
        <v/>
      </c>
      <c r="WT40" s="18" t="str">
        <f ca="1">IF(AND(SUM($UB40:$VY40)&gt;0,$TM40=WU$1),MAX(WT$2:WT39)+1,"")</f>
        <v/>
      </c>
      <c r="WU40" s="59" t="str">
        <f t="shared" ca="1" si="88"/>
        <v/>
      </c>
      <c r="WV40" s="18" t="str">
        <f ca="1">IF(AND(SUM($UB40:$VY40)&gt;0,$TM40=WW$1),MAX(WV$2:WV39)+1,"")</f>
        <v/>
      </c>
      <c r="WW40" s="59" t="str">
        <f t="shared" ca="1" si="89"/>
        <v/>
      </c>
      <c r="WX40" s="18" t="str">
        <f ca="1">IF(AND(SUM($UB40:$VY40)&gt;0,$TM40=WY$1),MAX(WX$2:WX39)+1,"")</f>
        <v/>
      </c>
      <c r="WY40" s="59" t="str">
        <f t="shared" ca="1" si="90"/>
        <v/>
      </c>
      <c r="WZ40" s="18">
        <v>39</v>
      </c>
      <c r="XA40" s="59" t="str">
        <f t="shared" ca="1" si="91"/>
        <v/>
      </c>
      <c r="XB40" s="59" t="str">
        <f t="shared" ca="1" si="139"/>
        <v/>
      </c>
      <c r="XC40" s="59" t="str">
        <f t="shared" ca="1" si="140"/>
        <v/>
      </c>
      <c r="XD40" s="59" t="str">
        <f t="shared" ca="1" si="141"/>
        <v/>
      </c>
      <c r="XE40" s="59" t="str">
        <f t="shared" ca="1" si="142"/>
        <v/>
      </c>
      <c r="XF40" s="59" t="str">
        <f t="shared" ca="1" si="143"/>
        <v/>
      </c>
      <c r="XG40" s="59" t="str">
        <f t="shared" ca="1" si="144"/>
        <v/>
      </c>
      <c r="XH40" s="59" t="str">
        <f t="shared" ca="1" si="145"/>
        <v/>
      </c>
      <c r="XI40" s="59" t="str">
        <f t="shared" ca="1" si="146"/>
        <v/>
      </c>
      <c r="XJ40" s="59" t="str">
        <f t="shared" ca="1" si="147"/>
        <v/>
      </c>
      <c r="XK40" s="59" t="str">
        <f t="shared" ca="1" si="148"/>
        <v/>
      </c>
      <c r="XL40" s="18" t="str">
        <f>IF(Start!$AJ$54=Tables!$IS$4,1,"")</f>
        <v/>
      </c>
      <c r="XM40" s="59" t="str">
        <f>IF(XL40=1,MAX($XM$27:XM39)+1,"")</f>
        <v/>
      </c>
      <c r="XN40" s="58" t="s">
        <v>3378</v>
      </c>
      <c r="XO40" s="58" t="s">
        <v>3069</v>
      </c>
      <c r="XP40" s="18" t="s">
        <v>3070</v>
      </c>
      <c r="XQ40" s="18">
        <v>13</v>
      </c>
      <c r="XR40" s="18">
        <v>7</v>
      </c>
      <c r="XS40" s="59" t="s">
        <v>3381</v>
      </c>
      <c r="XT40" s="18">
        <v>5</v>
      </c>
      <c r="XU40" s="18">
        <v>17</v>
      </c>
      <c r="XV40" s="18">
        <v>10</v>
      </c>
      <c r="XW40" s="18">
        <v>7</v>
      </c>
      <c r="XX40" s="18">
        <v>10</v>
      </c>
      <c r="XY40" s="18">
        <v>10</v>
      </c>
      <c r="XZ40" s="59" t="s">
        <v>3385</v>
      </c>
      <c r="YA40" s="215" t="s">
        <v>3386</v>
      </c>
      <c r="YB40" s="142" t="s">
        <v>3390</v>
      </c>
      <c r="YC40" s="142" t="s">
        <v>3391</v>
      </c>
      <c r="YG40" s="58" t="s">
        <v>1784</v>
      </c>
      <c r="YH40" s="58" t="s">
        <v>1786</v>
      </c>
      <c r="YI40" s="215" t="s">
        <v>1785</v>
      </c>
      <c r="YJ40" s="215" t="s">
        <v>1814</v>
      </c>
      <c r="YK40" s="215" t="str">
        <f>""</f>
        <v/>
      </c>
      <c r="YL40" s="249" t="str">
        <f>""</f>
        <v/>
      </c>
      <c r="YM40" s="249" t="s">
        <v>3091</v>
      </c>
      <c r="YN40" s="249">
        <v>1</v>
      </c>
      <c r="YO40" s="249"/>
      <c r="YP40" s="249"/>
      <c r="YQ40" s="215"/>
      <c r="YR40" s="215"/>
      <c r="YS40" s="215"/>
      <c r="YT40" s="18" t="s">
        <v>312</v>
      </c>
      <c r="YU40" s="18">
        <v>4</v>
      </c>
      <c r="YV40" s="18" t="str">
        <f ca="1">VLOOKUP(YY40,$ZK$2:$ZP$23,$ZK$1,FALSE)</f>
        <v/>
      </c>
      <c r="YW40" s="18" t="str">
        <f ca="1">IF(YX40="","",MAX($YW$1:YW39)+1)</f>
        <v/>
      </c>
      <c r="YX40" s="59" t="str">
        <f t="shared" ca="1" si="149"/>
        <v/>
      </c>
      <c r="YY40" s="18" t="str">
        <f t="shared" ca="1" si="150"/>
        <v/>
      </c>
      <c r="ZR40"/>
    </row>
    <row r="41" spans="31:694" ht="9.9499999999999993" customHeight="1" x14ac:dyDescent="0.2">
      <c r="AO41" s="18">
        <f t="shared" si="119"/>
        <v>40</v>
      </c>
      <c r="AP41" s="59" t="str">
        <f t="shared" si="138"/>
        <v/>
      </c>
      <c r="AQ41" s="59" t="str">
        <f>""</f>
        <v/>
      </c>
      <c r="AR41" s="59" t="str">
        <f>""</f>
        <v/>
      </c>
      <c r="AS41" s="58" t="s">
        <v>2844</v>
      </c>
      <c r="AT41" s="58" t="s">
        <v>2845</v>
      </c>
      <c r="AU41" s="58" t="s">
        <v>2846</v>
      </c>
      <c r="AV41" s="58" t="s">
        <v>2847</v>
      </c>
      <c r="AW41" s="58" t="s">
        <v>2848</v>
      </c>
      <c r="AX41" s="58" t="s">
        <v>2849</v>
      </c>
      <c r="AY41" s="14" t="str">
        <f>""</f>
        <v/>
      </c>
      <c r="AZ41" s="58" t="s">
        <v>2628</v>
      </c>
      <c r="BA41" s="58" t="s">
        <v>2627</v>
      </c>
      <c r="BB41" s="14" t="str">
        <f>""</f>
        <v/>
      </c>
      <c r="BC41" s="58" t="s">
        <v>2627</v>
      </c>
      <c r="BD41" s="59" t="str">
        <f>""</f>
        <v/>
      </c>
      <c r="BE41" s="18" t="str">
        <f>""</f>
        <v/>
      </c>
      <c r="BJ41" s="70"/>
      <c r="BK41" s="70"/>
      <c r="BL41" s="48"/>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48"/>
      <c r="CN41" s="48"/>
      <c r="CO41" s="48"/>
      <c r="CP41" s="48"/>
      <c r="CQ41" s="48"/>
      <c r="CR41" s="48"/>
      <c r="CS41" s="48"/>
      <c r="CT41" s="48"/>
      <c r="CU41" s="48"/>
      <c r="CV41" s="48"/>
      <c r="CW41" s="48"/>
      <c r="CX41" s="48"/>
      <c r="CY41" s="48"/>
      <c r="CZ41" s="48"/>
      <c r="DA41" s="48"/>
      <c r="DB41" s="48"/>
      <c r="DC41" s="48"/>
      <c r="DD41" s="48"/>
      <c r="DE41" s="48"/>
      <c r="DF41" s="48"/>
      <c r="DG41" s="104"/>
      <c r="DH41" s="104"/>
      <c r="DI41" s="104"/>
      <c r="DJ41" s="104"/>
      <c r="DK41" s="104"/>
      <c r="DL41" s="393" t="s">
        <v>2957</v>
      </c>
      <c r="DM41" s="391" t="s">
        <v>312</v>
      </c>
      <c r="DN41" s="391">
        <f t="shared" ca="1" si="121"/>
        <v>0</v>
      </c>
      <c r="DO41" s="392" t="str">
        <f>""</f>
        <v/>
      </c>
      <c r="DP41" s="393" t="str">
        <f>""</f>
        <v/>
      </c>
      <c r="DQ41" s="392" t="s">
        <v>2961</v>
      </c>
      <c r="DR41" s="393" t="str">
        <f>""</f>
        <v/>
      </c>
      <c r="DS41" s="393" t="str">
        <f>""</f>
        <v/>
      </c>
      <c r="DT41" s="393" t="str">
        <f>""</f>
        <v/>
      </c>
      <c r="DU41" s="393" t="s">
        <v>2962</v>
      </c>
      <c r="DV41" s="393" t="str">
        <f>""</f>
        <v/>
      </c>
      <c r="DW41" s="393" t="str">
        <f>""</f>
        <v/>
      </c>
      <c r="DX41" s="393" t="str">
        <f>""</f>
        <v/>
      </c>
      <c r="DY41" s="393" t="s">
        <v>2963</v>
      </c>
      <c r="DZ41" s="393" t="str">
        <f>""</f>
        <v/>
      </c>
      <c r="EA41" s="393" t="str">
        <f>""</f>
        <v/>
      </c>
      <c r="EB41" s="393" t="str">
        <f>""</f>
        <v/>
      </c>
      <c r="EC41" s="393" t="s">
        <v>2964</v>
      </c>
      <c r="ED41" s="393" t="str">
        <f>""</f>
        <v/>
      </c>
      <c r="EE41" s="393" t="str">
        <f>""</f>
        <v/>
      </c>
      <c r="EF41" s="393" t="str">
        <f>""</f>
        <v/>
      </c>
      <c r="EG41" s="393" t="str">
        <f>""</f>
        <v/>
      </c>
      <c r="EH41" s="393" t="str">
        <f>""</f>
        <v/>
      </c>
      <c r="EI41" s="103" t="str">
        <f>""</f>
        <v/>
      </c>
      <c r="EJ41" s="103" t="str">
        <f>""</f>
        <v/>
      </c>
      <c r="EK41" s="103"/>
      <c r="EL41" s="103" t="str">
        <f>""</f>
        <v/>
      </c>
      <c r="EM41" s="103"/>
      <c r="EN41" s="103" t="str">
        <f>""</f>
        <v/>
      </c>
      <c r="EO41" s="103"/>
      <c r="EP41" s="103" t="str">
        <f>""</f>
        <v/>
      </c>
      <c r="EQ41" s="103"/>
      <c r="ER41" s="103" t="str">
        <f>""</f>
        <v/>
      </c>
      <c r="ES41" s="103"/>
      <c r="ET41" s="59" t="str">
        <f>""</f>
        <v/>
      </c>
      <c r="EU41" s="18" t="str">
        <f>""</f>
        <v/>
      </c>
      <c r="EV41" s="59" t="str">
        <f>""</f>
        <v/>
      </c>
      <c r="EW41" s="18" t="str">
        <f>""</f>
        <v/>
      </c>
      <c r="EX41" s="59" t="str">
        <f>""</f>
        <v/>
      </c>
      <c r="EY41" s="18" t="str">
        <f>""</f>
        <v/>
      </c>
      <c r="FA41" s="18" t="str">
        <f>IF($DM41=FB$5,MAX(FA$6:FA40)+1,"")</f>
        <v/>
      </c>
      <c r="FB41" s="58" t="str">
        <f t="shared" si="122"/>
        <v/>
      </c>
      <c r="FE41" s="18" t="str">
        <f>IF($DM41=FF$5,MAX(FE$6:FE40)+1,"")</f>
        <v/>
      </c>
      <c r="FF41" s="58" t="str">
        <f t="shared" si="123"/>
        <v/>
      </c>
      <c r="FI41" s="18" t="str">
        <f>IF($DM41=FJ$5,MAX(FI$6:FI40)+1,"")</f>
        <v/>
      </c>
      <c r="FJ41" s="58" t="str">
        <f t="shared" ref="FJ41:FJ46" si="152">IF(FI41="","",$DL41)</f>
        <v/>
      </c>
      <c r="FX41" s="104"/>
      <c r="FY41" s="104"/>
      <c r="FZ41" s="104"/>
      <c r="GA41" s="104"/>
      <c r="GB41" s="104"/>
      <c r="GC41" s="104"/>
      <c r="GD41" s="104"/>
      <c r="GE41" s="104"/>
      <c r="GF41" s="104"/>
      <c r="GG41" s="104"/>
      <c r="GH41" s="104"/>
      <c r="GI41" s="104"/>
      <c r="GJ41" s="104"/>
      <c r="GQ41" s="59"/>
      <c r="GR41" s="59"/>
      <c r="GZ41" s="59"/>
      <c r="HA41" s="59"/>
      <c r="HB41" s="59"/>
      <c r="HC41" s="59"/>
      <c r="HD41" s="59"/>
      <c r="HE41" s="59"/>
      <c r="HF41" s="59"/>
      <c r="HG41" s="59"/>
      <c r="HH41" s="59"/>
      <c r="HI41" s="59"/>
      <c r="HJ41" s="59"/>
      <c r="HK41" s="59" t="s">
        <v>2929</v>
      </c>
      <c r="HL41" s="59" t="s">
        <v>2905</v>
      </c>
      <c r="HM41" s="59" t="s">
        <v>2943</v>
      </c>
      <c r="HN41" s="59"/>
      <c r="HO41" s="59"/>
      <c r="HP41" s="59"/>
      <c r="HQ41" s="59"/>
      <c r="HR41" s="59"/>
      <c r="HS41" s="59"/>
      <c r="HT41" s="59"/>
      <c r="HU41" s="59"/>
      <c r="HV41" s="59"/>
      <c r="HW41" s="59"/>
      <c r="HX41" s="59"/>
      <c r="HY41" s="59"/>
      <c r="HZ41" s="59"/>
      <c r="IA41" s="59"/>
      <c r="IB41" s="59"/>
      <c r="IC41" s="59"/>
      <c r="ID41" s="59"/>
      <c r="IE41" s="59"/>
      <c r="IF41" s="59"/>
      <c r="IG41" s="59"/>
      <c r="IH41" s="59" t="str">
        <f>IF(IJ41=TRUE,MAX($IH$2:IH40)+1,"")</f>
        <v/>
      </c>
      <c r="II41" s="59"/>
      <c r="IJ41" s="59"/>
      <c r="IK41" s="59"/>
      <c r="IL41" s="59"/>
      <c r="IM41" s="59"/>
      <c r="IN41" s="59"/>
      <c r="IO41" s="59"/>
      <c r="IP41" s="59"/>
      <c r="IQ41" s="59"/>
      <c r="IR41" s="59"/>
      <c r="IS41" s="59"/>
      <c r="IT41" s="59"/>
      <c r="IU41" s="59"/>
      <c r="IX41" s="59" t="s">
        <v>1507</v>
      </c>
      <c r="IY41" s="59" t="s">
        <v>967</v>
      </c>
      <c r="IZ41" s="59" t="s">
        <v>203</v>
      </c>
      <c r="JA41" s="59" t="s">
        <v>929</v>
      </c>
      <c r="JB41" s="59" t="s">
        <v>930</v>
      </c>
      <c r="JI41" s="60"/>
      <c r="JJ41" s="60"/>
      <c r="JM41" s="296">
        <v>9</v>
      </c>
      <c r="JN41" s="296">
        <v>4</v>
      </c>
      <c r="JO41" s="296">
        <v>3</v>
      </c>
      <c r="JP41" s="296">
        <v>3</v>
      </c>
      <c r="JQ41" s="296">
        <v>3</v>
      </c>
      <c r="JR41" s="296">
        <v>1</v>
      </c>
      <c r="JS41" s="302" t="s">
        <v>140</v>
      </c>
      <c r="JT41" s="302" t="s">
        <v>140</v>
      </c>
      <c r="JU41" s="302" t="s">
        <v>140</v>
      </c>
      <c r="JV41" s="302" t="s">
        <v>140</v>
      </c>
      <c r="JW41" s="98">
        <v>5</v>
      </c>
      <c r="JX41" s="302"/>
      <c r="JY41" s="302"/>
      <c r="KT41" s="276" t="s">
        <v>1543</v>
      </c>
      <c r="KU41" s="80" t="str">
        <f t="shared" si="128"/>
        <v>No</v>
      </c>
      <c r="KV41" s="89" t="s">
        <v>333</v>
      </c>
      <c r="KW41" s="270"/>
      <c r="KX41" s="270"/>
      <c r="KY41" s="270"/>
      <c r="KZ41" s="270"/>
      <c r="LA41" s="270"/>
      <c r="LB41" s="92"/>
      <c r="LC41" s="270"/>
      <c r="LD41" s="270"/>
      <c r="LE41" s="270"/>
      <c r="LF41" s="455"/>
      <c r="LG41" s="270"/>
      <c r="LH41" s="270"/>
      <c r="LI41" s="270"/>
      <c r="LJ41" s="270"/>
      <c r="LK41" s="270"/>
      <c r="LL41" s="406"/>
      <c r="LM41" s="455"/>
      <c r="LN41" s="270"/>
      <c r="LO41" s="270"/>
      <c r="LP41" s="270"/>
      <c r="LQ41" s="92"/>
      <c r="LR41" s="270"/>
      <c r="LS41" s="270"/>
      <c r="LT41" s="92"/>
      <c r="LU41" s="92"/>
      <c r="LV41" s="270"/>
      <c r="LW41" s="270"/>
      <c r="LX41" s="270"/>
      <c r="LY41" s="92"/>
      <c r="LZ41" s="92"/>
      <c r="MA41" s="92"/>
      <c r="MB41" s="92"/>
      <c r="MC41" s="92"/>
      <c r="MD41" s="92"/>
      <c r="ME41" s="92"/>
      <c r="MF41" s="92"/>
      <c r="MG41" s="92"/>
      <c r="MH41" s="92"/>
      <c r="MI41" s="92"/>
      <c r="MJ41" s="92"/>
      <c r="MK41" s="92"/>
      <c r="ML41" s="94"/>
      <c r="MM41" s="94"/>
      <c r="MN41" s="94"/>
      <c r="MO41" s="94"/>
      <c r="MP41" s="94"/>
      <c r="MQ41" s="94"/>
      <c r="MR41" s="94"/>
      <c r="MS41" s="94"/>
      <c r="MT41" s="94"/>
      <c r="MU41" s="94"/>
      <c r="MV41" s="94"/>
      <c r="MW41" s="94"/>
      <c r="MX41" s="94"/>
      <c r="MY41" s="94"/>
      <c r="MZ41" s="94"/>
      <c r="NA41" s="94"/>
      <c r="NB41" s="94"/>
      <c r="NC41" s="94"/>
      <c r="ND41" s="94"/>
      <c r="NE41" s="94"/>
      <c r="NF41" s="94"/>
      <c r="NG41" s="94"/>
      <c r="NH41" s="94"/>
      <c r="NI41" s="94"/>
      <c r="NJ41" s="94"/>
      <c r="NK41" s="94"/>
      <c r="NL41" s="94"/>
      <c r="NM41" s="94"/>
      <c r="NN41" s="94"/>
      <c r="NO41" s="94"/>
      <c r="NP41" s="438"/>
      <c r="NQ41" s="94"/>
      <c r="NR41" s="94"/>
      <c r="NS41" s="94"/>
      <c r="NT41" s="94"/>
      <c r="NU41" s="94"/>
      <c r="NV41" s="456"/>
      <c r="NW41" s="456"/>
      <c r="NX41" s="456"/>
      <c r="NY41" s="456"/>
      <c r="NZ41" s="456"/>
      <c r="OA41" s="94"/>
      <c r="OB41" s="94"/>
      <c r="OC41" s="94"/>
      <c r="OD41" s="94"/>
      <c r="OE41" s="94"/>
      <c r="OF41" s="94"/>
      <c r="OG41" s="94"/>
      <c r="OH41" s="94"/>
      <c r="OI41" s="94"/>
      <c r="OJ41" s="94"/>
      <c r="OK41" s="94"/>
      <c r="OL41" s="94"/>
      <c r="OM41" s="94"/>
      <c r="ON41" s="94"/>
      <c r="OO41" s="94"/>
      <c r="OP41" s="94"/>
      <c r="OQ41" s="94"/>
      <c r="OR41" s="94"/>
      <c r="OS41" s="94"/>
      <c r="OT41" s="94"/>
      <c r="OU41" s="94"/>
      <c r="OV41" s="94"/>
      <c r="OW41" s="94"/>
      <c r="OX41" s="94"/>
      <c r="OY41" s="94"/>
      <c r="OZ41" s="94"/>
      <c r="PA41" s="94"/>
      <c r="PB41" s="94"/>
      <c r="PC41" s="94"/>
      <c r="PD41" s="94"/>
      <c r="PE41" s="94"/>
      <c r="PF41" s="94"/>
      <c r="PG41" s="94"/>
      <c r="PH41" s="94"/>
      <c r="PI41" s="94"/>
      <c r="PJ41" s="94"/>
      <c r="PK41" s="94"/>
      <c r="PL41" s="94"/>
      <c r="PM41" s="94"/>
      <c r="PN41" s="94"/>
      <c r="PO41" s="94"/>
      <c r="PP41" s="94"/>
      <c r="PQ41" s="94"/>
      <c r="PR41" s="94"/>
      <c r="PS41" s="94" t="str">
        <f>IF(COUNTIF(Start!$AX$59:$BF$68,Tables!KT41)&gt;0,Tables!KT41,"")</f>
        <v/>
      </c>
      <c r="PT41" s="94"/>
      <c r="PU41" s="59" t="str">
        <f t="shared" si="129"/>
        <v/>
      </c>
      <c r="PV41" s="59" t="str">
        <f>IF(PU41="","",IF(COUNTIF(PU41:$PU$57,"&gt;&lt;")&gt;1,PU41&amp;", ", PU41))</f>
        <v/>
      </c>
      <c r="PW41" s="59"/>
      <c r="PX41" s="59"/>
      <c r="PZ41" s="19" t="s">
        <v>127</v>
      </c>
      <c r="QA41" s="19" t="s">
        <v>129</v>
      </c>
      <c r="QB41" s="27" t="str">
        <f t="shared" ca="1" si="79"/>
        <v>not proficient</v>
      </c>
      <c r="QC41" s="67" t="s">
        <v>88</v>
      </c>
      <c r="QD41" s="19" t="s">
        <v>107</v>
      </c>
      <c r="QE41" s="26" t="s">
        <v>140</v>
      </c>
      <c r="QF41" s="26">
        <v>2</v>
      </c>
      <c r="QG41" s="26" t="str">
        <f>""</f>
        <v/>
      </c>
      <c r="QH41" s="26" t="str">
        <f>""</f>
        <v/>
      </c>
      <c r="QI41" s="26" t="str">
        <f>""</f>
        <v/>
      </c>
      <c r="QJ41" s="26" t="str">
        <f>""</f>
        <v/>
      </c>
      <c r="QK41" s="26" t="str">
        <f>""</f>
        <v/>
      </c>
      <c r="QL41" s="26" t="str">
        <f>""</f>
        <v/>
      </c>
      <c r="QM41" s="26" t="str">
        <f>""</f>
        <v/>
      </c>
      <c r="QN41" s="26" t="str">
        <f>""</f>
        <v/>
      </c>
      <c r="QO41" s="26" t="str">
        <f>""</f>
        <v/>
      </c>
      <c r="QP41" s="26" t="s">
        <v>178</v>
      </c>
      <c r="QQ41" s="27" t="str">
        <f>""</f>
        <v/>
      </c>
      <c r="QR41" s="27" t="str">
        <f>""</f>
        <v/>
      </c>
      <c r="SR41" s="19"/>
      <c r="SS41" s="19"/>
      <c r="ST41" s="19"/>
      <c r="SU41" s="26"/>
      <c r="SV41" s="44"/>
      <c r="SW41" s="68"/>
      <c r="SX41" s="26"/>
      <c r="SY41" s="27"/>
      <c r="SZ41" s="26"/>
      <c r="TA41" s="19"/>
      <c r="TB41" s="19"/>
      <c r="TC41" s="19"/>
      <c r="TD41" s="44"/>
      <c r="TE41" s="26"/>
      <c r="TF41" s="68"/>
      <c r="TG41" s="26"/>
      <c r="TH41" s="27"/>
      <c r="TI41" s="27"/>
      <c r="TJ41" s="18">
        <f t="shared" si="115"/>
        <v>39</v>
      </c>
      <c r="TK41" s="58" t="s">
        <v>539</v>
      </c>
      <c r="TL41" s="58" t="s">
        <v>459</v>
      </c>
      <c r="TM41" s="18">
        <v>2</v>
      </c>
      <c r="TN41" s="59" t="str">
        <f t="shared" si="137"/>
        <v xml:space="preserve">Blur </v>
      </c>
      <c r="TO41" s="18" t="str">
        <f>""</f>
        <v/>
      </c>
      <c r="TP41" s="18" t="str">
        <f t="shared" si="48"/>
        <v/>
      </c>
      <c r="TQ41" s="18" t="str">
        <f>IF(OR(TK41=Spellcasting!$AC$18,TK41=Spellcasting!$AC$19),"ᵐ","")</f>
        <v/>
      </c>
      <c r="TR41" s="18" t="str">
        <f>IF(OR(TK41=Spellcasting!$AC$20,TK41=Spellcasting!$AC$21),"ˢ","")</f>
        <v/>
      </c>
      <c r="TS41" s="18" t="str">
        <f>""</f>
        <v/>
      </c>
      <c r="TT41" s="18" t="s">
        <v>484</v>
      </c>
      <c r="TU41" s="18" t="s">
        <v>509</v>
      </c>
      <c r="TV41" s="18" t="s">
        <v>558</v>
      </c>
      <c r="TW41" s="18" t="s">
        <v>541</v>
      </c>
      <c r="TX41" s="59" t="str">
        <f>""</f>
        <v/>
      </c>
      <c r="TY41" s="18" t="s">
        <v>523</v>
      </c>
      <c r="TZ41" s="18" t="s">
        <v>524</v>
      </c>
      <c r="UA41" s="142" t="s">
        <v>866</v>
      </c>
      <c r="UB41" s="319" t="s">
        <v>3039</v>
      </c>
      <c r="UF41" s="18" t="str">
        <f ca="1">IF(UF$1&gt;=$TM41,1,"0")</f>
        <v>0</v>
      </c>
      <c r="UL41" s="18" t="str">
        <f ca="1">IF(UL$1&gt;=$TM41,1,"0")</f>
        <v>0</v>
      </c>
      <c r="VI41" s="18" t="str">
        <f>IF(VI$1&gt;=$TM41,1,"0")</f>
        <v>0</v>
      </c>
      <c r="VQ41" s="18" t="str">
        <f>IF(VQ$1&gt;=$TM41,1,"0")</f>
        <v>0</v>
      </c>
      <c r="WD41" s="18" t="str">
        <f ca="1">IF(SUM($VZ$1:$WC$1)&gt;0,IF(AND(SUM($VZ41:$WC41)&gt;0,$TM41=WE$1),MAX(WD$2:WD40)+1,""),IF(AND(SUM($UC41:$VY41)&gt;0,$TM41=WE$1),MAX(WD$2:WD40)+1,""))</f>
        <v/>
      </c>
      <c r="WE41" s="59" t="str">
        <f t="shared" ca="1" si="80"/>
        <v/>
      </c>
      <c r="WF41" s="18" t="str">
        <f ca="1">IF(AND(SUM($UB41:$VY41)&gt;0,$TM41=WG$1),MAX(WF$2:WF40)+1,"")</f>
        <v/>
      </c>
      <c r="WG41" s="59" t="str">
        <f t="shared" ca="1" si="81"/>
        <v/>
      </c>
      <c r="WH41" s="18" t="str">
        <f ca="1">IF(AND(SUM($UB41:$VY41)&gt;0,$TM41=WI$1),MAX(WH$2:WH40)+1,"")</f>
        <v/>
      </c>
      <c r="WI41" s="59" t="str">
        <f t="shared" ca="1" si="82"/>
        <v/>
      </c>
      <c r="WJ41" s="18" t="str">
        <f ca="1">IF(AND(SUM($UB41:$VY41)&gt;0,$TM41=WK$1),MAX(WJ$2:WJ40)+1,"")</f>
        <v/>
      </c>
      <c r="WK41" s="59" t="str">
        <f t="shared" ca="1" si="83"/>
        <v/>
      </c>
      <c r="WL41" s="18" t="str">
        <f ca="1">IF(AND(SUM($UB41:$VY41)&gt;0,$TM41=WM$1),MAX(WL$2:WL40)+1,"")</f>
        <v/>
      </c>
      <c r="WM41" s="59" t="str">
        <f t="shared" ca="1" si="84"/>
        <v/>
      </c>
      <c r="WN41" s="18" t="str">
        <f ca="1">IF(AND(SUM($UB41:$VY41)&gt;0,$TM41=WO$1),MAX(WN$2:WN40)+1,"")</f>
        <v/>
      </c>
      <c r="WO41" s="59" t="str">
        <f t="shared" ca="1" si="85"/>
        <v/>
      </c>
      <c r="WP41" s="18" t="str">
        <f ca="1">IF(AND(SUM($UB41:$VY41)&gt;0,$TM41=WQ$1),MAX(WP$2:WP40)+1,"")</f>
        <v/>
      </c>
      <c r="WQ41" s="59" t="str">
        <f t="shared" ca="1" si="86"/>
        <v/>
      </c>
      <c r="WR41" s="18" t="str">
        <f ca="1">IF(AND(SUM($UB41:$VY41)&gt;0,$TM41=WS$1),MAX(WR$2:WR40)+1,"")</f>
        <v/>
      </c>
      <c r="WS41" s="59" t="str">
        <f t="shared" ca="1" si="87"/>
        <v/>
      </c>
      <c r="WT41" s="18" t="str">
        <f ca="1">IF(AND(SUM($UB41:$VY41)&gt;0,$TM41=WU$1),MAX(WT$2:WT40)+1,"")</f>
        <v/>
      </c>
      <c r="WU41" s="59" t="str">
        <f t="shared" ca="1" si="88"/>
        <v/>
      </c>
      <c r="WV41" s="18" t="str">
        <f ca="1">IF(AND(SUM($UB41:$VY41)&gt;0,$TM41=WW$1),MAX(WV$2:WV40)+1,"")</f>
        <v/>
      </c>
      <c r="WW41" s="59" t="str">
        <f t="shared" ca="1" si="89"/>
        <v/>
      </c>
      <c r="WX41" s="18" t="str">
        <f ca="1">IF(AND(SUM($UB41:$VY41)&gt;0,$TM41=WY$1),MAX(WX$2:WX40)+1,"")</f>
        <v/>
      </c>
      <c r="WY41" s="59" t="str">
        <f t="shared" ca="1" si="90"/>
        <v/>
      </c>
      <c r="WZ41" s="18">
        <v>40</v>
      </c>
      <c r="XA41" s="59" t="str">
        <f t="shared" ca="1" si="91"/>
        <v/>
      </c>
      <c r="XB41" s="59" t="str">
        <f t="shared" ca="1" si="139"/>
        <v/>
      </c>
      <c r="XC41" s="59" t="str">
        <f t="shared" ca="1" si="140"/>
        <v/>
      </c>
      <c r="XD41" s="59" t="str">
        <f t="shared" ca="1" si="141"/>
        <v/>
      </c>
      <c r="XE41" s="59" t="str">
        <f t="shared" ca="1" si="142"/>
        <v/>
      </c>
      <c r="XF41" s="59" t="str">
        <f t="shared" ca="1" si="143"/>
        <v/>
      </c>
      <c r="XG41" s="59" t="str">
        <f t="shared" ca="1" si="144"/>
        <v/>
      </c>
      <c r="XH41" s="59" t="str">
        <f t="shared" ca="1" si="145"/>
        <v/>
      </c>
      <c r="XI41" s="59" t="str">
        <f t="shared" ca="1" si="146"/>
        <v/>
      </c>
      <c r="XJ41" s="59" t="str">
        <f t="shared" ca="1" si="147"/>
        <v/>
      </c>
      <c r="XK41" s="59" t="str">
        <f t="shared" ca="1" si="148"/>
        <v/>
      </c>
      <c r="XL41" s="18">
        <v>1</v>
      </c>
      <c r="XM41" s="59">
        <f ca="1">IF(XL41=1,MAX($XM$27:XM40)+1,"")</f>
        <v>10</v>
      </c>
      <c r="XN41" s="58" t="s">
        <v>2882</v>
      </c>
      <c r="XO41" s="58" t="s">
        <v>3384</v>
      </c>
      <c r="XP41" s="18" t="s">
        <v>3070</v>
      </c>
      <c r="XQ41" s="18">
        <v>13</v>
      </c>
      <c r="XR41" s="18">
        <v>2</v>
      </c>
      <c r="XS41" s="59" t="s">
        <v>2883</v>
      </c>
      <c r="XT41" s="18">
        <v>2</v>
      </c>
      <c r="XU41" s="18">
        <v>16</v>
      </c>
      <c r="XV41" s="18">
        <v>9</v>
      </c>
      <c r="XW41" s="18">
        <v>1</v>
      </c>
      <c r="XX41" s="18">
        <v>7</v>
      </c>
      <c r="XY41" s="18">
        <v>2</v>
      </c>
      <c r="XZ41" s="59" t="s">
        <v>187</v>
      </c>
      <c r="YA41" s="215" t="s">
        <v>2884</v>
      </c>
      <c r="YB41" s="142" t="s">
        <v>2880</v>
      </c>
      <c r="YC41" s="142" t="s">
        <v>3401</v>
      </c>
      <c r="YG41" s="58" t="s">
        <v>1787</v>
      </c>
      <c r="YH41" s="58" t="s">
        <v>187</v>
      </c>
      <c r="YI41" s="215" t="s">
        <v>2359</v>
      </c>
      <c r="YJ41" s="215" t="s">
        <v>3450</v>
      </c>
      <c r="YK41" s="215" t="str">
        <f>""</f>
        <v/>
      </c>
      <c r="YL41" s="249" t="str">
        <f>""</f>
        <v/>
      </c>
      <c r="YM41" s="249" t="str">
        <f>""</f>
        <v/>
      </c>
      <c r="YN41" s="249" t="str">
        <f>""</f>
        <v/>
      </c>
      <c r="YO41" s="249"/>
      <c r="YP41" s="249"/>
      <c r="YQ41" s="215"/>
      <c r="YR41" s="215"/>
      <c r="YS41" s="215"/>
      <c r="YT41" s="18" t="s">
        <v>312</v>
      </c>
      <c r="YU41" s="18">
        <v>8</v>
      </c>
      <c r="YV41" s="18" t="str">
        <f ca="1">VLOOKUP(YY41,$ZK$2:$ZP$23,$ZK$1,FALSE)</f>
        <v/>
      </c>
      <c r="YW41" s="18" t="str">
        <f ca="1">IF(YX41="","",MAX($YW$1:YW40)+1)</f>
        <v/>
      </c>
      <c r="YX41" s="59" t="str">
        <f t="shared" ca="1" si="149"/>
        <v/>
      </c>
      <c r="YY41" s="18" t="str">
        <f t="shared" ca="1" si="150"/>
        <v/>
      </c>
      <c r="ZR41"/>
    </row>
    <row r="42" spans="31:694" ht="9.9499999999999993" customHeight="1" x14ac:dyDescent="0.2">
      <c r="AO42" s="18">
        <f t="shared" si="119"/>
        <v>41</v>
      </c>
      <c r="AP42" s="59" t="str">
        <f t="shared" si="138"/>
        <v/>
      </c>
      <c r="AQ42" s="59" t="str">
        <f>""</f>
        <v/>
      </c>
      <c r="AR42" s="58" t="str">
        <f>""</f>
        <v/>
      </c>
      <c r="AS42" s="58" t="s">
        <v>2838</v>
      </c>
      <c r="AT42" s="58" t="s">
        <v>2839</v>
      </c>
      <c r="AU42" s="58" t="s">
        <v>2840</v>
      </c>
      <c r="AV42" s="58" t="s">
        <v>2841</v>
      </c>
      <c r="AW42" s="58" t="s">
        <v>2836</v>
      </c>
      <c r="AX42" s="58" t="s">
        <v>2842</v>
      </c>
      <c r="AY42" s="58" t="str">
        <f>""</f>
        <v/>
      </c>
      <c r="AZ42" s="58" t="s">
        <v>2837</v>
      </c>
      <c r="BA42" s="58" t="s">
        <v>2843</v>
      </c>
      <c r="BB42" s="58" t="str">
        <f>""</f>
        <v/>
      </c>
      <c r="BC42" s="58" t="s">
        <v>2843</v>
      </c>
      <c r="BD42" s="58" t="str">
        <f>""</f>
        <v/>
      </c>
      <c r="BE42" s="18" t="str">
        <f>""</f>
        <v/>
      </c>
      <c r="BJ42" s="70"/>
      <c r="BK42" s="70"/>
      <c r="BL42" s="48"/>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48"/>
      <c r="CN42" s="48"/>
      <c r="CO42" s="48"/>
      <c r="CP42" s="48"/>
      <c r="CQ42" s="48"/>
      <c r="CR42" s="48"/>
      <c r="CS42" s="48"/>
      <c r="CT42" s="48"/>
      <c r="CU42" s="48"/>
      <c r="CV42" s="48"/>
      <c r="CW42" s="48"/>
      <c r="CX42" s="48"/>
      <c r="CY42" s="48"/>
      <c r="CZ42" s="48"/>
      <c r="DA42" s="48"/>
      <c r="DB42" s="48"/>
      <c r="DC42" s="48"/>
      <c r="DD42" s="48"/>
      <c r="DE42" s="48"/>
      <c r="DF42" s="48"/>
      <c r="DG42" s="104"/>
      <c r="DH42" s="104"/>
      <c r="DI42" s="104"/>
      <c r="DJ42" s="104"/>
      <c r="DK42" s="104"/>
      <c r="DL42" s="393" t="s">
        <v>3098</v>
      </c>
      <c r="DM42" s="391" t="s">
        <v>2698</v>
      </c>
      <c r="DN42" s="391">
        <f t="shared" ca="1" si="121"/>
        <v>0</v>
      </c>
      <c r="DO42" s="392" t="s">
        <v>3102</v>
      </c>
      <c r="DP42" s="393" t="str">
        <f>""</f>
        <v/>
      </c>
      <c r="DQ42" s="393" t="str">
        <f>""</f>
        <v/>
      </c>
      <c r="DR42" s="393" t="str">
        <f>""</f>
        <v/>
      </c>
      <c r="DS42" s="393" t="str">
        <f>""</f>
        <v/>
      </c>
      <c r="DT42" s="393" t="s">
        <v>3103</v>
      </c>
      <c r="DU42" s="393" t="str">
        <f>""</f>
        <v/>
      </c>
      <c r="DV42" s="393" t="str">
        <f>""</f>
        <v/>
      </c>
      <c r="DW42" s="393" t="str">
        <f>""</f>
        <v/>
      </c>
      <c r="DX42" s="393" t="str">
        <f>""</f>
        <v/>
      </c>
      <c r="DY42" s="393" t="str">
        <f>""</f>
        <v/>
      </c>
      <c r="DZ42" s="393" t="str">
        <f>""</f>
        <v/>
      </c>
      <c r="EA42" s="393" t="str">
        <f>""</f>
        <v/>
      </c>
      <c r="EB42" s="393" t="str">
        <f>"Dragon Wings: fly speed "&amp;Speed&amp;" ft"</f>
        <v>Dragon Wings: fly speed  ft</v>
      </c>
      <c r="EC42" s="393" t="str">
        <f>""</f>
        <v/>
      </c>
      <c r="ED42" s="393" t="str">
        <f>""</f>
        <v/>
      </c>
      <c r="EE42" s="393" t="str">
        <f>""</f>
        <v/>
      </c>
      <c r="EF42" s="393" t="s">
        <v>3104</v>
      </c>
      <c r="EG42" s="393" t="str">
        <f>""</f>
        <v/>
      </c>
      <c r="EH42" s="393" t="str">
        <f>""</f>
        <v/>
      </c>
      <c r="EI42" s="103" t="str">
        <f>""</f>
        <v/>
      </c>
      <c r="EJ42" s="103" t="str">
        <f>""</f>
        <v/>
      </c>
      <c r="EK42" s="103"/>
      <c r="EL42" s="103" t="str">
        <f>""</f>
        <v/>
      </c>
      <c r="EM42" s="103"/>
      <c r="EN42" s="103" t="str">
        <f>""</f>
        <v/>
      </c>
      <c r="EO42" s="103"/>
      <c r="EP42" s="103" t="str">
        <f>""</f>
        <v/>
      </c>
      <c r="EQ42" s="103"/>
      <c r="ER42" s="103" t="str">
        <f>""</f>
        <v/>
      </c>
      <c r="ES42" s="103"/>
      <c r="ET42" s="59" t="str">
        <f>""</f>
        <v/>
      </c>
      <c r="EU42" s="18" t="str">
        <f>""</f>
        <v/>
      </c>
      <c r="EV42" s="59" t="str">
        <f>""</f>
        <v/>
      </c>
      <c r="EW42" s="18" t="str">
        <f>""</f>
        <v/>
      </c>
      <c r="EX42" s="59" t="str">
        <f>""</f>
        <v/>
      </c>
      <c r="EY42" s="18" t="str">
        <f>""</f>
        <v/>
      </c>
      <c r="FA42" s="18" t="str">
        <f>IF($DM42=FB$5,MAX(FA$6:FA41)+1,"")</f>
        <v/>
      </c>
      <c r="FB42" s="58" t="str">
        <f t="shared" si="122"/>
        <v/>
      </c>
      <c r="FE42" s="18" t="str">
        <f>IF($DM42=FF$5,MAX(FE$6:FE41)+1,"")</f>
        <v/>
      </c>
      <c r="FF42" s="58" t="str">
        <f t="shared" si="123"/>
        <v/>
      </c>
      <c r="FI42" s="18" t="str">
        <f>IF($DM42=FJ$5,MAX(FI$6:FI41)+1,"")</f>
        <v/>
      </c>
      <c r="FJ42" s="58" t="str">
        <f t="shared" si="152"/>
        <v/>
      </c>
      <c r="FX42" s="104"/>
      <c r="FY42" s="104"/>
      <c r="FZ42" s="104"/>
      <c r="GA42" s="104"/>
      <c r="GB42" s="104"/>
      <c r="GC42" s="104"/>
      <c r="GD42" s="104"/>
      <c r="GE42" s="104"/>
      <c r="GF42" s="104"/>
      <c r="GG42" s="104"/>
      <c r="GH42" s="104"/>
      <c r="GI42" s="104"/>
      <c r="GJ42" s="104"/>
      <c r="GQ42" s="59"/>
      <c r="GR42" s="59"/>
      <c r="GZ42" s="59"/>
      <c r="HA42" s="59"/>
      <c r="HB42" s="59"/>
      <c r="HC42" s="59"/>
      <c r="HD42" s="59"/>
      <c r="HE42" s="59"/>
      <c r="HF42" s="59"/>
      <c r="HG42" s="59"/>
      <c r="HH42" s="59"/>
      <c r="HI42" s="59"/>
      <c r="HJ42" s="59"/>
      <c r="HK42" s="59" t="s">
        <v>2930</v>
      </c>
      <c r="HL42" s="59" t="s">
        <v>2905</v>
      </c>
      <c r="HM42" s="59" t="s">
        <v>2944</v>
      </c>
      <c r="HN42" s="59"/>
      <c r="HO42" s="59"/>
      <c r="HP42" s="59"/>
      <c r="HQ42" s="59"/>
      <c r="HR42" s="59"/>
      <c r="HS42" s="59"/>
      <c r="HT42" s="59"/>
      <c r="HU42" s="59"/>
      <c r="HV42" s="59"/>
      <c r="HW42" s="59"/>
      <c r="HX42" s="59"/>
      <c r="HY42" s="59"/>
      <c r="HZ42" s="59"/>
      <c r="IA42" s="59"/>
      <c r="IB42" s="59"/>
      <c r="IC42" s="59"/>
      <c r="ID42" s="59"/>
      <c r="IE42" s="59"/>
      <c r="IF42" s="59"/>
      <c r="IG42" s="59"/>
      <c r="IH42" s="59" t="str">
        <f>IF(IJ42=TRUE,MAX($IH$2:IH41)+1,"")</f>
        <v/>
      </c>
      <c r="II42" s="59"/>
      <c r="IJ42" s="59"/>
      <c r="IK42" s="59"/>
      <c r="IL42" s="59"/>
      <c r="IM42" s="59"/>
      <c r="IN42" s="59"/>
      <c r="IO42" s="59"/>
      <c r="IP42" s="59"/>
      <c r="IQ42" s="59"/>
      <c r="IR42" s="59"/>
      <c r="IS42" s="59"/>
      <c r="IT42" s="59"/>
      <c r="IU42" s="59"/>
      <c r="IX42" s="73" t="s">
        <v>1701</v>
      </c>
      <c r="IY42" s="59"/>
      <c r="IZ42" s="59"/>
      <c r="JA42" s="59"/>
      <c r="JB42" s="59"/>
      <c r="JI42" s="60"/>
      <c r="JJ42" s="60"/>
      <c r="JM42" s="296">
        <v>10</v>
      </c>
      <c r="JN42" s="296">
        <v>4</v>
      </c>
      <c r="JO42" s="296">
        <v>3</v>
      </c>
      <c r="JP42" s="296">
        <v>3</v>
      </c>
      <c r="JQ42" s="296">
        <v>3</v>
      </c>
      <c r="JR42" s="296">
        <v>2</v>
      </c>
      <c r="JS42" s="302" t="s">
        <v>140</v>
      </c>
      <c r="JT42" s="302" t="s">
        <v>140</v>
      </c>
      <c r="JU42" s="302" t="s">
        <v>140</v>
      </c>
      <c r="JV42" s="302" t="s">
        <v>140</v>
      </c>
      <c r="JW42" s="98">
        <v>5</v>
      </c>
      <c r="JX42" s="302"/>
      <c r="JY42" s="302"/>
      <c r="KT42" s="93" t="s">
        <v>1544</v>
      </c>
      <c r="KU42" s="80" t="str">
        <f t="shared" si="128"/>
        <v>No</v>
      </c>
      <c r="KV42" s="89" t="s">
        <v>333</v>
      </c>
      <c r="KW42" s="270"/>
      <c r="KX42" s="270"/>
      <c r="KY42" s="270"/>
      <c r="KZ42" s="270"/>
      <c r="LA42" s="270"/>
      <c r="LB42" s="92"/>
      <c r="LC42" s="270"/>
      <c r="LD42" s="270"/>
      <c r="LE42" s="270"/>
      <c r="LF42" s="455"/>
      <c r="LG42" s="270"/>
      <c r="LH42" s="270"/>
      <c r="LI42" s="270"/>
      <c r="LJ42" s="270"/>
      <c r="LK42" s="270"/>
      <c r="LL42" s="406"/>
      <c r="LM42" s="455"/>
      <c r="LN42" s="270"/>
      <c r="LO42" s="270"/>
      <c r="LP42" s="270"/>
      <c r="LQ42" s="92"/>
      <c r="LR42" s="270"/>
      <c r="LS42" s="270"/>
      <c r="LT42" s="92"/>
      <c r="LU42" s="92"/>
      <c r="LV42" s="270"/>
      <c r="LW42" s="270"/>
      <c r="LX42" s="270"/>
      <c r="LY42" s="92"/>
      <c r="LZ42" s="92"/>
      <c r="MA42" s="92"/>
      <c r="MB42" s="92"/>
      <c r="MC42" s="92"/>
      <c r="MD42" s="92"/>
      <c r="ME42" s="92"/>
      <c r="MF42" s="92"/>
      <c r="MG42" s="92"/>
      <c r="MH42" s="92"/>
      <c r="MI42" s="92"/>
      <c r="MJ42" s="92"/>
      <c r="MK42" s="92"/>
      <c r="ML42" s="94"/>
      <c r="MM42" s="94"/>
      <c r="MN42" s="94"/>
      <c r="MO42" s="94"/>
      <c r="MP42" s="94"/>
      <c r="MQ42" s="94"/>
      <c r="MR42" s="94"/>
      <c r="MS42" s="94"/>
      <c r="MT42" s="94"/>
      <c r="MU42" s="94"/>
      <c r="MV42" s="94"/>
      <c r="MW42" s="94"/>
      <c r="MX42" s="94"/>
      <c r="MY42" s="94"/>
      <c r="MZ42" s="94"/>
      <c r="NA42" s="94"/>
      <c r="NB42" s="94"/>
      <c r="NC42" s="94"/>
      <c r="ND42" s="94"/>
      <c r="NE42" s="94"/>
      <c r="NF42" s="94"/>
      <c r="NG42" s="94"/>
      <c r="NH42" s="94"/>
      <c r="NI42" s="94"/>
      <c r="NJ42" s="94"/>
      <c r="NK42" s="94"/>
      <c r="NL42" s="94"/>
      <c r="NM42" s="94"/>
      <c r="NN42" s="94"/>
      <c r="NO42" s="94"/>
      <c r="NP42" s="438"/>
      <c r="NQ42" s="94"/>
      <c r="NR42" s="94"/>
      <c r="NS42" s="94"/>
      <c r="NT42" s="94"/>
      <c r="NU42" s="94"/>
      <c r="NV42" s="456"/>
      <c r="NW42" s="456"/>
      <c r="NX42" s="456"/>
      <c r="NY42" s="456"/>
      <c r="NZ42" s="456"/>
      <c r="OA42" s="94"/>
      <c r="OB42" s="94"/>
      <c r="OC42" s="94"/>
      <c r="OD42" s="94"/>
      <c r="OE42" s="94"/>
      <c r="OF42" s="94"/>
      <c r="OG42" s="94"/>
      <c r="OH42" s="94"/>
      <c r="OI42" s="94"/>
      <c r="OJ42" s="94"/>
      <c r="OK42" s="94"/>
      <c r="OL42" s="94"/>
      <c r="OM42" s="94"/>
      <c r="ON42" s="94"/>
      <c r="OO42" s="94"/>
      <c r="OP42" s="94"/>
      <c r="OQ42" s="94"/>
      <c r="OR42" s="94"/>
      <c r="OS42" s="94"/>
      <c r="OT42" s="94"/>
      <c r="OU42" s="94"/>
      <c r="OV42" s="94"/>
      <c r="OW42" s="94"/>
      <c r="OX42" s="94"/>
      <c r="OY42" s="94"/>
      <c r="OZ42" s="94"/>
      <c r="PA42" s="94"/>
      <c r="PB42" s="94"/>
      <c r="PC42" s="94"/>
      <c r="PD42" s="94"/>
      <c r="PE42" s="94"/>
      <c r="PF42" s="94"/>
      <c r="PG42" s="94"/>
      <c r="PH42" s="94"/>
      <c r="PI42" s="94"/>
      <c r="PJ42" s="94"/>
      <c r="PK42" s="94"/>
      <c r="PL42" s="94"/>
      <c r="PM42" s="94"/>
      <c r="PN42" s="94"/>
      <c r="PO42" s="94"/>
      <c r="PP42" s="94"/>
      <c r="PQ42" s="94"/>
      <c r="PR42" s="94"/>
      <c r="PS42" s="94" t="str">
        <f>IF(COUNTIF(Start!$AX$59:$BF$68,Tables!KT42)&gt;0,Tables!KT42,"")</f>
        <v/>
      </c>
      <c r="PT42" s="94"/>
      <c r="PU42" s="59" t="str">
        <f t="shared" si="129"/>
        <v/>
      </c>
      <c r="PV42" s="59" t="str">
        <f>IF(PU42="","",IF(COUNTIF(PU42:$PU$57,"&gt;&lt;")&gt;1,PU42&amp;", ", PU42))</f>
        <v/>
      </c>
      <c r="PW42" s="59"/>
      <c r="PX42" s="59"/>
      <c r="PZ42" s="28" t="s">
        <v>128</v>
      </c>
      <c r="QA42" s="28" t="s">
        <v>129</v>
      </c>
      <c r="QB42" s="30" t="str">
        <f t="shared" ca="1" si="79"/>
        <v>not proficient</v>
      </c>
      <c r="QC42" s="31" t="s">
        <v>133</v>
      </c>
      <c r="QD42" s="28" t="s">
        <v>134</v>
      </c>
      <c r="QE42" s="29" t="s">
        <v>140</v>
      </c>
      <c r="QF42" s="29">
        <v>3</v>
      </c>
      <c r="QG42" s="29" t="str">
        <f>""</f>
        <v/>
      </c>
      <c r="QH42" s="29" t="s">
        <v>136</v>
      </c>
      <c r="QI42" s="29" t="str">
        <f>""</f>
        <v/>
      </c>
      <c r="QJ42" s="29" t="str">
        <f>""</f>
        <v/>
      </c>
      <c r="QK42" s="29" t="str">
        <f>""</f>
        <v/>
      </c>
      <c r="QL42" s="29" t="str">
        <f>""</f>
        <v/>
      </c>
      <c r="QM42" s="29" t="s">
        <v>144</v>
      </c>
      <c r="QN42" s="29" t="str">
        <f>""</f>
        <v/>
      </c>
      <c r="QO42" s="29" t="str">
        <f>""</f>
        <v/>
      </c>
      <c r="QP42" s="29" t="str">
        <f>""</f>
        <v/>
      </c>
      <c r="QQ42" s="30" t="str">
        <f>""</f>
        <v/>
      </c>
      <c r="QR42" s="30" t="str">
        <f>""</f>
        <v/>
      </c>
      <c r="SR42" s="28"/>
      <c r="SS42" s="28"/>
      <c r="ST42" s="28"/>
      <c r="SU42" s="29"/>
      <c r="SV42" s="42"/>
      <c r="SW42" s="69"/>
      <c r="SX42" s="29"/>
      <c r="SY42" s="30"/>
      <c r="SZ42" s="29"/>
      <c r="TA42" s="28"/>
      <c r="TB42" s="28"/>
      <c r="TC42" s="28"/>
      <c r="TD42" s="42"/>
      <c r="TE42" s="29"/>
      <c r="TF42" s="69"/>
      <c r="TG42" s="29"/>
      <c r="TH42" s="30"/>
      <c r="TI42" s="30"/>
      <c r="TJ42" s="18">
        <f t="shared" si="115"/>
        <v>40</v>
      </c>
      <c r="TK42" s="58" t="s">
        <v>540</v>
      </c>
      <c r="TL42" s="58" t="s">
        <v>459</v>
      </c>
      <c r="TM42" s="18">
        <v>2</v>
      </c>
      <c r="TN42" s="59" t="str">
        <f t="shared" si="137"/>
        <v xml:space="preserve">Branding Smite ᴴ </v>
      </c>
      <c r="TO42" s="350" t="s">
        <v>2991</v>
      </c>
      <c r="TP42" s="18" t="str">
        <f t="shared" si="48"/>
        <v/>
      </c>
      <c r="TQ42" s="18" t="str">
        <f>IF(OR(TK42=Spellcasting!$AC$18,TK42=Spellcasting!$AC$19),"ᵐ","")</f>
        <v/>
      </c>
      <c r="TR42" s="18" t="str">
        <f>IF(OR(TK42=Spellcasting!$AC$20,TK42=Spellcasting!$AC$21),"ˢ","")</f>
        <v/>
      </c>
      <c r="TS42" s="18" t="str">
        <f>""</f>
        <v/>
      </c>
      <c r="TT42" s="18" t="s">
        <v>1256</v>
      </c>
      <c r="TU42" s="18" t="s">
        <v>509</v>
      </c>
      <c r="TV42" s="18" t="s">
        <v>558</v>
      </c>
      <c r="TW42" s="18" t="s">
        <v>541</v>
      </c>
      <c r="TX42" s="59" t="str">
        <f>""</f>
        <v/>
      </c>
      <c r="TY42" s="18" t="s">
        <v>534</v>
      </c>
      <c r="TZ42" s="18" t="s">
        <v>535</v>
      </c>
      <c r="UA42" s="142" t="s">
        <v>3147</v>
      </c>
      <c r="UB42" s="319" t="s">
        <v>3246</v>
      </c>
      <c r="UD42" s="18" t="str">
        <f ca="1">IF(UD$1&gt;=$TM42,1,"0")</f>
        <v>0</v>
      </c>
      <c r="WD42" s="18" t="str">
        <f ca="1">IF(SUM($VZ$1:$WC$1)&gt;0,IF(AND(SUM($VZ42:$WC42)&gt;0,$TM42=WE$1),MAX(WD$2:WD41)+1,""),IF(AND(SUM($UC42:$VY42)&gt;0,$TM42=WE$1),MAX(WD$2:WD41)+1,""))</f>
        <v/>
      </c>
      <c r="WE42" s="59" t="str">
        <f t="shared" ca="1" si="80"/>
        <v/>
      </c>
      <c r="WF42" s="18" t="str">
        <f ca="1">IF(AND(SUM($UB42:$VY42)&gt;0,$TM42=WG$1),MAX(WF$2:WF41)+1,"")</f>
        <v/>
      </c>
      <c r="WG42" s="59" t="str">
        <f t="shared" ca="1" si="81"/>
        <v/>
      </c>
      <c r="WH42" s="18" t="str">
        <f ca="1">IF(AND(SUM($UB42:$VY42)&gt;0,$TM42=WI$1),MAX(WH$2:WH41)+1,"")</f>
        <v/>
      </c>
      <c r="WI42" s="59" t="str">
        <f t="shared" ca="1" si="82"/>
        <v/>
      </c>
      <c r="WJ42" s="18" t="str">
        <f ca="1">IF(AND(SUM($UB42:$VY42)&gt;0,$TM42=WK$1),MAX(WJ$2:WJ41)+1,"")</f>
        <v/>
      </c>
      <c r="WK42" s="59" t="str">
        <f t="shared" ca="1" si="83"/>
        <v/>
      </c>
      <c r="WL42" s="18" t="str">
        <f ca="1">IF(AND(SUM($UB42:$VY42)&gt;0,$TM42=WM$1),MAX(WL$2:WL41)+1,"")</f>
        <v/>
      </c>
      <c r="WM42" s="59" t="str">
        <f t="shared" ca="1" si="84"/>
        <v/>
      </c>
      <c r="WN42" s="18" t="str">
        <f ca="1">IF(AND(SUM($UB42:$VY42)&gt;0,$TM42=WO$1),MAX(WN$2:WN41)+1,"")</f>
        <v/>
      </c>
      <c r="WO42" s="59" t="str">
        <f t="shared" ca="1" si="85"/>
        <v/>
      </c>
      <c r="WP42" s="18" t="str">
        <f ca="1">IF(AND(SUM($UB42:$VY42)&gt;0,$TM42=WQ$1),MAX(WP$2:WP41)+1,"")</f>
        <v/>
      </c>
      <c r="WQ42" s="59" t="str">
        <f t="shared" ca="1" si="86"/>
        <v/>
      </c>
      <c r="WR42" s="18" t="str">
        <f ca="1">IF(AND(SUM($UB42:$VY42)&gt;0,$TM42=WS$1),MAX(WR$2:WR41)+1,"")</f>
        <v/>
      </c>
      <c r="WS42" s="59" t="str">
        <f t="shared" ca="1" si="87"/>
        <v/>
      </c>
      <c r="WT42" s="18" t="str">
        <f ca="1">IF(AND(SUM($UB42:$VY42)&gt;0,$TM42=WU$1),MAX(WT$2:WT41)+1,"")</f>
        <v/>
      </c>
      <c r="WU42" s="59" t="str">
        <f t="shared" ca="1" si="88"/>
        <v/>
      </c>
      <c r="WV42" s="18" t="str">
        <f ca="1">IF(AND(SUM($UB42:$VY42)&gt;0,$TM42=WW$1),MAX(WV$2:WV41)+1,"")</f>
        <v/>
      </c>
      <c r="WW42" s="59" t="str">
        <f t="shared" ca="1" si="89"/>
        <v/>
      </c>
      <c r="WX42" s="18" t="str">
        <f ca="1">IF(AND(SUM($UB42:$VY42)&gt;0,$TM42=WY$1),MAX(WX$2:WX41)+1,"")</f>
        <v/>
      </c>
      <c r="WY42" s="59" t="str">
        <f t="shared" ca="1" si="90"/>
        <v/>
      </c>
      <c r="WZ42" s="18">
        <v>41</v>
      </c>
      <c r="XA42" s="59" t="str">
        <f t="shared" ca="1" si="91"/>
        <v/>
      </c>
      <c r="XB42" s="59" t="str">
        <f t="shared" ca="1" si="139"/>
        <v/>
      </c>
      <c r="XC42" s="59" t="str">
        <f t="shared" ca="1" si="140"/>
        <v/>
      </c>
      <c r="XD42" s="59" t="str">
        <f t="shared" ca="1" si="141"/>
        <v/>
      </c>
      <c r="XE42" s="59" t="str">
        <f t="shared" ca="1" si="142"/>
        <v/>
      </c>
      <c r="XF42" s="59" t="str">
        <f t="shared" ca="1" si="143"/>
        <v/>
      </c>
      <c r="XG42" s="59" t="str">
        <f t="shared" ca="1" si="144"/>
        <v/>
      </c>
      <c r="XH42" s="59" t="str">
        <f t="shared" ca="1" si="145"/>
        <v/>
      </c>
      <c r="XI42" s="59" t="str">
        <f t="shared" ca="1" si="146"/>
        <v/>
      </c>
      <c r="XJ42" s="59" t="str">
        <f t="shared" ca="1" si="147"/>
        <v/>
      </c>
      <c r="XK42" s="59" t="str">
        <f t="shared" ca="1" si="148"/>
        <v/>
      </c>
      <c r="XL42" s="18">
        <v>1</v>
      </c>
      <c r="XM42" s="59">
        <f ca="1">IF(XL42=1,MAX($XM$27:XM41)+1,"")</f>
        <v>11</v>
      </c>
      <c r="XN42" s="58" t="s">
        <v>748</v>
      </c>
      <c r="XO42" s="58" t="s">
        <v>3384</v>
      </c>
      <c r="XP42" s="18" t="s">
        <v>3070</v>
      </c>
      <c r="XQ42" s="18">
        <v>10</v>
      </c>
      <c r="XR42" s="18">
        <v>1</v>
      </c>
      <c r="XS42" s="59" t="s">
        <v>751</v>
      </c>
      <c r="XT42" s="18">
        <v>2</v>
      </c>
      <c r="XU42" s="18">
        <v>11</v>
      </c>
      <c r="XV42" s="18">
        <v>9</v>
      </c>
      <c r="XW42" s="18">
        <v>2</v>
      </c>
      <c r="XX42" s="18">
        <v>10</v>
      </c>
      <c r="XY42" s="18">
        <v>4</v>
      </c>
      <c r="XZ42" s="59" t="s">
        <v>187</v>
      </c>
      <c r="YA42" s="215" t="s">
        <v>2866</v>
      </c>
      <c r="YB42" s="73" t="s">
        <v>2855</v>
      </c>
      <c r="YC42" s="142" t="s">
        <v>3395</v>
      </c>
      <c r="YG42" s="58" t="s">
        <v>1788</v>
      </c>
      <c r="YH42" s="58" t="s">
        <v>187</v>
      </c>
      <c r="YI42" s="215" t="s">
        <v>1881</v>
      </c>
      <c r="YJ42" s="215" t="s">
        <v>3451</v>
      </c>
      <c r="YK42" s="215" t="str">
        <f>""</f>
        <v/>
      </c>
      <c r="YL42" s="249" t="str">
        <f>""</f>
        <v/>
      </c>
      <c r="YM42" s="249" t="s">
        <v>3093</v>
      </c>
      <c r="YN42" s="249">
        <v>1</v>
      </c>
      <c r="YO42" s="249"/>
      <c r="YP42" s="249"/>
      <c r="YQ42" s="215"/>
      <c r="YR42" s="215"/>
      <c r="YS42" s="215"/>
      <c r="YT42" s="18" t="s">
        <v>312</v>
      </c>
      <c r="YU42" s="18">
        <v>12</v>
      </c>
      <c r="YV42" s="18" t="str">
        <f ca="1">VLOOKUP(YY42,$ZK$2:$ZP$23,$ZK$1,FALSE)</f>
        <v/>
      </c>
      <c r="YW42" s="18" t="str">
        <f ca="1">IF(YX42="","",MAX($YW$1:YW41)+1)</f>
        <v/>
      </c>
      <c r="YX42" s="59" t="str">
        <f t="shared" ca="1" si="149"/>
        <v/>
      </c>
      <c r="YY42" s="18" t="str">
        <f t="shared" ca="1" si="150"/>
        <v/>
      </c>
      <c r="ZR42"/>
    </row>
    <row r="43" spans="31:694" ht="9.9499999999999993" customHeight="1" x14ac:dyDescent="0.2">
      <c r="AO43" s="18">
        <f>AO42+1</f>
        <v>42</v>
      </c>
      <c r="AP43" s="59" t="str">
        <f t="shared" si="138"/>
        <v/>
      </c>
      <c r="AQ43" s="59" t="str">
        <f>""</f>
        <v/>
      </c>
      <c r="AR43" s="59" t="str">
        <f>""</f>
        <v/>
      </c>
      <c r="AS43" s="59" t="str">
        <f>""</f>
        <v/>
      </c>
      <c r="AT43" s="59" t="str">
        <f>""</f>
        <v/>
      </c>
      <c r="AU43" s="59" t="str">
        <f>""</f>
        <v/>
      </c>
      <c r="AV43" s="59" t="str">
        <f>""</f>
        <v/>
      </c>
      <c r="AW43" s="59" t="str">
        <f>""</f>
        <v/>
      </c>
      <c r="AX43" s="59" t="str">
        <f>""</f>
        <v/>
      </c>
      <c r="AY43" s="59" t="str">
        <f>""</f>
        <v/>
      </c>
      <c r="AZ43" s="59" t="str">
        <f>""</f>
        <v/>
      </c>
      <c r="BA43" s="59" t="str">
        <f>""</f>
        <v/>
      </c>
      <c r="BB43" s="59" t="str">
        <f>""</f>
        <v/>
      </c>
      <c r="BC43" s="59" t="str">
        <f>""</f>
        <v/>
      </c>
      <c r="BD43" s="59" t="str">
        <f>""</f>
        <v/>
      </c>
      <c r="BE43" s="18" t="str">
        <f>""</f>
        <v/>
      </c>
      <c r="BJ43" s="70"/>
      <c r="BK43" s="70"/>
      <c r="BL43" s="48"/>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48"/>
      <c r="CN43" s="48"/>
      <c r="CO43" s="48"/>
      <c r="CP43" s="48"/>
      <c r="CQ43" s="48"/>
      <c r="CR43" s="48"/>
      <c r="CS43" s="48"/>
      <c r="CT43" s="48"/>
      <c r="CU43" s="48"/>
      <c r="CV43" s="48"/>
      <c r="CW43" s="48"/>
      <c r="CX43" s="48"/>
      <c r="CY43" s="48"/>
      <c r="CZ43" s="48"/>
      <c r="DA43" s="48"/>
      <c r="DB43" s="48"/>
      <c r="DC43" s="48"/>
      <c r="DD43" s="48"/>
      <c r="DE43" s="48"/>
      <c r="DF43" s="48"/>
      <c r="DG43" s="104"/>
      <c r="DH43" s="104"/>
      <c r="DI43" s="104"/>
      <c r="DJ43" s="104"/>
      <c r="DK43" s="104"/>
      <c r="DL43" s="393" t="s">
        <v>3099</v>
      </c>
      <c r="DM43" s="391" t="s">
        <v>2698</v>
      </c>
      <c r="DN43" s="391">
        <f t="shared" ca="1" si="121"/>
        <v>0</v>
      </c>
      <c r="DO43" s="392" t="s">
        <v>3105</v>
      </c>
      <c r="DP43" s="393" t="str">
        <f>""</f>
        <v/>
      </c>
      <c r="DQ43" s="393" t="str">
        <f>""</f>
        <v/>
      </c>
      <c r="DR43" s="393" t="str">
        <f>""</f>
        <v/>
      </c>
      <c r="DS43" s="393" t="str">
        <f>""</f>
        <v/>
      </c>
      <c r="DT43" s="393" t="s">
        <v>3106</v>
      </c>
      <c r="DU43" s="393" t="str">
        <f>""</f>
        <v/>
      </c>
      <c r="DV43" s="393" t="str">
        <f>""</f>
        <v/>
      </c>
      <c r="DW43" s="393" t="str">
        <f>""</f>
        <v/>
      </c>
      <c r="DX43" s="393" t="str">
        <f>""</f>
        <v/>
      </c>
      <c r="DY43" s="393" t="str">
        <f>""</f>
        <v/>
      </c>
      <c r="DZ43" s="393" t="str">
        <f>""</f>
        <v/>
      </c>
      <c r="EA43" s="393" t="str">
        <f>""</f>
        <v/>
      </c>
      <c r="EB43" s="393" t="s">
        <v>3107</v>
      </c>
      <c r="EC43" s="393" t="str">
        <f>""</f>
        <v/>
      </c>
      <c r="ED43" s="393" t="str">
        <f>""</f>
        <v/>
      </c>
      <c r="EE43" s="393" t="str">
        <f>""</f>
        <v/>
      </c>
      <c r="EF43" s="393" t="s">
        <v>3108</v>
      </c>
      <c r="EG43" s="393" t="str">
        <f>""</f>
        <v/>
      </c>
      <c r="EH43" s="393" t="str">
        <f>""</f>
        <v/>
      </c>
      <c r="EI43" s="103" t="str">
        <f>""</f>
        <v/>
      </c>
      <c r="EJ43" s="103" t="str">
        <f>""</f>
        <v/>
      </c>
      <c r="EK43" s="103"/>
      <c r="EL43" s="103" t="str">
        <f>""</f>
        <v/>
      </c>
      <c r="EM43" s="103"/>
      <c r="EN43" s="103" t="str">
        <f>""</f>
        <v/>
      </c>
      <c r="EO43" s="103"/>
      <c r="EP43" s="103" t="str">
        <f>""</f>
        <v/>
      </c>
      <c r="EQ43" s="103"/>
      <c r="ER43" s="103" t="str">
        <f>""</f>
        <v/>
      </c>
      <c r="ES43" s="103"/>
      <c r="ET43" s="59" t="str">
        <f>""</f>
        <v/>
      </c>
      <c r="EU43" s="18" t="str">
        <f>""</f>
        <v/>
      </c>
      <c r="EV43" s="59" t="str">
        <f>""</f>
        <v/>
      </c>
      <c r="EW43" s="18" t="str">
        <f>""</f>
        <v/>
      </c>
      <c r="EX43" s="59" t="str">
        <f>""</f>
        <v/>
      </c>
      <c r="EY43" s="18" t="str">
        <f>""</f>
        <v/>
      </c>
      <c r="FA43" s="18" t="str">
        <f>IF($DM43=FB$5,MAX(FA$6:FA42)+1,"")</f>
        <v/>
      </c>
      <c r="FB43" s="58" t="str">
        <f t="shared" si="122"/>
        <v/>
      </c>
      <c r="FE43" s="18" t="str">
        <f>IF($DM43=FF$5,MAX(FE$6:FE42)+1,"")</f>
        <v/>
      </c>
      <c r="FF43" s="58" t="str">
        <f t="shared" si="123"/>
        <v/>
      </c>
      <c r="FI43" s="18" t="str">
        <f>IF($DM43=FJ$5,MAX(FI$6:FI42)+1,"")</f>
        <v/>
      </c>
      <c r="FJ43" s="58" t="str">
        <f t="shared" si="152"/>
        <v/>
      </c>
      <c r="FX43" s="104"/>
      <c r="FY43" s="104"/>
      <c r="FZ43" s="104"/>
      <c r="GA43" s="104"/>
      <c r="GB43" s="104"/>
      <c r="GC43" s="104"/>
      <c r="GD43" s="104"/>
      <c r="GE43" s="104"/>
      <c r="GF43" s="104"/>
      <c r="GG43" s="104"/>
      <c r="GH43" s="104"/>
      <c r="GI43" s="104"/>
      <c r="GJ43" s="104"/>
      <c r="GQ43" s="59"/>
      <c r="GR43" s="59"/>
      <c r="GZ43" s="59"/>
      <c r="HA43" s="59"/>
      <c r="HB43" s="59"/>
      <c r="HC43" s="59"/>
      <c r="HD43" s="59"/>
      <c r="HE43" s="59"/>
      <c r="HF43" s="59"/>
      <c r="HG43" s="59"/>
      <c r="HH43" s="59"/>
      <c r="HI43" s="59"/>
      <c r="HJ43" s="59"/>
      <c r="HK43" s="59" t="s">
        <v>2931</v>
      </c>
      <c r="HL43" s="59" t="s">
        <v>2905</v>
      </c>
      <c r="HM43" s="59" t="s">
        <v>2945</v>
      </c>
      <c r="HN43" s="59"/>
      <c r="HO43" s="59"/>
      <c r="HP43" s="59"/>
      <c r="HQ43" s="59"/>
      <c r="HR43" s="59"/>
      <c r="HS43" s="59"/>
      <c r="HT43" s="59"/>
      <c r="HU43" s="59"/>
      <c r="HV43" s="59"/>
      <c r="HW43" s="59"/>
      <c r="HX43" s="59"/>
      <c r="HY43" s="59"/>
      <c r="HZ43" s="59"/>
      <c r="IA43" s="59"/>
      <c r="IB43" s="59"/>
      <c r="IC43" s="59"/>
      <c r="ID43" s="59"/>
      <c r="IE43" s="59"/>
      <c r="IF43" s="59"/>
      <c r="IG43" s="59"/>
      <c r="IH43" s="59" t="str">
        <f>IF(IJ43=TRUE,MAX($IH$2:IH42)+1,"")</f>
        <v/>
      </c>
      <c r="II43" s="59"/>
      <c r="IJ43" s="59"/>
      <c r="IK43" s="59"/>
      <c r="IL43" s="59"/>
      <c r="IM43" s="59"/>
      <c r="IN43" s="59"/>
      <c r="IO43" s="59"/>
      <c r="IP43" s="59"/>
      <c r="IQ43" s="59"/>
      <c r="IR43" s="59"/>
      <c r="IS43" s="59"/>
      <c r="IT43" s="59"/>
      <c r="IU43" s="59"/>
      <c r="IX43" s="59" t="s">
        <v>1555</v>
      </c>
      <c r="IY43" s="59" t="s">
        <v>1556</v>
      </c>
      <c r="IZ43" s="59" t="s">
        <v>203</v>
      </c>
      <c r="JA43" s="59" t="s">
        <v>283</v>
      </c>
      <c r="JB43" s="59" t="s">
        <v>1557</v>
      </c>
      <c r="JI43" s="60"/>
      <c r="JJ43" s="60"/>
      <c r="JM43" s="296">
        <v>11</v>
      </c>
      <c r="JN43" s="296">
        <v>4</v>
      </c>
      <c r="JO43" s="296">
        <v>3</v>
      </c>
      <c r="JP43" s="296">
        <v>3</v>
      </c>
      <c r="JQ43" s="296">
        <v>3</v>
      </c>
      <c r="JR43" s="296">
        <v>2</v>
      </c>
      <c r="JS43" s="296">
        <v>1</v>
      </c>
      <c r="JT43" s="302" t="s">
        <v>140</v>
      </c>
      <c r="JU43" s="302" t="s">
        <v>140</v>
      </c>
      <c r="JV43" s="302" t="s">
        <v>140</v>
      </c>
      <c r="JW43" s="98">
        <v>6</v>
      </c>
      <c r="JX43" s="302"/>
      <c r="JY43" s="302"/>
      <c r="KT43" s="93" t="s">
        <v>1545</v>
      </c>
      <c r="KU43" s="80" t="str">
        <f t="shared" si="128"/>
        <v>No</v>
      </c>
      <c r="KV43" s="89" t="s">
        <v>333</v>
      </c>
      <c r="KW43" s="270"/>
      <c r="KX43" s="270"/>
      <c r="KY43" s="270"/>
      <c r="KZ43" s="270"/>
      <c r="LA43" s="270"/>
      <c r="LB43" s="92"/>
      <c r="LC43" s="270"/>
      <c r="LD43" s="270"/>
      <c r="LE43" s="270"/>
      <c r="LF43" s="455"/>
      <c r="LG43" s="270"/>
      <c r="LH43" s="270"/>
      <c r="LI43" s="270"/>
      <c r="LJ43" s="270"/>
      <c r="LK43" s="270"/>
      <c r="LL43" s="406"/>
      <c r="LM43" s="455"/>
      <c r="LN43" s="270"/>
      <c r="LO43" s="270"/>
      <c r="LP43" s="270"/>
      <c r="LQ43" s="92"/>
      <c r="LR43" s="270"/>
      <c r="LS43" s="270"/>
      <c r="LT43" s="92"/>
      <c r="LU43" s="92"/>
      <c r="LV43" s="270"/>
      <c r="LW43" s="270"/>
      <c r="LX43" s="270"/>
      <c r="LY43" s="92"/>
      <c r="LZ43" s="92"/>
      <c r="MA43" s="92"/>
      <c r="MB43" s="92"/>
      <c r="MC43" s="92"/>
      <c r="MD43" s="92"/>
      <c r="ME43" s="92"/>
      <c r="MF43" s="92"/>
      <c r="MG43" s="92"/>
      <c r="MH43" s="92"/>
      <c r="MI43" s="92"/>
      <c r="MJ43" s="92"/>
      <c r="MK43" s="92"/>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438"/>
      <c r="NQ43" s="94"/>
      <c r="NR43" s="94"/>
      <c r="NS43" s="94"/>
      <c r="NT43" s="94"/>
      <c r="NU43" s="94"/>
      <c r="NV43" s="456"/>
      <c r="NW43" s="456"/>
      <c r="NX43" s="456"/>
      <c r="NY43" s="456"/>
      <c r="NZ43" s="456"/>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t="str">
        <f>IF(COUNTIF(Start!$AX$59:$BF$68,Tables!KT43)&gt;0,Tables!KT43,"")</f>
        <v/>
      </c>
      <c r="PT43" s="94"/>
      <c r="PU43" s="59" t="str">
        <f t="shared" si="129"/>
        <v/>
      </c>
      <c r="PV43" s="59" t="str">
        <f>IF(PU43="","",IF(COUNTIF(PU43:$PU$57,"&gt;&lt;")&gt;1,PU43&amp;", ", PU43))</f>
        <v/>
      </c>
      <c r="PW43" s="59"/>
      <c r="PX43" s="59"/>
      <c r="PZ43" s="19" t="s">
        <v>1903</v>
      </c>
      <c r="QA43" s="19" t="s">
        <v>172</v>
      </c>
      <c r="QB43" s="27" t="str">
        <f t="shared" ca="1" si="79"/>
        <v>not proficient</v>
      </c>
      <c r="QC43" s="67"/>
      <c r="QD43" s="67" t="s">
        <v>1902</v>
      </c>
      <c r="QE43" s="26" t="s">
        <v>1902</v>
      </c>
      <c r="QF43" s="45" t="s">
        <v>140</v>
      </c>
      <c r="QG43" s="26" t="str">
        <f>""</f>
        <v/>
      </c>
      <c r="QH43" s="26" t="str">
        <f>""</f>
        <v/>
      </c>
      <c r="QI43" s="26" t="str">
        <f>""</f>
        <v/>
      </c>
      <c r="QJ43" s="26" t="str">
        <f>""</f>
        <v/>
      </c>
      <c r="QK43" s="26" t="str">
        <f>""</f>
        <v/>
      </c>
      <c r="QL43" s="26" t="str">
        <f>""</f>
        <v/>
      </c>
      <c r="QM43" s="26" t="str">
        <f>""</f>
        <v/>
      </c>
      <c r="QN43" s="26" t="str">
        <f>""</f>
        <v/>
      </c>
      <c r="QO43" s="26" t="str">
        <f>""</f>
        <v/>
      </c>
      <c r="QP43" s="26" t="str">
        <f>""</f>
        <v/>
      </c>
      <c r="QQ43" s="27" t="str">
        <f>""</f>
        <v/>
      </c>
      <c r="QR43" s="27" t="str">
        <f>""</f>
        <v/>
      </c>
      <c r="SR43" s="19"/>
      <c r="SS43" s="19"/>
      <c r="ST43" s="19"/>
      <c r="SU43" s="26"/>
      <c r="SV43" s="44"/>
      <c r="SW43" s="68"/>
      <c r="SX43" s="26"/>
      <c r="SY43" s="27"/>
      <c r="SZ43" s="26"/>
      <c r="TA43" s="19"/>
      <c r="TB43" s="19"/>
      <c r="TC43" s="19"/>
      <c r="TD43" s="44"/>
      <c r="TE43" s="26"/>
      <c r="TF43" s="68"/>
      <c r="TG43" s="26"/>
      <c r="TH43" s="27"/>
      <c r="TI43" s="27"/>
      <c r="TJ43" s="18">
        <f t="shared" si="115"/>
        <v>41</v>
      </c>
      <c r="TK43" s="58" t="s">
        <v>542</v>
      </c>
      <c r="TL43" s="58" t="s">
        <v>448</v>
      </c>
      <c r="TM43" s="18">
        <v>1</v>
      </c>
      <c r="TN43" s="59" t="str">
        <f t="shared" si="137"/>
        <v xml:space="preserve">Burning Hands ᴴ </v>
      </c>
      <c r="TO43" s="350" t="s">
        <v>2991</v>
      </c>
      <c r="TP43" s="18" t="str">
        <f t="shared" si="48"/>
        <v/>
      </c>
      <c r="TQ43" s="18" t="str">
        <f>IF(OR(TK43=Spellcasting!$AC$18,TK43=Spellcasting!$AC$19),"ᵐ","")</f>
        <v/>
      </c>
      <c r="TR43" s="18" t="str">
        <f>IF(OR(TK43=Spellcasting!$AC$20,TK43=Spellcasting!$AC$21),"ˢ","")</f>
        <v/>
      </c>
      <c r="TS43" s="18" t="str">
        <f>""</f>
        <v/>
      </c>
      <c r="TT43" s="18" t="s">
        <v>484</v>
      </c>
      <c r="TU43" s="18" t="s">
        <v>509</v>
      </c>
      <c r="TV43" s="18" t="s">
        <v>505</v>
      </c>
      <c r="TW43" s="18" t="s">
        <v>486</v>
      </c>
      <c r="TX43" s="59" t="str">
        <f>""</f>
        <v/>
      </c>
      <c r="TY43" s="18" t="s">
        <v>534</v>
      </c>
      <c r="TZ43" s="18" t="s">
        <v>535</v>
      </c>
      <c r="UA43" s="142" t="s">
        <v>3148</v>
      </c>
      <c r="UB43" s="319" t="str">
        <f ca="1">"15ft cone, 3d6"&amp;IF(WizardEvocationLevel&gt;=10,"+"&amp;INTMod,IF(AD13=TRUE,"+"&amp;CHAMod,""))&amp;" fire, dex save ½"</f>
        <v>15ft cone, 3d6 fire, dex save ½</v>
      </c>
      <c r="UF43" s="18" t="str">
        <f ca="1">IF(UF$1&gt;=$TM43,1,"0")</f>
        <v>0</v>
      </c>
      <c r="UL43" s="18" t="str">
        <f ca="1">IF(UL$1&gt;=$TM43,1,"0")</f>
        <v>0</v>
      </c>
      <c r="UW43" s="18" t="str">
        <f>IF(UW$1&gt;=$TM43,1,"0")</f>
        <v>0</v>
      </c>
      <c r="VA43" s="18" t="str">
        <f>IF(VA$1&gt;=$TM43,1,"0")</f>
        <v>0</v>
      </c>
      <c r="VP43" s="18" t="str">
        <f>IF(VP$1&gt;=$TM43,1,"0")</f>
        <v>0</v>
      </c>
      <c r="WD43" s="18" t="str">
        <f ca="1">IF(SUM($VZ$1:$WC$1)&gt;0,IF(AND(SUM($VZ43:$WC43)&gt;0,$TM43=WE$1),MAX(WD$2:WD42)+1,""),IF(AND(SUM($UC43:$VY43)&gt;0,$TM43=WE$1),MAX(WD$2:WD42)+1,""))</f>
        <v/>
      </c>
      <c r="WE43" s="59" t="str">
        <f t="shared" ca="1" si="80"/>
        <v/>
      </c>
      <c r="WF43" s="18" t="str">
        <f ca="1">IF(AND(SUM($UB43:$VY43)&gt;0,$TM43=WG$1),MAX(WF$2:WF42)+1,"")</f>
        <v/>
      </c>
      <c r="WG43" s="59" t="str">
        <f t="shared" ca="1" si="81"/>
        <v/>
      </c>
      <c r="WH43" s="18" t="str">
        <f ca="1">IF(AND(SUM($UB43:$VY43)&gt;0,$TM43=WI$1),MAX(WH$2:WH42)+1,"")</f>
        <v/>
      </c>
      <c r="WI43" s="59" t="str">
        <f t="shared" ca="1" si="82"/>
        <v/>
      </c>
      <c r="WJ43" s="18" t="str">
        <f ca="1">IF(AND(SUM($UB43:$VY43)&gt;0,$TM43=WK$1),MAX(WJ$2:WJ42)+1,"")</f>
        <v/>
      </c>
      <c r="WK43" s="59" t="str">
        <f t="shared" ca="1" si="83"/>
        <v/>
      </c>
      <c r="WL43" s="18" t="str">
        <f ca="1">IF(AND(SUM($UB43:$VY43)&gt;0,$TM43=WM$1),MAX(WL$2:WL42)+1,"")</f>
        <v/>
      </c>
      <c r="WM43" s="59" t="str">
        <f t="shared" ca="1" si="84"/>
        <v/>
      </c>
      <c r="WN43" s="18" t="str">
        <f ca="1">IF(AND(SUM($UB43:$VY43)&gt;0,$TM43=WO$1),MAX(WN$2:WN42)+1,"")</f>
        <v/>
      </c>
      <c r="WO43" s="59" t="str">
        <f t="shared" ca="1" si="85"/>
        <v/>
      </c>
      <c r="WP43" s="18" t="str">
        <f ca="1">IF(AND(SUM($UB43:$VY43)&gt;0,$TM43=WQ$1),MAX(WP$2:WP42)+1,"")</f>
        <v/>
      </c>
      <c r="WQ43" s="59" t="str">
        <f t="shared" ca="1" si="86"/>
        <v/>
      </c>
      <c r="WR43" s="18" t="str">
        <f ca="1">IF(AND(SUM($UB43:$VY43)&gt;0,$TM43=WS$1),MAX(WR$2:WR42)+1,"")</f>
        <v/>
      </c>
      <c r="WS43" s="59" t="str">
        <f t="shared" ca="1" si="87"/>
        <v/>
      </c>
      <c r="WT43" s="18" t="str">
        <f ca="1">IF(AND(SUM($UB43:$VY43)&gt;0,$TM43=WU$1),MAX(WT$2:WT42)+1,"")</f>
        <v/>
      </c>
      <c r="WU43" s="59" t="str">
        <f t="shared" ca="1" si="88"/>
        <v/>
      </c>
      <c r="WV43" s="18" t="str">
        <f ca="1">IF(AND(SUM($UB43:$VY43)&gt;0,$TM43=WW$1),MAX(WV$2:WV42)+1,"")</f>
        <v/>
      </c>
      <c r="WW43" s="59" t="str">
        <f t="shared" ca="1" si="89"/>
        <v/>
      </c>
      <c r="WX43" s="18" t="str">
        <f ca="1">IF(AND(SUM($UB43:$VY43)&gt;0,$TM43=WY$1),MAX(WX$2:WX42)+1,"")</f>
        <v/>
      </c>
      <c r="WY43" s="59" t="str">
        <f t="shared" ca="1" si="90"/>
        <v/>
      </c>
      <c r="WZ43" s="18">
        <v>42</v>
      </c>
      <c r="XA43" s="59" t="str">
        <f t="shared" ca="1" si="91"/>
        <v/>
      </c>
      <c r="XB43" s="59" t="str">
        <f t="shared" ca="1" si="139"/>
        <v/>
      </c>
      <c r="XC43" s="59" t="str">
        <f t="shared" ca="1" si="140"/>
        <v/>
      </c>
      <c r="XD43" s="59" t="str">
        <f t="shared" ca="1" si="141"/>
        <v/>
      </c>
      <c r="XE43" s="59" t="str">
        <f t="shared" ca="1" si="142"/>
        <v/>
      </c>
      <c r="XF43" s="59" t="str">
        <f t="shared" ca="1" si="143"/>
        <v/>
      </c>
      <c r="XG43" s="59" t="str">
        <f t="shared" ca="1" si="144"/>
        <v/>
      </c>
      <c r="XH43" s="59" t="str">
        <f t="shared" ca="1" si="145"/>
        <v/>
      </c>
      <c r="XI43" s="59" t="str">
        <f t="shared" ca="1" si="146"/>
        <v/>
      </c>
      <c r="XJ43" s="59" t="str">
        <f t="shared" ca="1" si="147"/>
        <v/>
      </c>
      <c r="XK43" s="59" t="str">
        <f t="shared" ca="1" si="148"/>
        <v/>
      </c>
      <c r="XL43" s="18">
        <v>1</v>
      </c>
      <c r="XM43" s="59">
        <f ca="1">IF(XL43=1,MAX($XM$27:XM42)+1,"")</f>
        <v>12</v>
      </c>
      <c r="XN43" s="58" t="s">
        <v>749</v>
      </c>
      <c r="XO43" s="58" t="s">
        <v>3384</v>
      </c>
      <c r="XP43" s="18" t="s">
        <v>3070</v>
      </c>
      <c r="XQ43" s="18">
        <v>12</v>
      </c>
      <c r="XR43" s="18">
        <v>1</v>
      </c>
      <c r="XS43" s="59" t="s">
        <v>1749</v>
      </c>
      <c r="XT43" s="18">
        <v>2</v>
      </c>
      <c r="XU43" s="18">
        <v>14</v>
      </c>
      <c r="XV43" s="18">
        <v>8</v>
      </c>
      <c r="XW43" s="18">
        <v>2</v>
      </c>
      <c r="XX43" s="18">
        <v>12</v>
      </c>
      <c r="XY43" s="18">
        <v>6</v>
      </c>
      <c r="XZ43" s="59" t="s">
        <v>1750</v>
      </c>
      <c r="YA43" s="215" t="s">
        <v>2861</v>
      </c>
      <c r="YB43" s="142" t="s">
        <v>2885</v>
      </c>
      <c r="YC43" s="142" t="s">
        <v>3402</v>
      </c>
      <c r="YG43" s="58" t="s">
        <v>762</v>
      </c>
      <c r="YH43" s="58" t="s">
        <v>187</v>
      </c>
      <c r="YI43" s="215" t="s">
        <v>1789</v>
      </c>
      <c r="YJ43" s="215" t="s">
        <v>3452</v>
      </c>
      <c r="YK43" s="215" t="str">
        <f>""</f>
        <v/>
      </c>
      <c r="YL43" s="249" t="str">
        <f>""</f>
        <v/>
      </c>
      <c r="YM43" s="249" t="str">
        <f>""</f>
        <v/>
      </c>
      <c r="YN43" s="249" t="str">
        <f>""</f>
        <v/>
      </c>
      <c r="YO43" s="249"/>
      <c r="YP43" s="249"/>
      <c r="YQ43" s="215"/>
      <c r="YR43" s="215"/>
      <c r="YS43" s="215"/>
      <c r="YT43" s="18" t="s">
        <v>312</v>
      </c>
      <c r="YU43" s="18">
        <v>16</v>
      </c>
      <c r="YV43" s="18" t="str">
        <f ca="1">VLOOKUP(YY43,$ZK$2:$ZP$23,$ZK$1,FALSE)</f>
        <v/>
      </c>
      <c r="YW43" s="18" t="str">
        <f ca="1">IF(YX43="","",MAX($YW$1:YW42)+1)</f>
        <v/>
      </c>
      <c r="YX43" s="59" t="str">
        <f t="shared" ca="1" si="149"/>
        <v/>
      </c>
      <c r="YY43" s="18" t="str">
        <f t="shared" ca="1" si="150"/>
        <v/>
      </c>
      <c r="ZR43"/>
    </row>
    <row r="44" spans="31:694" ht="9.9499999999999993" customHeight="1" x14ac:dyDescent="0.2">
      <c r="AO44" s="18">
        <f t="shared" si="119"/>
        <v>43</v>
      </c>
      <c r="AP44" s="59" t="str">
        <f t="shared" si="138"/>
        <v/>
      </c>
      <c r="AQ44" s="59" t="str">
        <f>""</f>
        <v/>
      </c>
      <c r="AR44" s="58" t="str">
        <f>""</f>
        <v/>
      </c>
      <c r="AS44" s="58" t="s">
        <v>2417</v>
      </c>
      <c r="AT44" s="58" t="s">
        <v>1104</v>
      </c>
      <c r="AU44" s="58" t="s">
        <v>1751</v>
      </c>
      <c r="AV44" s="58" t="s">
        <v>1112</v>
      </c>
      <c r="AW44" s="58" t="s">
        <v>2483</v>
      </c>
      <c r="AX44" s="58" t="s">
        <v>2529</v>
      </c>
      <c r="AY44" s="58" t="str">
        <f>""</f>
        <v/>
      </c>
      <c r="AZ44" s="58" t="s">
        <v>2562</v>
      </c>
      <c r="BA44" s="58" t="s">
        <v>1041</v>
      </c>
      <c r="BB44" s="58" t="str">
        <f>""</f>
        <v/>
      </c>
      <c r="BC44" s="58" t="s">
        <v>1200</v>
      </c>
      <c r="BD44" s="58" t="str">
        <f>""</f>
        <v/>
      </c>
      <c r="BE44" s="18" t="str">
        <f>""</f>
        <v/>
      </c>
      <c r="BJ44" s="70"/>
      <c r="BK44" s="70"/>
      <c r="BL44" s="48"/>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48"/>
      <c r="CN44" s="48"/>
      <c r="CO44" s="48"/>
      <c r="CP44" s="48"/>
      <c r="CQ44" s="48"/>
      <c r="CR44" s="48"/>
      <c r="CS44" s="48"/>
      <c r="CT44" s="48"/>
      <c r="CU44" s="48"/>
      <c r="CV44" s="48"/>
      <c r="CW44" s="48"/>
      <c r="CX44" s="48"/>
      <c r="CY44" s="48"/>
      <c r="CZ44" s="48"/>
      <c r="DA44" s="48"/>
      <c r="DB44" s="48"/>
      <c r="DC44" s="48"/>
      <c r="DD44" s="48"/>
      <c r="DE44" s="48"/>
      <c r="DF44" s="48"/>
      <c r="DG44" s="104"/>
      <c r="DH44" s="104"/>
      <c r="DI44" s="104"/>
      <c r="DJ44" s="104"/>
      <c r="DK44" s="104"/>
      <c r="DL44" s="393" t="s">
        <v>3204</v>
      </c>
      <c r="DM44" s="391" t="s">
        <v>2641</v>
      </c>
      <c r="DN44" s="391">
        <f t="shared" ca="1" si="121"/>
        <v>0</v>
      </c>
      <c r="DO44" s="399" t="str">
        <f>"• Otherworldly Patron Feature (Fey Presence)
• Expanded Spell List
"&amp;EI44</f>
        <v xml:space="preserve">• Otherworldly Patron Feature (Fey Presence)
• Expanded Spell List
</v>
      </c>
      <c r="DP44" s="393" t="str">
        <f>""</f>
        <v/>
      </c>
      <c r="DQ44" s="393" t="str">
        <f>""</f>
        <v/>
      </c>
      <c r="DR44" s="393" t="str">
        <f>""</f>
        <v/>
      </c>
      <c r="DS44" s="393" t="str">
        <f>""</f>
        <v/>
      </c>
      <c r="DT44" s="393" t="s">
        <v>3264</v>
      </c>
      <c r="DU44" s="393" t="str">
        <f>""</f>
        <v/>
      </c>
      <c r="DV44" s="393" t="str">
        <f>""</f>
        <v/>
      </c>
      <c r="DW44" s="393" t="str">
        <f>""</f>
        <v/>
      </c>
      <c r="DX44" s="393" t="s">
        <v>3265</v>
      </c>
      <c r="DY44" s="393" t="str">
        <f>""</f>
        <v/>
      </c>
      <c r="DZ44" s="393" t="str">
        <f>""</f>
        <v/>
      </c>
      <c r="EA44" s="393" t="str">
        <f>""</f>
        <v/>
      </c>
      <c r="EB44" s="393" t="s">
        <v>3266</v>
      </c>
      <c r="EC44" s="393" t="str">
        <f>""</f>
        <v/>
      </c>
      <c r="ED44" s="393" t="str">
        <f>""</f>
        <v/>
      </c>
      <c r="EE44" s="393" t="str">
        <f>""</f>
        <v/>
      </c>
      <c r="EF44" s="393" t="str">
        <f>""</f>
        <v/>
      </c>
      <c r="EG44" s="393" t="str">
        <f>""</f>
        <v/>
      </c>
      <c r="EH44" s="393" t="str">
        <f>""</f>
        <v/>
      </c>
      <c r="EI44" s="445" t="str">
        <f>IF(WarlockLevel&gt;=9,"  1st (faerie fire, sleep)
  3rd (calm emotions, phantasmal force)
  5th (blink, plant growth)
  7th (dominate beast, greater invisibility)
  9th (dominate person, seeming)",IF(WarlockLevel&gt;=7,"  1st (faerie fire, sleep)
  3rd (calm emotions, phantasmal force)
  5th (blink, plant growth)
  7th (dominate beast, greater invisibility)",IF(WarlockLevel&gt;=5,"  1st (faerie fire, sleep)
  3rd (calm emotions, phantasmal force)
  5th (blink, plant growth)",IF(WarlockLevel&gt;=3,"  1st (faerie fire, sleep)
  3rd (calm emotions, phantasmal force)",IF(WarlockLevel&gt;=1,"  1st (faerie fire, sleep)","")))))</f>
        <v/>
      </c>
      <c r="EJ44" s="445" t="str">
        <f>""</f>
        <v/>
      </c>
      <c r="EK44" s="445"/>
      <c r="EL44" s="445" t="str">
        <f>""</f>
        <v/>
      </c>
      <c r="EM44" s="445"/>
      <c r="EN44" s="445" t="str">
        <f>""</f>
        <v/>
      </c>
      <c r="EO44" s="445"/>
      <c r="EP44" s="445" t="str">
        <f>""</f>
        <v/>
      </c>
      <c r="EQ44" s="445"/>
      <c r="ER44" s="445" t="str">
        <f>""</f>
        <v/>
      </c>
      <c r="ES44" s="103"/>
      <c r="ET44" s="59" t="str">
        <f>""</f>
        <v/>
      </c>
      <c r="EU44" s="18" t="str">
        <f>""</f>
        <v/>
      </c>
      <c r="EV44" s="59" t="str">
        <f>""</f>
        <v/>
      </c>
      <c r="EW44" s="18" t="str">
        <f>""</f>
        <v/>
      </c>
      <c r="EX44" s="59" t="str">
        <f>""</f>
        <v/>
      </c>
      <c r="EY44" s="18" t="str">
        <f>""</f>
        <v/>
      </c>
      <c r="FA44" s="18" t="str">
        <f>IF($DM44=FB$5,MAX(FA$6:FA43)+1,"")</f>
        <v/>
      </c>
      <c r="FB44" s="58" t="str">
        <f t="shared" si="122"/>
        <v/>
      </c>
      <c r="FE44" s="18" t="str">
        <f>IF($DM44=FF$5,MAX(FE$6:FE43)+1,"")</f>
        <v/>
      </c>
      <c r="FF44" s="58" t="str">
        <f t="shared" si="123"/>
        <v/>
      </c>
      <c r="FI44" s="18" t="str">
        <f>IF($DM44=FJ$5,MAX(FI$6:FI43)+1,"")</f>
        <v/>
      </c>
      <c r="FJ44" s="58" t="str">
        <f t="shared" si="152"/>
        <v/>
      </c>
      <c r="FX44" s="104"/>
      <c r="FY44" s="104"/>
      <c r="FZ44" s="104"/>
      <c r="GA44" s="104"/>
      <c r="GB44" s="104"/>
      <c r="GC44" s="104"/>
      <c r="GD44" s="104"/>
      <c r="GE44" s="104"/>
      <c r="GF44" s="104"/>
      <c r="GG44" s="104"/>
      <c r="GH44" s="104"/>
      <c r="GI44" s="104"/>
      <c r="GJ44" s="104"/>
      <c r="GQ44" s="59"/>
      <c r="GR44" s="59"/>
      <c r="GZ44" s="59"/>
      <c r="HA44" s="59"/>
      <c r="HB44" s="59"/>
      <c r="HC44" s="59"/>
      <c r="HD44" s="59"/>
      <c r="HE44" s="59"/>
      <c r="HF44" s="59"/>
      <c r="HG44" s="59"/>
      <c r="HH44" s="59"/>
      <c r="HI44" s="59"/>
      <c r="HJ44" s="59"/>
      <c r="HK44" s="59" t="s">
        <v>2932</v>
      </c>
      <c r="HL44" s="59" t="s">
        <v>2905</v>
      </c>
      <c r="HM44" s="59" t="s">
        <v>2946</v>
      </c>
      <c r="HN44" s="59"/>
      <c r="HO44" s="59"/>
      <c r="HP44" s="59"/>
      <c r="HQ44" s="59"/>
      <c r="HR44" s="59"/>
      <c r="HS44" s="59"/>
      <c r="HT44" s="59"/>
      <c r="HU44" s="59"/>
      <c r="HV44" s="59"/>
      <c r="HW44" s="59"/>
      <c r="HX44" s="59"/>
      <c r="HY44" s="59"/>
      <c r="HZ44" s="59"/>
      <c r="IA44" s="59"/>
      <c r="IB44" s="59"/>
      <c r="IC44" s="59"/>
      <c r="ID44" s="59"/>
      <c r="IE44" s="59"/>
      <c r="IF44" s="59"/>
      <c r="IG44" s="59"/>
      <c r="IH44" s="59" t="str">
        <f>IF(IJ44=TRUE,MAX($IH$2:IH43)+1,"")</f>
        <v/>
      </c>
      <c r="II44" s="59"/>
      <c r="IJ44" s="59"/>
      <c r="IK44" s="59"/>
      <c r="IL44" s="59"/>
      <c r="IM44" s="59"/>
      <c r="IN44" s="59"/>
      <c r="IO44" s="59"/>
      <c r="IP44" s="59"/>
      <c r="IQ44" s="59"/>
      <c r="IR44" s="59"/>
      <c r="IS44" s="59"/>
      <c r="IT44" s="59"/>
      <c r="IU44" s="59"/>
      <c r="IX44" s="59" t="s">
        <v>1558</v>
      </c>
      <c r="IY44" s="59" t="s">
        <v>1559</v>
      </c>
      <c r="IZ44" s="59" t="s">
        <v>203</v>
      </c>
      <c r="JA44" s="59" t="s">
        <v>281</v>
      </c>
      <c r="JB44" s="59" t="s">
        <v>1560</v>
      </c>
      <c r="JI44" s="60"/>
      <c r="JM44" s="296">
        <v>12</v>
      </c>
      <c r="JN44" s="296">
        <v>4</v>
      </c>
      <c r="JO44" s="296">
        <v>3</v>
      </c>
      <c r="JP44" s="296">
        <v>3</v>
      </c>
      <c r="JQ44" s="296">
        <v>3</v>
      </c>
      <c r="JR44" s="296">
        <v>2</v>
      </c>
      <c r="JS44" s="296">
        <v>1</v>
      </c>
      <c r="JT44" s="302" t="s">
        <v>140</v>
      </c>
      <c r="JU44" s="302" t="s">
        <v>140</v>
      </c>
      <c r="JV44" s="302" t="s">
        <v>140</v>
      </c>
      <c r="JW44" s="98">
        <v>6</v>
      </c>
      <c r="JX44" s="302"/>
      <c r="JY44" s="302"/>
      <c r="KT44" s="93" t="s">
        <v>1546</v>
      </c>
      <c r="KU44" s="80" t="str">
        <f t="shared" si="128"/>
        <v>No</v>
      </c>
      <c r="KV44" s="89" t="s">
        <v>333</v>
      </c>
      <c r="KW44" s="270"/>
      <c r="KX44" s="270"/>
      <c r="KY44" s="270"/>
      <c r="KZ44" s="270"/>
      <c r="LA44" s="270"/>
      <c r="LB44" s="92"/>
      <c r="LC44" s="270"/>
      <c r="LD44" s="270"/>
      <c r="LE44" s="270"/>
      <c r="LF44" s="455"/>
      <c r="LG44" s="270"/>
      <c r="LH44" s="270"/>
      <c r="LI44" s="270"/>
      <c r="LJ44" s="270"/>
      <c r="LK44" s="270"/>
      <c r="LL44" s="406"/>
      <c r="LM44" s="455"/>
      <c r="LN44" s="270"/>
      <c r="LO44" s="270"/>
      <c r="LP44" s="270"/>
      <c r="LQ44" s="92"/>
      <c r="LR44" s="270"/>
      <c r="LS44" s="270"/>
      <c r="LT44" s="92"/>
      <c r="LU44" s="92"/>
      <c r="LV44" s="270"/>
      <c r="LW44" s="270"/>
      <c r="LX44" s="270"/>
      <c r="LY44" s="92"/>
      <c r="LZ44" s="92"/>
      <c r="MA44" s="92"/>
      <c r="MB44" s="92"/>
      <c r="MC44" s="92"/>
      <c r="MD44" s="92"/>
      <c r="ME44" s="92"/>
      <c r="MF44" s="92"/>
      <c r="MG44" s="92"/>
      <c r="MH44" s="92"/>
      <c r="MI44" s="92"/>
      <c r="MJ44" s="92"/>
      <c r="MK44" s="92"/>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438"/>
      <c r="NQ44" s="94"/>
      <c r="NR44" s="94"/>
      <c r="NS44" s="94"/>
      <c r="NT44" s="94"/>
      <c r="NU44" s="94"/>
      <c r="NV44" s="456"/>
      <c r="NW44" s="456"/>
      <c r="NX44" s="456"/>
      <c r="NY44" s="456"/>
      <c r="NZ44" s="456"/>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t="str">
        <f>IF(COUNTIF(Start!$AX$59:$BF$68,Tables!KT44)&gt;0,Tables!KT44,"")</f>
        <v/>
      </c>
      <c r="PT44" s="94"/>
      <c r="PU44" s="59" t="str">
        <f t="shared" si="129"/>
        <v/>
      </c>
      <c r="PV44" s="59" t="str">
        <f>IF(PU44="","",IF(COUNTIF(PU44:$PU$57,"&gt;&lt;")&gt;1,PU44&amp;", ", PU44))</f>
        <v/>
      </c>
      <c r="PW44" s="59"/>
      <c r="PX44" s="59"/>
      <c r="PZ44" s="28" t="s">
        <v>1904</v>
      </c>
      <c r="QA44" s="28" t="s">
        <v>172</v>
      </c>
      <c r="QB44" s="30" t="str">
        <f t="shared" ca="1" si="79"/>
        <v>not proficient</v>
      </c>
      <c r="QC44" s="31"/>
      <c r="QD44" s="31" t="s">
        <v>1902</v>
      </c>
      <c r="QE44" s="29" t="s">
        <v>1902</v>
      </c>
      <c r="QF44" s="46" t="s">
        <v>140</v>
      </c>
      <c r="QG44" s="29" t="str">
        <f>""</f>
        <v/>
      </c>
      <c r="QH44" s="29" t="str">
        <f>""</f>
        <v/>
      </c>
      <c r="QI44" s="29" t="str">
        <f>""</f>
        <v/>
      </c>
      <c r="QJ44" s="29" t="str">
        <f>""</f>
        <v/>
      </c>
      <c r="QK44" s="29" t="str">
        <f>""</f>
        <v/>
      </c>
      <c r="QL44" s="29" t="str">
        <f>""</f>
        <v/>
      </c>
      <c r="QM44" s="29" t="str">
        <f>""</f>
        <v/>
      </c>
      <c r="QN44" s="29" t="str">
        <f>""</f>
        <v/>
      </c>
      <c r="QO44" s="29" t="str">
        <f>""</f>
        <v/>
      </c>
      <c r="QP44" s="29" t="str">
        <f>""</f>
        <v/>
      </c>
      <c r="QQ44" s="30" t="str">
        <f>""</f>
        <v/>
      </c>
      <c r="QR44" s="30" t="str">
        <f>""</f>
        <v/>
      </c>
      <c r="SR44" s="28"/>
      <c r="SS44" s="28"/>
      <c r="ST44" s="28"/>
      <c r="SU44" s="29"/>
      <c r="SV44" s="42"/>
      <c r="SW44" s="69"/>
      <c r="SX44" s="29"/>
      <c r="SY44" s="30"/>
      <c r="SZ44" s="29"/>
      <c r="TA44" s="28"/>
      <c r="TB44" s="28"/>
      <c r="TC44" s="28"/>
      <c r="TD44" s="42"/>
      <c r="TE44" s="29"/>
      <c r="TF44" s="69"/>
      <c r="TG44" s="29"/>
      <c r="TH44" s="30"/>
      <c r="TI44" s="30"/>
      <c r="TJ44" s="18">
        <f t="shared" si="115"/>
        <v>42</v>
      </c>
      <c r="TK44" s="58" t="s">
        <v>543</v>
      </c>
      <c r="TL44" s="58" t="s">
        <v>460</v>
      </c>
      <c r="TM44" s="18">
        <v>3</v>
      </c>
      <c r="TN44" s="59" t="str">
        <f t="shared" si="137"/>
        <v xml:space="preserve">Call Lightning ᴴ </v>
      </c>
      <c r="TO44" s="350" t="s">
        <v>2991</v>
      </c>
      <c r="TP44" s="18" t="str">
        <f t="shared" si="48"/>
        <v/>
      </c>
      <c r="TQ44" s="18" t="str">
        <f>IF(OR(TK44=Spellcasting!$AC$18,TK44=Spellcasting!$AC$19),"ᵐ","")</f>
        <v/>
      </c>
      <c r="TR44" s="18" t="str">
        <f>IF(OR(TK44=Spellcasting!$AC$20,TK44=Spellcasting!$AC$21),"ˢ","")</f>
        <v/>
      </c>
      <c r="TS44" s="18" t="str">
        <f>""</f>
        <v/>
      </c>
      <c r="TT44" s="18" t="s">
        <v>484</v>
      </c>
      <c r="TU44" s="18" t="s">
        <v>848</v>
      </c>
      <c r="TV44" s="18" t="s">
        <v>515</v>
      </c>
      <c r="TW44" s="18" t="s">
        <v>486</v>
      </c>
      <c r="TX44" s="59" t="str">
        <f>""</f>
        <v/>
      </c>
      <c r="TY44" s="18" t="s">
        <v>516</v>
      </c>
      <c r="TZ44" s="18" t="s">
        <v>517</v>
      </c>
      <c r="UA44" s="142" t="s">
        <v>3149</v>
      </c>
      <c r="UB44" s="319" t="s">
        <v>3247</v>
      </c>
      <c r="UI44" s="18" t="str">
        <f ca="1">IF(UI$1&gt;=$TM44,1,"0")</f>
        <v>0</v>
      </c>
      <c r="VC44" s="18" t="str">
        <f>IF(VC$1&gt;=$TM44,1,"0")</f>
        <v>0</v>
      </c>
      <c r="VJ44" s="18" t="str">
        <f>IF(VJ$1&gt;=$TM44,1,"0")</f>
        <v>0</v>
      </c>
      <c r="WD44" s="18" t="str">
        <f ca="1">IF(SUM($VZ$1:$WC$1)&gt;0,IF(AND(SUM($VZ44:$WC44)&gt;0,$TM44=WE$1),MAX(WD$2:WD43)+1,""),IF(AND(SUM($UC44:$VY44)&gt;0,$TM44=WE$1),MAX(WD$2:WD43)+1,""))</f>
        <v/>
      </c>
      <c r="WE44" s="59" t="str">
        <f t="shared" ca="1" si="80"/>
        <v/>
      </c>
      <c r="WF44" s="18" t="str">
        <f ca="1">IF(AND(SUM($UB44:$VY44)&gt;0,$TM44=WG$1),MAX(WF$2:WF43)+1,"")</f>
        <v/>
      </c>
      <c r="WG44" s="59" t="str">
        <f t="shared" ca="1" si="81"/>
        <v/>
      </c>
      <c r="WH44" s="18" t="str">
        <f ca="1">IF(AND(SUM($UB44:$VY44)&gt;0,$TM44=WI$1),MAX(WH$2:WH43)+1,"")</f>
        <v/>
      </c>
      <c r="WI44" s="59" t="str">
        <f t="shared" ca="1" si="82"/>
        <v/>
      </c>
      <c r="WJ44" s="18" t="str">
        <f ca="1">IF(AND(SUM($UB44:$VY44)&gt;0,$TM44=WK$1),MAX(WJ$2:WJ43)+1,"")</f>
        <v/>
      </c>
      <c r="WK44" s="59" t="str">
        <f t="shared" ca="1" si="83"/>
        <v/>
      </c>
      <c r="WL44" s="18" t="str">
        <f ca="1">IF(AND(SUM($UB44:$VY44)&gt;0,$TM44=WM$1),MAX(WL$2:WL43)+1,"")</f>
        <v/>
      </c>
      <c r="WM44" s="59" t="str">
        <f t="shared" ca="1" si="84"/>
        <v/>
      </c>
      <c r="WN44" s="18" t="str">
        <f ca="1">IF(AND(SUM($UB44:$VY44)&gt;0,$TM44=WO$1),MAX(WN$2:WN43)+1,"")</f>
        <v/>
      </c>
      <c r="WO44" s="59" t="str">
        <f t="shared" ca="1" si="85"/>
        <v/>
      </c>
      <c r="WP44" s="18" t="str">
        <f ca="1">IF(AND(SUM($UB44:$VY44)&gt;0,$TM44=WQ$1),MAX(WP$2:WP43)+1,"")</f>
        <v/>
      </c>
      <c r="WQ44" s="59" t="str">
        <f t="shared" ca="1" si="86"/>
        <v/>
      </c>
      <c r="WR44" s="18" t="str">
        <f ca="1">IF(AND(SUM($UB44:$VY44)&gt;0,$TM44=WS$1),MAX(WR$2:WR43)+1,"")</f>
        <v/>
      </c>
      <c r="WS44" s="59" t="str">
        <f t="shared" ca="1" si="87"/>
        <v/>
      </c>
      <c r="WT44" s="18" t="str">
        <f ca="1">IF(AND(SUM($UB44:$VY44)&gt;0,$TM44=WU$1),MAX(WT$2:WT43)+1,"")</f>
        <v/>
      </c>
      <c r="WU44" s="59" t="str">
        <f t="shared" ca="1" si="88"/>
        <v/>
      </c>
      <c r="WV44" s="18" t="str">
        <f ca="1">IF(AND(SUM($UB44:$VY44)&gt;0,$TM44=WW$1),MAX(WV$2:WV43)+1,"")</f>
        <v/>
      </c>
      <c r="WW44" s="59" t="str">
        <f t="shared" ca="1" si="89"/>
        <v/>
      </c>
      <c r="WX44" s="18" t="str">
        <f ca="1">IF(AND(SUM($UB44:$VY44)&gt;0,$TM44=WY$1),MAX(WX$2:WX43)+1,"")</f>
        <v/>
      </c>
      <c r="WY44" s="59" t="str">
        <f t="shared" ca="1" si="90"/>
        <v/>
      </c>
      <c r="WZ44" s="18">
        <v>43</v>
      </c>
      <c r="XA44" s="59" t="str">
        <f t="shared" ca="1" si="91"/>
        <v/>
      </c>
      <c r="XB44" s="59" t="str">
        <f t="shared" ca="1" si="139"/>
        <v/>
      </c>
      <c r="XC44" s="59" t="str">
        <f t="shared" ca="1" si="140"/>
        <v/>
      </c>
      <c r="XD44" s="59" t="str">
        <f t="shared" ca="1" si="141"/>
        <v/>
      </c>
      <c r="XE44" s="59" t="str">
        <f t="shared" ca="1" si="142"/>
        <v/>
      </c>
      <c r="XF44" s="59" t="str">
        <f t="shared" ca="1" si="143"/>
        <v/>
      </c>
      <c r="XG44" s="59" t="str">
        <f t="shared" ca="1" si="144"/>
        <v/>
      </c>
      <c r="XH44" s="59" t="str">
        <f t="shared" ca="1" si="145"/>
        <v/>
      </c>
      <c r="XI44" s="59" t="str">
        <f t="shared" ca="1" si="146"/>
        <v/>
      </c>
      <c r="XJ44" s="59" t="str">
        <f t="shared" ca="1" si="147"/>
        <v/>
      </c>
      <c r="XK44" s="59" t="str">
        <f t="shared" ca="1" si="148"/>
        <v/>
      </c>
      <c r="XL44" s="18">
        <v>1</v>
      </c>
      <c r="XM44" s="59">
        <f ca="1">IF(XL44=1,MAX($XM$27:XM43)+1,"")</f>
        <v>13</v>
      </c>
      <c r="XN44" s="58" t="s">
        <v>2886</v>
      </c>
      <c r="XO44" s="58" t="s">
        <v>3384</v>
      </c>
      <c r="XP44" s="18" t="s">
        <v>3070</v>
      </c>
      <c r="XQ44" s="18">
        <v>11</v>
      </c>
      <c r="XR44" s="18">
        <v>1</v>
      </c>
      <c r="XS44" s="59" t="s">
        <v>504</v>
      </c>
      <c r="XT44" s="18">
        <v>2</v>
      </c>
      <c r="XU44" s="18">
        <v>1</v>
      </c>
      <c r="XV44" s="18">
        <v>8</v>
      </c>
      <c r="XW44" s="18">
        <v>1</v>
      </c>
      <c r="XX44" s="18">
        <v>8</v>
      </c>
      <c r="XY44" s="18">
        <v>2</v>
      </c>
      <c r="XZ44" s="59" t="s">
        <v>187</v>
      </c>
      <c r="YA44" s="215" t="s">
        <v>2887</v>
      </c>
      <c r="YB44" s="142" t="s">
        <v>2888</v>
      </c>
      <c r="YC44" s="142" t="s">
        <v>187</v>
      </c>
      <c r="YG44" s="58" t="s">
        <v>1790</v>
      </c>
      <c r="YH44" s="58" t="s">
        <v>187</v>
      </c>
      <c r="YI44" s="215" t="s">
        <v>1791</v>
      </c>
      <c r="YJ44" s="215" t="s">
        <v>1815</v>
      </c>
      <c r="YK44" s="215" t="str">
        <f>""</f>
        <v/>
      </c>
      <c r="YL44" s="249" t="str">
        <f>""</f>
        <v/>
      </c>
      <c r="YM44" s="249" t="s">
        <v>3090</v>
      </c>
      <c r="YN44" s="249">
        <v>1</v>
      </c>
      <c r="YO44" s="249"/>
      <c r="YP44" s="249"/>
      <c r="YQ44" s="215"/>
      <c r="YR44" s="215"/>
      <c r="YS44" s="215"/>
      <c r="YT44" s="18" t="s">
        <v>312</v>
      </c>
      <c r="YU44" s="18">
        <v>19</v>
      </c>
      <c r="YV44" s="18" t="str">
        <f ca="1">VLOOKUP(YY44,$ZK$2:$ZP$23,$ZK$1,FALSE)</f>
        <v/>
      </c>
      <c r="YW44" s="18" t="str">
        <f ca="1">IF(YX44="","",MAX($YW$1:YW43)+1)</f>
        <v/>
      </c>
      <c r="YX44" s="59" t="str">
        <f t="shared" ca="1" si="149"/>
        <v/>
      </c>
      <c r="YY44" s="18" t="str">
        <f t="shared" ca="1" si="150"/>
        <v/>
      </c>
      <c r="ZR44"/>
    </row>
    <row r="45" spans="31:694" ht="9.9499999999999993" customHeight="1" x14ac:dyDescent="0.2">
      <c r="AO45" s="18">
        <f t="shared" si="119"/>
        <v>44</v>
      </c>
      <c r="AP45" s="59" t="str">
        <f t="shared" si="138"/>
        <v/>
      </c>
      <c r="AQ45" s="59" t="str">
        <f>""</f>
        <v/>
      </c>
      <c r="AR45" s="58" t="str">
        <f>""</f>
        <v/>
      </c>
      <c r="AS45" s="58" t="s">
        <v>2418</v>
      </c>
      <c r="AT45" s="58" t="s">
        <v>1105</v>
      </c>
      <c r="AU45" s="58" t="s">
        <v>2449</v>
      </c>
      <c r="AV45" s="58" t="s">
        <v>1113</v>
      </c>
      <c r="AW45" s="58" t="s">
        <v>2484</v>
      </c>
      <c r="AX45" s="58" t="s">
        <v>2852</v>
      </c>
      <c r="AY45" s="58" t="str">
        <f>""</f>
        <v/>
      </c>
      <c r="AZ45" s="58" t="s">
        <v>2563</v>
      </c>
      <c r="BA45" s="58" t="s">
        <v>1042</v>
      </c>
      <c r="BB45" s="58" t="str">
        <f>""</f>
        <v/>
      </c>
      <c r="BC45" s="58" t="s">
        <v>1201</v>
      </c>
      <c r="BD45" s="58" t="str">
        <f>""</f>
        <v/>
      </c>
      <c r="BE45" s="18" t="str">
        <f>""</f>
        <v/>
      </c>
      <c r="BJ45" s="70"/>
      <c r="BK45" s="70"/>
      <c r="BL45" s="48"/>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48"/>
      <c r="CN45" s="48"/>
      <c r="CO45" s="48"/>
      <c r="CP45" s="48"/>
      <c r="CQ45" s="48"/>
      <c r="CR45" s="48"/>
      <c r="CS45" s="48"/>
      <c r="CT45" s="48"/>
      <c r="CU45" s="48"/>
      <c r="CV45" s="48"/>
      <c r="CW45" s="48"/>
      <c r="CX45" s="48"/>
      <c r="CY45" s="48"/>
      <c r="CZ45" s="48"/>
      <c r="DA45" s="48"/>
      <c r="DB45" s="48"/>
      <c r="DC45" s="48"/>
      <c r="DD45" s="48"/>
      <c r="DE45" s="48"/>
      <c r="DF45" s="48"/>
      <c r="DG45" s="104"/>
      <c r="DH45" s="104"/>
      <c r="DI45" s="104"/>
      <c r="DJ45" s="104"/>
      <c r="DK45" s="104"/>
      <c r="DL45" s="393" t="s">
        <v>3069</v>
      </c>
      <c r="DM45" s="391" t="s">
        <v>2641</v>
      </c>
      <c r="DN45" s="391">
        <f t="shared" ca="1" si="121"/>
        <v>0</v>
      </c>
      <c r="DO45" s="399" t="str">
        <f>"• Otherworldly Patron Feature (Dark One's Blessing)
• Expanded Spell List
"&amp;EI45</f>
        <v xml:space="preserve">• Otherworldly Patron Feature (Dark One's Blessing)
• Expanded Spell List
</v>
      </c>
      <c r="DP45" s="393" t="str">
        <f>""</f>
        <v/>
      </c>
      <c r="DQ45" s="393" t="str">
        <f>""</f>
        <v/>
      </c>
      <c r="DR45" s="393" t="str">
        <f>""</f>
        <v/>
      </c>
      <c r="DS45" s="393" t="str">
        <f>""</f>
        <v/>
      </c>
      <c r="DT45" s="393" t="s">
        <v>3267</v>
      </c>
      <c r="DU45" s="393" t="str">
        <f>""</f>
        <v/>
      </c>
      <c r="DV45" s="393" t="str">
        <f>""</f>
        <v/>
      </c>
      <c r="DW45" s="393" t="str">
        <f>""</f>
        <v/>
      </c>
      <c r="DX45" s="393" t="s">
        <v>3268</v>
      </c>
      <c r="DY45" s="393" t="str">
        <f>""</f>
        <v/>
      </c>
      <c r="DZ45" s="393" t="str">
        <f>""</f>
        <v/>
      </c>
      <c r="EA45" s="393" t="str">
        <f>""</f>
        <v/>
      </c>
      <c r="EB45" s="393" t="s">
        <v>3269</v>
      </c>
      <c r="EC45" s="393" t="str">
        <f>""</f>
        <v/>
      </c>
      <c r="ED45" s="393" t="str">
        <f>""</f>
        <v/>
      </c>
      <c r="EE45" s="393" t="str">
        <f>""</f>
        <v/>
      </c>
      <c r="EF45" s="393" t="str">
        <f>""</f>
        <v/>
      </c>
      <c r="EG45" s="393" t="str">
        <f>""</f>
        <v/>
      </c>
      <c r="EH45" s="393" t="str">
        <f>""</f>
        <v/>
      </c>
      <c r="EI45" s="445" t="str">
        <f>IF(WarlockLevel&gt;=9,"  1st (burning hands, command)
  3rd (blindness/deafness, scorching ray)
  5th (fireball, stinking cloud)
  7th (fire shield, wall of fire)
  9th (flame strike, hallow)",IF(WarlockLevel&gt;=7,"  1st (burning hands, command)
  3rd (blindness/deafness, scorching ray)
  5th (fireball, stinking cloud)
  7th (fire shield, wall of fire)",IF(WarlockLevel&gt;=5,"  1st (burning hands, command)
  3rd (blindness/deafness, scorching ray)
  5th (fireball, stinking cloud)",IF(WarlockLevel&gt;=3,"  1st (burning hands, command)
  3rd (blindness/deafness, scorching ray)",IF(WarlockLevel&gt;=1,"  1st (burning hands, command)","")))))</f>
        <v/>
      </c>
      <c r="EJ45" s="445" t="str">
        <f>""</f>
        <v/>
      </c>
      <c r="EK45" s="445"/>
      <c r="EL45" s="445" t="str">
        <f>""</f>
        <v/>
      </c>
      <c r="EM45" s="445"/>
      <c r="EN45" s="445" t="str">
        <f>""</f>
        <v/>
      </c>
      <c r="EO45" s="445"/>
      <c r="EP45" s="445" t="str">
        <f>""</f>
        <v/>
      </c>
      <c r="EQ45" s="445"/>
      <c r="ER45" s="445" t="str">
        <f>""</f>
        <v/>
      </c>
      <c r="ES45" s="103"/>
      <c r="ET45" s="59" t="str">
        <f>""</f>
        <v/>
      </c>
      <c r="EU45" s="18" t="str">
        <f>""</f>
        <v/>
      </c>
      <c r="EV45" s="59" t="str">
        <f>""</f>
        <v/>
      </c>
      <c r="EW45" s="18" t="str">
        <f>""</f>
        <v/>
      </c>
      <c r="EX45" s="59" t="str">
        <f>""</f>
        <v/>
      </c>
      <c r="EY45" s="18" t="str">
        <f>""</f>
        <v/>
      </c>
      <c r="FA45" s="18" t="str">
        <f>IF($DM45=FB$5,MAX(FA$6:FA44)+1,"")</f>
        <v/>
      </c>
      <c r="FB45" s="58" t="str">
        <f t="shared" si="122"/>
        <v/>
      </c>
      <c r="FE45" s="18" t="str">
        <f>IF($DM45=FF$5,MAX(FE$6:FE44)+1,"")</f>
        <v/>
      </c>
      <c r="FF45" s="58" t="str">
        <f t="shared" si="123"/>
        <v/>
      </c>
      <c r="FI45" s="18" t="str">
        <f>IF($DM45=FJ$5,MAX(FI$6:FI44)+1,"")</f>
        <v/>
      </c>
      <c r="FJ45" s="58" t="str">
        <f t="shared" si="152"/>
        <v/>
      </c>
      <c r="FX45" s="104"/>
      <c r="FY45" s="104"/>
      <c r="FZ45" s="104"/>
      <c r="GA45" s="104"/>
      <c r="GB45" s="104"/>
      <c r="GC45" s="104"/>
      <c r="GD45" s="104"/>
      <c r="GE45" s="104"/>
      <c r="GF45" s="104"/>
      <c r="GG45" s="104"/>
      <c r="GH45" s="104"/>
      <c r="GI45" s="104"/>
      <c r="GJ45" s="104"/>
      <c r="GQ45" s="59"/>
      <c r="GR45" s="59"/>
      <c r="GZ45" s="59"/>
      <c r="HA45" s="59"/>
      <c r="HB45" s="59"/>
      <c r="HC45" s="59"/>
      <c r="HD45" s="59"/>
      <c r="HE45" s="59"/>
      <c r="HF45" s="59"/>
      <c r="HG45" s="59"/>
      <c r="HH45" s="59"/>
      <c r="HI45" s="59"/>
      <c r="HJ45" s="59"/>
      <c r="HK45" s="59" t="s">
        <v>2933</v>
      </c>
      <c r="HL45" s="59" t="s">
        <v>2905</v>
      </c>
      <c r="HM45" s="59" t="s">
        <v>2947</v>
      </c>
      <c r="HN45" s="59"/>
      <c r="HO45" s="59"/>
      <c r="HP45" s="59"/>
      <c r="HQ45" s="59"/>
      <c r="HR45" s="59"/>
      <c r="HS45" s="59"/>
      <c r="HT45" s="59"/>
      <c r="HU45" s="59"/>
      <c r="HV45" s="59"/>
      <c r="HW45" s="59"/>
      <c r="HX45" s="59"/>
      <c r="HY45" s="59"/>
      <c r="HZ45" s="59"/>
      <c r="IA45" s="59"/>
      <c r="IB45" s="59"/>
      <c r="IC45" s="59"/>
      <c r="ID45" s="59"/>
      <c r="IE45" s="59"/>
      <c r="IF45" s="59"/>
      <c r="IG45" s="59"/>
      <c r="IH45" s="59" t="str">
        <f>IF(IJ45=TRUE,MAX($IH$2:IH44)+1,"")</f>
        <v/>
      </c>
      <c r="II45" s="59"/>
      <c r="IJ45" s="59"/>
      <c r="IK45" s="59"/>
      <c r="IL45" s="59"/>
      <c r="IM45" s="59"/>
      <c r="IN45" s="59"/>
      <c r="IO45" s="59"/>
      <c r="IP45" s="59"/>
      <c r="IQ45" s="59"/>
      <c r="IR45" s="59"/>
      <c r="IS45" s="59"/>
      <c r="IT45" s="59"/>
      <c r="IU45" s="59"/>
      <c r="IX45" s="59" t="s">
        <v>1561</v>
      </c>
      <c r="IY45" s="59" t="s">
        <v>1562</v>
      </c>
      <c r="IZ45" s="59" t="s">
        <v>203</v>
      </c>
      <c r="JA45" s="59" t="s">
        <v>281</v>
      </c>
      <c r="JB45" s="59" t="s">
        <v>1563</v>
      </c>
      <c r="JI45" s="60"/>
      <c r="JM45" s="296">
        <v>13</v>
      </c>
      <c r="JN45" s="296">
        <v>4</v>
      </c>
      <c r="JO45" s="296">
        <v>3</v>
      </c>
      <c r="JP45" s="296">
        <v>3</v>
      </c>
      <c r="JQ45" s="296">
        <v>3</v>
      </c>
      <c r="JR45" s="296">
        <v>2</v>
      </c>
      <c r="JS45" s="296">
        <v>1</v>
      </c>
      <c r="JT45" s="296">
        <v>1</v>
      </c>
      <c r="JU45" s="302" t="s">
        <v>140</v>
      </c>
      <c r="JV45" s="302" t="s">
        <v>140</v>
      </c>
      <c r="JW45" s="98">
        <v>7</v>
      </c>
      <c r="JX45" s="302"/>
      <c r="JY45" s="302"/>
      <c r="KT45" s="93" t="s">
        <v>1547</v>
      </c>
      <c r="KU45" s="80" t="str">
        <f t="shared" si="128"/>
        <v>No</v>
      </c>
      <c r="KV45" s="89" t="s">
        <v>333</v>
      </c>
      <c r="KW45" s="92"/>
      <c r="KX45" s="92"/>
      <c r="KY45" s="92"/>
      <c r="KZ45" s="92"/>
      <c r="LA45" s="92"/>
      <c r="LB45" s="92"/>
      <c r="LC45" s="92"/>
      <c r="LD45" s="92"/>
      <c r="LE45" s="92"/>
      <c r="LF45" s="92"/>
      <c r="LG45" s="92"/>
      <c r="LH45" s="92"/>
      <c r="LI45" s="92"/>
      <c r="LJ45" s="92"/>
      <c r="LK45" s="92"/>
      <c r="LL45" s="92"/>
      <c r="LM45" s="92"/>
      <c r="LN45" s="92"/>
      <c r="LO45" s="92"/>
      <c r="LP45" s="92"/>
      <c r="LQ45" s="92"/>
      <c r="LR45" s="92"/>
      <c r="LS45" s="92"/>
      <c r="LT45" s="92"/>
      <c r="LU45" s="92"/>
      <c r="LV45" s="92"/>
      <c r="LW45" s="92"/>
      <c r="LX45" s="92"/>
      <c r="LY45" s="92"/>
      <c r="LZ45" s="92"/>
      <c r="MA45" s="92"/>
      <c r="MB45" s="92"/>
      <c r="MC45" s="92"/>
      <c r="MD45" s="92"/>
      <c r="ME45" s="92"/>
      <c r="MF45" s="92"/>
      <c r="MG45" s="92"/>
      <c r="MH45" s="92"/>
      <c r="MI45" s="92"/>
      <c r="MJ45" s="92"/>
      <c r="MK45" s="92"/>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438"/>
      <c r="NQ45" s="94"/>
      <c r="NR45" s="94"/>
      <c r="NS45" s="94"/>
      <c r="NT45" s="94"/>
      <c r="NU45" s="94"/>
      <c r="NV45" s="456"/>
      <c r="NW45" s="456"/>
      <c r="NX45" s="456"/>
      <c r="NY45" s="456"/>
      <c r="NZ45" s="456"/>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t="str">
        <f>IF(COUNTIF(Start!$AX$59:$BF$68,Tables!KT45)&gt;0,Tables!KT45,"")</f>
        <v/>
      </c>
      <c r="PT45" s="94"/>
      <c r="PU45" s="59" t="str">
        <f t="shared" si="129"/>
        <v/>
      </c>
      <c r="PV45" s="59" t="str">
        <f>IF(PU45="","",IF(COUNTIF(PU45:$PU$57,"&gt;&lt;")&gt;1,PU45&amp;", ", PU45))</f>
        <v/>
      </c>
      <c r="PW45" s="59"/>
      <c r="PX45" s="59"/>
      <c r="PZ45" s="19" t="s">
        <v>1905</v>
      </c>
      <c r="QA45" s="19" t="s">
        <v>172</v>
      </c>
      <c r="QB45" s="27" t="str">
        <f t="shared" ca="1" si="79"/>
        <v>not proficient</v>
      </c>
      <c r="QC45" s="67"/>
      <c r="QD45" s="67" t="s">
        <v>1902</v>
      </c>
      <c r="QE45" s="26" t="s">
        <v>1902</v>
      </c>
      <c r="QF45" s="45" t="s">
        <v>140</v>
      </c>
      <c r="QG45" s="26" t="str">
        <f>""</f>
        <v/>
      </c>
      <c r="QH45" s="26" t="str">
        <f>""</f>
        <v/>
      </c>
      <c r="QI45" s="26" t="str">
        <f>""</f>
        <v/>
      </c>
      <c r="QJ45" s="26" t="str">
        <f>""</f>
        <v/>
      </c>
      <c r="QK45" s="26" t="str">
        <f>""</f>
        <v/>
      </c>
      <c r="QL45" s="26" t="str">
        <f>""</f>
        <v/>
      </c>
      <c r="QM45" s="26" t="str">
        <f>""</f>
        <v/>
      </c>
      <c r="QN45" s="26" t="str">
        <f>""</f>
        <v/>
      </c>
      <c r="QO45" s="26" t="str">
        <f>""</f>
        <v/>
      </c>
      <c r="QP45" s="26" t="str">
        <f>""</f>
        <v/>
      </c>
      <c r="QQ45" s="27" t="str">
        <f>""</f>
        <v/>
      </c>
      <c r="QR45" s="27" t="str">
        <f>""</f>
        <v/>
      </c>
      <c r="SR45" s="19"/>
      <c r="SS45" s="19"/>
      <c r="ST45" s="19"/>
      <c r="SU45" s="26"/>
      <c r="SV45" s="44"/>
      <c r="SW45" s="68"/>
      <c r="SX45" s="26"/>
      <c r="SY45" s="27"/>
      <c r="SZ45" s="26"/>
      <c r="TA45" s="19"/>
      <c r="TB45" s="19"/>
      <c r="TC45" s="19"/>
      <c r="TD45" s="44"/>
      <c r="TE45" s="26"/>
      <c r="TF45" s="68"/>
      <c r="TG45" s="26"/>
      <c r="TH45" s="27"/>
      <c r="TI45" s="27"/>
      <c r="TJ45" s="18">
        <f t="shared" si="115"/>
        <v>43</v>
      </c>
      <c r="TK45" s="58" t="s">
        <v>1972</v>
      </c>
      <c r="TL45" s="58" t="s">
        <v>459</v>
      </c>
      <c r="TM45" s="18">
        <v>2</v>
      </c>
      <c r="TN45" s="59" t="str">
        <f t="shared" si="137"/>
        <v xml:space="preserve">Calm Emotions </v>
      </c>
      <c r="TO45" s="18" t="str">
        <f>""</f>
        <v/>
      </c>
      <c r="TP45" s="18" t="str">
        <f t="shared" si="48"/>
        <v/>
      </c>
      <c r="TQ45" s="18" t="str">
        <f>IF(OR(TK45=Spellcasting!$AC$18,TK45=Spellcasting!$AC$19),"ᵐ","")</f>
        <v/>
      </c>
      <c r="TR45" s="18" t="str">
        <f>IF(OR(TK45=Spellcasting!$AC$20,TK45=Spellcasting!$AC$21),"ˢ","")</f>
        <v/>
      </c>
      <c r="TS45" s="18" t="str">
        <f>""</f>
        <v/>
      </c>
      <c r="TT45" s="18" t="s">
        <v>484</v>
      </c>
      <c r="TU45" s="18" t="s">
        <v>850</v>
      </c>
      <c r="TV45" s="18" t="s">
        <v>558</v>
      </c>
      <c r="TW45" s="18" t="s">
        <v>486</v>
      </c>
      <c r="TX45" s="59" t="str">
        <f>""</f>
        <v/>
      </c>
      <c r="TY45" s="18" t="s">
        <v>498</v>
      </c>
      <c r="TZ45" s="18" t="s">
        <v>499</v>
      </c>
      <c r="UA45" s="142" t="s">
        <v>2229</v>
      </c>
      <c r="UB45" s="319" t="s">
        <v>3248</v>
      </c>
      <c r="UC45" s="18" t="str">
        <f ca="1">IF(UC$1&gt;=$TM45,1,"0")</f>
        <v>0</v>
      </c>
      <c r="UH45" s="18" t="str">
        <f ca="1">IF(UH$1&gt;=$TM45,1,"0")</f>
        <v>0</v>
      </c>
      <c r="UV45" s="18" t="str">
        <f>IF(UV$1&gt;=$TM45,1,"0")</f>
        <v>0</v>
      </c>
      <c r="WD45" s="18" t="str">
        <f ca="1">IF(SUM($VZ$1:$WC$1)&gt;0,IF(AND(SUM($VZ45:$WC45)&gt;0,$TM45=WE$1),MAX(WD$2:WD44)+1,""),IF(AND(SUM($UC45:$VY45)&gt;0,$TM45=WE$1),MAX(WD$2:WD44)+1,""))</f>
        <v/>
      </c>
      <c r="WE45" s="59" t="str">
        <f t="shared" ca="1" si="80"/>
        <v/>
      </c>
      <c r="WF45" s="18" t="str">
        <f ca="1">IF(AND(SUM($UB45:$VY45)&gt;0,$TM45=WG$1),MAX(WF$2:WF44)+1,"")</f>
        <v/>
      </c>
      <c r="WG45" s="59" t="str">
        <f t="shared" ca="1" si="81"/>
        <v/>
      </c>
      <c r="WH45" s="18" t="str">
        <f ca="1">IF(AND(SUM($UB45:$VY45)&gt;0,$TM45=WI$1),MAX(WH$2:WH44)+1,"")</f>
        <v/>
      </c>
      <c r="WI45" s="59" t="str">
        <f t="shared" ca="1" si="82"/>
        <v/>
      </c>
      <c r="WJ45" s="18" t="str">
        <f ca="1">IF(AND(SUM($UB45:$VY45)&gt;0,$TM45=WK$1),MAX(WJ$2:WJ44)+1,"")</f>
        <v/>
      </c>
      <c r="WK45" s="59" t="str">
        <f t="shared" ca="1" si="83"/>
        <v/>
      </c>
      <c r="WL45" s="18" t="str">
        <f ca="1">IF(AND(SUM($UB45:$VY45)&gt;0,$TM45=WM$1),MAX(WL$2:WL44)+1,"")</f>
        <v/>
      </c>
      <c r="WM45" s="59" t="str">
        <f t="shared" ca="1" si="84"/>
        <v/>
      </c>
      <c r="WN45" s="18" t="str">
        <f ca="1">IF(AND(SUM($UB45:$VY45)&gt;0,$TM45=WO$1),MAX(WN$2:WN44)+1,"")</f>
        <v/>
      </c>
      <c r="WO45" s="59" t="str">
        <f t="shared" ca="1" si="85"/>
        <v/>
      </c>
      <c r="WP45" s="18" t="str">
        <f ca="1">IF(AND(SUM($UB45:$VY45)&gt;0,$TM45=WQ$1),MAX(WP$2:WP44)+1,"")</f>
        <v/>
      </c>
      <c r="WQ45" s="59" t="str">
        <f t="shared" ca="1" si="86"/>
        <v/>
      </c>
      <c r="WR45" s="18" t="str">
        <f ca="1">IF(AND(SUM($UB45:$VY45)&gt;0,$TM45=WS$1),MAX(WR$2:WR44)+1,"")</f>
        <v/>
      </c>
      <c r="WS45" s="59" t="str">
        <f t="shared" ca="1" si="87"/>
        <v/>
      </c>
      <c r="WT45" s="18" t="str">
        <f ca="1">IF(AND(SUM($UB45:$VY45)&gt;0,$TM45=WU$1),MAX(WT$2:WT44)+1,"")</f>
        <v/>
      </c>
      <c r="WU45" s="59" t="str">
        <f t="shared" ca="1" si="88"/>
        <v/>
      </c>
      <c r="WV45" s="18" t="str">
        <f ca="1">IF(AND(SUM($UB45:$VY45)&gt;0,$TM45=WW$1),MAX(WV$2:WV44)+1,"")</f>
        <v/>
      </c>
      <c r="WW45" s="59" t="str">
        <f t="shared" ca="1" si="89"/>
        <v/>
      </c>
      <c r="WX45" s="18" t="str">
        <f ca="1">IF(AND(SUM($UB45:$VY45)&gt;0,$TM45=WY$1),MAX(WX$2:WX44)+1,"")</f>
        <v/>
      </c>
      <c r="WY45" s="59" t="str">
        <f t="shared" ca="1" si="90"/>
        <v/>
      </c>
      <c r="WZ45" s="18">
        <v>44</v>
      </c>
      <c r="XA45" s="59" t="str">
        <f t="shared" ca="1" si="91"/>
        <v/>
      </c>
      <c r="XB45" s="59" t="str">
        <f t="shared" ca="1" si="139"/>
        <v/>
      </c>
      <c r="XC45" s="59" t="str">
        <f t="shared" ca="1" si="140"/>
        <v/>
      </c>
      <c r="XD45" s="59" t="str">
        <f t="shared" ca="1" si="141"/>
        <v/>
      </c>
      <c r="XE45" s="59" t="str">
        <f t="shared" ca="1" si="142"/>
        <v/>
      </c>
      <c r="XF45" s="59" t="str">
        <f t="shared" ca="1" si="143"/>
        <v/>
      </c>
      <c r="XG45" s="59" t="str">
        <f t="shared" ca="1" si="144"/>
        <v/>
      </c>
      <c r="XH45" s="59" t="str">
        <f t="shared" ca="1" si="145"/>
        <v/>
      </c>
      <c r="XI45" s="59" t="str">
        <f t="shared" ca="1" si="146"/>
        <v/>
      </c>
      <c r="XJ45" s="59" t="str">
        <f t="shared" ca="1" si="147"/>
        <v/>
      </c>
      <c r="XK45" s="59" t="str">
        <f t="shared" ca="1" si="148"/>
        <v/>
      </c>
      <c r="XL45" s="18">
        <v>1</v>
      </c>
      <c r="XM45" s="59">
        <f ca="1">IF(XL45=1,MAX($XM$27:XM44)+1,"")</f>
        <v>14</v>
      </c>
      <c r="XN45" s="58" t="s">
        <v>750</v>
      </c>
      <c r="XO45" s="58" t="s">
        <v>3384</v>
      </c>
      <c r="XP45" s="18" t="s">
        <v>3070</v>
      </c>
      <c r="XQ45" s="18">
        <v>13</v>
      </c>
      <c r="XR45" s="18">
        <v>2</v>
      </c>
      <c r="XS45" s="59" t="s">
        <v>1748</v>
      </c>
      <c r="XT45" s="18">
        <v>2</v>
      </c>
      <c r="XU45" s="18">
        <v>16</v>
      </c>
      <c r="XV45" s="18">
        <v>11</v>
      </c>
      <c r="XW45" s="18">
        <v>1</v>
      </c>
      <c r="XX45" s="18">
        <v>10</v>
      </c>
      <c r="XY45" s="18">
        <v>3</v>
      </c>
      <c r="XZ45" s="59" t="s">
        <v>187</v>
      </c>
      <c r="YA45" s="215" t="s">
        <v>2867</v>
      </c>
      <c r="YB45" s="326" t="s">
        <v>2880</v>
      </c>
      <c r="YC45" s="142" t="s">
        <v>187</v>
      </c>
      <c r="YG45" s="58" t="s">
        <v>1792</v>
      </c>
      <c r="YH45" s="58" t="s">
        <v>187</v>
      </c>
      <c r="YI45" s="215" t="s">
        <v>2360</v>
      </c>
      <c r="YJ45" s="215" t="s">
        <v>3453</v>
      </c>
      <c r="YK45" s="215" t="str">
        <f>""</f>
        <v/>
      </c>
      <c r="YL45" s="249" t="str">
        <f>""</f>
        <v/>
      </c>
      <c r="YM45" s="249" t="str">
        <f>""</f>
        <v/>
      </c>
      <c r="YN45" s="249" t="str">
        <f>""</f>
        <v/>
      </c>
      <c r="YO45" s="249"/>
      <c r="YP45" s="249"/>
      <c r="YQ45" s="215"/>
      <c r="YR45" s="215"/>
      <c r="YS45" s="215"/>
      <c r="YT45" s="18" t="s">
        <v>315</v>
      </c>
      <c r="YU45" s="18">
        <v>4</v>
      </c>
      <c r="YV45" s="18" t="str">
        <f t="shared" ref="YV45:YV50" ca="1" si="153">VLOOKUP(YY45,$ZL$2:$ZP$23,$ZL$1,FALSE)</f>
        <v/>
      </c>
      <c r="YW45" s="18" t="str">
        <f ca="1">IF(YX45="","",MAX($YW$1:YW44)+1)</f>
        <v/>
      </c>
      <c r="YX45" s="59" t="str">
        <f t="shared" ca="1" si="149"/>
        <v/>
      </c>
      <c r="YY45" s="18" t="str">
        <f t="shared" ca="1" si="150"/>
        <v/>
      </c>
      <c r="ZR45"/>
    </row>
    <row r="46" spans="31:694" ht="9.9499999999999993" customHeight="1" x14ac:dyDescent="0.2">
      <c r="AO46" s="18">
        <f t="shared" si="119"/>
        <v>45</v>
      </c>
      <c r="AP46" s="59" t="str">
        <f t="shared" si="138"/>
        <v/>
      </c>
      <c r="AQ46" s="59" t="str">
        <f>""</f>
        <v/>
      </c>
      <c r="AR46" s="58" t="str">
        <f>""</f>
        <v/>
      </c>
      <c r="AS46" s="58" t="s">
        <v>2421</v>
      </c>
      <c r="AT46" s="58" t="s">
        <v>1106</v>
      </c>
      <c r="AU46" s="58" t="s">
        <v>2450</v>
      </c>
      <c r="AV46" s="58" t="s">
        <v>1114</v>
      </c>
      <c r="AW46" s="58" t="s">
        <v>2485</v>
      </c>
      <c r="AX46" s="58" t="s">
        <v>2530</v>
      </c>
      <c r="AY46" s="58" t="str">
        <f>""</f>
        <v/>
      </c>
      <c r="AZ46" s="58" t="s">
        <v>2564</v>
      </c>
      <c r="BA46" s="58" t="s">
        <v>1043</v>
      </c>
      <c r="BB46" s="58" t="str">
        <f>""</f>
        <v/>
      </c>
      <c r="BC46" s="58" t="s">
        <v>1202</v>
      </c>
      <c r="BD46" s="58" t="str">
        <f>""</f>
        <v/>
      </c>
      <c r="BE46" s="18" t="str">
        <f>""</f>
        <v/>
      </c>
      <c r="BJ46" s="70"/>
      <c r="BK46" s="70"/>
      <c r="BL46" s="48"/>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48"/>
      <c r="CN46" s="48"/>
      <c r="CO46" s="48"/>
      <c r="CP46" s="48"/>
      <c r="CQ46" s="48"/>
      <c r="CR46" s="48"/>
      <c r="CS46" s="48"/>
      <c r="CT46" s="48"/>
      <c r="CU46" s="48"/>
      <c r="CV46" s="48"/>
      <c r="CW46" s="48"/>
      <c r="CX46" s="48"/>
      <c r="CY46" s="48"/>
      <c r="CZ46" s="48"/>
      <c r="DA46" s="48"/>
      <c r="DB46" s="48"/>
      <c r="DC46" s="48"/>
      <c r="DD46" s="48"/>
      <c r="DE46" s="48"/>
      <c r="DF46" s="48"/>
      <c r="DG46" s="104"/>
      <c r="DH46" s="104"/>
      <c r="DI46" s="104"/>
      <c r="DJ46" s="104"/>
      <c r="DK46" s="104"/>
      <c r="DL46" s="393" t="s">
        <v>3205</v>
      </c>
      <c r="DM46" s="391" t="s">
        <v>2641</v>
      </c>
      <c r="DN46" s="391">
        <f t="shared" ca="1" si="121"/>
        <v>0</v>
      </c>
      <c r="DO46" s="399" t="str">
        <f>"• Otherworldly Patron Feature (Awakened Mind)
• Expanded Spell List
"&amp;EI46</f>
        <v xml:space="preserve">• Otherworldly Patron Feature (Awakened Mind)
• Expanded Spell List
</v>
      </c>
      <c r="DP46" s="393" t="str">
        <f>""</f>
        <v/>
      </c>
      <c r="DQ46" s="393" t="str">
        <f>""</f>
        <v/>
      </c>
      <c r="DR46" s="393" t="str">
        <f>""</f>
        <v/>
      </c>
      <c r="DS46" s="393" t="str">
        <f>""</f>
        <v/>
      </c>
      <c r="DT46" s="393" t="s">
        <v>3270</v>
      </c>
      <c r="DU46" s="393" t="str">
        <f>""</f>
        <v/>
      </c>
      <c r="DV46" s="393" t="str">
        <f>""</f>
        <v/>
      </c>
      <c r="DW46" s="393" t="str">
        <f>""</f>
        <v/>
      </c>
      <c r="DX46" s="393" t="s">
        <v>3271</v>
      </c>
      <c r="DY46" s="393" t="str">
        <f>""</f>
        <v/>
      </c>
      <c r="DZ46" s="393" t="str">
        <f>""</f>
        <v/>
      </c>
      <c r="EA46" s="393" t="str">
        <f>""</f>
        <v/>
      </c>
      <c r="EB46" s="393" t="s">
        <v>3272</v>
      </c>
      <c r="EC46" s="393" t="str">
        <f>""</f>
        <v/>
      </c>
      <c r="ED46" s="393" t="str">
        <f>""</f>
        <v/>
      </c>
      <c r="EE46" s="393" t="str">
        <f>""</f>
        <v/>
      </c>
      <c r="EF46" s="393" t="str">
        <f>""</f>
        <v/>
      </c>
      <c r="EG46" s="393" t="str">
        <f>""</f>
        <v/>
      </c>
      <c r="EH46" s="393" t="str">
        <f>""</f>
        <v/>
      </c>
      <c r="EI46" s="445" t="str">
        <f>IF(WarlockLevel&gt;=9,"  1st (dissonant whispers, Tasha's hideous laughter)
  3rd (detect thoughts, phantasmal force)
  5th (clairvoyance, sending)
  7th (dominate beast, Evard’s black tentacles)
  9th (dominate person, telekinesis)",IF(WarlockLevel&gt;=7,"  1st (dissonant whispers, Tasha's hideous laughter)
  3rd (detect thoughts, phantasmal force)
  5th (clairvoyance, sending)
  7th (dominate beast, Evard’s black tentacles)",IF(WarlockLevel&gt;=5,"  1st (dissonant whispers, Tasha's hideous laughter)
  3rd (detect thoughts, phantasmal force)
  5th (clairvoyance, sending)",IF(WarlockLevel&gt;=3,"  1st (dissonant whispers, Tasha's hideous laughter)
  3rd (detect thoughts, phantasmal force)",IF(WarlockLevel&gt;=1,"  1st (dissonant whispers, Tasha's hideous laughter)","")))))</f>
        <v/>
      </c>
      <c r="EJ46" s="445" t="str">
        <f>""</f>
        <v/>
      </c>
      <c r="EK46" s="445"/>
      <c r="EL46" s="445" t="str">
        <f>""</f>
        <v/>
      </c>
      <c r="EM46" s="445"/>
      <c r="EN46" s="445" t="str">
        <f>""</f>
        <v/>
      </c>
      <c r="EO46" s="445"/>
      <c r="EP46" s="445" t="str">
        <f>""</f>
        <v/>
      </c>
      <c r="EQ46" s="445"/>
      <c r="ER46" s="445" t="str">
        <f>""</f>
        <v/>
      </c>
      <c r="ES46" s="103"/>
      <c r="ET46" s="59" t="str">
        <f>""</f>
        <v/>
      </c>
      <c r="EU46" s="18" t="str">
        <f>""</f>
        <v/>
      </c>
      <c r="EV46" s="59" t="str">
        <f>""</f>
        <v/>
      </c>
      <c r="EW46" s="18" t="str">
        <f>""</f>
        <v/>
      </c>
      <c r="EX46" s="59" t="str">
        <f>""</f>
        <v/>
      </c>
      <c r="EY46" s="18" t="str">
        <f>""</f>
        <v/>
      </c>
      <c r="FA46" s="18" t="str">
        <f>IF($DM46=FB$5,MAX(FA$6:FA45)+1,"")</f>
        <v/>
      </c>
      <c r="FB46" s="58" t="str">
        <f t="shared" si="122"/>
        <v/>
      </c>
      <c r="FE46" s="18" t="str">
        <f>IF($DM46=FF$5,MAX(FE$6:FE45)+1,"")</f>
        <v/>
      </c>
      <c r="FF46" s="58" t="str">
        <f t="shared" si="123"/>
        <v/>
      </c>
      <c r="FI46" s="18" t="str">
        <f>IF($DM46=FJ$5,MAX(FI$6:FI45)+1,"")</f>
        <v/>
      </c>
      <c r="FJ46" s="58" t="str">
        <f t="shared" si="152"/>
        <v/>
      </c>
      <c r="FX46" s="104"/>
      <c r="FY46" s="104"/>
      <c r="FZ46" s="104"/>
      <c r="GA46" s="104"/>
      <c r="GB46" s="104"/>
      <c r="GC46" s="104"/>
      <c r="GD46" s="104"/>
      <c r="GE46" s="104"/>
      <c r="GF46" s="104"/>
      <c r="GG46" s="104"/>
      <c r="GH46" s="104"/>
      <c r="GI46" s="104"/>
      <c r="GJ46" s="104"/>
      <c r="GZ46" s="59"/>
      <c r="HA46" s="59"/>
      <c r="HB46" s="59"/>
      <c r="HC46" s="59"/>
      <c r="HD46" s="59"/>
      <c r="HE46" s="59"/>
      <c r="HF46" s="59"/>
      <c r="HG46" s="59"/>
      <c r="HH46" s="59"/>
      <c r="HI46" s="59"/>
      <c r="HJ46" s="59"/>
      <c r="HK46" s="59" t="s">
        <v>2934</v>
      </c>
      <c r="HL46" s="59" t="s">
        <v>2905</v>
      </c>
      <c r="HM46" s="59" t="s">
        <v>2948</v>
      </c>
      <c r="HN46" s="59"/>
      <c r="HO46" s="59"/>
      <c r="HP46" s="59"/>
      <c r="HQ46" s="59"/>
      <c r="HR46" s="59"/>
      <c r="HS46" s="59"/>
      <c r="HT46" s="59"/>
      <c r="HU46" s="59"/>
      <c r="HV46" s="59"/>
      <c r="HW46" s="59"/>
      <c r="HX46" s="59"/>
      <c r="HY46" s="59"/>
      <c r="HZ46" s="59"/>
      <c r="IA46" s="59"/>
      <c r="IB46" s="59"/>
      <c r="IC46" s="59"/>
      <c r="ID46" s="59"/>
      <c r="IE46" s="59"/>
      <c r="IF46" s="59"/>
      <c r="IG46" s="59"/>
      <c r="IH46" s="59" t="str">
        <f>IF(IJ46=TRUE,MAX($IH$2:IH45)+1,"")</f>
        <v/>
      </c>
      <c r="II46" s="59"/>
      <c r="IJ46" s="59"/>
      <c r="IK46" s="59"/>
      <c r="IL46" s="59"/>
      <c r="IM46" s="59"/>
      <c r="IN46" s="59"/>
      <c r="IO46" s="59"/>
      <c r="IP46" s="59"/>
      <c r="IQ46" s="59"/>
      <c r="IR46" s="59"/>
      <c r="IS46" s="59"/>
      <c r="IT46" s="59"/>
      <c r="IU46" s="59"/>
      <c r="IX46" s="59" t="s">
        <v>1564</v>
      </c>
      <c r="IY46" s="59" t="s">
        <v>1565</v>
      </c>
      <c r="IZ46" s="59" t="s">
        <v>196</v>
      </c>
      <c r="JA46" s="59" t="s">
        <v>895</v>
      </c>
      <c r="JB46" s="59" t="s">
        <v>1566</v>
      </c>
      <c r="JI46" s="60"/>
      <c r="JM46" s="296">
        <v>14</v>
      </c>
      <c r="JN46" s="296">
        <v>4</v>
      </c>
      <c r="JO46" s="296">
        <v>3</v>
      </c>
      <c r="JP46" s="296">
        <v>3</v>
      </c>
      <c r="JQ46" s="296">
        <v>3</v>
      </c>
      <c r="JR46" s="296">
        <v>2</v>
      </c>
      <c r="JS46" s="296">
        <v>1</v>
      </c>
      <c r="JT46" s="296">
        <v>1</v>
      </c>
      <c r="JU46" s="302" t="s">
        <v>140</v>
      </c>
      <c r="JV46" s="302" t="s">
        <v>140</v>
      </c>
      <c r="JW46" s="98">
        <v>7</v>
      </c>
      <c r="KT46" s="93" t="s">
        <v>1548</v>
      </c>
      <c r="KU46" s="80" t="str">
        <f t="shared" si="128"/>
        <v>No</v>
      </c>
      <c r="KV46" s="89" t="s">
        <v>333</v>
      </c>
      <c r="KW46" s="92"/>
      <c r="KX46" s="92"/>
      <c r="KY46" s="92"/>
      <c r="KZ46" s="92"/>
      <c r="LA46" s="92"/>
      <c r="LB46" s="92"/>
      <c r="LC46" s="92"/>
      <c r="LD46" s="92"/>
      <c r="LE46" s="92"/>
      <c r="LF46" s="92"/>
      <c r="LG46" s="92"/>
      <c r="LH46" s="92"/>
      <c r="LI46" s="92"/>
      <c r="LJ46" s="92"/>
      <c r="LK46" s="92"/>
      <c r="LL46" s="92"/>
      <c r="LM46" s="92"/>
      <c r="LN46" s="92"/>
      <c r="LO46" s="92"/>
      <c r="LP46" s="92"/>
      <c r="LQ46" s="92"/>
      <c r="LR46" s="92"/>
      <c r="LS46" s="92"/>
      <c r="LT46" s="92"/>
      <c r="LU46" s="92"/>
      <c r="LV46" s="92"/>
      <c r="LW46" s="92"/>
      <c r="LX46" s="92"/>
      <c r="LY46" s="92"/>
      <c r="LZ46" s="92"/>
      <c r="MA46" s="92"/>
      <c r="MB46" s="92"/>
      <c r="MC46" s="92"/>
      <c r="MD46" s="92"/>
      <c r="ME46" s="92"/>
      <c r="MF46" s="92"/>
      <c r="MG46" s="92"/>
      <c r="MH46" s="92"/>
      <c r="MI46" s="92"/>
      <c r="MJ46" s="92"/>
      <c r="MK46" s="92"/>
      <c r="ML46" s="94"/>
      <c r="MM46" s="94"/>
      <c r="MN46" s="94"/>
      <c r="MO46" s="94"/>
      <c r="MP46" s="94"/>
      <c r="MQ46" s="94"/>
      <c r="MR46" s="94"/>
      <c r="MS46" s="94"/>
      <c r="MT46" s="94"/>
      <c r="MU46" s="94"/>
      <c r="MV46" s="94"/>
      <c r="MW46" s="92"/>
      <c r="MX46" s="92"/>
      <c r="MY46" s="94"/>
      <c r="MZ46" s="94"/>
      <c r="NA46" s="94"/>
      <c r="NB46" s="94"/>
      <c r="NC46" s="94"/>
      <c r="ND46" s="94"/>
      <c r="NE46" s="94"/>
      <c r="NF46" s="94"/>
      <c r="NG46" s="94"/>
      <c r="NH46" s="94"/>
      <c r="NI46" s="94"/>
      <c r="NJ46" s="94"/>
      <c r="NK46" s="94"/>
      <c r="NL46" s="94"/>
      <c r="NM46" s="94"/>
      <c r="NN46" s="94"/>
      <c r="NO46" s="94"/>
      <c r="NP46" s="438"/>
      <c r="NQ46" s="94"/>
      <c r="NR46" s="94"/>
      <c r="NS46" s="94"/>
      <c r="NT46" s="94"/>
      <c r="NU46" s="94"/>
      <c r="NV46" s="456"/>
      <c r="NW46" s="456"/>
      <c r="NX46" s="456"/>
      <c r="NY46" s="456"/>
      <c r="NZ46" s="456"/>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t="str">
        <f>IF(COUNTIF(Start!$AX$59:$BF$68,Tables!KT46)&gt;0,Tables!KT46,"")</f>
        <v/>
      </c>
      <c r="PT46" s="94"/>
      <c r="PU46" s="59" t="str">
        <f t="shared" si="129"/>
        <v/>
      </c>
      <c r="PV46" s="59" t="str">
        <f>IF(PU46="","",IF(COUNTIF(PU46:$PU$57,"&gt;&lt;")&gt;1,PU46&amp;", ", PU46))</f>
        <v/>
      </c>
      <c r="PW46" s="59"/>
      <c r="PX46" s="59"/>
      <c r="PZ46" s="28"/>
      <c r="QA46" s="28"/>
      <c r="QB46" s="30" t="str">
        <f t="shared" ref="QB46:QB70" si="154">IF(PZ46="","",IF(VLOOKUP(PZ46,$KT$80:$KV$129,2,FALSE)="No","not proficient (disadvantage)","proficient"))</f>
        <v/>
      </c>
      <c r="QC46" s="31"/>
      <c r="QD46" s="28"/>
      <c r="QE46" s="29" t="str">
        <f>""</f>
        <v/>
      </c>
      <c r="QF46" s="29"/>
      <c r="QG46" s="29" t="str">
        <f>""</f>
        <v/>
      </c>
      <c r="QH46" s="29" t="str">
        <f>""</f>
        <v/>
      </c>
      <c r="QI46" s="29" t="str">
        <f>""</f>
        <v/>
      </c>
      <c r="QJ46" s="29" t="str">
        <f>""</f>
        <v/>
      </c>
      <c r="QK46" s="29" t="str">
        <f>""</f>
        <v/>
      </c>
      <c r="QL46" s="29" t="str">
        <f>""</f>
        <v/>
      </c>
      <c r="QM46" s="29" t="str">
        <f>""</f>
        <v/>
      </c>
      <c r="QN46" s="29" t="str">
        <f>""</f>
        <v/>
      </c>
      <c r="QO46" s="29" t="str">
        <f>""</f>
        <v/>
      </c>
      <c r="QP46" s="29" t="str">
        <f>""</f>
        <v/>
      </c>
      <c r="QQ46" s="30" t="str">
        <f>""</f>
        <v/>
      </c>
      <c r="QR46" s="30" t="str">
        <f>""</f>
        <v/>
      </c>
      <c r="SR46" s="28"/>
      <c r="SS46" s="28"/>
      <c r="ST46" s="28"/>
      <c r="SU46" s="29"/>
      <c r="SV46" s="42"/>
      <c r="SW46" s="69"/>
      <c r="SX46" s="29"/>
      <c r="SY46" s="30"/>
      <c r="SZ46" s="29"/>
      <c r="TA46" s="28"/>
      <c r="TB46" s="28"/>
      <c r="TC46" s="28"/>
      <c r="TD46" s="42"/>
      <c r="TE46" s="29"/>
      <c r="TF46" s="69"/>
      <c r="TG46" s="29"/>
      <c r="TH46" s="30"/>
      <c r="TI46" s="30"/>
      <c r="TJ46" s="18">
        <f t="shared" si="115"/>
        <v>44</v>
      </c>
      <c r="TK46" s="58" t="s">
        <v>544</v>
      </c>
      <c r="TL46" s="58" t="s">
        <v>463</v>
      </c>
      <c r="TM46" s="18">
        <v>6</v>
      </c>
      <c r="TN46" s="59" t="str">
        <f t="shared" si="137"/>
        <v xml:space="preserve">Chain Lightning ᴴ </v>
      </c>
      <c r="TO46" s="350" t="s">
        <v>2991</v>
      </c>
      <c r="TP46" s="18" t="str">
        <f t="shared" si="48"/>
        <v/>
      </c>
      <c r="TQ46" s="18" t="str">
        <f>IF(OR(TK46=Spellcasting!$AC$18,TK46=Spellcasting!$AC$19),"ᵐ","")</f>
        <v/>
      </c>
      <c r="TR46" s="18" t="str">
        <f>IF(OR(TK46=Spellcasting!$AC$20,TK46=Spellcasting!$AC$21),"ˢ","")</f>
        <v/>
      </c>
      <c r="TS46" s="18" t="str">
        <f>""</f>
        <v/>
      </c>
      <c r="TT46" s="18" t="s">
        <v>484</v>
      </c>
      <c r="TU46" s="18" t="s">
        <v>660</v>
      </c>
      <c r="TV46" s="18" t="s">
        <v>505</v>
      </c>
      <c r="TW46" s="18" t="s">
        <v>495</v>
      </c>
      <c r="TX46" s="59" t="s">
        <v>867</v>
      </c>
      <c r="TY46" s="18" t="s">
        <v>534</v>
      </c>
      <c r="TZ46" s="18" t="s">
        <v>535</v>
      </c>
      <c r="UA46" s="142" t="s">
        <v>3150</v>
      </c>
      <c r="UB46" s="319" t="str">
        <f ca="1">"3 targets within 30ft, 10d8"&amp;IF(WizardEvocationLevel&gt;=10,"+"&amp;INTMod,IF(AD7=TRUE,"+"&amp;CHAMod,""))&amp;" lightning, dex save ½"</f>
        <v>3 targets within 30ft, 10d8 lightning, dex save ½</v>
      </c>
      <c r="UF46" s="18" t="str">
        <f ca="1">IF(UF$1&gt;=$TM46,1,"0")</f>
        <v>0</v>
      </c>
      <c r="UL46" s="18" t="str">
        <f ca="1">IF(UL$1&gt;=$TM46,1,"0")</f>
        <v>0</v>
      </c>
      <c r="WD46" s="18" t="str">
        <f ca="1">IF(SUM($VZ$1:$WC$1)&gt;0,IF(AND(SUM($VZ46:$WC46)&gt;0,$TM46=WE$1),MAX(WD$2:WD45)+1,""),IF(AND(SUM($UC46:$VY46)&gt;0,$TM46=WE$1),MAX(WD$2:WD45)+1,""))</f>
        <v/>
      </c>
      <c r="WE46" s="59" t="str">
        <f t="shared" ca="1" si="80"/>
        <v/>
      </c>
      <c r="WF46" s="18" t="str">
        <f ca="1">IF(AND(SUM($UB46:$VY46)&gt;0,$TM46=WG$1),MAX(WF$2:WF45)+1,"")</f>
        <v/>
      </c>
      <c r="WG46" s="59" t="str">
        <f t="shared" ca="1" si="81"/>
        <v/>
      </c>
      <c r="WH46" s="18" t="str">
        <f ca="1">IF(AND(SUM($UB46:$VY46)&gt;0,$TM46=WI$1),MAX(WH$2:WH45)+1,"")</f>
        <v/>
      </c>
      <c r="WI46" s="59" t="str">
        <f t="shared" ca="1" si="82"/>
        <v/>
      </c>
      <c r="WJ46" s="18" t="str">
        <f ca="1">IF(AND(SUM($UB46:$VY46)&gt;0,$TM46=WK$1),MAX(WJ$2:WJ45)+1,"")</f>
        <v/>
      </c>
      <c r="WK46" s="59" t="str">
        <f t="shared" ca="1" si="83"/>
        <v/>
      </c>
      <c r="WL46" s="18" t="str">
        <f ca="1">IF(AND(SUM($UB46:$VY46)&gt;0,$TM46=WM$1),MAX(WL$2:WL45)+1,"")</f>
        <v/>
      </c>
      <c r="WM46" s="59" t="str">
        <f t="shared" ca="1" si="84"/>
        <v/>
      </c>
      <c r="WN46" s="18" t="str">
        <f ca="1">IF(AND(SUM($UB46:$VY46)&gt;0,$TM46=WO$1),MAX(WN$2:WN45)+1,"")</f>
        <v/>
      </c>
      <c r="WO46" s="59" t="str">
        <f t="shared" ca="1" si="85"/>
        <v/>
      </c>
      <c r="WP46" s="18" t="str">
        <f ca="1">IF(AND(SUM($UB46:$VY46)&gt;0,$TM46=WQ$1),MAX(WP$2:WP45)+1,"")</f>
        <v/>
      </c>
      <c r="WQ46" s="59" t="str">
        <f t="shared" ca="1" si="86"/>
        <v/>
      </c>
      <c r="WR46" s="18" t="str">
        <f ca="1">IF(AND(SUM($UB46:$VY46)&gt;0,$TM46=WS$1),MAX(WR$2:WR45)+1,"")</f>
        <v/>
      </c>
      <c r="WS46" s="59" t="str">
        <f t="shared" ca="1" si="87"/>
        <v/>
      </c>
      <c r="WT46" s="18" t="str">
        <f ca="1">IF(AND(SUM($UB46:$VY46)&gt;0,$TM46=WU$1),MAX(WT$2:WT45)+1,"")</f>
        <v/>
      </c>
      <c r="WU46" s="59" t="str">
        <f t="shared" ca="1" si="88"/>
        <v/>
      </c>
      <c r="WV46" s="18" t="str">
        <f ca="1">IF(AND(SUM($UB46:$VY46)&gt;0,$TM46=WW$1),MAX(WV$2:WV45)+1,"")</f>
        <v/>
      </c>
      <c r="WW46" s="59" t="str">
        <f t="shared" ca="1" si="89"/>
        <v/>
      </c>
      <c r="WX46" s="18" t="str">
        <f ca="1">IF(AND(SUM($UB46:$VY46)&gt;0,$TM46=WY$1),MAX(WX$2:WX45)+1,"")</f>
        <v/>
      </c>
      <c r="WY46" s="59" t="str">
        <f t="shared" ca="1" si="90"/>
        <v/>
      </c>
      <c r="WZ46" s="18">
        <v>45</v>
      </c>
      <c r="XA46" s="59" t="str">
        <f t="shared" ca="1" si="91"/>
        <v/>
      </c>
      <c r="XB46" s="59" t="str">
        <f t="shared" ca="1" si="139"/>
        <v/>
      </c>
      <c r="XC46" s="59" t="str">
        <f t="shared" ca="1" si="140"/>
        <v/>
      </c>
      <c r="XD46" s="59" t="str">
        <f t="shared" ca="1" si="141"/>
        <v/>
      </c>
      <c r="XE46" s="59" t="str">
        <f t="shared" ca="1" si="142"/>
        <v/>
      </c>
      <c r="XF46" s="59" t="str">
        <f t="shared" ca="1" si="143"/>
        <v/>
      </c>
      <c r="XG46" s="59" t="str">
        <f t="shared" ca="1" si="144"/>
        <v/>
      </c>
      <c r="XH46" s="59" t="str">
        <f t="shared" ca="1" si="145"/>
        <v/>
      </c>
      <c r="XI46" s="59" t="str">
        <f t="shared" ca="1" si="146"/>
        <v/>
      </c>
      <c r="XJ46" s="59" t="str">
        <f t="shared" ca="1" si="147"/>
        <v/>
      </c>
      <c r="XK46" s="59" t="str">
        <f t="shared" ca="1" si="148"/>
        <v/>
      </c>
      <c r="XL46" s="18">
        <v>1</v>
      </c>
      <c r="XM46" s="59">
        <f ca="1">IF(XL46=1,MAX($XM$27:XM45)+1,"")</f>
        <v>15</v>
      </c>
      <c r="XN46" s="58" t="s">
        <v>1864</v>
      </c>
      <c r="XO46" s="58" t="s">
        <v>3384</v>
      </c>
      <c r="XP46" s="18" t="s">
        <v>3070</v>
      </c>
      <c r="XQ46" s="18">
        <v>12</v>
      </c>
      <c r="XR46" s="18">
        <v>1</v>
      </c>
      <c r="XS46" s="59" t="s">
        <v>1865</v>
      </c>
      <c r="XT46" s="18">
        <v>2</v>
      </c>
      <c r="XU46" s="18">
        <v>14</v>
      </c>
      <c r="XV46" s="18">
        <v>8</v>
      </c>
      <c r="XW46" s="18">
        <v>1</v>
      </c>
      <c r="XX46" s="18">
        <v>10</v>
      </c>
      <c r="XY46" s="18">
        <v>2</v>
      </c>
      <c r="XZ46" s="59" t="s">
        <v>1866</v>
      </c>
      <c r="YA46" s="215" t="s">
        <v>2866</v>
      </c>
      <c r="YB46" s="326" t="s">
        <v>2889</v>
      </c>
      <c r="YC46" s="142" t="s">
        <v>3403</v>
      </c>
      <c r="YG46" s="58" t="s">
        <v>1793</v>
      </c>
      <c r="YH46" s="58" t="s">
        <v>187</v>
      </c>
      <c r="YI46" s="215" t="s">
        <v>1794</v>
      </c>
      <c r="YJ46" s="215" t="s">
        <v>3454</v>
      </c>
      <c r="YK46" s="215" t="str">
        <f>""</f>
        <v/>
      </c>
      <c r="YL46" s="249" t="str">
        <f>""</f>
        <v/>
      </c>
      <c r="YM46" s="249" t="str">
        <f>""</f>
        <v/>
      </c>
      <c r="YN46" s="249" t="str">
        <f>""</f>
        <v/>
      </c>
      <c r="YO46" s="249"/>
      <c r="YP46" s="249"/>
      <c r="YQ46" s="215"/>
      <c r="YR46" s="215"/>
      <c r="YS46" s="215"/>
      <c r="YT46" s="18" t="s">
        <v>315</v>
      </c>
      <c r="YU46" s="18">
        <v>8</v>
      </c>
      <c r="YV46" s="18" t="str">
        <f t="shared" ca="1" si="153"/>
        <v/>
      </c>
      <c r="YW46" s="18" t="str">
        <f ca="1">IF(YX46="","",MAX($YW$1:YW45)+1)</f>
        <v/>
      </c>
      <c r="YX46" s="59" t="str">
        <f t="shared" ca="1" si="149"/>
        <v/>
      </c>
      <c r="YY46" s="18" t="str">
        <f t="shared" ca="1" si="150"/>
        <v/>
      </c>
      <c r="ZR46"/>
    </row>
    <row r="47" spans="31:694" ht="9.9499999999999993" customHeight="1" x14ac:dyDescent="0.2">
      <c r="AO47" s="18">
        <f t="shared" si="119"/>
        <v>46</v>
      </c>
      <c r="AP47" s="59" t="str">
        <f t="shared" si="138"/>
        <v/>
      </c>
      <c r="AQ47" s="59" t="str">
        <f>""</f>
        <v/>
      </c>
      <c r="AR47" s="58" t="str">
        <f>""</f>
        <v/>
      </c>
      <c r="AS47" s="58" t="s">
        <v>2422</v>
      </c>
      <c r="AT47" s="58" t="s">
        <v>1107</v>
      </c>
      <c r="AU47" s="58" t="s">
        <v>2451</v>
      </c>
      <c r="AV47" s="58" t="s">
        <v>1115</v>
      </c>
      <c r="AW47" s="58" t="s">
        <v>2486</v>
      </c>
      <c r="AX47" s="58" t="s">
        <v>2531</v>
      </c>
      <c r="AY47" s="58" t="str">
        <f>""</f>
        <v/>
      </c>
      <c r="AZ47" s="58" t="s">
        <v>2565</v>
      </c>
      <c r="BA47" s="58" t="s">
        <v>1044</v>
      </c>
      <c r="BB47" s="58" t="str">
        <f>""</f>
        <v/>
      </c>
      <c r="BC47" s="58" t="s">
        <v>1203</v>
      </c>
      <c r="BD47" s="58" t="str">
        <f>""</f>
        <v/>
      </c>
      <c r="BE47" s="18" t="str">
        <f>""</f>
        <v/>
      </c>
      <c r="BJ47" s="70"/>
      <c r="BK47" s="70"/>
      <c r="BL47" s="48"/>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48"/>
      <c r="CN47" s="48"/>
      <c r="CO47" s="48"/>
      <c r="CP47" s="48"/>
      <c r="CQ47" s="48"/>
      <c r="CR47" s="48"/>
      <c r="CS47" s="48"/>
      <c r="CT47" s="48"/>
      <c r="CU47" s="48"/>
      <c r="CV47" s="48"/>
      <c r="CW47" s="48"/>
      <c r="CX47" s="48"/>
      <c r="CY47" s="48"/>
      <c r="CZ47" s="48"/>
      <c r="DA47" s="48"/>
      <c r="DB47" s="48"/>
      <c r="DC47" s="48"/>
      <c r="DD47" s="48"/>
      <c r="DE47" s="48"/>
      <c r="DF47" s="48"/>
      <c r="DG47" s="104"/>
      <c r="DH47" s="104"/>
      <c r="DI47" s="104"/>
      <c r="DJ47" s="104"/>
      <c r="DK47" s="104"/>
      <c r="DL47" s="339"/>
      <c r="DM47" s="338"/>
      <c r="DN47" s="338"/>
      <c r="DO47" s="339"/>
      <c r="DP47" s="339"/>
      <c r="DQ47" s="339"/>
      <c r="DR47" s="339"/>
      <c r="DS47" s="339"/>
      <c r="DT47" s="339"/>
      <c r="DU47" s="339"/>
      <c r="DV47" s="339"/>
      <c r="DW47" s="339"/>
      <c r="DX47" s="339"/>
      <c r="DY47" s="339"/>
      <c r="DZ47" s="339"/>
      <c r="EA47" s="339"/>
      <c r="EB47" s="339"/>
      <c r="EC47" s="339"/>
      <c r="ED47" s="339"/>
      <c r="EE47" s="339"/>
      <c r="EF47" s="339"/>
      <c r="EG47" s="339"/>
      <c r="EH47" s="339"/>
      <c r="EI47" s="103"/>
      <c r="EJ47" s="103"/>
      <c r="EK47" s="103"/>
      <c r="EL47" s="103"/>
      <c r="EM47" s="103"/>
      <c r="EN47" s="103"/>
      <c r="EO47" s="103"/>
      <c r="EP47" s="103"/>
      <c r="EQ47" s="103"/>
      <c r="ER47" s="103"/>
      <c r="ES47" s="103"/>
      <c r="ET47" s="59"/>
      <c r="EV47" s="59"/>
      <c r="EX47" s="59"/>
      <c r="FX47" s="104"/>
      <c r="FY47" s="104"/>
      <c r="FZ47" s="104"/>
      <c r="GA47" s="104"/>
      <c r="GB47" s="104"/>
      <c r="GC47" s="104"/>
      <c r="GD47" s="104"/>
      <c r="GE47" s="104"/>
      <c r="GF47" s="104"/>
      <c r="GG47" s="104"/>
      <c r="GH47" s="104"/>
      <c r="GI47" s="104"/>
      <c r="GJ47" s="104"/>
      <c r="GZ47" s="59"/>
      <c r="HA47" s="59"/>
      <c r="HB47" s="59"/>
      <c r="HC47" s="59"/>
      <c r="HD47" s="59"/>
      <c r="HE47" s="59"/>
      <c r="HF47" s="59"/>
      <c r="HG47" s="59"/>
      <c r="HH47" s="59"/>
      <c r="HI47" s="59"/>
      <c r="HJ47" s="59"/>
      <c r="HK47" s="59" t="s">
        <v>2935</v>
      </c>
      <c r="HL47" s="59" t="s">
        <v>2905</v>
      </c>
      <c r="HM47" s="59" t="s">
        <v>2949</v>
      </c>
      <c r="HN47" s="59"/>
      <c r="HO47" s="59"/>
      <c r="HP47" s="59"/>
      <c r="HQ47" s="59"/>
      <c r="HR47" s="59"/>
      <c r="HS47" s="59"/>
      <c r="HT47" s="59"/>
      <c r="HU47" s="59"/>
      <c r="HV47" s="59"/>
      <c r="HW47" s="59"/>
      <c r="HX47" s="59"/>
      <c r="HY47" s="59"/>
      <c r="HZ47" s="59"/>
      <c r="IA47" s="59"/>
      <c r="IB47" s="59"/>
      <c r="IC47" s="59"/>
      <c r="ID47" s="59"/>
      <c r="IE47" s="59"/>
      <c r="IF47" s="59"/>
      <c r="IG47" s="59"/>
      <c r="IH47" s="59" t="str">
        <f>IF(IJ47=TRUE,MAX($IH$2:IH46)+1,"")</f>
        <v/>
      </c>
      <c r="II47" s="59"/>
      <c r="IJ47" s="59"/>
      <c r="IK47" s="59"/>
      <c r="IL47" s="59"/>
      <c r="IM47" s="59"/>
      <c r="IN47" s="59"/>
      <c r="IO47" s="59"/>
      <c r="IP47" s="59"/>
      <c r="IQ47" s="59"/>
      <c r="IR47" s="59"/>
      <c r="IS47" s="59"/>
      <c r="IT47" s="59"/>
      <c r="IU47" s="59"/>
      <c r="IX47" s="59" t="s">
        <v>1567</v>
      </c>
      <c r="IY47" s="59" t="s">
        <v>1568</v>
      </c>
      <c r="IZ47" s="59" t="s">
        <v>202</v>
      </c>
      <c r="JA47" s="59" t="s">
        <v>284</v>
      </c>
      <c r="JB47" s="59" t="s">
        <v>1569</v>
      </c>
      <c r="JM47" s="296">
        <v>15</v>
      </c>
      <c r="JN47" s="296">
        <v>4</v>
      </c>
      <c r="JO47" s="296">
        <v>3</v>
      </c>
      <c r="JP47" s="296">
        <v>3</v>
      </c>
      <c r="JQ47" s="296">
        <v>3</v>
      </c>
      <c r="JR47" s="296">
        <v>2</v>
      </c>
      <c r="JS47" s="296">
        <v>1</v>
      </c>
      <c r="JT47" s="296">
        <v>1</v>
      </c>
      <c r="JU47" s="296">
        <v>1</v>
      </c>
      <c r="JV47" s="302" t="s">
        <v>140</v>
      </c>
      <c r="JW47" s="98">
        <v>8</v>
      </c>
      <c r="KT47" s="93" t="s">
        <v>1549</v>
      </c>
      <c r="KU47" s="80" t="str">
        <f t="shared" si="128"/>
        <v>No</v>
      </c>
      <c r="KV47" s="89" t="s">
        <v>333</v>
      </c>
      <c r="KW47" s="92"/>
      <c r="KX47" s="92"/>
      <c r="KY47" s="92"/>
      <c r="KZ47" s="92"/>
      <c r="LA47" s="92"/>
      <c r="LB47" s="92"/>
      <c r="LC47" s="92"/>
      <c r="LD47" s="92"/>
      <c r="LE47" s="92"/>
      <c r="LF47" s="92"/>
      <c r="LG47" s="92"/>
      <c r="LH47" s="92"/>
      <c r="LI47" s="92"/>
      <c r="LJ47" s="92"/>
      <c r="LK47" s="92"/>
      <c r="LL47" s="92"/>
      <c r="LM47" s="92"/>
      <c r="LN47" s="92"/>
      <c r="LO47" s="92"/>
      <c r="LP47" s="92"/>
      <c r="LQ47" s="92"/>
      <c r="LR47" s="92"/>
      <c r="LS47" s="92"/>
      <c r="LT47" s="92"/>
      <c r="LU47" s="92"/>
      <c r="LV47" s="92"/>
      <c r="LW47" s="92"/>
      <c r="LX47" s="92"/>
      <c r="LY47" s="92"/>
      <c r="LZ47" s="92"/>
      <c r="MA47" s="92"/>
      <c r="MB47" s="92"/>
      <c r="MC47" s="92"/>
      <c r="MD47" s="92"/>
      <c r="ME47" s="92"/>
      <c r="MF47" s="92"/>
      <c r="MG47" s="92"/>
      <c r="MH47" s="92"/>
      <c r="MI47" s="92"/>
      <c r="MJ47" s="92"/>
      <c r="MK47" s="92"/>
      <c r="ML47" s="94"/>
      <c r="MM47" s="94"/>
      <c r="MN47" s="94"/>
      <c r="MO47" s="94"/>
      <c r="MP47" s="94"/>
      <c r="MQ47" s="94"/>
      <c r="MR47" s="94"/>
      <c r="MS47" s="94"/>
      <c r="MT47" s="94"/>
      <c r="MU47" s="94"/>
      <c r="MV47" s="94"/>
      <c r="MW47" s="94"/>
      <c r="MX47" s="94"/>
      <c r="MY47" s="94"/>
      <c r="MZ47" s="94"/>
      <c r="NA47" s="94"/>
      <c r="NB47" s="94"/>
      <c r="NC47" s="94"/>
      <c r="ND47" s="94"/>
      <c r="NE47" s="94"/>
      <c r="NF47" s="94"/>
      <c r="NG47" s="94"/>
      <c r="NH47" s="94"/>
      <c r="NI47" s="94"/>
      <c r="NJ47" s="94"/>
      <c r="NK47" s="94"/>
      <c r="NL47" s="94"/>
      <c r="NM47" s="94"/>
      <c r="NN47" s="94"/>
      <c r="NO47" s="94"/>
      <c r="NP47" s="438"/>
      <c r="NQ47" s="94"/>
      <c r="NR47" s="94"/>
      <c r="NS47" s="94"/>
      <c r="NT47" s="94"/>
      <c r="NU47" s="94"/>
      <c r="NV47" s="456"/>
      <c r="NW47" s="456"/>
      <c r="NX47" s="456"/>
      <c r="NY47" s="456"/>
      <c r="NZ47" s="456"/>
      <c r="OA47" s="94"/>
      <c r="OB47" s="94"/>
      <c r="OC47" s="94"/>
      <c r="OD47" s="94"/>
      <c r="OE47" s="94"/>
      <c r="OF47" s="94"/>
      <c r="OG47" s="94"/>
      <c r="OH47" s="94"/>
      <c r="OI47" s="94"/>
      <c r="OJ47" s="94"/>
      <c r="OK47" s="94"/>
      <c r="OL47" s="94"/>
      <c r="OM47" s="94"/>
      <c r="ON47" s="94"/>
      <c r="OO47" s="94"/>
      <c r="OP47" s="94"/>
      <c r="OQ47" s="94"/>
      <c r="OR47" s="94"/>
      <c r="OS47" s="94"/>
      <c r="OT47" s="94"/>
      <c r="OU47" s="94"/>
      <c r="OV47" s="94"/>
      <c r="OW47" s="94"/>
      <c r="OX47" s="94"/>
      <c r="OY47" s="94"/>
      <c r="OZ47" s="94"/>
      <c r="PA47" s="94"/>
      <c r="PB47" s="94"/>
      <c r="PC47" s="94"/>
      <c r="PD47" s="94"/>
      <c r="PE47" s="94"/>
      <c r="PF47" s="94"/>
      <c r="PG47" s="94"/>
      <c r="PH47" s="94"/>
      <c r="PI47" s="94"/>
      <c r="PJ47" s="94"/>
      <c r="PK47" s="94"/>
      <c r="PL47" s="94"/>
      <c r="PM47" s="94"/>
      <c r="PN47" s="94"/>
      <c r="PO47" s="94"/>
      <c r="PP47" s="94"/>
      <c r="PQ47" s="94"/>
      <c r="PR47" s="94"/>
      <c r="PS47" s="94" t="str">
        <f>IF(COUNTIF(Start!$AX$59:$BF$68,Tables!KT47)&gt;0,Tables!KT47,"")</f>
        <v/>
      </c>
      <c r="PT47" s="94"/>
      <c r="PU47" s="59" t="str">
        <f t="shared" si="129"/>
        <v/>
      </c>
      <c r="PV47" s="59" t="str">
        <f>IF(PU47="","",IF(COUNTIF(PU47:$PU$57,"&gt;&lt;")&gt;1,PU47&amp;", ", PU47))</f>
        <v/>
      </c>
      <c r="PW47" s="59"/>
      <c r="PX47" s="59"/>
      <c r="PZ47" s="19"/>
      <c r="QA47" s="19"/>
      <c r="QB47" s="27" t="str">
        <f t="shared" si="154"/>
        <v/>
      </c>
      <c r="QC47" s="67"/>
      <c r="QD47" s="19"/>
      <c r="QE47" s="26" t="str">
        <f>""</f>
        <v/>
      </c>
      <c r="QF47" s="26"/>
      <c r="QG47" s="26" t="str">
        <f>""</f>
        <v/>
      </c>
      <c r="QH47" s="26" t="str">
        <f>""</f>
        <v/>
      </c>
      <c r="QI47" s="26" t="str">
        <f>""</f>
        <v/>
      </c>
      <c r="QJ47" s="26" t="str">
        <f>""</f>
        <v/>
      </c>
      <c r="QK47" s="26" t="str">
        <f>""</f>
        <v/>
      </c>
      <c r="QL47" s="26" t="str">
        <f>""</f>
        <v/>
      </c>
      <c r="QM47" s="26" t="str">
        <f>""</f>
        <v/>
      </c>
      <c r="QN47" s="26" t="str">
        <f>""</f>
        <v/>
      </c>
      <c r="QO47" s="26" t="str">
        <f>""</f>
        <v/>
      </c>
      <c r="QP47" s="26" t="str">
        <f>""</f>
        <v/>
      </c>
      <c r="QQ47" s="27" t="str">
        <f>""</f>
        <v/>
      </c>
      <c r="QR47" s="27" t="str">
        <f>""</f>
        <v/>
      </c>
      <c r="SR47" s="19"/>
      <c r="SS47" s="19"/>
      <c r="ST47" s="19"/>
      <c r="SU47" s="26"/>
      <c r="SV47" s="44"/>
      <c r="SW47" s="68"/>
      <c r="SX47" s="26"/>
      <c r="SY47" s="27"/>
      <c r="SZ47" s="26"/>
      <c r="TA47" s="19"/>
      <c r="TB47" s="19"/>
      <c r="TC47" s="19"/>
      <c r="TD47" s="44"/>
      <c r="TE47" s="26"/>
      <c r="TF47" s="68"/>
      <c r="TG47" s="26"/>
      <c r="TH47" s="27"/>
      <c r="TI47" s="27"/>
      <c r="TJ47" s="18">
        <f t="shared" si="115"/>
        <v>45</v>
      </c>
      <c r="TK47" s="58" t="s">
        <v>545</v>
      </c>
      <c r="TL47" s="58" t="s">
        <v>448</v>
      </c>
      <c r="TM47" s="18">
        <v>1</v>
      </c>
      <c r="TN47" s="59" t="str">
        <f t="shared" si="137"/>
        <v xml:space="preserve">Charm Person ᴴ </v>
      </c>
      <c r="TO47" s="350" t="s">
        <v>2991</v>
      </c>
      <c r="TP47" s="18" t="str">
        <f t="shared" si="48"/>
        <v/>
      </c>
      <c r="TQ47" s="18" t="str">
        <f>IF(OR(TK47=Spellcasting!$AC$18,TK47=Spellcasting!$AC$19),"ᵐ","")</f>
        <v/>
      </c>
      <c r="TR47" s="18" t="str">
        <f>IF(OR(TK47=Spellcasting!$AC$20,TK47=Spellcasting!$AC$21),"ˢ","")</f>
        <v/>
      </c>
      <c r="TS47" s="18" t="str">
        <f>""</f>
        <v/>
      </c>
      <c r="TT47" s="18" t="s">
        <v>484</v>
      </c>
      <c r="TU47" s="18" t="s">
        <v>851</v>
      </c>
      <c r="TV47" s="18" t="s">
        <v>521</v>
      </c>
      <c r="TW47" s="18" t="s">
        <v>486</v>
      </c>
      <c r="TX47" s="59" t="str">
        <f>""</f>
        <v/>
      </c>
      <c r="TY47" s="18" t="s">
        <v>498</v>
      </c>
      <c r="TZ47" s="18" t="s">
        <v>499</v>
      </c>
      <c r="UA47" s="142" t="s">
        <v>3151</v>
      </c>
      <c r="UB47" s="319" t="s">
        <v>868</v>
      </c>
      <c r="UC47" s="18" t="str">
        <f ca="1">IF(UC$1&gt;=$TM47,1,"0")</f>
        <v>0</v>
      </c>
      <c r="UF47" s="18" t="str">
        <f ca="1">IF(UF$1&gt;=$TM47,1,"0")</f>
        <v>0</v>
      </c>
      <c r="UG47" s="18" t="str">
        <f ca="1">IF(UG$1&gt;=$TM47,1,"0")</f>
        <v>0</v>
      </c>
      <c r="UI47" s="18" t="str">
        <f ca="1">IF(UI$1&gt;=$TM47,1,"0")</f>
        <v>0</v>
      </c>
      <c r="UL47" s="18" t="str">
        <f ca="1">IF(UL$1&gt;=$TM47,1,"0")</f>
        <v>0</v>
      </c>
      <c r="VD47" s="18" t="str">
        <f>IF(VD$1&gt;=$TM47,1,"0")</f>
        <v>0</v>
      </c>
      <c r="VQ47" s="18" t="str">
        <f>IF(VQ$1&gt;=$TM47,1,"0")</f>
        <v>0</v>
      </c>
      <c r="WD47" s="18" t="str">
        <f ca="1">IF(SUM($VZ$1:$WC$1)&gt;0,IF(AND(SUM($VZ47:$WC47)&gt;0,$TM47=WE$1),MAX(WD$2:WD46)+1,""),IF(AND(SUM($UC47:$VY47)&gt;0,$TM47=WE$1),MAX(WD$2:WD46)+1,""))</f>
        <v/>
      </c>
      <c r="WE47" s="59" t="str">
        <f t="shared" ca="1" si="80"/>
        <v/>
      </c>
      <c r="WF47" s="18" t="str">
        <f ca="1">IF(AND(SUM($UB47:$VY47)&gt;0,$TM47=WG$1),MAX(WF$2:WF46)+1,"")</f>
        <v/>
      </c>
      <c r="WG47" s="59" t="str">
        <f t="shared" ca="1" si="81"/>
        <v/>
      </c>
      <c r="WH47" s="18" t="str">
        <f ca="1">IF(AND(SUM($UB47:$VY47)&gt;0,$TM47=WI$1),MAX(WH$2:WH46)+1,"")</f>
        <v/>
      </c>
      <c r="WI47" s="59" t="str">
        <f t="shared" ca="1" si="82"/>
        <v/>
      </c>
      <c r="WJ47" s="18" t="str">
        <f ca="1">IF(AND(SUM($UB47:$VY47)&gt;0,$TM47=WK$1),MAX(WJ$2:WJ46)+1,"")</f>
        <v/>
      </c>
      <c r="WK47" s="59" t="str">
        <f t="shared" ca="1" si="83"/>
        <v/>
      </c>
      <c r="WL47" s="18" t="str">
        <f ca="1">IF(AND(SUM($UB47:$VY47)&gt;0,$TM47=WM$1),MAX(WL$2:WL46)+1,"")</f>
        <v/>
      </c>
      <c r="WM47" s="59" t="str">
        <f t="shared" ca="1" si="84"/>
        <v/>
      </c>
      <c r="WN47" s="18" t="str">
        <f ca="1">IF(AND(SUM($UB47:$VY47)&gt;0,$TM47=WO$1),MAX(WN$2:WN46)+1,"")</f>
        <v/>
      </c>
      <c r="WO47" s="59" t="str">
        <f t="shared" ca="1" si="85"/>
        <v/>
      </c>
      <c r="WP47" s="18" t="str">
        <f ca="1">IF(AND(SUM($UB47:$VY47)&gt;0,$TM47=WQ$1),MAX(WP$2:WP46)+1,"")</f>
        <v/>
      </c>
      <c r="WQ47" s="59" t="str">
        <f t="shared" ca="1" si="86"/>
        <v/>
      </c>
      <c r="WR47" s="18" t="str">
        <f ca="1">IF(AND(SUM($UB47:$VY47)&gt;0,$TM47=WS$1),MAX(WR$2:WR46)+1,"")</f>
        <v/>
      </c>
      <c r="WS47" s="59" t="str">
        <f t="shared" ca="1" si="87"/>
        <v/>
      </c>
      <c r="WT47" s="18" t="str">
        <f ca="1">IF(AND(SUM($UB47:$VY47)&gt;0,$TM47=WU$1),MAX(WT$2:WT46)+1,"")</f>
        <v/>
      </c>
      <c r="WU47" s="59" t="str">
        <f t="shared" ca="1" si="88"/>
        <v/>
      </c>
      <c r="WV47" s="18" t="str">
        <f ca="1">IF(AND(SUM($UB47:$VY47)&gt;0,$TM47=WW$1),MAX(WV$2:WV46)+1,"")</f>
        <v/>
      </c>
      <c r="WW47" s="59" t="str">
        <f t="shared" ca="1" si="89"/>
        <v/>
      </c>
      <c r="WX47" s="18" t="str">
        <f ca="1">IF(AND(SUM($UB47:$VY47)&gt;0,$TM47=WY$1),MAX(WX$2:WX46)+1,"")</f>
        <v/>
      </c>
      <c r="WY47" s="59" t="str">
        <f t="shared" ca="1" si="90"/>
        <v/>
      </c>
      <c r="WZ47" s="18">
        <v>46</v>
      </c>
      <c r="XA47" s="59" t="str">
        <f t="shared" ca="1" si="91"/>
        <v/>
      </c>
      <c r="XB47" s="59" t="str">
        <f t="shared" ca="1" si="139"/>
        <v/>
      </c>
      <c r="XC47" s="59" t="str">
        <f t="shared" ca="1" si="140"/>
        <v/>
      </c>
      <c r="XD47" s="59" t="str">
        <f t="shared" ca="1" si="141"/>
        <v/>
      </c>
      <c r="XE47" s="59" t="str">
        <f t="shared" ca="1" si="142"/>
        <v/>
      </c>
      <c r="XF47" s="59" t="str">
        <f t="shared" ca="1" si="143"/>
        <v/>
      </c>
      <c r="XG47" s="59" t="str">
        <f t="shared" ca="1" si="144"/>
        <v/>
      </c>
      <c r="XH47" s="59" t="str">
        <f t="shared" ca="1" si="145"/>
        <v/>
      </c>
      <c r="XI47" s="59" t="str">
        <f t="shared" ca="1" si="146"/>
        <v/>
      </c>
      <c r="XJ47" s="59" t="str">
        <f t="shared" ca="1" si="147"/>
        <v/>
      </c>
      <c r="XK47" s="59" t="str">
        <f t="shared" ca="1" si="148"/>
        <v/>
      </c>
      <c r="XL47" s="18" t="str">
        <f>IF(Start!$AJ$54=Tables!$IS$4,1,"")</f>
        <v/>
      </c>
      <c r="XM47" s="59" t="str">
        <f>IF(XL47=1,MAX($XM$27:XM46)+1,"")</f>
        <v/>
      </c>
      <c r="XN47" s="58" t="s">
        <v>3379</v>
      </c>
      <c r="XP47" s="18" t="s">
        <v>3070</v>
      </c>
      <c r="XR47" s="18"/>
      <c r="XS47" s="59"/>
      <c r="XT47" s="18"/>
      <c r="XU47" s="18"/>
      <c r="XV47" s="18"/>
      <c r="XW47" s="18"/>
      <c r="XX47" s="18"/>
      <c r="XY47" s="18"/>
      <c r="XZ47" s="59"/>
      <c r="YA47" s="215"/>
      <c r="YB47" s="326"/>
      <c r="YC47" s="142"/>
      <c r="YG47" s="58" t="s">
        <v>1795</v>
      </c>
      <c r="YH47" s="58" t="s">
        <v>187</v>
      </c>
      <c r="YI47" s="215" t="s">
        <v>2361</v>
      </c>
      <c r="YJ47" s="215" t="s">
        <v>3455</v>
      </c>
      <c r="YK47" s="215" t="str">
        <f>""</f>
        <v/>
      </c>
      <c r="YL47" s="249" t="str">
        <f>""</f>
        <v/>
      </c>
      <c r="YM47" s="249" t="str">
        <f>""</f>
        <v/>
      </c>
      <c r="YN47" s="249" t="str">
        <f>""</f>
        <v/>
      </c>
      <c r="YO47" s="249"/>
      <c r="YP47" s="249"/>
      <c r="YQ47" s="215"/>
      <c r="YR47" s="215"/>
      <c r="YS47" s="215"/>
      <c r="YT47" s="18" t="s">
        <v>315</v>
      </c>
      <c r="YU47" s="18">
        <v>10</v>
      </c>
      <c r="YV47" s="18" t="str">
        <f t="shared" ca="1" si="153"/>
        <v/>
      </c>
      <c r="YW47" s="18" t="str">
        <f ca="1">IF(YX47="","",MAX($YW$1:YW46)+1)</f>
        <v/>
      </c>
      <c r="YX47" s="59" t="str">
        <f t="shared" ca="1" si="149"/>
        <v/>
      </c>
      <c r="YY47" s="18" t="str">
        <f t="shared" ca="1" si="150"/>
        <v/>
      </c>
      <c r="ZR47"/>
    </row>
    <row r="48" spans="31:694" ht="9.9499999999999993" customHeight="1" x14ac:dyDescent="0.2">
      <c r="AO48" s="18">
        <f t="shared" si="119"/>
        <v>47</v>
      </c>
      <c r="AP48" s="59" t="str">
        <f t="shared" si="138"/>
        <v/>
      </c>
      <c r="AQ48" s="59" t="str">
        <f>""</f>
        <v/>
      </c>
      <c r="AR48" s="58" t="str">
        <f>""</f>
        <v/>
      </c>
      <c r="AS48" s="58" t="s">
        <v>2419</v>
      </c>
      <c r="AT48" s="58" t="s">
        <v>1109</v>
      </c>
      <c r="AU48" s="58" t="s">
        <v>2452</v>
      </c>
      <c r="AV48" s="58" t="s">
        <v>1116</v>
      </c>
      <c r="AW48" s="58" t="s">
        <v>2487</v>
      </c>
      <c r="AX48" s="58" t="s">
        <v>2532</v>
      </c>
      <c r="AY48" s="58" t="str">
        <f>""</f>
        <v/>
      </c>
      <c r="AZ48" s="58" t="s">
        <v>2566</v>
      </c>
      <c r="BA48" s="58" t="s">
        <v>1045</v>
      </c>
      <c r="BB48" s="58" t="str">
        <f>""</f>
        <v/>
      </c>
      <c r="BC48" s="58" t="s">
        <v>758</v>
      </c>
      <c r="BD48" s="58" t="str">
        <f>""</f>
        <v/>
      </c>
      <c r="BE48" s="18" t="str">
        <f>""</f>
        <v/>
      </c>
      <c r="BJ48" s="70"/>
      <c r="BK48" s="70"/>
      <c r="BL48" s="48"/>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48"/>
      <c r="CN48" s="48"/>
      <c r="CO48" s="48"/>
      <c r="CP48" s="48"/>
      <c r="CQ48" s="48"/>
      <c r="CR48" s="48"/>
      <c r="CS48" s="48"/>
      <c r="CT48" s="48"/>
      <c r="CU48" s="48"/>
      <c r="CV48" s="48"/>
      <c r="CW48" s="48"/>
      <c r="CX48" s="48"/>
      <c r="CY48" s="48"/>
      <c r="CZ48" s="48"/>
      <c r="DA48" s="48"/>
      <c r="DB48" s="48"/>
      <c r="DC48" s="48"/>
      <c r="DD48" s="48"/>
      <c r="DE48" s="48"/>
      <c r="DF48" s="48"/>
      <c r="DG48" s="104"/>
      <c r="DH48" s="104"/>
      <c r="DI48" s="104"/>
      <c r="DJ48" s="104"/>
      <c r="DK48" s="104"/>
      <c r="DL48" s="339"/>
      <c r="DM48" s="338"/>
      <c r="DN48" s="338"/>
      <c r="DO48" s="339"/>
      <c r="DP48" s="339"/>
      <c r="DQ48" s="339"/>
      <c r="DR48" s="339"/>
      <c r="DS48" s="339"/>
      <c r="DT48" s="339"/>
      <c r="DU48" s="339"/>
      <c r="DV48" s="339"/>
      <c r="DW48" s="339"/>
      <c r="DX48" s="339"/>
      <c r="DY48" s="339"/>
      <c r="DZ48" s="339"/>
      <c r="EA48" s="339"/>
      <c r="EB48" s="339"/>
      <c r="EC48" s="339"/>
      <c r="ED48" s="339"/>
      <c r="EE48" s="339"/>
      <c r="EF48" s="339"/>
      <c r="EG48" s="339"/>
      <c r="EH48" s="339"/>
      <c r="EN48" s="103"/>
      <c r="EP48" s="103"/>
      <c r="ER48" s="103"/>
      <c r="ES48" s="103"/>
      <c r="ET48" s="59"/>
      <c r="EV48" s="59"/>
      <c r="EX48" s="59"/>
      <c r="FX48" s="104"/>
      <c r="FY48" s="104"/>
      <c r="FZ48" s="104"/>
      <c r="GA48" s="104"/>
      <c r="GB48" s="104"/>
      <c r="GC48" s="104"/>
      <c r="GD48" s="104"/>
      <c r="GE48" s="104"/>
      <c r="GF48" s="104"/>
      <c r="GG48" s="104"/>
      <c r="GH48" s="104"/>
      <c r="GI48" s="104"/>
      <c r="GJ48" s="104"/>
      <c r="GZ48" s="59"/>
      <c r="HA48" s="59"/>
      <c r="HB48" s="59"/>
      <c r="HC48" s="59"/>
      <c r="HD48" s="59"/>
      <c r="HE48" s="59"/>
      <c r="HF48" s="59"/>
      <c r="HG48" s="59"/>
      <c r="HH48" s="59"/>
      <c r="HI48" s="59"/>
      <c r="HJ48" s="59"/>
      <c r="HK48" s="59" t="s">
        <v>2936</v>
      </c>
      <c r="HL48" s="59" t="s">
        <v>2905</v>
      </c>
      <c r="HM48" s="59"/>
      <c r="HN48" s="59"/>
      <c r="HO48" s="59"/>
      <c r="HP48" s="59"/>
      <c r="HQ48" s="59"/>
      <c r="HR48" s="59"/>
      <c r="HS48" s="59"/>
      <c r="HT48" s="59"/>
      <c r="HU48" s="59"/>
      <c r="HV48" s="59"/>
      <c r="HW48" s="59"/>
      <c r="HX48" s="59"/>
      <c r="HY48" s="59"/>
      <c r="HZ48" s="59"/>
      <c r="IA48" s="59"/>
      <c r="IB48" s="59"/>
      <c r="IC48" s="59"/>
      <c r="ID48" s="59"/>
      <c r="IE48" s="59"/>
      <c r="IF48" s="59"/>
      <c r="IG48" s="59"/>
      <c r="IH48" s="59" t="str">
        <f>IF(IJ48=TRUE,MAX($IH$2:IH47)+1,"")</f>
        <v/>
      </c>
      <c r="II48" s="59"/>
      <c r="IJ48" s="59"/>
      <c r="IK48" s="59"/>
      <c r="IL48" s="59"/>
      <c r="IM48" s="59"/>
      <c r="IN48" s="59"/>
      <c r="IO48" s="59"/>
      <c r="IP48" s="59"/>
      <c r="IQ48" s="59"/>
      <c r="IR48" s="59"/>
      <c r="IS48" s="59"/>
      <c r="IT48" s="59"/>
      <c r="IU48" s="59"/>
      <c r="IX48" s="59" t="s">
        <v>1570</v>
      </c>
      <c r="IY48" s="59" t="s">
        <v>1571</v>
      </c>
      <c r="IZ48" s="59" t="s">
        <v>196</v>
      </c>
      <c r="JA48" s="59" t="s">
        <v>929</v>
      </c>
      <c r="JB48" s="59" t="s">
        <v>1572</v>
      </c>
      <c r="JM48" s="296">
        <v>16</v>
      </c>
      <c r="JN48" s="296">
        <v>4</v>
      </c>
      <c r="JO48" s="296">
        <v>3</v>
      </c>
      <c r="JP48" s="296">
        <v>3</v>
      </c>
      <c r="JQ48" s="296">
        <v>3</v>
      </c>
      <c r="JR48" s="296">
        <v>2</v>
      </c>
      <c r="JS48" s="296">
        <v>1</v>
      </c>
      <c r="JT48" s="296">
        <v>1</v>
      </c>
      <c r="JU48" s="296">
        <v>1</v>
      </c>
      <c r="JV48" s="302" t="s">
        <v>140</v>
      </c>
      <c r="JW48" s="98">
        <v>8</v>
      </c>
      <c r="KT48" s="88" t="s">
        <v>1550</v>
      </c>
      <c r="KU48" s="80" t="str">
        <f t="shared" si="128"/>
        <v>No</v>
      </c>
      <c r="KV48" s="89" t="s">
        <v>333</v>
      </c>
      <c r="KW48" s="92"/>
      <c r="KX48" s="92"/>
      <c r="KY48" s="92"/>
      <c r="KZ48" s="92"/>
      <c r="LA48" s="92"/>
      <c r="LB48" s="92"/>
      <c r="LC48" s="92"/>
      <c r="LD48" s="92"/>
      <c r="LE48" s="92"/>
      <c r="LF48" s="92"/>
      <c r="LG48" s="92"/>
      <c r="LH48" s="92"/>
      <c r="LI48" s="92"/>
      <c r="LJ48" s="92"/>
      <c r="LK48" s="92"/>
      <c r="LL48" s="92"/>
      <c r="LM48" s="92"/>
      <c r="LN48" s="92"/>
      <c r="LO48" s="92"/>
      <c r="LP48" s="92"/>
      <c r="LQ48" s="92"/>
      <c r="LR48" s="92"/>
      <c r="LS48" s="92"/>
      <c r="LT48" s="92"/>
      <c r="LU48" s="92"/>
      <c r="LV48" s="92"/>
      <c r="LW48" s="92"/>
      <c r="LX48" s="92"/>
      <c r="LY48" s="92"/>
      <c r="LZ48" s="92"/>
      <c r="MA48" s="92"/>
      <c r="MB48" s="94"/>
      <c r="MC48" s="94"/>
      <c r="MD48" s="92"/>
      <c r="ME48" s="92"/>
      <c r="MF48" s="92"/>
      <c r="MG48" s="94"/>
      <c r="MH48" s="94"/>
      <c r="MI48" s="94"/>
      <c r="MJ48" s="456"/>
      <c r="MK48" s="456"/>
      <c r="ML48" s="94"/>
      <c r="MM48" s="94"/>
      <c r="MN48" s="94"/>
      <c r="MO48" s="94"/>
      <c r="MP48" s="94"/>
      <c r="MQ48" s="94"/>
      <c r="MR48" s="94"/>
      <c r="MS48" s="94"/>
      <c r="MT48" s="94"/>
      <c r="MU48" s="94"/>
      <c r="MV48" s="94"/>
      <c r="MW48" s="94"/>
      <c r="MX48" s="94"/>
      <c r="MY48" s="94"/>
      <c r="MZ48" s="94"/>
      <c r="NA48" s="94"/>
      <c r="NB48" s="94"/>
      <c r="NC48" s="94"/>
      <c r="ND48" s="94"/>
      <c r="NE48" s="94"/>
      <c r="NF48" s="94"/>
      <c r="NG48" s="94"/>
      <c r="NH48" s="94"/>
      <c r="NI48" s="94"/>
      <c r="NJ48" s="94"/>
      <c r="NK48" s="94"/>
      <c r="NL48" s="94"/>
      <c r="NM48" s="94"/>
      <c r="NN48" s="94"/>
      <c r="NO48" s="94"/>
      <c r="NP48" s="438"/>
      <c r="NQ48" s="94"/>
      <c r="NR48" s="94"/>
      <c r="NS48" s="94"/>
      <c r="NT48" s="94"/>
      <c r="NU48" s="94"/>
      <c r="NV48" s="456"/>
      <c r="NW48" s="456"/>
      <c r="NX48" s="456"/>
      <c r="NY48" s="456"/>
      <c r="NZ48" s="456"/>
      <c r="OA48" s="94"/>
      <c r="OB48" s="94"/>
      <c r="OC48" s="94"/>
      <c r="OD48" s="94"/>
      <c r="OE48" s="94"/>
      <c r="OF48" s="94"/>
      <c r="OG48" s="94"/>
      <c r="OH48" s="94"/>
      <c r="OI48" s="94"/>
      <c r="OJ48" s="94"/>
      <c r="OK48" s="94"/>
      <c r="OL48" s="94"/>
      <c r="OM48" s="94"/>
      <c r="ON48" s="94"/>
      <c r="OO48" s="94"/>
      <c r="OP48" s="94"/>
      <c r="OQ48" s="94"/>
      <c r="OR48" s="94"/>
      <c r="OS48" s="94"/>
      <c r="OT48" s="94"/>
      <c r="OU48" s="94"/>
      <c r="OV48" s="94"/>
      <c r="OW48" s="94"/>
      <c r="OX48" s="94"/>
      <c r="OY48" s="94"/>
      <c r="OZ48" s="94"/>
      <c r="PA48" s="94"/>
      <c r="PB48" s="94"/>
      <c r="PC48" s="94"/>
      <c r="PD48" s="94"/>
      <c r="PE48" s="94"/>
      <c r="PF48" s="94"/>
      <c r="PG48" s="94"/>
      <c r="PH48" s="94"/>
      <c r="PI48" s="94"/>
      <c r="PJ48" s="94"/>
      <c r="PK48" s="94"/>
      <c r="PL48" s="92"/>
      <c r="PM48" s="94"/>
      <c r="PN48" s="94"/>
      <c r="PO48" s="94"/>
      <c r="PP48" s="94"/>
      <c r="PQ48" s="94"/>
      <c r="PR48" s="94"/>
      <c r="PS48" s="94" t="str">
        <f>IF(COUNTIF(Start!$AX$59:$BF$68,Tables!KT48)&gt;0,Tables!KT48,"")</f>
        <v/>
      </c>
      <c r="PT48" s="94"/>
      <c r="PU48" s="59" t="str">
        <f t="shared" si="129"/>
        <v/>
      </c>
      <c r="PV48" s="59" t="str">
        <f>IF(PU48="","",IF(COUNTIF(PU48:$PU$57,"&gt;&lt;")&gt;1,PU48&amp;", ", PU48))</f>
        <v/>
      </c>
      <c r="PW48" s="59"/>
      <c r="PX48" s="59"/>
      <c r="PZ48" s="28"/>
      <c r="QA48" s="28"/>
      <c r="QB48" s="30" t="str">
        <f t="shared" si="154"/>
        <v/>
      </c>
      <c r="QC48" s="31"/>
      <c r="QD48" s="28"/>
      <c r="QE48" s="29" t="str">
        <f>""</f>
        <v/>
      </c>
      <c r="QF48" s="29"/>
      <c r="QG48" s="29" t="str">
        <f>""</f>
        <v/>
      </c>
      <c r="QH48" s="29" t="str">
        <f>""</f>
        <v/>
      </c>
      <c r="QI48" s="29" t="str">
        <f>""</f>
        <v/>
      </c>
      <c r="QJ48" s="29" t="str">
        <f>""</f>
        <v/>
      </c>
      <c r="QK48" s="29" t="str">
        <f>""</f>
        <v/>
      </c>
      <c r="QL48" s="29" t="str">
        <f>""</f>
        <v/>
      </c>
      <c r="QM48" s="29" t="str">
        <f>""</f>
        <v/>
      </c>
      <c r="QN48" s="29" t="str">
        <f>""</f>
        <v/>
      </c>
      <c r="QO48" s="29" t="str">
        <f>""</f>
        <v/>
      </c>
      <c r="QP48" s="29" t="str">
        <f>""</f>
        <v/>
      </c>
      <c r="QQ48" s="30" t="str">
        <f>""</f>
        <v/>
      </c>
      <c r="QR48" s="30" t="str">
        <f>""</f>
        <v/>
      </c>
      <c r="SR48" s="28"/>
      <c r="SS48" s="28"/>
      <c r="ST48" s="28"/>
      <c r="SU48" s="29"/>
      <c r="SV48" s="42"/>
      <c r="SW48" s="69"/>
      <c r="SX48" s="29"/>
      <c r="SY48" s="30"/>
      <c r="SZ48" s="29"/>
      <c r="TA48" s="28"/>
      <c r="TB48" s="28"/>
      <c r="TC48" s="28"/>
      <c r="TD48" s="42"/>
      <c r="TE48" s="29"/>
      <c r="TF48" s="69"/>
      <c r="TG48" s="29"/>
      <c r="TH48" s="30"/>
      <c r="TI48" s="30"/>
      <c r="TJ48" s="18">
        <f t="shared" si="115"/>
        <v>46</v>
      </c>
      <c r="TK48" s="58" t="s">
        <v>546</v>
      </c>
      <c r="TL48" s="58" t="s">
        <v>1840</v>
      </c>
      <c r="TM48" s="18">
        <v>0.5</v>
      </c>
      <c r="TN48" s="59" t="str">
        <f t="shared" si="137"/>
        <v xml:space="preserve">Chill Touch </v>
      </c>
      <c r="TO48" s="18" t="str">
        <f>""</f>
        <v/>
      </c>
      <c r="TP48" s="18" t="str">
        <f t="shared" si="48"/>
        <v/>
      </c>
      <c r="TQ48" s="18" t="str">
        <f>IF(OR(TK48=Spellcasting!$AC$18,TK48=Spellcasting!$AC$19),"ᵐ","")</f>
        <v/>
      </c>
      <c r="TR48" s="18" t="str">
        <f>IF(OR(TK48=Spellcasting!$AC$20,TK48=Spellcasting!$AC$21),"ˢ","")</f>
        <v/>
      </c>
      <c r="TS48" s="18" t="str">
        <f>""</f>
        <v/>
      </c>
      <c r="TT48" s="18" t="s">
        <v>484</v>
      </c>
      <c r="TU48" s="18" t="s">
        <v>848</v>
      </c>
      <c r="TV48" s="18" t="s">
        <v>547</v>
      </c>
      <c r="TW48" s="18" t="s">
        <v>486</v>
      </c>
      <c r="TX48" s="59" t="str">
        <f>""</f>
        <v/>
      </c>
      <c r="TY48" s="18" t="s">
        <v>506</v>
      </c>
      <c r="TZ48" s="18" t="s">
        <v>507</v>
      </c>
      <c r="UA48" s="142" t="s">
        <v>1854</v>
      </c>
      <c r="UB48" s="319" t="str">
        <f>"ranged, "&amp;IF(CharacterLevel&gt;16,"4d8",IF(CharacterLevel&gt;10,"3d8",IF(CharacterLevel&gt;4,"2d8","1d8")))&amp;" necrotic, on hit undead disadvange to attack you"</f>
        <v>ranged, 1d8 necrotic, on hit undead disadvange to attack you</v>
      </c>
      <c r="UF48" s="18" t="str">
        <f ca="1">IF(UF$1&gt;=$TM48,1,"0")</f>
        <v>0</v>
      </c>
      <c r="UG48" s="18" t="str">
        <f ca="1">IF(UG$1&gt;=$TM48,1,"0")</f>
        <v>0</v>
      </c>
      <c r="UL48" s="18" t="str">
        <f ca="1">IF(UL$1&gt;=$TM48,1,"0")</f>
        <v>0</v>
      </c>
      <c r="VP48" s="18" t="str">
        <f>IF(VP$1&gt;=$TM48,1,"0")</f>
        <v>0</v>
      </c>
      <c r="VQ48" s="18" t="str">
        <f>IF(VQ$1&gt;=$TM48,1,"0")</f>
        <v>0</v>
      </c>
      <c r="WB48" s="18" t="str">
        <f>IF(WB$1&gt;=$TM48,1,"0")</f>
        <v>0</v>
      </c>
      <c r="WC48" s="18"/>
      <c r="WD48" s="18" t="str">
        <f ca="1">IF(SUM($VZ$1:$WC$1)&gt;0,IF(AND(SUM($VZ48:$WC48)&gt;0,$TM48=WE$1),MAX(WD$2:WD47)+1,""),IF(AND(SUM($UC48:$VY48)&gt;0,$TM48=WE$1),MAX(WD$2:WD47)+1,""))</f>
        <v/>
      </c>
      <c r="WE48" s="59" t="str">
        <f t="shared" ca="1" si="80"/>
        <v/>
      </c>
      <c r="WF48" s="18" t="str">
        <f ca="1">IF(AND(SUM($UB48:$VY48)&gt;0,$TM48=WG$1),MAX(WF$2:WF47)+1,"")</f>
        <v/>
      </c>
      <c r="WG48" s="59" t="str">
        <f t="shared" ca="1" si="81"/>
        <v/>
      </c>
      <c r="WH48" s="18" t="str">
        <f ca="1">IF(AND(SUM($UB48:$VY48)&gt;0,$TM48=WI$1),MAX(WH$2:WH47)+1,"")</f>
        <v/>
      </c>
      <c r="WI48" s="59" t="str">
        <f t="shared" ca="1" si="82"/>
        <v/>
      </c>
      <c r="WJ48" s="18" t="str">
        <f ca="1">IF(AND(SUM($UB48:$VY48)&gt;0,$TM48=WK$1),MAX(WJ$2:WJ47)+1,"")</f>
        <v/>
      </c>
      <c r="WK48" s="59" t="str">
        <f t="shared" ca="1" si="83"/>
        <v/>
      </c>
      <c r="WL48" s="18" t="str">
        <f ca="1">IF(AND(SUM($UB48:$VY48)&gt;0,$TM48=WM$1),MAX(WL$2:WL47)+1,"")</f>
        <v/>
      </c>
      <c r="WM48" s="59" t="str">
        <f t="shared" ca="1" si="84"/>
        <v/>
      </c>
      <c r="WN48" s="18" t="str">
        <f ca="1">IF(AND(SUM($UB48:$VY48)&gt;0,$TM48=WO$1),MAX(WN$2:WN47)+1,"")</f>
        <v/>
      </c>
      <c r="WO48" s="59" t="str">
        <f t="shared" ca="1" si="85"/>
        <v/>
      </c>
      <c r="WP48" s="18" t="str">
        <f ca="1">IF(AND(SUM($UB48:$VY48)&gt;0,$TM48=WQ$1),MAX(WP$2:WP47)+1,"")</f>
        <v/>
      </c>
      <c r="WQ48" s="59" t="str">
        <f t="shared" ca="1" si="86"/>
        <v/>
      </c>
      <c r="WR48" s="18" t="str">
        <f ca="1">IF(AND(SUM($UB48:$VY48)&gt;0,$TM48=WS$1),MAX(WR$2:WR47)+1,"")</f>
        <v/>
      </c>
      <c r="WS48" s="59" t="str">
        <f t="shared" ca="1" si="87"/>
        <v/>
      </c>
      <c r="WT48" s="18" t="str">
        <f ca="1">IF(AND(SUM($UB48:$VY48)&gt;0,$TM48=WU$1),MAX(WT$2:WT47)+1,"")</f>
        <v/>
      </c>
      <c r="WU48" s="59" t="str">
        <f t="shared" ca="1" si="88"/>
        <v/>
      </c>
      <c r="WV48" s="18" t="str">
        <f ca="1">IF(AND(SUM($UB48:$VY48)&gt;0,$TM48=WW$1),MAX(WV$2:WV47)+1,"")</f>
        <v/>
      </c>
      <c r="WW48" s="59" t="str">
        <f t="shared" ca="1" si="89"/>
        <v/>
      </c>
      <c r="WX48" s="18" t="str">
        <f ca="1">IF(AND(SUM($UB48:$VY48)&gt;0,$TM48=WY$1),MAX(WX$2:WX47)+1,"")</f>
        <v/>
      </c>
      <c r="WY48" s="59" t="str">
        <f t="shared" ca="1" si="90"/>
        <v/>
      </c>
      <c r="WZ48" s="18">
        <v>47</v>
      </c>
      <c r="XA48" s="59" t="str">
        <f t="shared" ca="1" si="91"/>
        <v/>
      </c>
      <c r="XB48" s="59" t="str">
        <f t="shared" ca="1" si="139"/>
        <v/>
      </c>
      <c r="XC48" s="59" t="str">
        <f t="shared" ca="1" si="140"/>
        <v/>
      </c>
      <c r="XD48" s="59" t="str">
        <f t="shared" ca="1" si="141"/>
        <v/>
      </c>
      <c r="XE48" s="59" t="str">
        <f t="shared" ca="1" si="142"/>
        <v/>
      </c>
      <c r="XF48" s="59" t="str">
        <f t="shared" ca="1" si="143"/>
        <v/>
      </c>
      <c r="XG48" s="59" t="str">
        <f t="shared" ca="1" si="144"/>
        <v/>
      </c>
      <c r="XH48" s="59" t="str">
        <f t="shared" ca="1" si="145"/>
        <v/>
      </c>
      <c r="XI48" s="59" t="str">
        <f t="shared" ca="1" si="146"/>
        <v/>
      </c>
      <c r="XJ48" s="59" t="str">
        <f t="shared" ca="1" si="147"/>
        <v/>
      </c>
      <c r="XK48" s="59" t="str">
        <f t="shared" ca="1" si="148"/>
        <v/>
      </c>
      <c r="XL48" s="18">
        <v>1</v>
      </c>
      <c r="XM48" s="59">
        <f ca="1">IF(XL48=1,MAX($XM$27:XM47)+1,"")</f>
        <v>16</v>
      </c>
      <c r="XN48" s="58" t="s">
        <v>1837</v>
      </c>
      <c r="XO48" s="58" t="s">
        <v>3384</v>
      </c>
      <c r="XP48" s="18" t="s">
        <v>3070</v>
      </c>
      <c r="XQ48" s="18">
        <v>13</v>
      </c>
      <c r="XR48" s="18">
        <v>1</v>
      </c>
      <c r="XS48" s="59" t="s">
        <v>851</v>
      </c>
      <c r="XT48" s="18">
        <v>3</v>
      </c>
      <c r="XU48" s="18">
        <v>16</v>
      </c>
      <c r="XV48" s="18">
        <v>8</v>
      </c>
      <c r="XW48" s="18">
        <v>2</v>
      </c>
      <c r="XX48" s="18">
        <v>12</v>
      </c>
      <c r="XY48" s="18">
        <v>3</v>
      </c>
      <c r="XZ48" s="59" t="s">
        <v>1838</v>
      </c>
      <c r="YA48" s="215" t="s">
        <v>2861</v>
      </c>
      <c r="YB48" s="215" t="s">
        <v>2890</v>
      </c>
      <c r="YC48" s="142" t="s">
        <v>3398</v>
      </c>
      <c r="YG48" s="58" t="s">
        <v>1796</v>
      </c>
      <c r="YH48" s="58" t="s">
        <v>187</v>
      </c>
      <c r="YI48" s="215" t="s">
        <v>1797</v>
      </c>
      <c r="YJ48" s="215" t="s">
        <v>3456</v>
      </c>
      <c r="YK48" s="215" t="str">
        <f>""</f>
        <v/>
      </c>
      <c r="YL48" s="249" t="str">
        <f>""</f>
        <v/>
      </c>
      <c r="YM48" s="249" t="str">
        <f>""</f>
        <v/>
      </c>
      <c r="YN48" s="249" t="str">
        <f>""</f>
        <v/>
      </c>
      <c r="YO48" s="249"/>
      <c r="YP48" s="249"/>
      <c r="YQ48" s="215"/>
      <c r="YR48" s="215"/>
      <c r="YS48" s="215"/>
      <c r="YT48" s="18" t="s">
        <v>315</v>
      </c>
      <c r="YU48" s="18">
        <v>12</v>
      </c>
      <c r="YV48" s="18" t="str">
        <f t="shared" ca="1" si="153"/>
        <v/>
      </c>
      <c r="YW48" s="18" t="str">
        <f ca="1">IF(YX48="","",MAX($YW$1:YW47)+1)</f>
        <v/>
      </c>
      <c r="YX48" s="59" t="str">
        <f t="shared" ca="1" si="149"/>
        <v/>
      </c>
      <c r="YY48" s="18" t="str">
        <f t="shared" ca="1" si="150"/>
        <v/>
      </c>
      <c r="ZR48"/>
    </row>
    <row r="49" spans="41:694" ht="9.9499999999999993" customHeight="1" x14ac:dyDescent="0.2">
      <c r="AO49" s="18">
        <f t="shared" si="119"/>
        <v>48</v>
      </c>
      <c r="AP49" s="59" t="str">
        <f t="shared" si="138"/>
        <v/>
      </c>
      <c r="AQ49" s="59" t="str">
        <f>""</f>
        <v/>
      </c>
      <c r="AR49" s="58" t="str">
        <f>""</f>
        <v/>
      </c>
      <c r="AS49" s="58" t="s">
        <v>2420</v>
      </c>
      <c r="AT49" s="58" t="s">
        <v>1108</v>
      </c>
      <c r="AU49" s="58" t="s">
        <v>2453</v>
      </c>
      <c r="AV49" s="58" t="s">
        <v>1117</v>
      </c>
      <c r="AW49" s="58" t="s">
        <v>2488</v>
      </c>
      <c r="AX49" s="58" t="s">
        <v>2533</v>
      </c>
      <c r="AY49" s="58" t="str">
        <f>""</f>
        <v/>
      </c>
      <c r="AZ49" s="58" t="s">
        <v>2567</v>
      </c>
      <c r="BA49" s="58" t="s">
        <v>306</v>
      </c>
      <c r="BB49" s="58" t="str">
        <f>""</f>
        <v/>
      </c>
      <c r="BC49" s="58" t="s">
        <v>1204</v>
      </c>
      <c r="BD49" s="58" t="str">
        <f>""</f>
        <v/>
      </c>
      <c r="BE49" s="18" t="str">
        <f>""</f>
        <v/>
      </c>
      <c r="BJ49" s="70"/>
      <c r="BK49" s="70"/>
      <c r="BL49" s="48"/>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48"/>
      <c r="CN49" s="48"/>
      <c r="CO49" s="48"/>
      <c r="CP49" s="48"/>
      <c r="CQ49" s="48"/>
      <c r="CR49" s="48"/>
      <c r="CS49" s="48"/>
      <c r="CT49" s="48"/>
      <c r="CU49" s="48"/>
      <c r="CV49" s="48"/>
      <c r="CW49" s="48"/>
      <c r="CX49" s="48"/>
      <c r="CY49" s="48"/>
      <c r="CZ49" s="48"/>
      <c r="DA49" s="48"/>
      <c r="DB49" s="48"/>
      <c r="DC49" s="48"/>
      <c r="DD49" s="48"/>
      <c r="DE49" s="48"/>
      <c r="DF49" s="48"/>
      <c r="DG49" s="104"/>
      <c r="DH49" s="104"/>
      <c r="DI49" s="104"/>
      <c r="DJ49" s="104"/>
      <c r="DK49" s="104"/>
      <c r="DL49" s="339"/>
      <c r="DM49" s="338"/>
      <c r="DN49" s="338"/>
      <c r="DO49" s="339"/>
      <c r="DP49" s="339"/>
      <c r="DQ49" s="339"/>
      <c r="DR49" s="339"/>
      <c r="DS49" s="339"/>
      <c r="DT49" s="339"/>
      <c r="DU49" s="339"/>
      <c r="DV49" s="339"/>
      <c r="DW49" s="339"/>
      <c r="DX49" s="339"/>
      <c r="DY49" s="339"/>
      <c r="DZ49" s="339"/>
      <c r="EA49" s="339"/>
      <c r="EB49" s="339"/>
      <c r="EC49" s="339"/>
      <c r="ED49" s="339"/>
      <c r="EE49" s="339"/>
      <c r="EF49" s="339"/>
      <c r="EG49" s="339"/>
      <c r="EH49" s="339"/>
      <c r="EN49" s="103"/>
      <c r="EP49" s="103"/>
      <c r="ER49" s="103"/>
      <c r="ES49" s="103"/>
      <c r="ET49" s="59"/>
      <c r="EV49" s="59"/>
      <c r="EX49" s="59"/>
      <c r="FX49" s="104"/>
      <c r="FY49" s="104"/>
      <c r="FZ49" s="104"/>
      <c r="GA49" s="104"/>
      <c r="GB49" s="104"/>
      <c r="GC49" s="104"/>
      <c r="GD49" s="104"/>
      <c r="GE49" s="104"/>
      <c r="GF49" s="104"/>
      <c r="GG49" s="104"/>
      <c r="GH49" s="104"/>
      <c r="GI49" s="104"/>
      <c r="GJ49" s="104"/>
      <c r="GZ49" s="59"/>
      <c r="HA49" s="59"/>
      <c r="HB49" s="59"/>
      <c r="HC49" s="59"/>
      <c r="HD49" s="59"/>
      <c r="HE49" s="59"/>
      <c r="HF49" s="59"/>
      <c r="HG49" s="59"/>
      <c r="HH49" s="59"/>
      <c r="HI49" s="59"/>
      <c r="HJ49" s="59"/>
      <c r="HK49" s="59" t="s">
        <v>2937</v>
      </c>
      <c r="HL49" s="59" t="s">
        <v>2905</v>
      </c>
      <c r="HM49" s="59"/>
      <c r="HN49" s="59"/>
      <c r="HO49" s="59"/>
      <c r="HP49" s="59"/>
      <c r="HQ49" s="59"/>
      <c r="HR49" s="59"/>
      <c r="HS49" s="59"/>
      <c r="HT49" s="59"/>
      <c r="HU49" s="59"/>
      <c r="HV49" s="59"/>
      <c r="HW49" s="59"/>
      <c r="HX49" s="59"/>
      <c r="HY49" s="59"/>
      <c r="HZ49" s="59"/>
      <c r="IA49" s="59"/>
      <c r="IB49" s="59"/>
      <c r="IC49" s="59"/>
      <c r="ID49" s="59"/>
      <c r="IE49" s="59"/>
      <c r="IF49" s="59"/>
      <c r="IG49" s="59"/>
      <c r="IH49" s="59" t="str">
        <f>IF(IJ49=TRUE,MAX($IH$2:IH48)+1,"")</f>
        <v/>
      </c>
      <c r="II49" s="59"/>
      <c r="IJ49" s="59"/>
      <c r="IK49" s="59"/>
      <c r="IL49" s="59"/>
      <c r="IM49" s="59"/>
      <c r="IN49" s="59"/>
      <c r="IO49" s="59"/>
      <c r="IP49" s="59"/>
      <c r="IQ49" s="59"/>
      <c r="IR49" s="59"/>
      <c r="IS49" s="59"/>
      <c r="IT49" s="59"/>
      <c r="IU49" s="59"/>
      <c r="IX49" s="59" t="s">
        <v>1573</v>
      </c>
      <c r="IY49" s="59" t="s">
        <v>1574</v>
      </c>
      <c r="IZ49" s="59" t="s">
        <v>196</v>
      </c>
      <c r="JA49" s="59" t="s">
        <v>284</v>
      </c>
      <c r="JB49" s="59" t="s">
        <v>1575</v>
      </c>
      <c r="JM49" s="296">
        <v>17</v>
      </c>
      <c r="JN49" s="296">
        <v>4</v>
      </c>
      <c r="JO49" s="296">
        <v>3</v>
      </c>
      <c r="JP49" s="296">
        <v>3</v>
      </c>
      <c r="JQ49" s="296">
        <v>3</v>
      </c>
      <c r="JR49" s="296">
        <v>2</v>
      </c>
      <c r="JS49" s="296">
        <v>1</v>
      </c>
      <c r="JT49" s="296">
        <v>1</v>
      </c>
      <c r="JU49" s="296">
        <v>1</v>
      </c>
      <c r="JV49" s="296">
        <v>1</v>
      </c>
      <c r="JW49" s="18">
        <v>9</v>
      </c>
      <c r="JX49" s="302"/>
      <c r="KT49" s="88" t="s">
        <v>1551</v>
      </c>
      <c r="KU49" s="80" t="str">
        <f t="shared" si="128"/>
        <v>No</v>
      </c>
      <c r="KV49" s="89" t="s">
        <v>333</v>
      </c>
      <c r="KW49" s="92"/>
      <c r="KX49" s="92"/>
      <c r="KY49" s="92"/>
      <c r="KZ49" s="92"/>
      <c r="LA49" s="92"/>
      <c r="LB49" s="92"/>
      <c r="LC49" s="92"/>
      <c r="LD49" s="92"/>
      <c r="LE49" s="92"/>
      <c r="LF49" s="92"/>
      <c r="LG49" s="92"/>
      <c r="LH49" s="92"/>
      <c r="LI49" s="92"/>
      <c r="LJ49" s="92"/>
      <c r="LK49" s="92"/>
      <c r="LL49" s="92"/>
      <c r="LM49" s="92"/>
      <c r="LN49" s="92"/>
      <c r="LO49" s="92"/>
      <c r="LP49" s="92"/>
      <c r="LQ49" s="92"/>
      <c r="LR49" s="92"/>
      <c r="LS49" s="92"/>
      <c r="LT49" s="92"/>
      <c r="LU49" s="92"/>
      <c r="LV49" s="92"/>
      <c r="LW49" s="92"/>
      <c r="LX49" s="92"/>
      <c r="LY49" s="92"/>
      <c r="LZ49" s="92"/>
      <c r="MA49" s="92"/>
      <c r="MB49" s="92"/>
      <c r="MC49" s="92"/>
      <c r="MD49" s="92"/>
      <c r="ME49" s="92"/>
      <c r="MF49" s="92"/>
      <c r="MG49" s="92"/>
      <c r="MH49" s="92"/>
      <c r="MI49" s="92"/>
      <c r="MJ49" s="92"/>
      <c r="MK49" s="92"/>
      <c r="ML49" s="92"/>
      <c r="MM49" s="92"/>
      <c r="MN49" s="92"/>
      <c r="MO49" s="92"/>
      <c r="MP49" s="92"/>
      <c r="MQ49" s="92"/>
      <c r="MR49" s="92"/>
      <c r="MS49" s="92"/>
      <c r="MT49" s="92"/>
      <c r="MU49" s="92"/>
      <c r="MV49" s="92"/>
      <c r="MW49" s="92"/>
      <c r="MX49" s="92"/>
      <c r="MY49" s="92"/>
      <c r="MZ49" s="92"/>
      <c r="NA49" s="92"/>
      <c r="NB49" s="92"/>
      <c r="NC49" s="92"/>
      <c r="ND49" s="92"/>
      <c r="NE49" s="92"/>
      <c r="NF49" s="92"/>
      <c r="NG49" s="92"/>
      <c r="NH49" s="92"/>
      <c r="NI49" s="92"/>
      <c r="NJ49" s="92"/>
      <c r="NK49" s="92"/>
      <c r="NL49" s="92"/>
      <c r="NM49" s="92"/>
      <c r="NN49" s="92"/>
      <c r="NO49" s="92"/>
      <c r="NP49" s="92"/>
      <c r="NQ49" s="92"/>
      <c r="NR49" s="92"/>
      <c r="NS49" s="92"/>
      <c r="NT49" s="92"/>
      <c r="NU49" s="92"/>
      <c r="NV49" s="92"/>
      <c r="NW49" s="92"/>
      <c r="NX49" s="92"/>
      <c r="NY49" s="92"/>
      <c r="NZ49" s="92"/>
      <c r="OA49" s="92"/>
      <c r="OB49" s="92"/>
      <c r="OC49" s="92"/>
      <c r="OD49" s="92"/>
      <c r="OE49" s="92"/>
      <c r="OF49" s="92"/>
      <c r="OG49" s="92"/>
      <c r="OH49" s="92"/>
      <c r="OI49" s="92"/>
      <c r="OJ49" s="92"/>
      <c r="OK49" s="92"/>
      <c r="OL49" s="92"/>
      <c r="OM49" s="92"/>
      <c r="ON49" s="92"/>
      <c r="OO49" s="92"/>
      <c r="OP49" s="92"/>
      <c r="OQ49" s="92"/>
      <c r="OR49" s="92"/>
      <c r="OS49" s="92"/>
      <c r="OT49" s="92"/>
      <c r="OU49" s="92"/>
      <c r="OV49" s="92"/>
      <c r="OW49" s="92"/>
      <c r="OX49" s="92"/>
      <c r="OY49" s="92"/>
      <c r="OZ49" s="92"/>
      <c r="PA49" s="92"/>
      <c r="PB49" s="92"/>
      <c r="PC49" s="92"/>
      <c r="PD49" s="92"/>
      <c r="PE49" s="92"/>
      <c r="PF49" s="92"/>
      <c r="PG49" s="92"/>
      <c r="PH49" s="92"/>
      <c r="PI49" s="92"/>
      <c r="PJ49" s="92"/>
      <c r="PK49" s="92"/>
      <c r="PL49" s="92"/>
      <c r="PM49" s="92"/>
      <c r="PN49" s="92"/>
      <c r="PO49" s="92"/>
      <c r="PP49" s="92"/>
      <c r="PQ49" s="92"/>
      <c r="PR49" s="92"/>
      <c r="PS49" s="94" t="str">
        <f>IF(COUNTIF(Start!$AX$59:$BF$68,Tables!KT49)&gt;0,Tables!KT49,"")</f>
        <v/>
      </c>
      <c r="PT49" s="92"/>
      <c r="PU49" s="59" t="str">
        <f t="shared" si="129"/>
        <v/>
      </c>
      <c r="PV49" s="59" t="str">
        <f>IF(PU49="","",IF(COUNTIF(PU49:$PU$57,"&gt;&lt;")&gt;1,PU49&amp;", ", PU49))</f>
        <v/>
      </c>
      <c r="PW49" s="59"/>
      <c r="PX49" s="59"/>
      <c r="PZ49" s="19"/>
      <c r="QA49" s="19"/>
      <c r="QB49" s="27" t="str">
        <f t="shared" si="154"/>
        <v/>
      </c>
      <c r="QC49" s="67"/>
      <c r="QD49" s="19"/>
      <c r="QE49" s="26" t="str">
        <f>""</f>
        <v/>
      </c>
      <c r="QF49" s="26"/>
      <c r="QG49" s="26" t="str">
        <f>""</f>
        <v/>
      </c>
      <c r="QH49" s="26" t="str">
        <f>""</f>
        <v/>
      </c>
      <c r="QI49" s="26" t="str">
        <f>""</f>
        <v/>
      </c>
      <c r="QJ49" s="26" t="str">
        <f>""</f>
        <v/>
      </c>
      <c r="QK49" s="26" t="str">
        <f>""</f>
        <v/>
      </c>
      <c r="QL49" s="26" t="str">
        <f>""</f>
        <v/>
      </c>
      <c r="QM49" s="26" t="str">
        <f>""</f>
        <v/>
      </c>
      <c r="QN49" s="26" t="str">
        <f>""</f>
        <v/>
      </c>
      <c r="QO49" s="26" t="str">
        <f>""</f>
        <v/>
      </c>
      <c r="QP49" s="26" t="str">
        <f>""</f>
        <v/>
      </c>
      <c r="QQ49" s="27" t="str">
        <f>""</f>
        <v/>
      </c>
      <c r="QR49" s="27" t="str">
        <f>""</f>
        <v/>
      </c>
      <c r="SR49" s="19"/>
      <c r="SS49" s="19"/>
      <c r="ST49" s="19"/>
      <c r="SU49" s="26"/>
      <c r="SV49" s="44"/>
      <c r="SW49" s="68"/>
      <c r="SX49" s="26"/>
      <c r="SY49" s="27"/>
      <c r="SZ49" s="26"/>
      <c r="TA49" s="19"/>
      <c r="TB49" s="19"/>
      <c r="TC49" s="19"/>
      <c r="TD49" s="44"/>
      <c r="TE49" s="26"/>
      <c r="TF49" s="68"/>
      <c r="TG49" s="26"/>
      <c r="TH49" s="27"/>
      <c r="TI49" s="27"/>
      <c r="TJ49" s="18">
        <f t="shared" si="115"/>
        <v>47</v>
      </c>
      <c r="TK49" s="58" t="s">
        <v>1207</v>
      </c>
      <c r="TL49" s="58" t="s">
        <v>448</v>
      </c>
      <c r="TM49" s="18">
        <v>1</v>
      </c>
      <c r="TN49" s="59" t="str">
        <f t="shared" si="137"/>
        <v xml:space="preserve">Chromatic Orb ᴴ </v>
      </c>
      <c r="TO49" s="350" t="s">
        <v>2991</v>
      </c>
      <c r="TP49" s="18" t="str">
        <f t="shared" si="48"/>
        <v/>
      </c>
      <c r="TQ49" s="18" t="str">
        <f>IF(OR(TK49=Spellcasting!$AC$18,TK49=Spellcasting!$AC$19),"ᵐ","")</f>
        <v/>
      </c>
      <c r="TR49" s="18" t="str">
        <f>IF(OR(TK49=Spellcasting!$AC$20,TK49=Spellcasting!$AC$21),"ˢ","")</f>
        <v/>
      </c>
      <c r="TS49" s="18" t="str">
        <f>""</f>
        <v/>
      </c>
      <c r="TT49" s="18" t="s">
        <v>484</v>
      </c>
      <c r="TU49" s="18" t="s">
        <v>864</v>
      </c>
      <c r="TV49" s="18" t="s">
        <v>505</v>
      </c>
      <c r="TW49" s="18" t="s">
        <v>495</v>
      </c>
      <c r="TX49" s="59" t="s">
        <v>1208</v>
      </c>
      <c r="TY49" s="18" t="s">
        <v>534</v>
      </c>
      <c r="TZ49" s="18" t="s">
        <v>535</v>
      </c>
      <c r="UA49" s="142" t="s">
        <v>3152</v>
      </c>
      <c r="UB49" s="319" t="str">
        <f ca="1">"ranged, 3d8"&amp;IF(WizardEvocationLevel&gt;=10,"+"&amp;INTMod,"")&amp;", choose damage type (a, c, f, l, p, t)"</f>
        <v>ranged, 3d8, choose damage type (a, c, f, l, p, t)</v>
      </c>
      <c r="UF49" s="18" t="str">
        <f ca="1">IF(UF$1&gt;=$TM49,1,"0")</f>
        <v>0</v>
      </c>
      <c r="UL49" s="18" t="str">
        <f ca="1">IF(UL$1&gt;=$TM49,1,"0")</f>
        <v>0</v>
      </c>
      <c r="VP49" s="18" t="str">
        <f>IF(VP$1&gt;=$TM49,1,"0")</f>
        <v>0</v>
      </c>
      <c r="WD49" s="18" t="str">
        <f ca="1">IF(SUM($VZ$1:$WC$1)&gt;0,IF(AND(SUM($VZ49:$WC49)&gt;0,$TM49=WE$1),MAX(WD$2:WD48)+1,""),IF(AND(SUM($UC49:$VY49)&gt;0,$TM49=WE$1),MAX(WD$2:WD48)+1,""))</f>
        <v/>
      </c>
      <c r="WE49" s="59" t="str">
        <f t="shared" ca="1" si="80"/>
        <v/>
      </c>
      <c r="WF49" s="18" t="str">
        <f ca="1">IF(AND(SUM($UB49:$VY49)&gt;0,$TM49=WG$1),MAX(WF$2:WF48)+1,"")</f>
        <v/>
      </c>
      <c r="WG49" s="59" t="str">
        <f t="shared" ca="1" si="81"/>
        <v/>
      </c>
      <c r="WH49" s="18" t="str">
        <f ca="1">IF(AND(SUM($UB49:$VY49)&gt;0,$TM49=WI$1),MAX(WH$2:WH48)+1,"")</f>
        <v/>
      </c>
      <c r="WI49" s="59" t="str">
        <f t="shared" ca="1" si="82"/>
        <v/>
      </c>
      <c r="WJ49" s="18" t="str">
        <f ca="1">IF(AND(SUM($UB49:$VY49)&gt;0,$TM49=WK$1),MAX(WJ$2:WJ48)+1,"")</f>
        <v/>
      </c>
      <c r="WK49" s="59" t="str">
        <f t="shared" ca="1" si="83"/>
        <v/>
      </c>
      <c r="WL49" s="18" t="str">
        <f ca="1">IF(AND(SUM($UB49:$VY49)&gt;0,$TM49=WM$1),MAX(WL$2:WL48)+1,"")</f>
        <v/>
      </c>
      <c r="WM49" s="59" t="str">
        <f t="shared" ca="1" si="84"/>
        <v/>
      </c>
      <c r="WN49" s="18" t="str">
        <f ca="1">IF(AND(SUM($UB49:$VY49)&gt;0,$TM49=WO$1),MAX(WN$2:WN48)+1,"")</f>
        <v/>
      </c>
      <c r="WO49" s="59" t="str">
        <f t="shared" ca="1" si="85"/>
        <v/>
      </c>
      <c r="WP49" s="18" t="str">
        <f ca="1">IF(AND(SUM($UB49:$VY49)&gt;0,$TM49=WQ$1),MAX(WP$2:WP48)+1,"")</f>
        <v/>
      </c>
      <c r="WQ49" s="59" t="str">
        <f t="shared" ca="1" si="86"/>
        <v/>
      </c>
      <c r="WR49" s="18" t="str">
        <f ca="1">IF(AND(SUM($UB49:$VY49)&gt;0,$TM49=WS$1),MAX(WR$2:WR48)+1,"")</f>
        <v/>
      </c>
      <c r="WS49" s="59" t="str">
        <f t="shared" ca="1" si="87"/>
        <v/>
      </c>
      <c r="WT49" s="18" t="str">
        <f ca="1">IF(AND(SUM($UB49:$VY49)&gt;0,$TM49=WU$1),MAX(WT$2:WT48)+1,"")</f>
        <v/>
      </c>
      <c r="WU49" s="59" t="str">
        <f t="shared" ca="1" si="88"/>
        <v/>
      </c>
      <c r="WV49" s="18" t="str">
        <f ca="1">IF(AND(SUM($UB49:$VY49)&gt;0,$TM49=WW$1),MAX(WV$2:WV48)+1,"")</f>
        <v/>
      </c>
      <c r="WW49" s="59" t="str">
        <f t="shared" ca="1" si="89"/>
        <v/>
      </c>
      <c r="WX49" s="18" t="str">
        <f ca="1">IF(AND(SUM($UB49:$VY49)&gt;0,$TM49=WY$1),MAX(WX$2:WX48)+1,"")</f>
        <v/>
      </c>
      <c r="WY49" s="59" t="str">
        <f t="shared" ca="1" si="90"/>
        <v/>
      </c>
      <c r="WZ49" s="18">
        <v>48</v>
      </c>
      <c r="XA49" s="59" t="str">
        <f t="shared" ca="1" si="91"/>
        <v/>
      </c>
      <c r="XB49" s="59" t="str">
        <f t="shared" ca="1" si="139"/>
        <v/>
      </c>
      <c r="XC49" s="59" t="str">
        <f t="shared" ca="1" si="140"/>
        <v/>
      </c>
      <c r="XD49" s="59" t="str">
        <f t="shared" ca="1" si="141"/>
        <v/>
      </c>
      <c r="XE49" s="59" t="str">
        <f t="shared" ca="1" si="142"/>
        <v/>
      </c>
      <c r="XF49" s="59" t="str">
        <f t="shared" ca="1" si="143"/>
        <v/>
      </c>
      <c r="XG49" s="59" t="str">
        <f t="shared" ca="1" si="144"/>
        <v/>
      </c>
      <c r="XH49" s="59" t="str">
        <f t="shared" ca="1" si="145"/>
        <v/>
      </c>
      <c r="XI49" s="59" t="str">
        <f t="shared" ca="1" si="146"/>
        <v/>
      </c>
      <c r="XJ49" s="59" t="str">
        <f t="shared" ca="1" si="147"/>
        <v/>
      </c>
      <c r="XK49" s="59" t="str">
        <f t="shared" ca="1" si="148"/>
        <v/>
      </c>
      <c r="XL49" s="59"/>
      <c r="XM49" s="59"/>
      <c r="XN49" s="58" t="str">
        <f>""</f>
        <v/>
      </c>
      <c r="XO49" s="58" t="str">
        <f>""</f>
        <v/>
      </c>
      <c r="XP49" s="58" t="str">
        <f>""</f>
        <v/>
      </c>
      <c r="XQ49" s="58" t="str">
        <f>""</f>
        <v/>
      </c>
      <c r="XR49" s="58" t="str">
        <f>""</f>
        <v/>
      </c>
      <c r="XS49" s="58" t="str">
        <f>""</f>
        <v/>
      </c>
      <c r="XT49" s="58" t="str">
        <f>""</f>
        <v/>
      </c>
      <c r="XU49" s="58" t="str">
        <f>""</f>
        <v/>
      </c>
      <c r="XV49" s="58" t="str">
        <f>""</f>
        <v/>
      </c>
      <c r="XW49" s="58" t="str">
        <f>""</f>
        <v/>
      </c>
      <c r="XX49" s="58" t="str">
        <f>""</f>
        <v/>
      </c>
      <c r="XY49" s="58" t="str">
        <f>""</f>
        <v/>
      </c>
      <c r="XZ49" s="58" t="str">
        <f>""</f>
        <v/>
      </c>
      <c r="YA49" s="58" t="str">
        <f>""</f>
        <v/>
      </c>
      <c r="YB49" s="58" t="str">
        <f>""</f>
        <v/>
      </c>
      <c r="YC49" s="58" t="str">
        <f>""</f>
        <v/>
      </c>
      <c r="YG49" s="58" t="s">
        <v>763</v>
      </c>
      <c r="YH49" s="58" t="s">
        <v>187</v>
      </c>
      <c r="YI49" s="215" t="s">
        <v>2362</v>
      </c>
      <c r="YJ49" s="215" t="s">
        <v>3457</v>
      </c>
      <c r="YK49" s="215" t="str">
        <f>""</f>
        <v/>
      </c>
      <c r="YL49" s="249" t="str">
        <f>""</f>
        <v/>
      </c>
      <c r="YM49" s="249" t="str">
        <f>""</f>
        <v/>
      </c>
      <c r="YN49" s="249" t="str">
        <f>""</f>
        <v/>
      </c>
      <c r="YO49" s="249"/>
      <c r="YP49" s="249"/>
      <c r="YQ49" s="215"/>
      <c r="YR49" s="215"/>
      <c r="YS49" s="215"/>
      <c r="YT49" s="18" t="s">
        <v>315</v>
      </c>
      <c r="YU49" s="18">
        <v>16</v>
      </c>
      <c r="YV49" s="18" t="str">
        <f t="shared" ca="1" si="153"/>
        <v/>
      </c>
      <c r="YW49" s="18" t="str">
        <f ca="1">IF(YX49="","",MAX($YW$1:YW48)+1)</f>
        <v/>
      </c>
      <c r="YX49" s="59" t="str">
        <f t="shared" ca="1" si="149"/>
        <v/>
      </c>
      <c r="YY49" s="18" t="str">
        <f t="shared" ca="1" si="150"/>
        <v/>
      </c>
      <c r="ZR49"/>
    </row>
    <row r="50" spans="41:694" ht="9.9499999999999993" customHeight="1" x14ac:dyDescent="0.2">
      <c r="AO50" s="18">
        <f t="shared" si="119"/>
        <v>49</v>
      </c>
      <c r="AP50" s="59" t="str">
        <f t="shared" si="138"/>
        <v/>
      </c>
      <c r="AQ50" s="59" t="str">
        <f>""</f>
        <v/>
      </c>
      <c r="AR50" s="58" t="str">
        <f>""</f>
        <v/>
      </c>
      <c r="AS50" s="58" t="str">
        <f>""</f>
        <v/>
      </c>
      <c r="AT50" s="58" t="s">
        <v>1110</v>
      </c>
      <c r="AU50" s="58" t="s">
        <v>2454</v>
      </c>
      <c r="AV50" s="58" t="s">
        <v>1118</v>
      </c>
      <c r="AW50" s="58" t="s">
        <v>2489</v>
      </c>
      <c r="AX50" s="58" t="s">
        <v>2534</v>
      </c>
      <c r="AY50" s="58" t="str">
        <f>""</f>
        <v/>
      </c>
      <c r="AZ50" s="58" t="s">
        <v>2568</v>
      </c>
      <c r="BA50" s="58" t="s">
        <v>1046</v>
      </c>
      <c r="BB50" s="58" t="str">
        <f>""</f>
        <v/>
      </c>
      <c r="BC50" s="58" t="s">
        <v>1205</v>
      </c>
      <c r="BD50" s="58" t="str">
        <f>""</f>
        <v/>
      </c>
      <c r="BE50" s="18" t="str">
        <f>""</f>
        <v/>
      </c>
      <c r="BJ50" s="70"/>
      <c r="BK50" s="70"/>
      <c r="BL50" s="48"/>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48"/>
      <c r="CN50" s="48"/>
      <c r="CO50" s="48"/>
      <c r="CP50" s="48"/>
      <c r="CQ50" s="48"/>
      <c r="CR50" s="48"/>
      <c r="CS50" s="48"/>
      <c r="CT50" s="48"/>
      <c r="CU50" s="48"/>
      <c r="CV50" s="48"/>
      <c r="CW50" s="48"/>
      <c r="CX50" s="48"/>
      <c r="CY50" s="48"/>
      <c r="CZ50" s="48"/>
      <c r="DA50" s="48"/>
      <c r="DB50" s="48"/>
      <c r="DC50" s="48"/>
      <c r="DD50" s="48"/>
      <c r="DE50" s="48"/>
      <c r="DF50" s="48"/>
      <c r="DG50" s="104"/>
      <c r="DH50" s="104"/>
      <c r="DI50" s="104"/>
      <c r="DJ50" s="104"/>
      <c r="DK50" s="104"/>
      <c r="DL50" s="339"/>
      <c r="DM50" s="338"/>
      <c r="DN50" s="338"/>
      <c r="DO50" s="339"/>
      <c r="DP50" s="339"/>
      <c r="DQ50" s="339"/>
      <c r="DR50" s="339"/>
      <c r="DS50" s="339"/>
      <c r="DT50" s="339"/>
      <c r="DU50" s="339"/>
      <c r="DV50" s="339"/>
      <c r="DW50" s="339"/>
      <c r="DX50" s="339"/>
      <c r="DY50" s="339"/>
      <c r="DZ50" s="339"/>
      <c r="EA50" s="339"/>
      <c r="EB50" s="339"/>
      <c r="EC50" s="339"/>
      <c r="ED50" s="339"/>
      <c r="EE50" s="339"/>
      <c r="EF50" s="339"/>
      <c r="EG50" s="339"/>
      <c r="EH50" s="339"/>
      <c r="EN50" s="103"/>
      <c r="EP50" s="103"/>
      <c r="ER50" s="103"/>
      <c r="ES50" s="103"/>
      <c r="ET50" s="59"/>
      <c r="EV50" s="59"/>
      <c r="EX50" s="59"/>
      <c r="FX50" s="104"/>
      <c r="FY50" s="104"/>
      <c r="FZ50" s="104"/>
      <c r="GA50" s="104"/>
      <c r="GB50" s="104"/>
      <c r="GC50" s="104"/>
      <c r="GD50" s="104"/>
      <c r="GE50" s="104"/>
      <c r="GF50" s="104"/>
      <c r="GG50" s="104"/>
      <c r="GH50" s="104"/>
      <c r="GI50" s="104"/>
      <c r="GJ50" s="104"/>
      <c r="GZ50" s="59"/>
      <c r="HA50" s="59"/>
      <c r="HB50" s="59"/>
      <c r="HC50" s="59"/>
      <c r="HD50" s="59"/>
      <c r="HE50" s="59"/>
      <c r="HF50" s="59"/>
      <c r="HG50" s="59"/>
      <c r="HH50" s="59"/>
      <c r="HI50" s="59"/>
      <c r="HJ50" s="59"/>
      <c r="HK50" s="59" t="s">
        <v>2938</v>
      </c>
      <c r="HL50" s="59" t="s">
        <v>2905</v>
      </c>
      <c r="HM50" s="59"/>
      <c r="HN50" s="59"/>
      <c r="HO50" s="59"/>
      <c r="HP50" s="59"/>
      <c r="HQ50" s="59"/>
      <c r="HR50" s="59"/>
      <c r="HS50" s="59"/>
      <c r="HT50" s="59"/>
      <c r="HU50" s="59"/>
      <c r="HV50" s="59"/>
      <c r="HW50" s="59"/>
      <c r="HX50" s="59"/>
      <c r="HY50" s="59"/>
      <c r="HZ50" s="59"/>
      <c r="IA50" s="59"/>
      <c r="IB50" s="59"/>
      <c r="IC50" s="59"/>
      <c r="ID50" s="59"/>
      <c r="IE50" s="59"/>
      <c r="IF50" s="59"/>
      <c r="IG50" s="59"/>
      <c r="IH50" s="59" t="str">
        <f>IF(IJ50=TRUE,MAX($IH$2:IH49)+1,"")</f>
        <v/>
      </c>
      <c r="II50" s="59"/>
      <c r="IJ50" s="59"/>
      <c r="IK50" s="59"/>
      <c r="IL50" s="59"/>
      <c r="IM50" s="59"/>
      <c r="IN50" s="59"/>
      <c r="IO50" s="59"/>
      <c r="IP50" s="59"/>
      <c r="IQ50" s="59"/>
      <c r="IR50" s="59"/>
      <c r="IS50" s="59"/>
      <c r="IT50" s="59"/>
      <c r="IU50" s="59"/>
      <c r="IX50" s="59" t="s">
        <v>1576</v>
      </c>
      <c r="IY50" s="59" t="s">
        <v>1577</v>
      </c>
      <c r="IZ50" s="59" t="s">
        <v>200</v>
      </c>
      <c r="JA50" s="59" t="s">
        <v>284</v>
      </c>
      <c r="JB50" s="59" t="s">
        <v>1578</v>
      </c>
      <c r="JM50" s="296">
        <v>18</v>
      </c>
      <c r="JN50" s="296">
        <v>4</v>
      </c>
      <c r="JO50" s="296">
        <v>3</v>
      </c>
      <c r="JP50" s="296">
        <v>3</v>
      </c>
      <c r="JQ50" s="296">
        <v>3</v>
      </c>
      <c r="JR50" s="296">
        <v>3</v>
      </c>
      <c r="JS50" s="296">
        <v>1</v>
      </c>
      <c r="JT50" s="296">
        <v>1</v>
      </c>
      <c r="JU50" s="296">
        <v>1</v>
      </c>
      <c r="JV50" s="296">
        <v>1</v>
      </c>
      <c r="JW50" s="18">
        <v>9</v>
      </c>
      <c r="JX50" s="302"/>
      <c r="JY50" s="60"/>
      <c r="JZ50" s="60"/>
      <c r="KA50" s="60"/>
      <c r="KB50" s="60"/>
      <c r="KC50" s="60"/>
      <c r="KD50" s="60"/>
      <c r="KE50" s="60"/>
      <c r="KF50" s="60"/>
      <c r="KG50" s="60"/>
      <c r="KH50" s="60"/>
      <c r="KI50" s="60"/>
      <c r="KJ50" s="60"/>
      <c r="KT50" s="88" t="s">
        <v>1552</v>
      </c>
      <c r="KU50" s="80" t="str">
        <f t="shared" si="128"/>
        <v>No</v>
      </c>
      <c r="KV50" s="89" t="s">
        <v>333</v>
      </c>
      <c r="KW50" s="92"/>
      <c r="KX50" s="92"/>
      <c r="KY50" s="92"/>
      <c r="KZ50" s="92"/>
      <c r="LA50" s="92"/>
      <c r="LB50" s="92"/>
      <c r="LC50" s="92"/>
      <c r="LD50" s="92"/>
      <c r="LE50" s="92"/>
      <c r="LF50" s="92"/>
      <c r="LG50" s="92"/>
      <c r="LH50" s="92"/>
      <c r="LI50" s="92"/>
      <c r="LJ50" s="92"/>
      <c r="LK50" s="92"/>
      <c r="LL50" s="92"/>
      <c r="LM50" s="92"/>
      <c r="LN50" s="92"/>
      <c r="LO50" s="92"/>
      <c r="LP50" s="92"/>
      <c r="LQ50" s="92"/>
      <c r="LR50" s="92"/>
      <c r="LS50" s="92"/>
      <c r="LT50" s="92"/>
      <c r="LU50" s="92"/>
      <c r="LV50" s="92"/>
      <c r="LW50" s="92"/>
      <c r="LX50" s="92"/>
      <c r="LY50" s="92"/>
      <c r="LZ50" s="92"/>
      <c r="MA50" s="92"/>
      <c r="MB50" s="94"/>
      <c r="MC50" s="94"/>
      <c r="MD50" s="92"/>
      <c r="ME50" s="92"/>
      <c r="MF50" s="92"/>
      <c r="MG50" s="94"/>
      <c r="MH50" s="92"/>
      <c r="MI50" s="92"/>
      <c r="MJ50" s="456"/>
      <c r="MK50" s="456"/>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438"/>
      <c r="NQ50" s="94"/>
      <c r="NR50" s="94"/>
      <c r="NS50" s="94"/>
      <c r="NT50" s="94"/>
      <c r="NU50" s="94"/>
      <c r="NV50" s="456"/>
      <c r="NW50" s="456"/>
      <c r="NX50" s="456"/>
      <c r="NY50" s="456"/>
      <c r="NZ50" s="456"/>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2"/>
      <c r="PO50" s="94"/>
      <c r="PP50" s="94"/>
      <c r="PQ50" s="94"/>
      <c r="PR50" s="94"/>
      <c r="PS50" s="94" t="str">
        <f>IF(COUNTIF(Start!$AX$59:$BF$68,Tables!KT50)&gt;0,Tables!KT50,"")</f>
        <v/>
      </c>
      <c r="PT50" s="94"/>
      <c r="PU50" s="59" t="str">
        <f t="shared" si="129"/>
        <v/>
      </c>
      <c r="PV50" s="59" t="str">
        <f>IF(PU50="","",IF(COUNTIF(PU50:$PU$57,"&gt;&lt;")&gt;1,PU50&amp;", ", PU50))</f>
        <v/>
      </c>
      <c r="PW50" s="59"/>
      <c r="PX50" s="59"/>
      <c r="PZ50" s="28"/>
      <c r="QA50" s="28"/>
      <c r="QB50" s="30" t="str">
        <f t="shared" si="154"/>
        <v/>
      </c>
      <c r="QC50" s="31"/>
      <c r="QD50" s="28"/>
      <c r="QE50" s="29" t="str">
        <f>""</f>
        <v/>
      </c>
      <c r="QF50" s="29"/>
      <c r="QG50" s="29" t="str">
        <f>""</f>
        <v/>
      </c>
      <c r="QH50" s="29" t="str">
        <f>""</f>
        <v/>
      </c>
      <c r="QI50" s="29" t="str">
        <f>""</f>
        <v/>
      </c>
      <c r="QJ50" s="29" t="str">
        <f>""</f>
        <v/>
      </c>
      <c r="QK50" s="29" t="str">
        <f>""</f>
        <v/>
      </c>
      <c r="QL50" s="29" t="str">
        <f>""</f>
        <v/>
      </c>
      <c r="QM50" s="29" t="str">
        <f>""</f>
        <v/>
      </c>
      <c r="QN50" s="29" t="str">
        <f>""</f>
        <v/>
      </c>
      <c r="QO50" s="29" t="str">
        <f>""</f>
        <v/>
      </c>
      <c r="QP50" s="29" t="str">
        <f>""</f>
        <v/>
      </c>
      <c r="QQ50" s="30" t="str">
        <f>""</f>
        <v/>
      </c>
      <c r="QR50" s="30" t="str">
        <f>""</f>
        <v/>
      </c>
      <c r="SR50" s="28"/>
      <c r="SS50" s="28"/>
      <c r="ST50" s="28"/>
      <c r="SU50" s="29"/>
      <c r="SV50" s="42"/>
      <c r="SW50" s="69"/>
      <c r="SX50" s="29"/>
      <c r="SY50" s="30"/>
      <c r="SZ50" s="29"/>
      <c r="TA50" s="28"/>
      <c r="TB50" s="28"/>
      <c r="TC50" s="28"/>
      <c r="TD50" s="42"/>
      <c r="TE50" s="29"/>
      <c r="TF50" s="69"/>
      <c r="TG50" s="29"/>
      <c r="TH50" s="30"/>
      <c r="TI50" s="30"/>
      <c r="TJ50" s="18">
        <f t="shared" si="115"/>
        <v>48</v>
      </c>
      <c r="TK50" s="58" t="s">
        <v>548</v>
      </c>
      <c r="TL50" s="58" t="s">
        <v>463</v>
      </c>
      <c r="TM50" s="18">
        <v>6</v>
      </c>
      <c r="TN50" s="59" t="str">
        <f t="shared" si="137"/>
        <v xml:space="preserve">Circle of Death ᴴ </v>
      </c>
      <c r="TO50" s="350" t="s">
        <v>2991</v>
      </c>
      <c r="TP50" s="18" t="str">
        <f t="shared" si="48"/>
        <v/>
      </c>
      <c r="TQ50" s="18" t="str">
        <f>IF(OR(TK50=Spellcasting!$AC$18,TK50=Spellcasting!$AC$19),"ᵐ","")</f>
        <v/>
      </c>
      <c r="TR50" s="18" t="str">
        <f>IF(OR(TK50=Spellcasting!$AC$20,TK50=Spellcasting!$AC$21),"ˢ","")</f>
        <v/>
      </c>
      <c r="TS50" s="18" t="str">
        <f>""</f>
        <v/>
      </c>
      <c r="TT50" s="18" t="s">
        <v>484</v>
      </c>
      <c r="TU50" s="18" t="s">
        <v>660</v>
      </c>
      <c r="TV50" s="18" t="s">
        <v>505</v>
      </c>
      <c r="TW50" s="18" t="s">
        <v>495</v>
      </c>
      <c r="TX50" s="59" t="s">
        <v>1987</v>
      </c>
      <c r="TY50" s="18" t="s">
        <v>506</v>
      </c>
      <c r="TZ50" s="18" t="s">
        <v>507</v>
      </c>
      <c r="UA50" s="142" t="s">
        <v>2090</v>
      </c>
      <c r="UB50" s="319" t="s">
        <v>3012</v>
      </c>
      <c r="UF50" s="18" t="str">
        <f ca="1">IF(UF$1&gt;=$TM50,1,"0")</f>
        <v>0</v>
      </c>
      <c r="UG50" s="18" t="str">
        <f ca="1">IF(UG$1&gt;=$TM50,1,"0")</f>
        <v>0</v>
      </c>
      <c r="UL50" s="18" t="str">
        <f ca="1">IF(UL$1&gt;=$TM50,1,"0")</f>
        <v>0</v>
      </c>
      <c r="WD50" s="18" t="str">
        <f ca="1">IF(SUM($VZ$1:$WC$1)&gt;0,IF(AND(SUM($VZ50:$WC50)&gt;0,$TM50=WE$1),MAX(WD$2:WD49)+1,""),IF(AND(SUM($UC50:$VY50)&gt;0,$TM50=WE$1),MAX(WD$2:WD49)+1,""))</f>
        <v/>
      </c>
      <c r="WE50" s="59" t="str">
        <f t="shared" ca="1" si="80"/>
        <v/>
      </c>
      <c r="WF50" s="18" t="str">
        <f ca="1">IF(AND(SUM($UB50:$VY50)&gt;0,$TM50=WG$1),MAX(WF$2:WF49)+1,"")</f>
        <v/>
      </c>
      <c r="WG50" s="59" t="str">
        <f t="shared" ca="1" si="81"/>
        <v/>
      </c>
      <c r="WH50" s="18" t="str">
        <f ca="1">IF(AND(SUM($UB50:$VY50)&gt;0,$TM50=WI$1),MAX(WH$2:WH49)+1,"")</f>
        <v/>
      </c>
      <c r="WI50" s="59" t="str">
        <f t="shared" ca="1" si="82"/>
        <v/>
      </c>
      <c r="WJ50" s="18" t="str">
        <f ca="1">IF(AND(SUM($UB50:$VY50)&gt;0,$TM50=WK$1),MAX(WJ$2:WJ49)+1,"")</f>
        <v/>
      </c>
      <c r="WK50" s="59" t="str">
        <f t="shared" ca="1" si="83"/>
        <v/>
      </c>
      <c r="WL50" s="18" t="str">
        <f ca="1">IF(AND(SUM($UB50:$VY50)&gt;0,$TM50=WM$1),MAX(WL$2:WL49)+1,"")</f>
        <v/>
      </c>
      <c r="WM50" s="59" t="str">
        <f t="shared" ca="1" si="84"/>
        <v/>
      </c>
      <c r="WN50" s="18" t="str">
        <f ca="1">IF(AND(SUM($UB50:$VY50)&gt;0,$TM50=WO$1),MAX(WN$2:WN49)+1,"")</f>
        <v/>
      </c>
      <c r="WO50" s="59" t="str">
        <f t="shared" ca="1" si="85"/>
        <v/>
      </c>
      <c r="WP50" s="18" t="str">
        <f ca="1">IF(AND(SUM($UB50:$VY50)&gt;0,$TM50=WQ$1),MAX(WP$2:WP49)+1,"")</f>
        <v/>
      </c>
      <c r="WQ50" s="59" t="str">
        <f t="shared" ca="1" si="86"/>
        <v/>
      </c>
      <c r="WR50" s="18" t="str">
        <f ca="1">IF(AND(SUM($UB50:$VY50)&gt;0,$TM50=WS$1),MAX(WR$2:WR49)+1,"")</f>
        <v/>
      </c>
      <c r="WS50" s="59" t="str">
        <f t="shared" ca="1" si="87"/>
        <v/>
      </c>
      <c r="WT50" s="18" t="str">
        <f ca="1">IF(AND(SUM($UB50:$VY50)&gt;0,$TM50=WU$1),MAX(WT$2:WT49)+1,"")</f>
        <v/>
      </c>
      <c r="WU50" s="59" t="str">
        <f t="shared" ca="1" si="88"/>
        <v/>
      </c>
      <c r="WV50" s="18" t="str">
        <f ca="1">IF(AND(SUM($UB50:$VY50)&gt;0,$TM50=WW$1),MAX(WV$2:WV49)+1,"")</f>
        <v/>
      </c>
      <c r="WW50" s="59" t="str">
        <f t="shared" ca="1" si="89"/>
        <v/>
      </c>
      <c r="WX50" s="18" t="str">
        <f ca="1">IF(AND(SUM($UB50:$VY50)&gt;0,$TM50=WY$1),MAX(WX$2:WX49)+1,"")</f>
        <v/>
      </c>
      <c r="WY50" s="59" t="str">
        <f t="shared" ca="1" si="90"/>
        <v/>
      </c>
      <c r="WZ50" s="18">
        <v>49</v>
      </c>
      <c r="XA50" s="59" t="str">
        <f t="shared" ca="1" si="91"/>
        <v/>
      </c>
      <c r="XB50" s="59" t="str">
        <f t="shared" ca="1" si="139"/>
        <v/>
      </c>
      <c r="XC50" s="59" t="str">
        <f t="shared" ca="1" si="140"/>
        <v/>
      </c>
      <c r="XD50" s="59" t="str">
        <f t="shared" ca="1" si="141"/>
        <v/>
      </c>
      <c r="XE50" s="59" t="str">
        <f t="shared" ca="1" si="142"/>
        <v/>
      </c>
      <c r="XF50" s="59" t="str">
        <f t="shared" ca="1" si="143"/>
        <v/>
      </c>
      <c r="XG50" s="59" t="str">
        <f t="shared" ca="1" si="144"/>
        <v/>
      </c>
      <c r="XH50" s="59" t="str">
        <f t="shared" ca="1" si="145"/>
        <v/>
      </c>
      <c r="XI50" s="59" t="str">
        <f t="shared" ca="1" si="146"/>
        <v/>
      </c>
      <c r="XJ50" s="59" t="str">
        <f t="shared" ca="1" si="147"/>
        <v/>
      </c>
      <c r="XK50" s="59" t="str">
        <f t="shared" ca="1" si="148"/>
        <v/>
      </c>
      <c r="XL50" s="59"/>
      <c r="XM50" s="59"/>
      <c r="YA50" s="694"/>
      <c r="YC50" s="142"/>
      <c r="YG50" s="58" t="s">
        <v>1798</v>
      </c>
      <c r="YH50" s="58" t="s">
        <v>187</v>
      </c>
      <c r="YI50" s="215" t="s">
        <v>1799</v>
      </c>
      <c r="YJ50" s="215" t="s">
        <v>1816</v>
      </c>
      <c r="YK50" s="215" t="str">
        <f>""</f>
        <v/>
      </c>
      <c r="YL50" s="249" t="str">
        <f>""</f>
        <v/>
      </c>
      <c r="YM50" s="249" t="str">
        <f>""</f>
        <v/>
      </c>
      <c r="YN50" s="249" t="str">
        <f>""</f>
        <v/>
      </c>
      <c r="YO50" s="215" t="s">
        <v>2350</v>
      </c>
      <c r="YP50" s="249">
        <v>3</v>
      </c>
      <c r="YQ50" s="215"/>
      <c r="YR50" s="215"/>
      <c r="YS50" s="215"/>
      <c r="YT50" s="18" t="s">
        <v>315</v>
      </c>
      <c r="YU50" s="18">
        <v>19</v>
      </c>
      <c r="YV50" s="18" t="str">
        <f t="shared" ca="1" si="153"/>
        <v/>
      </c>
      <c r="YW50" s="18" t="str">
        <f ca="1">IF(YX50="","",MAX($YW$1:YW49)+1)</f>
        <v/>
      </c>
      <c r="YX50" s="59" t="str">
        <f t="shared" ca="1" si="149"/>
        <v/>
      </c>
      <c r="YY50" s="18" t="str">
        <f t="shared" ca="1" si="150"/>
        <v/>
      </c>
      <c r="ZR50"/>
    </row>
    <row r="51" spans="41:694" ht="9.9499999999999993" customHeight="1" x14ac:dyDescent="0.2">
      <c r="AO51" s="18">
        <f t="shared" si="119"/>
        <v>50</v>
      </c>
      <c r="AP51" s="59" t="str">
        <f t="shared" si="138"/>
        <v/>
      </c>
      <c r="AQ51" s="59" t="str">
        <f>""</f>
        <v/>
      </c>
      <c r="AR51" s="58" t="str">
        <f>""</f>
        <v/>
      </c>
      <c r="AS51" s="58" t="str">
        <f>""</f>
        <v/>
      </c>
      <c r="AT51" s="58" t="s">
        <v>1111</v>
      </c>
      <c r="AU51" s="58" t="s">
        <v>2455</v>
      </c>
      <c r="AV51" s="58" t="s">
        <v>1119</v>
      </c>
      <c r="AW51" s="58" t="s">
        <v>2490</v>
      </c>
      <c r="AX51" s="58" t="s">
        <v>2535</v>
      </c>
      <c r="AY51" s="58" t="str">
        <f>""</f>
        <v/>
      </c>
      <c r="AZ51" s="58" t="s">
        <v>2569</v>
      </c>
      <c r="BA51" s="58" t="s">
        <v>1047</v>
      </c>
      <c r="BB51" s="58" t="str">
        <f>""</f>
        <v/>
      </c>
      <c r="BC51" s="58" t="s">
        <v>1206</v>
      </c>
      <c r="BD51" s="58" t="str">
        <f>""</f>
        <v/>
      </c>
      <c r="BE51" s="18" t="str">
        <f>""</f>
        <v/>
      </c>
      <c r="BJ51" s="70"/>
      <c r="BK51" s="70"/>
      <c r="BL51" s="48"/>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48"/>
      <c r="CN51" s="48"/>
      <c r="CO51" s="48"/>
      <c r="CP51" s="48"/>
      <c r="CQ51" s="48"/>
      <c r="CR51" s="48"/>
      <c r="CS51" s="48"/>
      <c r="CT51" s="48"/>
      <c r="CU51" s="48"/>
      <c r="CV51" s="48"/>
      <c r="CW51" s="48"/>
      <c r="CX51" s="48"/>
      <c r="CY51" s="48"/>
      <c r="CZ51" s="48"/>
      <c r="DA51" s="48"/>
      <c r="DB51" s="48"/>
      <c r="DC51" s="48"/>
      <c r="DD51" s="48"/>
      <c r="DE51" s="48"/>
      <c r="DF51" s="48"/>
      <c r="DG51" s="104"/>
      <c r="DH51" s="104"/>
      <c r="DI51" s="104"/>
      <c r="DJ51" s="104"/>
      <c r="DK51" s="104"/>
      <c r="DL51" s="339"/>
      <c r="DM51" s="338"/>
      <c r="DN51" s="338"/>
      <c r="DO51" s="339"/>
      <c r="DP51" s="339"/>
      <c r="DQ51" s="339"/>
      <c r="DR51" s="339"/>
      <c r="DS51" s="339"/>
      <c r="DT51" s="339"/>
      <c r="DU51" s="339"/>
      <c r="DV51" s="339"/>
      <c r="DW51" s="339"/>
      <c r="DX51" s="339"/>
      <c r="DY51" s="339"/>
      <c r="DZ51" s="339"/>
      <c r="EA51" s="339"/>
      <c r="EB51" s="339"/>
      <c r="EC51" s="339"/>
      <c r="ED51" s="339"/>
      <c r="EE51" s="339"/>
      <c r="EF51" s="339"/>
      <c r="EG51" s="339"/>
      <c r="EH51" s="339"/>
      <c r="EN51" s="103"/>
      <c r="EP51" s="103"/>
      <c r="ER51" s="103"/>
      <c r="ES51" s="103"/>
      <c r="ET51" s="59"/>
      <c r="EV51" s="59"/>
      <c r="EX51" s="59"/>
      <c r="FX51" s="104"/>
      <c r="FY51" s="104"/>
      <c r="FZ51" s="104"/>
      <c r="GA51" s="104"/>
      <c r="GB51" s="104"/>
      <c r="GC51" s="104"/>
      <c r="GD51" s="104"/>
      <c r="GE51" s="104"/>
      <c r="GF51" s="104"/>
      <c r="GG51" s="104"/>
      <c r="GH51" s="104"/>
      <c r="GI51" s="104"/>
      <c r="GJ51" s="104"/>
      <c r="GZ51" s="59"/>
      <c r="HA51" s="59"/>
      <c r="HB51" s="59"/>
      <c r="HC51" s="59"/>
      <c r="HD51" s="59"/>
      <c r="HE51" s="59"/>
      <c r="HF51" s="59"/>
      <c r="HG51" s="59"/>
      <c r="HH51" s="59"/>
      <c r="HI51" s="59"/>
      <c r="HJ51" s="59"/>
      <c r="HK51" s="59" t="s">
        <v>2939</v>
      </c>
      <c r="HL51" s="59" t="s">
        <v>2905</v>
      </c>
      <c r="HM51" s="59"/>
      <c r="HN51" s="59"/>
      <c r="HO51" s="59"/>
      <c r="HP51" s="59"/>
      <c r="HQ51" s="59"/>
      <c r="HR51" s="59"/>
      <c r="HS51" s="59"/>
      <c r="HT51" s="59"/>
      <c r="HU51" s="59"/>
      <c r="HV51" s="59"/>
      <c r="HW51" s="59"/>
      <c r="HX51" s="59"/>
      <c r="HY51" s="59"/>
      <c r="HZ51" s="59"/>
      <c r="IA51" s="59"/>
      <c r="IB51" s="59"/>
      <c r="IC51" s="59"/>
      <c r="ID51" s="59"/>
      <c r="IE51" s="59"/>
      <c r="IF51" s="59"/>
      <c r="IG51" s="59"/>
      <c r="IH51" s="59" t="str">
        <f>IF(IJ51=TRUE,MAX($IH$2:IH50)+1,"")</f>
        <v/>
      </c>
      <c r="II51" s="59"/>
      <c r="IJ51" s="59"/>
      <c r="IK51" s="59"/>
      <c r="IL51" s="59"/>
      <c r="IM51" s="59"/>
      <c r="IN51" s="59"/>
      <c r="IO51" s="59"/>
      <c r="IP51" s="59"/>
      <c r="IQ51" s="59"/>
      <c r="IR51" s="59"/>
      <c r="IS51" s="59"/>
      <c r="IT51" s="59"/>
      <c r="IU51" s="59"/>
      <c r="IX51" s="59" t="s">
        <v>1583</v>
      </c>
      <c r="IY51" s="59" t="s">
        <v>1584</v>
      </c>
      <c r="IZ51" s="59" t="s">
        <v>201</v>
      </c>
      <c r="JA51" s="59" t="s">
        <v>890</v>
      </c>
      <c r="JB51" s="59" t="s">
        <v>1585</v>
      </c>
      <c r="JD51" s="58" t="s">
        <v>267</v>
      </c>
      <c r="JM51" s="296">
        <v>19</v>
      </c>
      <c r="JN51" s="296">
        <v>4</v>
      </c>
      <c r="JO51" s="296">
        <v>3</v>
      </c>
      <c r="JP51" s="296">
        <v>3</v>
      </c>
      <c r="JQ51" s="296">
        <v>3</v>
      </c>
      <c r="JR51" s="296">
        <v>3</v>
      </c>
      <c r="JS51" s="296">
        <v>2</v>
      </c>
      <c r="JT51" s="296">
        <v>1</v>
      </c>
      <c r="JU51" s="296">
        <v>1</v>
      </c>
      <c r="JV51" s="296">
        <v>1</v>
      </c>
      <c r="JW51" s="18">
        <v>9</v>
      </c>
      <c r="JX51" s="302"/>
      <c r="JY51" s="60"/>
      <c r="JZ51" s="60"/>
      <c r="KA51" s="60"/>
      <c r="KB51" s="60"/>
      <c r="KC51" s="60"/>
      <c r="KD51" s="60"/>
      <c r="KE51" s="60"/>
      <c r="KF51" s="60"/>
      <c r="KG51" s="60"/>
      <c r="KH51" s="60"/>
      <c r="KI51" s="60"/>
      <c r="KJ51" s="60"/>
      <c r="KT51" s="93" t="s">
        <v>1553</v>
      </c>
      <c r="KU51" s="80" t="str">
        <f t="shared" si="128"/>
        <v>No</v>
      </c>
      <c r="KV51" s="89" t="s">
        <v>333</v>
      </c>
      <c r="KW51" s="92"/>
      <c r="KX51" s="92"/>
      <c r="KY51" s="92"/>
      <c r="KZ51" s="92"/>
      <c r="LA51" s="92"/>
      <c r="LB51" s="92"/>
      <c r="LC51" s="92"/>
      <c r="LD51" s="92"/>
      <c r="LE51" s="92"/>
      <c r="LF51" s="92"/>
      <c r="LG51" s="92"/>
      <c r="LH51" s="92"/>
      <c r="LI51" s="92"/>
      <c r="LJ51" s="92"/>
      <c r="LK51" s="92"/>
      <c r="LL51" s="92"/>
      <c r="LM51" s="92"/>
      <c r="LN51" s="92"/>
      <c r="LO51" s="92"/>
      <c r="LP51" s="92"/>
      <c r="LQ51" s="92"/>
      <c r="LR51" s="92"/>
      <c r="LS51" s="92"/>
      <c r="LT51" s="92"/>
      <c r="LU51" s="92"/>
      <c r="LV51" s="92"/>
      <c r="LW51" s="92"/>
      <c r="LX51" s="92"/>
      <c r="LY51" s="92"/>
      <c r="LZ51" s="92"/>
      <c r="MA51" s="92"/>
      <c r="MB51" s="92"/>
      <c r="MC51" s="92"/>
      <c r="MD51" s="92"/>
      <c r="ME51" s="92"/>
      <c r="MF51" s="92"/>
      <c r="MG51" s="92"/>
      <c r="MH51" s="92"/>
      <c r="MI51" s="92"/>
      <c r="MJ51" s="92"/>
      <c r="MK51" s="92"/>
      <c r="ML51" s="94"/>
      <c r="MM51" s="94"/>
      <c r="MN51" s="94"/>
      <c r="MO51" s="94"/>
      <c r="MP51" s="94"/>
      <c r="MQ51" s="94"/>
      <c r="MR51" s="94"/>
      <c r="MS51" s="94"/>
      <c r="MT51" s="94"/>
      <c r="MU51" s="94"/>
      <c r="MV51" s="94"/>
      <c r="MW51" s="94"/>
      <c r="MX51" s="94"/>
      <c r="MY51" s="94"/>
      <c r="MZ51" s="94"/>
      <c r="NA51" s="94"/>
      <c r="NB51" s="94"/>
      <c r="NC51" s="94"/>
      <c r="ND51" s="94"/>
      <c r="NE51" s="94"/>
      <c r="NF51" s="94"/>
      <c r="NG51" s="94"/>
      <c r="NH51" s="94"/>
      <c r="NI51" s="94"/>
      <c r="NJ51" s="94"/>
      <c r="NK51" s="94"/>
      <c r="NL51" s="94"/>
      <c r="NM51" s="94"/>
      <c r="NN51" s="94"/>
      <c r="NO51" s="94"/>
      <c r="NP51" s="438"/>
      <c r="NQ51" s="94"/>
      <c r="NR51" s="94"/>
      <c r="NS51" s="94"/>
      <c r="NT51" s="94"/>
      <c r="NU51" s="94"/>
      <c r="NV51" s="456"/>
      <c r="NW51" s="456"/>
      <c r="NX51" s="456"/>
      <c r="NY51" s="456"/>
      <c r="NZ51" s="456"/>
      <c r="OA51" s="94"/>
      <c r="OB51" s="94"/>
      <c r="OC51" s="94"/>
      <c r="OD51" s="94"/>
      <c r="OE51" s="94"/>
      <c r="OF51" s="94"/>
      <c r="OG51" s="94"/>
      <c r="OH51" s="94"/>
      <c r="OI51" s="94"/>
      <c r="OJ51" s="94"/>
      <c r="OK51" s="94"/>
      <c r="OL51" s="94"/>
      <c r="OM51" s="94"/>
      <c r="ON51" s="94"/>
      <c r="OO51" s="94"/>
      <c r="OP51" s="94"/>
      <c r="OQ51" s="94"/>
      <c r="OR51" s="94"/>
      <c r="OS51" s="94"/>
      <c r="OT51" s="94"/>
      <c r="OU51" s="94"/>
      <c r="OV51" s="94"/>
      <c r="OW51" s="94"/>
      <c r="OX51" s="94"/>
      <c r="OY51" s="94"/>
      <c r="OZ51" s="94"/>
      <c r="PA51" s="94"/>
      <c r="PB51" s="94"/>
      <c r="PC51" s="94"/>
      <c r="PD51" s="94"/>
      <c r="PE51" s="94"/>
      <c r="PF51" s="94"/>
      <c r="PG51" s="94"/>
      <c r="PH51" s="94"/>
      <c r="PI51" s="94"/>
      <c r="PJ51" s="94"/>
      <c r="PK51" s="94"/>
      <c r="PL51" s="94"/>
      <c r="PM51" s="94"/>
      <c r="PN51" s="94"/>
      <c r="PO51" s="94"/>
      <c r="PP51" s="94"/>
      <c r="PQ51" s="94"/>
      <c r="PR51" s="94"/>
      <c r="PS51" s="94" t="str">
        <f>IF(COUNTIF(Start!$AX$59:$BF$68,Tables!KT51)&gt;0,Tables!KT51,"")</f>
        <v/>
      </c>
      <c r="PT51" s="94"/>
      <c r="PU51" s="59" t="str">
        <f t="shared" si="129"/>
        <v/>
      </c>
      <c r="PV51" s="59" t="str">
        <f>IF(PU51="","",IF(COUNTIF(PU51:$PU$57,"&gt;&lt;")&gt;1,PU51&amp;", ", PU51))</f>
        <v/>
      </c>
      <c r="PW51" s="59"/>
      <c r="PX51" s="59"/>
      <c r="PZ51" s="19"/>
      <c r="QA51" s="19"/>
      <c r="QB51" s="27" t="str">
        <f t="shared" si="154"/>
        <v/>
      </c>
      <c r="QC51" s="67"/>
      <c r="QD51" s="19"/>
      <c r="QE51" s="26" t="str">
        <f>""</f>
        <v/>
      </c>
      <c r="QF51" s="26"/>
      <c r="QG51" s="26" t="str">
        <f>""</f>
        <v/>
      </c>
      <c r="QH51" s="26" t="str">
        <f>""</f>
        <v/>
      </c>
      <c r="QI51" s="26" t="str">
        <f>""</f>
        <v/>
      </c>
      <c r="QJ51" s="26" t="str">
        <f>""</f>
        <v/>
      </c>
      <c r="QK51" s="26" t="str">
        <f>""</f>
        <v/>
      </c>
      <c r="QL51" s="26" t="str">
        <f>""</f>
        <v/>
      </c>
      <c r="QM51" s="26" t="str">
        <f>""</f>
        <v/>
      </c>
      <c r="QN51" s="26" t="str">
        <f>""</f>
        <v/>
      </c>
      <c r="QO51" s="26" t="str">
        <f>""</f>
        <v/>
      </c>
      <c r="QP51" s="26" t="str">
        <f>""</f>
        <v/>
      </c>
      <c r="QQ51" s="27" t="str">
        <f>""</f>
        <v/>
      </c>
      <c r="QR51" s="27" t="str">
        <f>""</f>
        <v/>
      </c>
      <c r="SR51" s="19"/>
      <c r="SS51" s="19"/>
      <c r="ST51" s="19"/>
      <c r="SU51" s="26"/>
      <c r="SV51" s="44"/>
      <c r="SW51" s="68"/>
      <c r="SX51" s="26"/>
      <c r="SY51" s="27"/>
      <c r="SZ51" s="26"/>
      <c r="TA51" s="19"/>
      <c r="TB51" s="19"/>
      <c r="TC51" s="19"/>
      <c r="TD51" s="44"/>
      <c r="TE51" s="26"/>
      <c r="TF51" s="68"/>
      <c r="TG51" s="26"/>
      <c r="TH51" s="27"/>
      <c r="TI51" s="27"/>
      <c r="TJ51" s="18">
        <f t="shared" si="115"/>
        <v>49</v>
      </c>
      <c r="TK51" s="58" t="s">
        <v>549</v>
      </c>
      <c r="TL51" s="58" t="s">
        <v>462</v>
      </c>
      <c r="TM51" s="18">
        <v>5</v>
      </c>
      <c r="TN51" s="59" t="str">
        <f t="shared" si="137"/>
        <v xml:space="preserve">Circle of Power </v>
      </c>
      <c r="TO51" s="18" t="str">
        <f>""</f>
        <v/>
      </c>
      <c r="TP51" s="18" t="str">
        <f t="shared" si="48"/>
        <v/>
      </c>
      <c r="TQ51" s="18" t="str">
        <f>IF(OR(TK51=Spellcasting!$AC$18,TK51=Spellcasting!$AC$19),"ᵐ","")</f>
        <v/>
      </c>
      <c r="TR51" s="18" t="str">
        <f>IF(OR(TK51=Spellcasting!$AC$20,TK51=Spellcasting!$AC$21),"ˢ","")</f>
        <v/>
      </c>
      <c r="TS51" s="18" t="str">
        <f>""</f>
        <v/>
      </c>
      <c r="TT51" s="18" t="s">
        <v>484</v>
      </c>
      <c r="TU51" s="18" t="s">
        <v>509</v>
      </c>
      <c r="TV51" s="18" t="s">
        <v>515</v>
      </c>
      <c r="TW51" s="18" t="s">
        <v>486</v>
      </c>
      <c r="TX51" s="59" t="str">
        <f>""</f>
        <v/>
      </c>
      <c r="TY51" s="18" t="s">
        <v>487</v>
      </c>
      <c r="TZ51" s="18" t="s">
        <v>488</v>
      </c>
      <c r="UA51" s="59" t="s">
        <v>2105</v>
      </c>
      <c r="UB51" s="319" t="s">
        <v>3040</v>
      </c>
      <c r="UD51" s="18" t="str">
        <f ca="1">IF(UD$1&gt;=$TM51,1,"0")</f>
        <v>0</v>
      </c>
      <c r="WD51" s="18" t="str">
        <f ca="1">IF(SUM($VZ$1:$WC$1)&gt;0,IF(AND(SUM($VZ51:$WC51)&gt;0,$TM51=WE$1),MAX(WD$2:WD50)+1,""),IF(AND(SUM($UC51:$VY51)&gt;0,$TM51=WE$1),MAX(WD$2:WD50)+1,""))</f>
        <v/>
      </c>
      <c r="WE51" s="59" t="str">
        <f t="shared" ca="1" si="80"/>
        <v/>
      </c>
      <c r="WF51" s="18" t="str">
        <f ca="1">IF(AND(SUM($UB51:$VY51)&gt;0,$TM51=WG$1),MAX(WF$2:WF50)+1,"")</f>
        <v/>
      </c>
      <c r="WG51" s="59" t="str">
        <f t="shared" ca="1" si="81"/>
        <v/>
      </c>
      <c r="WH51" s="18" t="str">
        <f ca="1">IF(AND(SUM($UB51:$VY51)&gt;0,$TM51=WI$1),MAX(WH$2:WH50)+1,"")</f>
        <v/>
      </c>
      <c r="WI51" s="59" t="str">
        <f t="shared" ca="1" si="82"/>
        <v/>
      </c>
      <c r="WJ51" s="18" t="str">
        <f ca="1">IF(AND(SUM($UB51:$VY51)&gt;0,$TM51=WK$1),MAX(WJ$2:WJ50)+1,"")</f>
        <v/>
      </c>
      <c r="WK51" s="59" t="str">
        <f t="shared" ca="1" si="83"/>
        <v/>
      </c>
      <c r="WL51" s="18" t="str">
        <f ca="1">IF(AND(SUM($UB51:$VY51)&gt;0,$TM51=WM$1),MAX(WL$2:WL50)+1,"")</f>
        <v/>
      </c>
      <c r="WM51" s="59" t="str">
        <f t="shared" ca="1" si="84"/>
        <v/>
      </c>
      <c r="WN51" s="18" t="str">
        <f ca="1">IF(AND(SUM($UB51:$VY51)&gt;0,$TM51=WO$1),MAX(WN$2:WN50)+1,"")</f>
        <v/>
      </c>
      <c r="WO51" s="59" t="str">
        <f t="shared" ca="1" si="85"/>
        <v/>
      </c>
      <c r="WP51" s="18" t="str">
        <f ca="1">IF(AND(SUM($UB51:$VY51)&gt;0,$TM51=WQ$1),MAX(WP$2:WP50)+1,"")</f>
        <v/>
      </c>
      <c r="WQ51" s="59" t="str">
        <f t="shared" ca="1" si="86"/>
        <v/>
      </c>
      <c r="WR51" s="18" t="str">
        <f ca="1">IF(AND(SUM($UB51:$VY51)&gt;0,$TM51=WS$1),MAX(WR$2:WR50)+1,"")</f>
        <v/>
      </c>
      <c r="WS51" s="59" t="str">
        <f t="shared" ca="1" si="87"/>
        <v/>
      </c>
      <c r="WT51" s="18" t="str">
        <f ca="1">IF(AND(SUM($UB51:$VY51)&gt;0,$TM51=WU$1),MAX(WT$2:WT50)+1,"")</f>
        <v/>
      </c>
      <c r="WU51" s="59" t="str">
        <f t="shared" ca="1" si="88"/>
        <v/>
      </c>
      <c r="WV51" s="18" t="str">
        <f ca="1">IF(AND(SUM($UB51:$VY51)&gt;0,$TM51=WW$1),MAX(WV$2:WV50)+1,"")</f>
        <v/>
      </c>
      <c r="WW51" s="59" t="str">
        <f t="shared" ca="1" si="89"/>
        <v/>
      </c>
      <c r="WX51" s="18" t="str">
        <f ca="1">IF(AND(SUM($UB51:$VY51)&gt;0,$TM51=WY$1),MAX(WX$2:WX50)+1,"")</f>
        <v/>
      </c>
      <c r="WY51" s="59" t="str">
        <f t="shared" ca="1" si="90"/>
        <v/>
      </c>
      <c r="WZ51" s="18">
        <v>50</v>
      </c>
      <c r="XA51" s="59" t="str">
        <f t="shared" ca="1" si="91"/>
        <v/>
      </c>
      <c r="XB51" s="59" t="str">
        <f t="shared" ca="1" si="139"/>
        <v/>
      </c>
      <c r="XC51" s="59" t="str">
        <f t="shared" ca="1" si="140"/>
        <v/>
      </c>
      <c r="XD51" s="59" t="str">
        <f t="shared" ca="1" si="141"/>
        <v/>
      </c>
      <c r="XE51" s="59" t="str">
        <f t="shared" ca="1" si="142"/>
        <v/>
      </c>
      <c r="XF51" s="59" t="str">
        <f t="shared" ca="1" si="143"/>
        <v/>
      </c>
      <c r="XG51" s="59" t="str">
        <f t="shared" ca="1" si="144"/>
        <v/>
      </c>
      <c r="XH51" s="59" t="str">
        <f t="shared" ca="1" si="145"/>
        <v/>
      </c>
      <c r="XI51" s="59" t="str">
        <f t="shared" ca="1" si="146"/>
        <v/>
      </c>
      <c r="XJ51" s="59" t="str">
        <f t="shared" ca="1" si="147"/>
        <v/>
      </c>
      <c r="XK51" s="59" t="str">
        <f t="shared" ca="1" si="148"/>
        <v/>
      </c>
      <c r="XL51" s="59"/>
      <c r="XM51" s="59"/>
      <c r="YA51" s="694"/>
      <c r="YG51" s="58" t="s">
        <v>1800</v>
      </c>
      <c r="YH51" s="58" t="s">
        <v>1754</v>
      </c>
      <c r="YI51" s="215" t="s">
        <v>1801</v>
      </c>
      <c r="YJ51" s="215" t="s">
        <v>3458</v>
      </c>
      <c r="YK51" s="215" t="str">
        <f>""</f>
        <v/>
      </c>
      <c r="YL51" s="249" t="str">
        <f>""</f>
        <v/>
      </c>
      <c r="YM51" s="249" t="str">
        <f>""</f>
        <v/>
      </c>
      <c r="YN51" s="249" t="str">
        <f>""</f>
        <v/>
      </c>
      <c r="YO51" s="249"/>
      <c r="YP51" s="249"/>
      <c r="YQ51" s="215"/>
      <c r="YR51" s="215"/>
      <c r="YS51" s="215"/>
      <c r="YT51" s="18" t="s">
        <v>2698</v>
      </c>
      <c r="YU51" s="18">
        <v>4</v>
      </c>
      <c r="YV51" s="18" t="str">
        <f ca="1">VLOOKUP(YY51,$ZM$2:$ZP$23,$ZM$1,FALSE)</f>
        <v/>
      </c>
      <c r="YW51" s="18" t="str">
        <f ca="1">IF(YX51="","",MAX($YW$1:YW50)+1)</f>
        <v/>
      </c>
      <c r="YX51" s="59" t="str">
        <f t="shared" ca="1" si="149"/>
        <v/>
      </c>
      <c r="YY51" s="18" t="str">
        <f t="shared" ca="1" si="150"/>
        <v/>
      </c>
      <c r="ZR51"/>
    </row>
    <row r="52" spans="41:694" ht="9.9499999999999993" customHeight="1" x14ac:dyDescent="0.2">
      <c r="AO52" s="18">
        <f t="shared" si="119"/>
        <v>51</v>
      </c>
      <c r="AP52" s="59" t="str">
        <f t="shared" si="138"/>
        <v/>
      </c>
      <c r="AQ52" s="59" t="str">
        <f>""</f>
        <v/>
      </c>
      <c r="AR52" s="58" t="str">
        <f>""</f>
        <v/>
      </c>
      <c r="AS52" s="58" t="str">
        <f>""</f>
        <v/>
      </c>
      <c r="AT52" s="58" t="str">
        <f>""</f>
        <v/>
      </c>
      <c r="AU52" s="58" t="s">
        <v>2456</v>
      </c>
      <c r="AV52" s="58" t="s">
        <v>1120</v>
      </c>
      <c r="AW52" s="58" t="s">
        <v>2491</v>
      </c>
      <c r="AX52" s="58" t="str">
        <f>""</f>
        <v/>
      </c>
      <c r="AY52" s="58" t="str">
        <f>""</f>
        <v/>
      </c>
      <c r="AZ52" s="58" t="s">
        <v>2570</v>
      </c>
      <c r="BA52" s="58" t="str">
        <f>""</f>
        <v/>
      </c>
      <c r="BB52" s="58" t="str">
        <f>""</f>
        <v/>
      </c>
      <c r="BC52" s="58" t="str">
        <f>""</f>
        <v/>
      </c>
      <c r="BD52" s="58" t="str">
        <f>""</f>
        <v/>
      </c>
      <c r="BE52" s="58" t="str">
        <f>""</f>
        <v/>
      </c>
      <c r="BJ52" s="70"/>
      <c r="BK52" s="70"/>
      <c r="BL52" s="48"/>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48"/>
      <c r="CN52" s="48"/>
      <c r="CO52" s="48"/>
      <c r="CP52" s="48"/>
      <c r="CQ52" s="48"/>
      <c r="CR52" s="48"/>
      <c r="CS52" s="48"/>
      <c r="CT52" s="48"/>
      <c r="CU52" s="48"/>
      <c r="CV52" s="48"/>
      <c r="CW52" s="48"/>
      <c r="CX52" s="48"/>
      <c r="CY52" s="48"/>
      <c r="CZ52" s="48"/>
      <c r="DA52" s="48"/>
      <c r="DB52" s="48"/>
      <c r="DC52" s="48"/>
      <c r="DD52" s="48"/>
      <c r="DE52" s="48"/>
      <c r="DF52" s="48"/>
      <c r="DG52" s="104"/>
      <c r="DH52" s="104"/>
      <c r="DI52" s="104"/>
      <c r="DJ52" s="104"/>
      <c r="DK52" s="104"/>
      <c r="DL52" s="339"/>
      <c r="DM52" s="338"/>
      <c r="DN52" s="338"/>
      <c r="DO52" s="339"/>
      <c r="DP52" s="339"/>
      <c r="DQ52" s="339"/>
      <c r="DR52" s="339"/>
      <c r="DS52" s="339"/>
      <c r="DT52" s="339"/>
      <c r="DU52" s="339"/>
      <c r="DV52" s="339"/>
      <c r="DW52" s="339"/>
      <c r="DX52" s="339"/>
      <c r="DY52" s="339"/>
      <c r="DZ52" s="339"/>
      <c r="EA52" s="339"/>
      <c r="EB52" s="339"/>
      <c r="EC52" s="339"/>
      <c r="ED52" s="339"/>
      <c r="EE52" s="339"/>
      <c r="EF52" s="339"/>
      <c r="EG52" s="339"/>
      <c r="EH52" s="339"/>
      <c r="EP52" s="103"/>
      <c r="ER52" s="103"/>
      <c r="ES52" s="103"/>
      <c r="ET52" s="59"/>
      <c r="EV52" s="59"/>
      <c r="EX52" s="59"/>
      <c r="FX52" s="104"/>
      <c r="FY52" s="104"/>
      <c r="FZ52" s="104"/>
      <c r="GA52" s="104"/>
      <c r="GB52" s="104"/>
      <c r="GC52" s="104"/>
      <c r="GD52" s="104"/>
      <c r="GE52" s="104"/>
      <c r="GF52" s="104"/>
      <c r="GG52" s="104"/>
      <c r="GH52" s="104"/>
      <c r="GI52" s="104"/>
      <c r="GJ52" s="104"/>
      <c r="GZ52" s="59"/>
      <c r="HA52" s="59"/>
      <c r="HB52" s="59"/>
      <c r="HC52" s="59"/>
      <c r="HD52" s="59"/>
      <c r="HE52" s="59"/>
      <c r="HF52" s="59"/>
      <c r="HG52" s="59"/>
      <c r="HH52" s="59"/>
      <c r="HI52" s="59"/>
      <c r="HJ52" s="59"/>
      <c r="HK52" s="59" t="s">
        <v>2940</v>
      </c>
      <c r="HL52" s="59" t="s">
        <v>2905</v>
      </c>
      <c r="HM52" s="59"/>
      <c r="HN52" s="59"/>
      <c r="HO52" s="59"/>
      <c r="HP52" s="59"/>
      <c r="HQ52" s="59"/>
      <c r="HR52" s="59"/>
      <c r="HS52" s="59"/>
      <c r="HT52" s="59"/>
      <c r="HU52" s="59"/>
      <c r="HV52" s="59"/>
      <c r="HW52" s="59"/>
      <c r="HX52" s="59"/>
      <c r="HY52" s="59"/>
      <c r="HZ52" s="59"/>
      <c r="IA52" s="59"/>
      <c r="IB52" s="59"/>
      <c r="IC52" s="59"/>
      <c r="ID52" s="59"/>
      <c r="IE52" s="59"/>
      <c r="IF52" s="59"/>
      <c r="IG52" s="59"/>
      <c r="IH52" s="59" t="str">
        <f>IF(IJ52=TRUE,MAX($IH$2:IH51)+1,"")</f>
        <v/>
      </c>
      <c r="II52" s="59"/>
      <c r="IJ52" s="59"/>
      <c r="IK52" s="59"/>
      <c r="IL52" s="59"/>
      <c r="IM52" s="59"/>
      <c r="IN52" s="59"/>
      <c r="IO52" s="59"/>
      <c r="IP52" s="59"/>
      <c r="IQ52" s="59"/>
      <c r="IR52" s="59"/>
      <c r="IS52" s="59"/>
      <c r="IT52" s="59"/>
      <c r="IU52" s="59"/>
      <c r="IX52" s="59" t="s">
        <v>1586</v>
      </c>
      <c r="IY52" s="59" t="s">
        <v>1587</v>
      </c>
      <c r="IZ52" s="59" t="s">
        <v>203</v>
      </c>
      <c r="JA52" s="59" t="s">
        <v>281</v>
      </c>
      <c r="JB52" s="59" t="s">
        <v>1588</v>
      </c>
      <c r="JD52" s="58" t="str">
        <f>IF(RogueLevel&gt;=1,"Thieve's cant","")</f>
        <v/>
      </c>
      <c r="JK52" s="60"/>
      <c r="JL52" s="60"/>
      <c r="JM52" s="296">
        <v>20</v>
      </c>
      <c r="JN52" s="296">
        <v>4</v>
      </c>
      <c r="JO52" s="296">
        <v>3</v>
      </c>
      <c r="JP52" s="296">
        <v>3</v>
      </c>
      <c r="JQ52" s="296">
        <v>3</v>
      </c>
      <c r="JR52" s="296">
        <v>3</v>
      </c>
      <c r="JS52" s="296">
        <v>2</v>
      </c>
      <c r="JT52" s="296">
        <v>2</v>
      </c>
      <c r="JU52" s="296">
        <v>1</v>
      </c>
      <c r="JV52" s="296">
        <v>1</v>
      </c>
      <c r="JW52" s="18">
        <v>9</v>
      </c>
      <c r="JX52" s="302"/>
      <c r="JY52" s="60"/>
      <c r="JZ52" s="60"/>
      <c r="KA52" s="60"/>
      <c r="KB52" s="60"/>
      <c r="KC52" s="60"/>
      <c r="KD52" s="60"/>
      <c r="KE52" s="60"/>
      <c r="KF52" s="60"/>
      <c r="KG52" s="60"/>
      <c r="KH52" s="60"/>
      <c r="KI52" s="60"/>
      <c r="KJ52" s="60"/>
      <c r="KT52" s="276" t="s">
        <v>2853</v>
      </c>
      <c r="KU52" s="80" t="str">
        <f t="shared" si="128"/>
        <v>No</v>
      </c>
      <c r="KV52" s="89" t="s">
        <v>333</v>
      </c>
      <c r="KW52" s="92"/>
      <c r="KX52" s="92"/>
      <c r="KY52" s="92"/>
      <c r="KZ52" s="92"/>
      <c r="LA52" s="92"/>
      <c r="LB52" s="92"/>
      <c r="LC52" s="92"/>
      <c r="LD52" s="92"/>
      <c r="LE52" s="92"/>
      <c r="LF52" s="92"/>
      <c r="LG52" s="92"/>
      <c r="LH52" s="92"/>
      <c r="LI52" s="92"/>
      <c r="LJ52" s="92"/>
      <c r="LK52" s="92"/>
      <c r="LL52" s="92"/>
      <c r="LM52" s="92"/>
      <c r="LN52" s="92"/>
      <c r="LO52" s="92"/>
      <c r="LP52" s="92"/>
      <c r="LQ52" s="92"/>
      <c r="LR52" s="92"/>
      <c r="LS52" s="92"/>
      <c r="LT52" s="92"/>
      <c r="LU52" s="92"/>
      <c r="LV52" s="92"/>
      <c r="LW52" s="92"/>
      <c r="LX52" s="92"/>
      <c r="LY52" s="92"/>
      <c r="LZ52" s="92"/>
      <c r="MA52" s="92"/>
      <c r="MB52" s="92"/>
      <c r="MC52" s="92"/>
      <c r="MD52" s="92"/>
      <c r="ME52" s="92"/>
      <c r="MF52" s="92"/>
      <c r="MG52" s="92"/>
      <c r="MH52" s="92"/>
      <c r="MI52" s="92"/>
      <c r="MJ52" s="92"/>
      <c r="MK52" s="92"/>
      <c r="ML52" s="456"/>
      <c r="MM52" s="456"/>
      <c r="MN52" s="456"/>
      <c r="MO52" s="456"/>
      <c r="MP52" s="456"/>
      <c r="MQ52" s="456"/>
      <c r="MR52" s="456"/>
      <c r="MS52" s="456"/>
      <c r="MT52" s="456"/>
      <c r="MU52" s="456"/>
      <c r="MV52" s="456"/>
      <c r="MW52" s="456"/>
      <c r="MX52" s="456"/>
      <c r="MY52" s="456"/>
      <c r="MZ52" s="456"/>
      <c r="NA52" s="456"/>
      <c r="NB52" s="456"/>
      <c r="NC52" s="456"/>
      <c r="ND52" s="456"/>
      <c r="NE52" s="456"/>
      <c r="NF52" s="456"/>
      <c r="NG52" s="456"/>
      <c r="NH52" s="456"/>
      <c r="NI52" s="456"/>
      <c r="NJ52" s="456"/>
      <c r="NK52" s="456"/>
      <c r="NL52" s="456"/>
      <c r="NM52" s="456"/>
      <c r="NN52" s="456"/>
      <c r="NO52" s="456"/>
      <c r="NP52" s="456"/>
      <c r="NQ52" s="456"/>
      <c r="NR52" s="456"/>
      <c r="NS52" s="456"/>
      <c r="NT52" s="456"/>
      <c r="NU52" s="456"/>
      <c r="NV52" s="456"/>
      <c r="NW52" s="456"/>
      <c r="NX52" s="456"/>
      <c r="NY52" s="456"/>
      <c r="NZ52" s="456"/>
      <c r="OA52" s="456"/>
      <c r="OB52" s="456"/>
      <c r="OC52" s="456"/>
      <c r="OD52" s="456"/>
      <c r="OE52" s="456"/>
      <c r="OF52" s="456"/>
      <c r="OG52" s="456"/>
      <c r="OH52" s="456"/>
      <c r="OI52" s="456"/>
      <c r="OJ52" s="456"/>
      <c r="OK52" s="456"/>
      <c r="OL52" s="456"/>
      <c r="OM52" s="456"/>
      <c r="ON52" s="456"/>
      <c r="OO52" s="456"/>
      <c r="OP52" s="456"/>
      <c r="OQ52" s="456"/>
      <c r="OR52" s="456"/>
      <c r="OS52" s="456"/>
      <c r="OT52" s="456"/>
      <c r="OU52" s="456"/>
      <c r="OV52" s="456"/>
      <c r="OW52" s="456"/>
      <c r="OX52" s="456"/>
      <c r="OY52" s="456"/>
      <c r="OZ52" s="456"/>
      <c r="PA52" s="456"/>
      <c r="PB52" s="456"/>
      <c r="PC52" s="456"/>
      <c r="PD52" s="456"/>
      <c r="PE52" s="456"/>
      <c r="PF52" s="456"/>
      <c r="PG52" s="456"/>
      <c r="PH52" s="456"/>
      <c r="PI52" s="456"/>
      <c r="PJ52" s="456"/>
      <c r="PK52" s="456"/>
      <c r="PL52" s="456"/>
      <c r="PM52" s="456"/>
      <c r="PN52" s="456"/>
      <c r="PO52" s="456"/>
      <c r="PP52" s="456"/>
      <c r="PQ52" s="456"/>
      <c r="PR52" s="456"/>
      <c r="PS52" s="456" t="str">
        <f>IF(COUNTIF(Start!$AX$59:$BF$68,Tables!KT52)&gt;0,Tables!KT52,"")</f>
        <v/>
      </c>
      <c r="PT52" s="456"/>
      <c r="PU52" s="59" t="str">
        <f t="shared" si="129"/>
        <v/>
      </c>
      <c r="PV52" s="59" t="str">
        <f>IF(PU52="","",IF(COUNTIF(PU52:$PU$57,"&gt;&lt;")&gt;1,PU52&amp;", ", PU52))</f>
        <v/>
      </c>
      <c r="PW52" s="59"/>
      <c r="PX52" s="59"/>
      <c r="PZ52" s="28"/>
      <c r="QA52" s="28"/>
      <c r="QB52" s="30" t="str">
        <f t="shared" si="154"/>
        <v/>
      </c>
      <c r="QC52" s="31"/>
      <c r="QD52" s="28"/>
      <c r="QE52" s="29" t="str">
        <f>""</f>
        <v/>
      </c>
      <c r="QF52" s="29"/>
      <c r="QG52" s="29" t="str">
        <f>""</f>
        <v/>
      </c>
      <c r="QH52" s="29" t="str">
        <f>""</f>
        <v/>
      </c>
      <c r="QI52" s="29" t="str">
        <f>""</f>
        <v/>
      </c>
      <c r="QJ52" s="29" t="str">
        <f>""</f>
        <v/>
      </c>
      <c r="QK52" s="29" t="str">
        <f>""</f>
        <v/>
      </c>
      <c r="QL52" s="29" t="str">
        <f>""</f>
        <v/>
      </c>
      <c r="QM52" s="29" t="str">
        <f>""</f>
        <v/>
      </c>
      <c r="QN52" s="29" t="str">
        <f>""</f>
        <v/>
      </c>
      <c r="QO52" s="29" t="str">
        <f>""</f>
        <v/>
      </c>
      <c r="QP52" s="29" t="str">
        <f>""</f>
        <v/>
      </c>
      <c r="QQ52" s="30" t="str">
        <f>""</f>
        <v/>
      </c>
      <c r="QR52" s="30" t="str">
        <f>""</f>
        <v/>
      </c>
      <c r="SR52" s="28"/>
      <c r="SS52" s="28"/>
      <c r="ST52" s="28"/>
      <c r="SU52" s="29"/>
      <c r="SV52" s="42"/>
      <c r="SW52" s="69"/>
      <c r="SX52" s="29"/>
      <c r="SY52" s="30"/>
      <c r="SZ52" s="29"/>
      <c r="TA52" s="28"/>
      <c r="TB52" s="28"/>
      <c r="TC52" s="28"/>
      <c r="TD52" s="42"/>
      <c r="TE52" s="29"/>
      <c r="TF52" s="69"/>
      <c r="TG52" s="29"/>
      <c r="TH52" s="30"/>
      <c r="TI52" s="30"/>
      <c r="TJ52" s="18">
        <f t="shared" si="115"/>
        <v>50</v>
      </c>
      <c r="TK52" s="58" t="s">
        <v>1235</v>
      </c>
      <c r="TL52" s="58" t="s">
        <v>460</v>
      </c>
      <c r="TM52" s="18">
        <v>3</v>
      </c>
      <c r="TN52" s="59" t="str">
        <f t="shared" si="137"/>
        <v xml:space="preserve">Clairvoyance </v>
      </c>
      <c r="TO52" s="18" t="str">
        <f>""</f>
        <v/>
      </c>
      <c r="TP52" s="18" t="str">
        <f t="shared" si="48"/>
        <v/>
      </c>
      <c r="TQ52" s="18" t="str">
        <f>IF(OR(TK52=Spellcasting!$AC$18,TK52=Spellcasting!$AC$19),"ᵐ","")</f>
        <v/>
      </c>
      <c r="TR52" s="18" t="str">
        <f>IF(OR(TK52=Spellcasting!$AC$20,TK52=Spellcasting!$AC$21),"ˢ","")</f>
        <v/>
      </c>
      <c r="TS52" s="18" t="str">
        <f>""</f>
        <v/>
      </c>
      <c r="TT52" s="18" t="s">
        <v>582</v>
      </c>
      <c r="TU52" s="18" t="s">
        <v>648</v>
      </c>
      <c r="TV52" s="18" t="s">
        <v>515</v>
      </c>
      <c r="TW52" s="18" t="s">
        <v>495</v>
      </c>
      <c r="TX52" s="59" t="s">
        <v>1441</v>
      </c>
      <c r="TY52" s="18" t="s">
        <v>511</v>
      </c>
      <c r="TZ52" s="18" t="s">
        <v>512</v>
      </c>
      <c r="UA52" s="142" t="s">
        <v>1442</v>
      </c>
      <c r="UB52" s="319" t="s">
        <v>3249</v>
      </c>
      <c r="UC52" s="18" t="str">
        <f ca="1">IF(UC$1&gt;=$TM52,1,"0")</f>
        <v>0</v>
      </c>
      <c r="UF52" s="18" t="str">
        <f ca="1">IF(UF$1&gt;=$TM52,1,"0")</f>
        <v>0</v>
      </c>
      <c r="UH52" s="18" t="str">
        <f ca="1">IF(UH$1&gt;=$TM52,1,"0")</f>
        <v>0</v>
      </c>
      <c r="UL52" s="18" t="str">
        <f ca="1">IF(UL$1&gt;=$TM52,1,"0")</f>
        <v>0</v>
      </c>
      <c r="UX52" s="18" t="str">
        <f>IF(UX$1&gt;=$TM52,1,"0")</f>
        <v>0</v>
      </c>
      <c r="WD52" s="18" t="str">
        <f ca="1">IF(SUM($VZ$1:$WC$1)&gt;0,IF(AND(SUM($VZ52:$WC52)&gt;0,$TM52=WE$1),MAX(WD$2:WD51)+1,""),IF(AND(SUM($UC52:$VY52)&gt;0,$TM52=WE$1),MAX(WD$2:WD51)+1,""))</f>
        <v/>
      </c>
      <c r="WE52" s="59" t="str">
        <f t="shared" ca="1" si="80"/>
        <v/>
      </c>
      <c r="WF52" s="18" t="str">
        <f ca="1">IF(AND(SUM($UB52:$VY52)&gt;0,$TM52=WG$1),MAX(WF$2:WF51)+1,"")</f>
        <v/>
      </c>
      <c r="WG52" s="59" t="str">
        <f t="shared" ca="1" si="81"/>
        <v/>
      </c>
      <c r="WH52" s="18" t="str">
        <f ca="1">IF(AND(SUM($UB52:$VY52)&gt;0,$TM52=WI$1),MAX(WH$2:WH51)+1,"")</f>
        <v/>
      </c>
      <c r="WI52" s="59" t="str">
        <f t="shared" ca="1" si="82"/>
        <v/>
      </c>
      <c r="WJ52" s="18" t="str">
        <f ca="1">IF(AND(SUM($UB52:$VY52)&gt;0,$TM52=WK$1),MAX(WJ$2:WJ51)+1,"")</f>
        <v/>
      </c>
      <c r="WK52" s="59" t="str">
        <f t="shared" ca="1" si="83"/>
        <v/>
      </c>
      <c r="WL52" s="18" t="str">
        <f ca="1">IF(AND(SUM($UB52:$VY52)&gt;0,$TM52=WM$1),MAX(WL$2:WL51)+1,"")</f>
        <v/>
      </c>
      <c r="WM52" s="59" t="str">
        <f t="shared" ca="1" si="84"/>
        <v/>
      </c>
      <c r="WN52" s="18" t="str">
        <f ca="1">IF(AND(SUM($UB52:$VY52)&gt;0,$TM52=WO$1),MAX(WN$2:WN51)+1,"")</f>
        <v/>
      </c>
      <c r="WO52" s="59" t="str">
        <f t="shared" ca="1" si="85"/>
        <v/>
      </c>
      <c r="WP52" s="18" t="str">
        <f ca="1">IF(AND(SUM($UB52:$VY52)&gt;0,$TM52=WQ$1),MAX(WP$2:WP51)+1,"")</f>
        <v/>
      </c>
      <c r="WQ52" s="59" t="str">
        <f t="shared" ca="1" si="86"/>
        <v/>
      </c>
      <c r="WR52" s="18" t="str">
        <f ca="1">IF(AND(SUM($UB52:$VY52)&gt;0,$TM52=WS$1),MAX(WR$2:WR51)+1,"")</f>
        <v/>
      </c>
      <c r="WS52" s="59" t="str">
        <f t="shared" ca="1" si="87"/>
        <v/>
      </c>
      <c r="WT52" s="18" t="str">
        <f ca="1">IF(AND(SUM($UB52:$VY52)&gt;0,$TM52=WU$1),MAX(WT$2:WT51)+1,"")</f>
        <v/>
      </c>
      <c r="WU52" s="59" t="str">
        <f t="shared" ca="1" si="88"/>
        <v/>
      </c>
      <c r="WV52" s="18" t="str">
        <f ca="1">IF(AND(SUM($UB52:$VY52)&gt;0,$TM52=WW$1),MAX(WV$2:WV51)+1,"")</f>
        <v/>
      </c>
      <c r="WW52" s="59" t="str">
        <f t="shared" ca="1" si="89"/>
        <v/>
      </c>
      <c r="WX52" s="18" t="str">
        <f ca="1">IF(AND(SUM($UB52:$VY52)&gt;0,$TM52=WY$1),MAX(WX$2:WX51)+1,"")</f>
        <v/>
      </c>
      <c r="WY52" s="59" t="str">
        <f t="shared" ca="1" si="90"/>
        <v/>
      </c>
      <c r="WZ52" s="59"/>
      <c r="XC52" s="59" t="str">
        <f t="shared" ca="1" si="140"/>
        <v/>
      </c>
      <c r="XD52" s="59"/>
      <c r="XE52" s="59"/>
      <c r="XF52" s="59"/>
      <c r="XG52" s="59"/>
      <c r="XH52" s="59"/>
      <c r="XI52" s="59"/>
      <c r="XJ52" s="59"/>
      <c r="XK52" s="59"/>
      <c r="XL52" s="59"/>
      <c r="XM52" s="59"/>
      <c r="YA52" s="694"/>
      <c r="YG52" s="58" t="s">
        <v>1802</v>
      </c>
      <c r="YH52" s="58" t="s">
        <v>1770</v>
      </c>
      <c r="YI52" s="215" t="s">
        <v>2363</v>
      </c>
      <c r="YJ52" s="215" t="s">
        <v>3459</v>
      </c>
      <c r="YK52" s="215" t="str">
        <f>""</f>
        <v/>
      </c>
      <c r="YL52" s="249" t="str">
        <f>""</f>
        <v/>
      </c>
      <c r="YM52" s="249" t="str">
        <f>""</f>
        <v/>
      </c>
      <c r="YN52" s="249" t="str">
        <f>""</f>
        <v/>
      </c>
      <c r="YO52" s="249"/>
      <c r="YP52" s="249"/>
      <c r="YQ52" s="215"/>
      <c r="YR52" s="215"/>
      <c r="YS52" s="215"/>
      <c r="YT52" s="18" t="s">
        <v>2698</v>
      </c>
      <c r="YU52" s="18">
        <v>8</v>
      </c>
      <c r="YV52" s="18" t="str">
        <f t="shared" ref="YV52:YV55" ca="1" si="155">VLOOKUP(YY52,$ZM$2:$ZP$23,$ZM$1,FALSE)</f>
        <v/>
      </c>
      <c r="YW52" s="18" t="str">
        <f ca="1">IF(YX52="","",MAX($YW$1:YW51)+1)</f>
        <v/>
      </c>
      <c r="YX52" s="59" t="str">
        <f t="shared" ca="1" si="149"/>
        <v/>
      </c>
      <c r="YY52" s="18" t="str">
        <f t="shared" ca="1" si="150"/>
        <v/>
      </c>
      <c r="ZR52"/>
    </row>
    <row r="53" spans="41:694" ht="9.9499999999999993" customHeight="1" x14ac:dyDescent="0.2">
      <c r="AO53" s="18">
        <f t="shared" si="119"/>
        <v>52</v>
      </c>
      <c r="AP53" s="59" t="str">
        <f t="shared" si="138"/>
        <v/>
      </c>
      <c r="AQ53" s="59" t="str">
        <f>""</f>
        <v/>
      </c>
      <c r="AR53" s="58" t="str">
        <f>""</f>
        <v/>
      </c>
      <c r="AS53" s="58" t="str">
        <f>""</f>
        <v/>
      </c>
      <c r="AT53" s="58" t="str">
        <f>""</f>
        <v/>
      </c>
      <c r="AU53" s="58" t="s">
        <v>2457</v>
      </c>
      <c r="AV53" s="58" t="s">
        <v>1121</v>
      </c>
      <c r="AW53" s="58" t="s">
        <v>2492</v>
      </c>
      <c r="AX53" s="58" t="str">
        <f>""</f>
        <v/>
      </c>
      <c r="AY53" s="58" t="str">
        <f>""</f>
        <v/>
      </c>
      <c r="AZ53" s="58" t="s">
        <v>2571</v>
      </c>
      <c r="BA53" s="58" t="str">
        <f>""</f>
        <v/>
      </c>
      <c r="BB53" s="58" t="str">
        <f>""</f>
        <v/>
      </c>
      <c r="BC53" s="58" t="str">
        <f>""</f>
        <v/>
      </c>
      <c r="BD53" s="58" t="str">
        <f>""</f>
        <v/>
      </c>
      <c r="BE53" s="58" t="str">
        <f>""</f>
        <v/>
      </c>
      <c r="BJ53" s="70"/>
      <c r="BK53" s="70"/>
      <c r="BL53" s="48"/>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48"/>
      <c r="CN53" s="48"/>
      <c r="CO53" s="48"/>
      <c r="CP53" s="48"/>
      <c r="CQ53" s="48"/>
      <c r="CR53" s="48"/>
      <c r="CS53" s="48"/>
      <c r="CT53" s="48"/>
      <c r="CU53" s="48"/>
      <c r="CV53" s="48"/>
      <c r="CW53" s="48"/>
      <c r="CX53" s="48"/>
      <c r="CY53" s="48"/>
      <c r="CZ53" s="48"/>
      <c r="DA53" s="48"/>
      <c r="DB53" s="48"/>
      <c r="DC53" s="48"/>
      <c r="DD53" s="48"/>
      <c r="DE53" s="48"/>
      <c r="DF53" s="48"/>
      <c r="DG53" s="104"/>
      <c r="DH53" s="104"/>
      <c r="DI53" s="104"/>
      <c r="DJ53" s="104"/>
      <c r="DK53" s="104"/>
      <c r="DL53" s="339"/>
      <c r="DM53" s="338"/>
      <c r="DN53" s="338"/>
      <c r="DO53" s="339"/>
      <c r="DP53" s="339"/>
      <c r="DQ53" s="339"/>
      <c r="DR53" s="339"/>
      <c r="DS53" s="339"/>
      <c r="DT53" s="339"/>
      <c r="DU53" s="339"/>
      <c r="DV53" s="339"/>
      <c r="DW53" s="339"/>
      <c r="DX53" s="339"/>
      <c r="DY53" s="339"/>
      <c r="DZ53" s="339"/>
      <c r="EA53" s="339"/>
      <c r="EB53" s="339"/>
      <c r="EC53" s="339"/>
      <c r="ED53" s="339"/>
      <c r="EE53" s="339"/>
      <c r="EF53" s="339"/>
      <c r="EG53" s="339"/>
      <c r="EH53" s="339"/>
      <c r="FX53" s="104"/>
      <c r="FY53" s="104"/>
      <c r="FZ53" s="104"/>
      <c r="GA53" s="104"/>
      <c r="GB53" s="104"/>
      <c r="GC53" s="104"/>
      <c r="GD53" s="104"/>
      <c r="GE53" s="104"/>
      <c r="GF53" s="104"/>
      <c r="GG53" s="104"/>
      <c r="GH53" s="104"/>
      <c r="GI53" s="104"/>
      <c r="GJ53" s="104"/>
      <c r="GZ53" s="59"/>
      <c r="HA53" s="59"/>
      <c r="HB53" s="59"/>
      <c r="HC53" s="59"/>
      <c r="HD53" s="59"/>
      <c r="HE53" s="59"/>
      <c r="HF53" s="59"/>
      <c r="HG53" s="59"/>
      <c r="HH53" s="59"/>
      <c r="HI53" s="59"/>
      <c r="HJ53" s="59"/>
      <c r="HK53" s="59" t="s">
        <v>2941</v>
      </c>
      <c r="HL53" s="59" t="s">
        <v>2905</v>
      </c>
      <c r="HM53" s="59"/>
      <c r="HN53" s="59"/>
      <c r="HO53" s="59"/>
      <c r="HP53" s="59"/>
      <c r="HQ53" s="59"/>
      <c r="HR53" s="59"/>
      <c r="HS53" s="59"/>
      <c r="HT53" s="59"/>
      <c r="HU53" s="59"/>
      <c r="HV53" s="59"/>
      <c r="HW53" s="59"/>
      <c r="HX53" s="59"/>
      <c r="HY53" s="59"/>
      <c r="HZ53" s="59"/>
      <c r="IA53" s="59"/>
      <c r="IB53" s="59"/>
      <c r="IC53" s="59"/>
      <c r="ID53" s="59"/>
      <c r="IE53" s="59"/>
      <c r="IF53" s="59"/>
      <c r="IG53" s="59"/>
      <c r="IH53" s="59" t="str">
        <f>IF(IJ53=TRUE,MAX($IH$2:IH52)+1,"")</f>
        <v/>
      </c>
      <c r="II53" s="59"/>
      <c r="IJ53" s="59"/>
      <c r="IK53" s="59"/>
      <c r="IL53" s="59"/>
      <c r="IM53" s="59"/>
      <c r="IN53" s="59"/>
      <c r="IO53" s="59"/>
      <c r="IP53" s="59"/>
      <c r="IQ53" s="59"/>
      <c r="IR53" s="59"/>
      <c r="IS53" s="59"/>
      <c r="IT53" s="59"/>
      <c r="IU53" s="59"/>
      <c r="IX53" s="59" t="s">
        <v>1579</v>
      </c>
      <c r="IY53" s="59" t="s">
        <v>1580</v>
      </c>
      <c r="IZ53" s="59" t="s">
        <v>197</v>
      </c>
      <c r="JA53" s="59" t="s">
        <v>1581</v>
      </c>
      <c r="JB53" s="59" t="s">
        <v>1582</v>
      </c>
      <c r="JK53" s="60"/>
      <c r="JL53" s="60"/>
      <c r="JX53" s="302"/>
      <c r="JY53" s="60"/>
      <c r="JZ53" s="60"/>
      <c r="KA53" s="60"/>
      <c r="KB53" s="60"/>
      <c r="KC53" s="60"/>
      <c r="KD53" s="60"/>
      <c r="KE53" s="60"/>
      <c r="KF53" s="60"/>
      <c r="KG53" s="60"/>
      <c r="KH53" s="60"/>
      <c r="KI53" s="60"/>
      <c r="KJ53" s="60"/>
      <c r="KK53" s="60"/>
      <c r="KL53" s="60"/>
      <c r="KM53" s="60"/>
      <c r="KN53" s="60"/>
      <c r="KO53" s="60"/>
      <c r="KP53" s="60"/>
      <c r="KQ53" s="60"/>
      <c r="KR53" s="60"/>
      <c r="KS53" s="99"/>
      <c r="KT53" s="93" t="s">
        <v>1509</v>
      </c>
      <c r="KU53" s="80" t="str">
        <f t="shared" si="128"/>
        <v>No</v>
      </c>
      <c r="KV53" s="89" t="s">
        <v>333</v>
      </c>
      <c r="KW53" s="92"/>
      <c r="KX53" s="92"/>
      <c r="KY53" s="92"/>
      <c r="KZ53" s="92"/>
      <c r="LA53" s="92"/>
      <c r="LB53" s="92"/>
      <c r="LC53" s="92"/>
      <c r="LD53" s="92"/>
      <c r="LE53" s="92"/>
      <c r="LF53" s="92"/>
      <c r="LG53" s="92"/>
      <c r="LH53" s="92"/>
      <c r="LI53" s="92"/>
      <c r="LJ53" s="92"/>
      <c r="LK53" s="92"/>
      <c r="LL53" s="92"/>
      <c r="LM53" s="92"/>
      <c r="LN53" s="92"/>
      <c r="LO53" s="92"/>
      <c r="LP53" s="92"/>
      <c r="LQ53" s="92"/>
      <c r="LR53" s="92"/>
      <c r="LS53" s="92"/>
      <c r="LT53" s="92"/>
      <c r="LU53" s="92"/>
      <c r="LV53" s="92"/>
      <c r="LW53" s="92"/>
      <c r="LX53" s="92"/>
      <c r="LY53" s="92"/>
      <c r="LZ53" s="92"/>
      <c r="MA53" s="92"/>
      <c r="MB53" s="92"/>
      <c r="MC53" s="92"/>
      <c r="MD53" s="92"/>
      <c r="ME53" s="92"/>
      <c r="MF53" s="92"/>
      <c r="MG53" s="92"/>
      <c r="MH53" s="92"/>
      <c r="MI53" s="92"/>
      <c r="MJ53" s="92"/>
      <c r="MK53" s="92"/>
      <c r="ML53" s="94"/>
      <c r="MM53" s="94"/>
      <c r="MN53" s="94"/>
      <c r="MO53" s="94"/>
      <c r="MP53" s="94"/>
      <c r="MQ53" s="94"/>
      <c r="MR53" s="94"/>
      <c r="MS53" s="94"/>
      <c r="MT53" s="94"/>
      <c r="MU53" s="94"/>
      <c r="MV53" s="94"/>
      <c r="MW53" s="94"/>
      <c r="MX53" s="94"/>
      <c r="MY53" s="94"/>
      <c r="MZ53" s="94"/>
      <c r="NA53" s="94"/>
      <c r="NB53" s="94"/>
      <c r="NC53" s="94"/>
      <c r="ND53" s="94"/>
      <c r="NE53" s="94"/>
      <c r="NF53" s="94"/>
      <c r="NG53" s="94"/>
      <c r="NH53" s="94"/>
      <c r="NI53" s="94"/>
      <c r="NJ53" s="94"/>
      <c r="NK53" s="94"/>
      <c r="NL53" s="94"/>
      <c r="NM53" s="94"/>
      <c r="NN53" s="94"/>
      <c r="NO53" s="94"/>
      <c r="NP53" s="438"/>
      <c r="NQ53" s="94"/>
      <c r="NR53" s="94"/>
      <c r="NS53" s="94"/>
      <c r="NT53" s="94"/>
      <c r="NU53" s="94"/>
      <c r="NV53" s="456"/>
      <c r="NW53" s="456"/>
      <c r="NX53" s="456"/>
      <c r="NY53" s="456"/>
      <c r="NZ53" s="456"/>
      <c r="OA53" s="94"/>
      <c r="OB53" s="94"/>
      <c r="OC53" s="94"/>
      <c r="OD53" s="94"/>
      <c r="OE53" s="94"/>
      <c r="OF53" s="94"/>
      <c r="OG53" s="94"/>
      <c r="OH53" s="94"/>
      <c r="OI53" s="94"/>
      <c r="OJ53" s="94"/>
      <c r="OK53" s="94"/>
      <c r="OL53" s="94"/>
      <c r="OM53" s="94"/>
      <c r="ON53" s="94"/>
      <c r="OO53" s="94"/>
      <c r="OP53" s="94"/>
      <c r="OQ53" s="94"/>
      <c r="OR53" s="94"/>
      <c r="OS53" s="94"/>
      <c r="OT53" s="94"/>
      <c r="OU53" s="94"/>
      <c r="OV53" s="94"/>
      <c r="OW53" s="94"/>
      <c r="OX53" s="94"/>
      <c r="OY53" s="94"/>
      <c r="OZ53" s="94"/>
      <c r="PA53" s="94"/>
      <c r="PB53" s="94"/>
      <c r="PC53" s="94"/>
      <c r="PD53" s="94"/>
      <c r="PE53" s="94"/>
      <c r="PF53" s="94"/>
      <c r="PG53" s="94"/>
      <c r="PH53" s="94"/>
      <c r="PI53" s="94"/>
      <c r="PJ53" s="94"/>
      <c r="PK53" s="94"/>
      <c r="PL53" s="94"/>
      <c r="PM53" s="94"/>
      <c r="PN53" s="94"/>
      <c r="PO53" s="94"/>
      <c r="PP53" s="94"/>
      <c r="PQ53" s="94"/>
      <c r="PR53" s="94"/>
      <c r="PS53" s="94" t="str">
        <f>IF(COUNTIF(Start!$AX$59:$BF$68,Tables!KT53)&gt;0,Tables!KT53,"")</f>
        <v/>
      </c>
      <c r="PT53" s="94"/>
      <c r="PU53" s="59" t="str">
        <f t="shared" si="129"/>
        <v/>
      </c>
      <c r="PV53" s="59" t="str">
        <f>IF(PU53="","",IF(COUNTIF(PU53:$PU$57,"&gt;&lt;")&gt;1,PU53&amp;", ", PU53))</f>
        <v/>
      </c>
      <c r="PW53" s="59"/>
      <c r="PX53" s="59"/>
      <c r="PZ53" s="19"/>
      <c r="QA53" s="19"/>
      <c r="QB53" s="27" t="str">
        <f t="shared" si="154"/>
        <v/>
      </c>
      <c r="QC53" s="67"/>
      <c r="QD53" s="19"/>
      <c r="QE53" s="26" t="str">
        <f>""</f>
        <v/>
      </c>
      <c r="QF53" s="26"/>
      <c r="QG53" s="26" t="str">
        <f>""</f>
        <v/>
      </c>
      <c r="QH53" s="26" t="str">
        <f>""</f>
        <v/>
      </c>
      <c r="QI53" s="26" t="str">
        <f>""</f>
        <v/>
      </c>
      <c r="QJ53" s="26" t="str">
        <f>""</f>
        <v/>
      </c>
      <c r="QK53" s="26" t="str">
        <f>""</f>
        <v/>
      </c>
      <c r="QL53" s="26" t="str">
        <f>""</f>
        <v/>
      </c>
      <c r="QM53" s="26" t="str">
        <f>""</f>
        <v/>
      </c>
      <c r="QN53" s="26" t="str">
        <f>""</f>
        <v/>
      </c>
      <c r="QO53" s="26" t="str">
        <f>""</f>
        <v/>
      </c>
      <c r="QP53" s="26" t="str">
        <f>""</f>
        <v/>
      </c>
      <c r="QQ53" s="27" t="str">
        <f>""</f>
        <v/>
      </c>
      <c r="QR53" s="27" t="str">
        <f>""</f>
        <v/>
      </c>
      <c r="SR53" s="19"/>
      <c r="SS53" s="19"/>
      <c r="ST53" s="19"/>
      <c r="SU53" s="26"/>
      <c r="SV53" s="44"/>
      <c r="SW53" s="68"/>
      <c r="SX53" s="26"/>
      <c r="SY53" s="27"/>
      <c r="SZ53" s="26"/>
      <c r="TA53" s="19"/>
      <c r="TB53" s="19"/>
      <c r="TC53" s="19"/>
      <c r="TD53" s="44"/>
      <c r="TE53" s="26"/>
      <c r="TF53" s="68"/>
      <c r="TG53" s="26"/>
      <c r="TH53" s="27"/>
      <c r="TI53" s="27"/>
      <c r="TJ53" s="18">
        <f t="shared" si="115"/>
        <v>51</v>
      </c>
      <c r="TK53" s="58" t="s">
        <v>550</v>
      </c>
      <c r="TL53" s="58" t="s">
        <v>465</v>
      </c>
      <c r="TM53" s="18">
        <v>8</v>
      </c>
      <c r="TN53" s="59" t="str">
        <f t="shared" si="137"/>
        <v xml:space="preserve">Clone </v>
      </c>
      <c r="TO53" s="18" t="str">
        <f>""</f>
        <v/>
      </c>
      <c r="TP53" s="18" t="str">
        <f t="shared" si="48"/>
        <v/>
      </c>
      <c r="TQ53" s="18" t="str">
        <f>IF(OR(TK53=Spellcasting!$AC$18,TK53=Spellcasting!$AC$19),"ᵐ","")</f>
        <v/>
      </c>
      <c r="TR53" s="18" t="str">
        <f>IF(OR(TK53=Spellcasting!$AC$20,TK53=Spellcasting!$AC$21),"ˢ","")</f>
        <v/>
      </c>
      <c r="TS53" s="18" t="str">
        <f>""</f>
        <v/>
      </c>
      <c r="TT53" s="18" t="s">
        <v>521</v>
      </c>
      <c r="TU53" s="18" t="s">
        <v>519</v>
      </c>
      <c r="TV53" s="18" t="s">
        <v>505</v>
      </c>
      <c r="TW53" s="18" t="s">
        <v>495</v>
      </c>
      <c r="TX53" s="59" t="s">
        <v>3021</v>
      </c>
      <c r="TY53" s="18" t="s">
        <v>506</v>
      </c>
      <c r="TZ53" s="18" t="s">
        <v>507</v>
      </c>
      <c r="UA53" s="142" t="s">
        <v>2230</v>
      </c>
      <c r="UB53" s="319" t="s">
        <v>3250</v>
      </c>
      <c r="UL53" s="18" t="str">
        <f ca="1">IF(UL$1&gt;=$TM53,1,"0")</f>
        <v>0</v>
      </c>
      <c r="WD53" s="18" t="str">
        <f ca="1">IF(SUM($VZ$1:$WC$1)&gt;0,IF(AND(SUM($VZ53:$WC53)&gt;0,$TM53=WE$1),MAX(WD$2:WD52)+1,""),IF(AND(SUM($UC53:$VY53)&gt;0,$TM53=WE$1),MAX(WD$2:WD52)+1,""))</f>
        <v/>
      </c>
      <c r="WE53" s="59" t="str">
        <f t="shared" ca="1" si="80"/>
        <v/>
      </c>
      <c r="WF53" s="18" t="str">
        <f ca="1">IF(AND(SUM($UB53:$VY53)&gt;0,$TM53=WG$1),MAX(WF$2:WF52)+1,"")</f>
        <v/>
      </c>
      <c r="WG53" s="59" t="str">
        <f t="shared" ca="1" si="81"/>
        <v/>
      </c>
      <c r="WH53" s="18" t="str">
        <f ca="1">IF(AND(SUM($UB53:$VY53)&gt;0,$TM53=WI$1),MAX(WH$2:WH52)+1,"")</f>
        <v/>
      </c>
      <c r="WI53" s="59" t="str">
        <f t="shared" ca="1" si="82"/>
        <v/>
      </c>
      <c r="WJ53" s="18" t="str">
        <f ca="1">IF(AND(SUM($UB53:$VY53)&gt;0,$TM53=WK$1),MAX(WJ$2:WJ52)+1,"")</f>
        <v/>
      </c>
      <c r="WK53" s="59" t="str">
        <f t="shared" ca="1" si="83"/>
        <v/>
      </c>
      <c r="WL53" s="18" t="str">
        <f ca="1">IF(AND(SUM($UB53:$VY53)&gt;0,$TM53=WM$1),MAX(WL$2:WL52)+1,"")</f>
        <v/>
      </c>
      <c r="WM53" s="59" t="str">
        <f t="shared" ca="1" si="84"/>
        <v/>
      </c>
      <c r="WN53" s="18" t="str">
        <f ca="1">IF(AND(SUM($UB53:$VY53)&gt;0,$TM53=WO$1),MAX(WN$2:WN52)+1,"")</f>
        <v/>
      </c>
      <c r="WO53" s="59" t="str">
        <f t="shared" ca="1" si="85"/>
        <v/>
      </c>
      <c r="WP53" s="18" t="str">
        <f ca="1">IF(AND(SUM($UB53:$VY53)&gt;0,$TM53=WQ$1),MAX(WP$2:WP52)+1,"")</f>
        <v/>
      </c>
      <c r="WQ53" s="59" t="str">
        <f t="shared" ca="1" si="86"/>
        <v/>
      </c>
      <c r="WR53" s="18" t="str">
        <f ca="1">IF(AND(SUM($UB53:$VY53)&gt;0,$TM53=WS$1),MAX(WR$2:WR52)+1,"")</f>
        <v/>
      </c>
      <c r="WS53" s="59" t="str">
        <f t="shared" ca="1" si="87"/>
        <v/>
      </c>
      <c r="WT53" s="18" t="str">
        <f ca="1">IF(AND(SUM($UB53:$VY53)&gt;0,$TM53=WU$1),MAX(WT$2:WT52)+1,"")</f>
        <v/>
      </c>
      <c r="WU53" s="59" t="str">
        <f t="shared" ca="1" si="88"/>
        <v/>
      </c>
      <c r="WV53" s="18" t="str">
        <f ca="1">IF(AND(SUM($UB53:$VY53)&gt;0,$TM53=WW$1),MAX(WV$2:WV52)+1,"")</f>
        <v/>
      </c>
      <c r="WW53" s="59" t="str">
        <f t="shared" ca="1" si="89"/>
        <v/>
      </c>
      <c r="WX53" s="18" t="str">
        <f ca="1">IF(AND(SUM($UB53:$VY53)&gt;0,$TM53=WY$1),MAX(WX$2:WX52)+1,"")</f>
        <v/>
      </c>
      <c r="WY53" s="59" t="str">
        <f t="shared" ca="1" si="90"/>
        <v/>
      </c>
      <c r="WZ53" s="59"/>
      <c r="XC53" s="59" t="str">
        <f t="shared" ca="1" si="140"/>
        <v/>
      </c>
      <c r="XD53" s="59"/>
      <c r="XE53" s="59"/>
      <c r="XF53" s="59"/>
      <c r="XG53" s="59"/>
      <c r="XH53" s="59"/>
      <c r="XI53" s="59"/>
      <c r="XJ53" s="59"/>
      <c r="XK53" s="59"/>
      <c r="XL53" s="59"/>
      <c r="XM53" s="59"/>
      <c r="YA53" s="694"/>
      <c r="YG53" s="58" t="s">
        <v>1807</v>
      </c>
      <c r="YH53" s="58" t="s">
        <v>187</v>
      </c>
      <c r="YI53" s="215" t="s">
        <v>1811</v>
      </c>
      <c r="YJ53" s="215" t="s">
        <v>3460</v>
      </c>
      <c r="YK53" s="215" t="str">
        <f>""</f>
        <v/>
      </c>
      <c r="YL53" s="249" t="str">
        <f>""</f>
        <v/>
      </c>
      <c r="YM53" s="249" t="s">
        <v>3092</v>
      </c>
      <c r="YN53" s="249">
        <v>1</v>
      </c>
      <c r="YO53" s="249"/>
      <c r="YP53" s="249"/>
      <c r="YQ53" s="215"/>
      <c r="YR53" s="215"/>
      <c r="YS53" s="215"/>
      <c r="YT53" s="18" t="s">
        <v>2698</v>
      </c>
      <c r="YU53" s="18">
        <v>12</v>
      </c>
      <c r="YV53" s="18" t="str">
        <f t="shared" ca="1" si="155"/>
        <v/>
      </c>
      <c r="YW53" s="18" t="str">
        <f ca="1">IF(YX53="","",MAX($YW$1:YW52)+1)</f>
        <v/>
      </c>
      <c r="YX53" s="59" t="str">
        <f t="shared" ca="1" si="149"/>
        <v/>
      </c>
      <c r="YY53" s="18" t="str">
        <f t="shared" ca="1" si="150"/>
        <v/>
      </c>
      <c r="ZR53"/>
    </row>
    <row r="54" spans="41:694" ht="9.9499999999999993" customHeight="1" x14ac:dyDescent="0.2">
      <c r="AO54" s="18">
        <f t="shared" si="119"/>
        <v>53</v>
      </c>
      <c r="AP54" s="59">
        <f t="shared" si="138"/>
        <v>0</v>
      </c>
      <c r="AR54" s="58" t="str">
        <f>""</f>
        <v/>
      </c>
      <c r="AS54" s="58" t="str">
        <f>""</f>
        <v/>
      </c>
      <c r="AT54" s="58" t="str">
        <f>""</f>
        <v/>
      </c>
      <c r="AU54" s="58" t="str">
        <f>""</f>
        <v/>
      </c>
      <c r="AV54" s="58" t="str">
        <f>""</f>
        <v/>
      </c>
      <c r="AW54" s="58" t="s">
        <v>2493</v>
      </c>
      <c r="AX54" s="58" t="str">
        <f>""</f>
        <v/>
      </c>
      <c r="AY54" s="58" t="str">
        <f>""</f>
        <v/>
      </c>
      <c r="AZ54" s="58" t="str">
        <f>""</f>
        <v/>
      </c>
      <c r="BA54" s="58" t="str">
        <f>""</f>
        <v/>
      </c>
      <c r="BB54" s="58" t="str">
        <f>""</f>
        <v/>
      </c>
      <c r="BC54" s="58" t="str">
        <f>""</f>
        <v/>
      </c>
      <c r="BD54" s="58" t="str">
        <f>""</f>
        <v/>
      </c>
      <c r="BJ54" s="70"/>
      <c r="BK54" s="70"/>
      <c r="BL54" s="48"/>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48"/>
      <c r="CN54" s="48"/>
      <c r="CO54" s="48"/>
      <c r="CP54" s="48"/>
      <c r="CQ54" s="48"/>
      <c r="CR54" s="48"/>
      <c r="CS54" s="48"/>
      <c r="CT54" s="48"/>
      <c r="CU54" s="48"/>
      <c r="CV54" s="48"/>
      <c r="CW54" s="48"/>
      <c r="CX54" s="48"/>
      <c r="CY54" s="48"/>
      <c r="CZ54" s="48"/>
      <c r="DA54" s="48"/>
      <c r="DB54" s="48"/>
      <c r="DC54" s="48"/>
      <c r="DD54" s="48"/>
      <c r="DE54" s="48"/>
      <c r="DF54" s="48"/>
      <c r="DG54" s="104"/>
      <c r="DH54" s="104"/>
      <c r="DI54" s="104"/>
      <c r="DJ54" s="104"/>
      <c r="DK54" s="104"/>
      <c r="DO54" s="339"/>
      <c r="DP54" s="339"/>
      <c r="DQ54" s="339"/>
      <c r="DR54" s="339"/>
      <c r="DS54" s="339"/>
      <c r="DT54" s="339"/>
      <c r="DU54" s="339"/>
      <c r="DV54" s="339"/>
      <c r="DW54" s="339"/>
      <c r="DX54" s="339"/>
      <c r="DY54" s="339"/>
      <c r="DZ54" s="339"/>
      <c r="EA54" s="339"/>
      <c r="EB54" s="339"/>
      <c r="EC54" s="339"/>
      <c r="ED54" s="339"/>
      <c r="EE54" s="339"/>
      <c r="EF54" s="339"/>
      <c r="EG54" s="339"/>
      <c r="EH54" s="339"/>
      <c r="FX54" s="104"/>
      <c r="FY54" s="104"/>
      <c r="FZ54" s="104"/>
      <c r="GA54" s="104"/>
      <c r="GB54" s="104"/>
      <c r="GC54" s="104"/>
      <c r="GD54" s="104"/>
      <c r="GE54" s="104"/>
      <c r="GF54" s="104"/>
      <c r="GG54" s="104"/>
      <c r="GH54" s="104"/>
      <c r="GI54" s="104"/>
      <c r="GJ54" s="104"/>
      <c r="GZ54" s="59"/>
      <c r="HA54" s="59"/>
      <c r="HB54" s="59"/>
      <c r="HC54" s="59"/>
      <c r="HD54" s="59"/>
      <c r="HE54" s="59"/>
      <c r="HF54" s="59"/>
      <c r="HG54" s="59"/>
      <c r="HH54" s="59"/>
      <c r="HI54" s="59"/>
      <c r="HJ54" s="59"/>
      <c r="HK54" s="59" t="s">
        <v>2942</v>
      </c>
      <c r="HL54" s="59" t="s">
        <v>2905</v>
      </c>
      <c r="HM54" s="59"/>
      <c r="HN54" s="59"/>
      <c r="HO54" s="59"/>
      <c r="HP54" s="59"/>
      <c r="HQ54" s="59"/>
      <c r="HR54" s="59"/>
      <c r="HS54" s="59"/>
      <c r="HT54" s="59"/>
      <c r="HU54" s="59"/>
      <c r="HV54" s="59"/>
      <c r="HW54" s="59"/>
      <c r="HX54" s="59"/>
      <c r="HY54" s="59"/>
      <c r="HZ54" s="59"/>
      <c r="IA54" s="59"/>
      <c r="IB54" s="59"/>
      <c r="IC54" s="59"/>
      <c r="ID54" s="59"/>
      <c r="IE54" s="59"/>
      <c r="IF54" s="59"/>
      <c r="IG54" s="59"/>
      <c r="IH54" s="59" t="str">
        <f>IF(IJ54=TRUE,MAX($IH$2:IH53)+1,"")</f>
        <v/>
      </c>
      <c r="II54" s="59"/>
      <c r="IJ54" s="59"/>
      <c r="IK54" s="59"/>
      <c r="IL54" s="59"/>
      <c r="IM54" s="59"/>
      <c r="IN54" s="59"/>
      <c r="IO54" s="59"/>
      <c r="IP54" s="59"/>
      <c r="IQ54" s="59"/>
      <c r="IR54" s="59"/>
      <c r="IS54" s="59"/>
      <c r="IT54" s="59"/>
      <c r="IU54" s="59"/>
      <c r="IX54" s="59" t="s">
        <v>1589</v>
      </c>
      <c r="IY54" s="59" t="s">
        <v>1590</v>
      </c>
      <c r="IZ54" s="59" t="s">
        <v>202</v>
      </c>
      <c r="JA54" s="59" t="s">
        <v>890</v>
      </c>
      <c r="JB54" s="59" t="s">
        <v>1591</v>
      </c>
      <c r="JK54" s="60"/>
      <c r="JL54" s="60"/>
      <c r="JM54" s="301" t="s">
        <v>1831</v>
      </c>
      <c r="JN54" s="301"/>
      <c r="JO54" s="301"/>
      <c r="JP54" s="301"/>
      <c r="JQ54" s="301"/>
      <c r="JR54" s="301"/>
      <c r="JS54" s="301"/>
      <c r="JT54" s="301"/>
      <c r="JU54" s="301"/>
      <c r="JV54" s="301"/>
      <c r="JW54" s="301"/>
      <c r="JX54" s="302"/>
      <c r="JY54" s="60"/>
      <c r="JZ54" s="60"/>
      <c r="KA54" s="60"/>
      <c r="KB54" s="60"/>
      <c r="KC54" s="60"/>
      <c r="KD54" s="60"/>
      <c r="KE54" s="60"/>
      <c r="KF54" s="60"/>
      <c r="KG54" s="60"/>
      <c r="KH54" s="60"/>
      <c r="KI54" s="60"/>
      <c r="KJ54" s="60"/>
      <c r="KK54" s="60"/>
      <c r="KL54" s="60"/>
      <c r="KM54" s="60"/>
      <c r="KN54" s="60"/>
      <c r="KO54" s="60"/>
      <c r="KP54" s="60"/>
      <c r="KQ54" s="60"/>
      <c r="KR54" s="60"/>
      <c r="KS54" s="99"/>
      <c r="KT54" s="93" t="s">
        <v>1510</v>
      </c>
      <c r="KU54" s="80" t="str">
        <f t="shared" si="128"/>
        <v>No</v>
      </c>
      <c r="KV54" s="89" t="s">
        <v>333</v>
      </c>
      <c r="KW54" s="92"/>
      <c r="KX54" s="92"/>
      <c r="KY54" s="92"/>
      <c r="KZ54" s="92"/>
      <c r="LA54" s="92"/>
      <c r="LB54" s="92"/>
      <c r="LC54" s="92"/>
      <c r="LD54" s="92"/>
      <c r="LE54" s="92"/>
      <c r="LF54" s="92"/>
      <c r="LG54" s="92"/>
      <c r="LH54" s="92"/>
      <c r="LI54" s="92"/>
      <c r="LJ54" s="92"/>
      <c r="LK54" s="92"/>
      <c r="LL54" s="92"/>
      <c r="LM54" s="92"/>
      <c r="LN54" s="92"/>
      <c r="LO54" s="92"/>
      <c r="LP54" s="92"/>
      <c r="LQ54" s="92"/>
      <c r="LR54" s="92"/>
      <c r="LS54" s="92"/>
      <c r="LT54" s="92"/>
      <c r="LU54" s="92"/>
      <c r="LV54" s="92"/>
      <c r="LW54" s="92"/>
      <c r="LX54" s="92"/>
      <c r="LY54" s="92"/>
      <c r="LZ54" s="92"/>
      <c r="MA54" s="92"/>
      <c r="MB54" s="92"/>
      <c r="MC54" s="92"/>
      <c r="MD54" s="92"/>
      <c r="ME54" s="92"/>
      <c r="MF54" s="92"/>
      <c r="MG54" s="92"/>
      <c r="MH54" s="92"/>
      <c r="MI54" s="92"/>
      <c r="MJ54" s="92"/>
      <c r="MK54" s="92"/>
      <c r="ML54" s="94"/>
      <c r="MM54" s="94"/>
      <c r="MN54" s="94"/>
      <c r="MO54" s="94"/>
      <c r="MP54" s="94"/>
      <c r="MQ54" s="94"/>
      <c r="MR54" s="94"/>
      <c r="MS54" s="94"/>
      <c r="MT54" s="94"/>
      <c r="MU54" s="94"/>
      <c r="MV54" s="94"/>
      <c r="MW54" s="92"/>
      <c r="MX54" s="92"/>
      <c r="MY54" s="94"/>
      <c r="MZ54" s="94"/>
      <c r="NA54" s="94"/>
      <c r="NB54" s="94"/>
      <c r="NC54" s="94"/>
      <c r="ND54" s="94"/>
      <c r="NE54" s="94"/>
      <c r="NF54" s="94"/>
      <c r="NG54" s="94"/>
      <c r="NH54" s="94"/>
      <c r="NI54" s="94"/>
      <c r="NJ54" s="94"/>
      <c r="NK54" s="94"/>
      <c r="NL54" s="94"/>
      <c r="NM54" s="94"/>
      <c r="NN54" s="94"/>
      <c r="NO54" s="94"/>
      <c r="NP54" s="438"/>
      <c r="NQ54" s="94"/>
      <c r="NR54" s="94"/>
      <c r="NS54" s="94"/>
      <c r="NT54" s="94"/>
      <c r="NU54" s="94"/>
      <c r="NV54" s="456"/>
      <c r="NW54" s="456"/>
      <c r="NX54" s="456"/>
      <c r="NY54" s="456"/>
      <c r="NZ54" s="456"/>
      <c r="OA54" s="94"/>
      <c r="OB54" s="94"/>
      <c r="OC54" s="94"/>
      <c r="OD54" s="94"/>
      <c r="OE54" s="94"/>
      <c r="OF54" s="94"/>
      <c r="OG54" s="94"/>
      <c r="OH54" s="94"/>
      <c r="OI54" s="94"/>
      <c r="OJ54" s="94"/>
      <c r="OK54" s="94"/>
      <c r="OL54" s="94"/>
      <c r="OM54" s="94"/>
      <c r="ON54" s="94"/>
      <c r="OO54" s="94"/>
      <c r="OP54" s="94"/>
      <c r="OQ54" s="94"/>
      <c r="OR54" s="94"/>
      <c r="OS54" s="94"/>
      <c r="OT54" s="94"/>
      <c r="OU54" s="94"/>
      <c r="OV54" s="94"/>
      <c r="OW54" s="94"/>
      <c r="OX54" s="94"/>
      <c r="OY54" s="94"/>
      <c r="OZ54" s="94"/>
      <c r="PA54" s="94"/>
      <c r="PB54" s="94"/>
      <c r="PC54" s="94"/>
      <c r="PD54" s="94"/>
      <c r="PE54" s="94"/>
      <c r="PF54" s="94"/>
      <c r="PG54" s="94"/>
      <c r="PH54" s="94"/>
      <c r="PI54" s="94"/>
      <c r="PJ54" s="94"/>
      <c r="PK54" s="94"/>
      <c r="PL54" s="94"/>
      <c r="PM54" s="94"/>
      <c r="PN54" s="94"/>
      <c r="PO54" s="94"/>
      <c r="PP54" s="94"/>
      <c r="PQ54" s="94"/>
      <c r="PR54" s="94"/>
      <c r="PS54" s="94" t="str">
        <f>IF(COUNTIF(Start!$AX$59:$BF$68,Tables!KT54)&gt;0,Tables!KT54,"")</f>
        <v/>
      </c>
      <c r="PT54" s="94"/>
      <c r="PU54" s="59" t="str">
        <f t="shared" si="129"/>
        <v/>
      </c>
      <c r="PV54" s="59" t="str">
        <f>IF(PU54="","",IF(COUNTIF(PU54:$PU$57,"&gt;&lt;")&gt;1,PU54&amp;", ", PU54))</f>
        <v/>
      </c>
      <c r="PW54" s="59"/>
      <c r="PX54" s="59"/>
      <c r="PZ54" s="28"/>
      <c r="QA54" s="28"/>
      <c r="QB54" s="30" t="str">
        <f t="shared" si="154"/>
        <v/>
      </c>
      <c r="QC54" s="31"/>
      <c r="QD54" s="28"/>
      <c r="QE54" s="29" t="str">
        <f>""</f>
        <v/>
      </c>
      <c r="QF54" s="29"/>
      <c r="QG54" s="29" t="str">
        <f>""</f>
        <v/>
      </c>
      <c r="QH54" s="29" t="str">
        <f>""</f>
        <v/>
      </c>
      <c r="QI54" s="29" t="str">
        <f>""</f>
        <v/>
      </c>
      <c r="QJ54" s="29" t="str">
        <f>""</f>
        <v/>
      </c>
      <c r="QK54" s="29" t="str">
        <f>""</f>
        <v/>
      </c>
      <c r="QL54" s="29" t="str">
        <f>""</f>
        <v/>
      </c>
      <c r="QM54" s="29" t="str">
        <f>""</f>
        <v/>
      </c>
      <c r="QN54" s="29" t="str">
        <f>""</f>
        <v/>
      </c>
      <c r="QO54" s="29" t="str">
        <f>""</f>
        <v/>
      </c>
      <c r="QP54" s="29" t="str">
        <f>""</f>
        <v/>
      </c>
      <c r="QQ54" s="30" t="str">
        <f>""</f>
        <v/>
      </c>
      <c r="QR54" s="30" t="str">
        <f>""</f>
        <v/>
      </c>
      <c r="SR54" s="28"/>
      <c r="SS54" s="28"/>
      <c r="ST54" s="28"/>
      <c r="SU54" s="29"/>
      <c r="SV54" s="42"/>
      <c r="SW54" s="69"/>
      <c r="SX54" s="29"/>
      <c r="SY54" s="30"/>
      <c r="SZ54" s="29"/>
      <c r="TA54" s="28"/>
      <c r="TB54" s="28"/>
      <c r="TC54" s="28"/>
      <c r="TD54" s="42"/>
      <c r="TE54" s="29"/>
      <c r="TF54" s="69"/>
      <c r="TG54" s="29"/>
      <c r="TH54" s="30"/>
      <c r="TI54" s="30"/>
      <c r="TJ54" s="18">
        <f t="shared" si="115"/>
        <v>52</v>
      </c>
      <c r="TK54" s="58" t="s">
        <v>1224</v>
      </c>
      <c r="TL54" s="58" t="s">
        <v>459</v>
      </c>
      <c r="TM54" s="18">
        <v>2</v>
      </c>
      <c r="TN54" s="59" t="str">
        <f t="shared" si="137"/>
        <v xml:space="preserve">Cloud of Daggers ᴴ </v>
      </c>
      <c r="TO54" s="350" t="s">
        <v>2991</v>
      </c>
      <c r="TP54" s="18" t="str">
        <f t="shared" si="48"/>
        <v/>
      </c>
      <c r="TQ54" s="18" t="str">
        <f>IF(OR(TK54=Spellcasting!$AC$18,TK54=Spellcasting!$AC$19),"ᵐ","")</f>
        <v/>
      </c>
      <c r="TR54" s="18" t="str">
        <f>IF(OR(TK54=Spellcasting!$AC$20,TK54=Spellcasting!$AC$21),"ˢ","")</f>
        <v/>
      </c>
      <c r="TS54" s="18" t="str">
        <f>""</f>
        <v/>
      </c>
      <c r="TT54" s="18" t="s">
        <v>484</v>
      </c>
      <c r="TU54" s="18" t="s">
        <v>850</v>
      </c>
      <c r="TV54" s="18" t="s">
        <v>558</v>
      </c>
      <c r="TW54" s="18" t="s">
        <v>495</v>
      </c>
      <c r="TX54" s="59" t="s">
        <v>1267</v>
      </c>
      <c r="TY54" s="18" t="s">
        <v>516</v>
      </c>
      <c r="TZ54" s="18" t="s">
        <v>517</v>
      </c>
      <c r="UA54" s="142" t="s">
        <v>3153</v>
      </c>
      <c r="UB54" s="319" t="s">
        <v>3041</v>
      </c>
      <c r="UC54" s="18" t="str">
        <f ca="1">IF(UC$1&gt;=$TM54,1,"0")</f>
        <v>0</v>
      </c>
      <c r="UF54" s="18" t="str">
        <f ca="1">IF(UF$1&gt;=$TM54,1,"0")</f>
        <v>0</v>
      </c>
      <c r="UG54" s="18" t="str">
        <f ca="1">IF(UG$1&gt;=$TM54,1,"0")</f>
        <v>0</v>
      </c>
      <c r="UL54" s="18" t="str">
        <f ca="1">IF(UL$1&gt;=$TM54,1,"0")</f>
        <v>0</v>
      </c>
      <c r="WD54" s="18" t="str">
        <f ca="1">IF(SUM($VZ$1:$WC$1)&gt;0,IF(AND(SUM($VZ54:$WC54)&gt;0,$TM54=WE$1),MAX(WD$2:WD53)+1,""),IF(AND(SUM($UC54:$VY54)&gt;0,$TM54=WE$1),MAX(WD$2:WD53)+1,""))</f>
        <v/>
      </c>
      <c r="WE54" s="59" t="str">
        <f t="shared" ca="1" si="80"/>
        <v/>
      </c>
      <c r="WF54" s="18" t="str">
        <f ca="1">IF(AND(SUM($UB54:$VY54)&gt;0,$TM54=WG$1),MAX(WF$2:WF53)+1,"")</f>
        <v/>
      </c>
      <c r="WG54" s="59" t="str">
        <f t="shared" ca="1" si="81"/>
        <v/>
      </c>
      <c r="WH54" s="18" t="str">
        <f ca="1">IF(AND(SUM($UB54:$VY54)&gt;0,$TM54=WI$1),MAX(WH$2:WH53)+1,"")</f>
        <v/>
      </c>
      <c r="WI54" s="59" t="str">
        <f t="shared" ca="1" si="82"/>
        <v/>
      </c>
      <c r="WJ54" s="18" t="str">
        <f ca="1">IF(AND(SUM($UB54:$VY54)&gt;0,$TM54=WK$1),MAX(WJ$2:WJ53)+1,"")</f>
        <v/>
      </c>
      <c r="WK54" s="59" t="str">
        <f t="shared" ca="1" si="83"/>
        <v/>
      </c>
      <c r="WL54" s="18" t="str">
        <f ca="1">IF(AND(SUM($UB54:$VY54)&gt;0,$TM54=WM$1),MAX(WL$2:WL53)+1,"")</f>
        <v/>
      </c>
      <c r="WM54" s="59" t="str">
        <f t="shared" ca="1" si="84"/>
        <v/>
      </c>
      <c r="WN54" s="18" t="str">
        <f ca="1">IF(AND(SUM($UB54:$VY54)&gt;0,$TM54=WO$1),MAX(WN$2:WN53)+1,"")</f>
        <v/>
      </c>
      <c r="WO54" s="59" t="str">
        <f t="shared" ca="1" si="85"/>
        <v/>
      </c>
      <c r="WP54" s="18" t="str">
        <f ca="1">IF(AND(SUM($UB54:$VY54)&gt;0,$TM54=WQ$1),MAX(WP$2:WP53)+1,"")</f>
        <v/>
      </c>
      <c r="WQ54" s="59" t="str">
        <f t="shared" ca="1" si="86"/>
        <v/>
      </c>
      <c r="WR54" s="18" t="str">
        <f ca="1">IF(AND(SUM($UB54:$VY54)&gt;0,$TM54=WS$1),MAX(WR$2:WR53)+1,"")</f>
        <v/>
      </c>
      <c r="WS54" s="59" t="str">
        <f t="shared" ca="1" si="87"/>
        <v/>
      </c>
      <c r="WT54" s="18" t="str">
        <f ca="1">IF(AND(SUM($UB54:$VY54)&gt;0,$TM54=WU$1),MAX(WT$2:WT53)+1,"")</f>
        <v/>
      </c>
      <c r="WU54" s="59" t="str">
        <f t="shared" ca="1" si="88"/>
        <v/>
      </c>
      <c r="WV54" s="18" t="str">
        <f ca="1">IF(AND(SUM($UB54:$VY54)&gt;0,$TM54=WW$1),MAX(WV$2:WV53)+1,"")</f>
        <v/>
      </c>
      <c r="WW54" s="59" t="str">
        <f t="shared" ca="1" si="89"/>
        <v/>
      </c>
      <c r="WX54" s="18" t="str">
        <f ca="1">IF(AND(SUM($UB54:$VY54)&gt;0,$TM54=WY$1),MAX(WX$2:WX53)+1,"")</f>
        <v/>
      </c>
      <c r="WY54" s="59" t="str">
        <f t="shared" ca="1" si="90"/>
        <v/>
      </c>
      <c r="WZ54" s="59"/>
      <c r="XC54" s="59" t="str">
        <f t="shared" ca="1" si="140"/>
        <v/>
      </c>
      <c r="XD54" s="59"/>
      <c r="XE54" s="59"/>
      <c r="XF54" s="59"/>
      <c r="XG54" s="59"/>
      <c r="XH54" s="59"/>
      <c r="XI54" s="59"/>
      <c r="XJ54" s="59"/>
      <c r="XK54" s="59"/>
      <c r="XL54" s="59"/>
      <c r="XM54" s="59"/>
      <c r="YA54" s="694"/>
      <c r="YG54" s="58" t="s">
        <v>764</v>
      </c>
      <c r="YH54" s="58" t="s">
        <v>187</v>
      </c>
      <c r="YI54" s="58" t="s">
        <v>1855</v>
      </c>
      <c r="YJ54" s="215" t="s">
        <v>3461</v>
      </c>
      <c r="YK54" s="215" t="str">
        <f>""</f>
        <v/>
      </c>
      <c r="YL54" s="249" t="str">
        <f>""</f>
        <v/>
      </c>
      <c r="YM54" s="249" t="str">
        <f>""</f>
        <v/>
      </c>
      <c r="YN54" s="249" t="str">
        <f>""</f>
        <v/>
      </c>
      <c r="YO54" s="249"/>
      <c r="YP54" s="249"/>
      <c r="YQ54" s="215"/>
      <c r="YT54" s="18" t="s">
        <v>2698</v>
      </c>
      <c r="YU54" s="18">
        <v>16</v>
      </c>
      <c r="YV54" s="18" t="str">
        <f t="shared" ca="1" si="155"/>
        <v/>
      </c>
      <c r="YW54" s="18" t="str">
        <f ca="1">IF(YX54="","",MAX($YW$1:YW53)+1)</f>
        <v/>
      </c>
      <c r="YX54" s="59" t="str">
        <f t="shared" ca="1" si="149"/>
        <v/>
      </c>
      <c r="YY54" s="18" t="str">
        <f t="shared" ca="1" si="150"/>
        <v/>
      </c>
      <c r="ZR54"/>
    </row>
    <row r="55" spans="41:694" ht="9.9499999999999993" customHeight="1" x14ac:dyDescent="0.2">
      <c r="AO55" s="18">
        <f t="shared" si="119"/>
        <v>54</v>
      </c>
      <c r="AP55" s="59">
        <f t="shared" si="138"/>
        <v>0</v>
      </c>
      <c r="AR55" s="58" t="str">
        <f>""</f>
        <v/>
      </c>
      <c r="AS55" s="58" t="str">
        <f>""</f>
        <v/>
      </c>
      <c r="AT55" s="58" t="str">
        <f>""</f>
        <v/>
      </c>
      <c r="AU55" s="58" t="str">
        <f>""</f>
        <v/>
      </c>
      <c r="AV55" s="58" t="str">
        <f>""</f>
        <v/>
      </c>
      <c r="AW55" s="58" t="s">
        <v>2494</v>
      </c>
      <c r="AX55" s="58" t="str">
        <f>""</f>
        <v/>
      </c>
      <c r="AY55" s="58" t="str">
        <f>""</f>
        <v/>
      </c>
      <c r="AZ55" s="58" t="str">
        <f>""</f>
        <v/>
      </c>
      <c r="BA55" s="58" t="str">
        <f>""</f>
        <v/>
      </c>
      <c r="BB55" s="58" t="str">
        <f>""</f>
        <v/>
      </c>
      <c r="BC55" s="58" t="str">
        <f>""</f>
        <v/>
      </c>
      <c r="BD55" s="58" t="str">
        <f>""</f>
        <v/>
      </c>
      <c r="BJ55" s="70"/>
      <c r="BK55" s="70"/>
      <c r="BL55" s="48"/>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48"/>
      <c r="CN55" s="48"/>
      <c r="CO55" s="48"/>
      <c r="CP55" s="48"/>
      <c r="CQ55" s="48"/>
      <c r="CR55" s="48"/>
      <c r="CS55" s="48"/>
      <c r="CT55" s="48"/>
      <c r="CU55" s="48"/>
      <c r="CV55" s="48"/>
      <c r="CW55" s="48"/>
      <c r="CX55" s="48"/>
      <c r="CY55" s="48"/>
      <c r="CZ55" s="48"/>
      <c r="DA55" s="48"/>
      <c r="DB55" s="48"/>
      <c r="DC55" s="48"/>
      <c r="DD55" s="48"/>
      <c r="DE55" s="48"/>
      <c r="DF55" s="48"/>
      <c r="DG55" s="104"/>
      <c r="DH55" s="104"/>
      <c r="DI55" s="104"/>
      <c r="DJ55" s="104"/>
      <c r="DK55" s="104"/>
      <c r="DO55" s="339"/>
      <c r="DP55" s="339"/>
      <c r="DQ55" s="339"/>
      <c r="DR55" s="339"/>
      <c r="DS55" s="339"/>
      <c r="DT55" s="339"/>
      <c r="DU55" s="339"/>
      <c r="DV55" s="339"/>
      <c r="DW55" s="339"/>
      <c r="DX55" s="339"/>
      <c r="DY55" s="339"/>
      <c r="DZ55" s="339"/>
      <c r="EA55" s="339"/>
      <c r="EB55" s="339"/>
      <c r="EC55" s="339"/>
      <c r="ED55" s="339"/>
      <c r="EE55" s="339"/>
      <c r="EF55" s="339"/>
      <c r="EG55" s="339"/>
      <c r="EH55" s="339"/>
      <c r="FX55" s="104"/>
      <c r="FY55" s="104"/>
      <c r="FZ55" s="104"/>
      <c r="GA55" s="104"/>
      <c r="GB55" s="104"/>
      <c r="GC55" s="104"/>
      <c r="GD55" s="104"/>
      <c r="GE55" s="104"/>
      <c r="GF55" s="104"/>
      <c r="GG55" s="104"/>
      <c r="GH55" s="104"/>
      <c r="GI55" s="104"/>
      <c r="GJ55" s="104"/>
      <c r="GZ55" s="59"/>
      <c r="HA55" s="59"/>
      <c r="HB55" s="59"/>
      <c r="HC55" s="59"/>
      <c r="HD55" s="59"/>
      <c r="HE55" s="59"/>
      <c r="HF55" s="59"/>
      <c r="HG55" s="59"/>
      <c r="HH55" s="59"/>
      <c r="HI55" s="59"/>
      <c r="HJ55" s="59"/>
      <c r="HK55" s="59" t="s">
        <v>2943</v>
      </c>
      <c r="HL55" s="59" t="s">
        <v>2905</v>
      </c>
      <c r="HM55" s="59"/>
      <c r="HN55" s="59"/>
      <c r="HO55" s="59"/>
      <c r="HP55" s="59"/>
      <c r="HQ55" s="59"/>
      <c r="HR55" s="59"/>
      <c r="HS55" s="59"/>
      <c r="HT55" s="59"/>
      <c r="HU55" s="59"/>
      <c r="HV55" s="59"/>
      <c r="HW55" s="59"/>
      <c r="HX55" s="59"/>
      <c r="HY55" s="59"/>
      <c r="HZ55" s="59"/>
      <c r="IA55" s="59"/>
      <c r="IB55" s="59"/>
      <c r="IC55" s="59"/>
      <c r="ID55" s="59"/>
      <c r="IE55" s="59"/>
      <c r="IF55" s="59"/>
      <c r="IG55" s="59"/>
      <c r="IH55" s="59" t="str">
        <f>IF(IJ55=TRUE,MAX($IH$2:IH54)+1,"")</f>
        <v/>
      </c>
      <c r="II55" s="59"/>
      <c r="IJ55" s="59"/>
      <c r="IK55" s="59"/>
      <c r="IL55" s="59"/>
      <c r="IM55" s="59"/>
      <c r="IN55" s="59"/>
      <c r="IO55" s="59"/>
      <c r="IP55" s="59"/>
      <c r="IQ55" s="59"/>
      <c r="IR55" s="59"/>
      <c r="IS55" s="59"/>
      <c r="IT55" s="59"/>
      <c r="IU55" s="59"/>
      <c r="IX55" s="59" t="s">
        <v>1592</v>
      </c>
      <c r="IY55" s="59" t="s">
        <v>1593</v>
      </c>
      <c r="IZ55" s="59" t="s">
        <v>201</v>
      </c>
      <c r="JA55" s="59" t="s">
        <v>890</v>
      </c>
      <c r="JB55" s="59" t="s">
        <v>1594</v>
      </c>
      <c r="JK55" s="60"/>
      <c r="JL55" s="60"/>
      <c r="JM55" s="296" t="s">
        <v>7</v>
      </c>
      <c r="JN55" s="297">
        <v>1</v>
      </c>
      <c r="JO55" s="298">
        <v>2</v>
      </c>
      <c r="JP55" s="299">
        <v>3</v>
      </c>
      <c r="JQ55" s="300">
        <v>4</v>
      </c>
      <c r="JR55" s="300">
        <v>5</v>
      </c>
      <c r="JS55" s="300">
        <v>6</v>
      </c>
      <c r="JT55" s="300">
        <v>7</v>
      </c>
      <c r="JU55" s="300">
        <v>8</v>
      </c>
      <c r="JV55" s="300">
        <v>9</v>
      </c>
      <c r="JW55" s="301"/>
      <c r="JX55" s="302"/>
      <c r="JY55" s="60"/>
      <c r="JZ55" s="60"/>
      <c r="KA55" s="60"/>
      <c r="KB55" s="60"/>
      <c r="KC55" s="60"/>
      <c r="KD55" s="60"/>
      <c r="KE55" s="60"/>
      <c r="KF55" s="60"/>
      <c r="KG55" s="60"/>
      <c r="KH55" s="60"/>
      <c r="KI55" s="60"/>
      <c r="KJ55" s="60"/>
      <c r="KK55" s="60"/>
      <c r="KL55" s="60"/>
      <c r="KM55" s="60"/>
      <c r="KN55" s="60"/>
      <c r="KO55" s="60"/>
      <c r="KP55" s="60"/>
      <c r="KQ55" s="60"/>
      <c r="KR55" s="60"/>
      <c r="KS55" s="99"/>
      <c r="KT55" s="88" t="s">
        <v>1511</v>
      </c>
      <c r="KU55" s="80" t="str">
        <f t="shared" si="128"/>
        <v>No</v>
      </c>
      <c r="KV55" s="89" t="s">
        <v>333</v>
      </c>
      <c r="KW55" s="92"/>
      <c r="KX55" s="92"/>
      <c r="KY55" s="92"/>
      <c r="KZ55" s="92"/>
      <c r="LA55" s="92"/>
      <c r="LB55" s="92"/>
      <c r="LC55" s="92"/>
      <c r="LD55" s="92"/>
      <c r="LE55" s="92"/>
      <c r="LF55" s="92"/>
      <c r="LG55" s="92"/>
      <c r="LH55" s="92"/>
      <c r="LI55" s="92"/>
      <c r="LJ55" s="92"/>
      <c r="LK55" s="92"/>
      <c r="LL55" s="92"/>
      <c r="LM55" s="92"/>
      <c r="LN55" s="92"/>
      <c r="LO55" s="92"/>
      <c r="LP55" s="92"/>
      <c r="LQ55" s="92"/>
      <c r="LR55" s="92"/>
      <c r="LS55" s="92"/>
      <c r="LT55" s="92"/>
      <c r="LU55" s="92"/>
      <c r="LV55" s="92"/>
      <c r="LW55" s="92"/>
      <c r="LX55" s="92"/>
      <c r="LY55" s="92"/>
      <c r="LZ55" s="92"/>
      <c r="MA55" s="92"/>
      <c r="MB55" s="92"/>
      <c r="MC55" s="92"/>
      <c r="MD55" s="92"/>
      <c r="ME55" s="92"/>
      <c r="MF55" s="92"/>
      <c r="MG55" s="92"/>
      <c r="MH55" s="92"/>
      <c r="MI55" s="92"/>
      <c r="MJ55" s="92"/>
      <c r="MK55" s="92"/>
      <c r="ML55" s="92"/>
      <c r="MM55" s="92"/>
      <c r="MN55" s="92"/>
      <c r="MO55" s="92"/>
      <c r="MP55" s="92"/>
      <c r="MQ55" s="92"/>
      <c r="MR55" s="92"/>
      <c r="MS55" s="92"/>
      <c r="MT55" s="92"/>
      <c r="MU55" s="92"/>
      <c r="MV55" s="92"/>
      <c r="MW55" s="92"/>
      <c r="MX55" s="92"/>
      <c r="MY55" s="92"/>
      <c r="MZ55" s="92"/>
      <c r="NA55" s="92"/>
      <c r="NB55" s="92"/>
      <c r="NC55" s="92"/>
      <c r="ND55" s="92"/>
      <c r="NE55" s="92"/>
      <c r="NF55" s="92"/>
      <c r="NG55" s="92"/>
      <c r="NH55" s="92"/>
      <c r="NI55" s="92"/>
      <c r="NJ55" s="92"/>
      <c r="NK55" s="92"/>
      <c r="NL55" s="92"/>
      <c r="NM55" s="92"/>
      <c r="NN55" s="92"/>
      <c r="NO55" s="92"/>
      <c r="NP55" s="92"/>
      <c r="NQ55" s="92"/>
      <c r="NR55" s="92"/>
      <c r="NS55" s="92"/>
      <c r="NT55" s="92"/>
      <c r="NU55" s="92"/>
      <c r="NV55" s="92"/>
      <c r="NW55" s="92"/>
      <c r="NX55" s="92"/>
      <c r="NY55" s="92"/>
      <c r="NZ55" s="92"/>
      <c r="OA55" s="92"/>
      <c r="OB55" s="92"/>
      <c r="OC55" s="92"/>
      <c r="OD55" s="92"/>
      <c r="OE55" s="92"/>
      <c r="OF55" s="92"/>
      <c r="OG55" s="92"/>
      <c r="OH55" s="92"/>
      <c r="OI55" s="92"/>
      <c r="OJ55" s="92"/>
      <c r="OK55" s="92"/>
      <c r="OL55" s="92"/>
      <c r="OM55" s="92"/>
      <c r="ON55" s="92"/>
      <c r="OO55" s="92"/>
      <c r="OP55" s="92"/>
      <c r="OQ55" s="92"/>
      <c r="OR55" s="92"/>
      <c r="OS55" s="92"/>
      <c r="OT55" s="92"/>
      <c r="OU55" s="92"/>
      <c r="OV55" s="92"/>
      <c r="OW55" s="92"/>
      <c r="OX55" s="92"/>
      <c r="OY55" s="92"/>
      <c r="OZ55" s="92"/>
      <c r="PA55" s="92"/>
      <c r="PB55" s="92"/>
      <c r="PC55" s="92"/>
      <c r="PD55" s="92"/>
      <c r="PE55" s="92"/>
      <c r="PF55" s="92"/>
      <c r="PG55" s="92"/>
      <c r="PH55" s="92"/>
      <c r="PI55" s="92"/>
      <c r="PJ55" s="92"/>
      <c r="PK55" s="92"/>
      <c r="PL55" s="92"/>
      <c r="PM55" s="92"/>
      <c r="PN55" s="92"/>
      <c r="PO55" s="92"/>
      <c r="PP55" s="92"/>
      <c r="PQ55" s="92"/>
      <c r="PR55" s="92"/>
      <c r="PS55" s="94" t="str">
        <f>IF(COUNTIF(Start!$AX$59:$BF$68,Tables!KT55)&gt;0,Tables!KT55,"")</f>
        <v/>
      </c>
      <c r="PT55" s="92"/>
      <c r="PU55" s="59" t="str">
        <f t="shared" si="129"/>
        <v/>
      </c>
      <c r="PV55" s="59" t="str">
        <f>IF(PU55="","",IF(COUNTIF(PU55:$PU$57,"&gt;&lt;")&gt;1,PU55&amp;", ", PU55))</f>
        <v/>
      </c>
      <c r="PW55" s="59"/>
      <c r="PX55" s="59"/>
      <c r="PZ55" s="19"/>
      <c r="QA55" s="19"/>
      <c r="QB55" s="27" t="str">
        <f t="shared" si="154"/>
        <v/>
      </c>
      <c r="QC55" s="67"/>
      <c r="QD55" s="19"/>
      <c r="QE55" s="26" t="str">
        <f>""</f>
        <v/>
      </c>
      <c r="QF55" s="26"/>
      <c r="QG55" s="26" t="str">
        <f>""</f>
        <v/>
      </c>
      <c r="QH55" s="26" t="str">
        <f>""</f>
        <v/>
      </c>
      <c r="QI55" s="26" t="str">
        <f>""</f>
        <v/>
      </c>
      <c r="QJ55" s="26" t="str">
        <f>""</f>
        <v/>
      </c>
      <c r="QK55" s="26" t="str">
        <f>""</f>
        <v/>
      </c>
      <c r="QL55" s="26" t="str">
        <f>""</f>
        <v/>
      </c>
      <c r="QM55" s="26" t="str">
        <f>""</f>
        <v/>
      </c>
      <c r="QN55" s="26" t="str">
        <f>""</f>
        <v/>
      </c>
      <c r="QO55" s="26" t="str">
        <f>""</f>
        <v/>
      </c>
      <c r="QP55" s="26" t="str">
        <f>""</f>
        <v/>
      </c>
      <c r="QQ55" s="27" t="str">
        <f>""</f>
        <v/>
      </c>
      <c r="QR55" s="27" t="str">
        <f>""</f>
        <v/>
      </c>
      <c r="SR55" s="19"/>
      <c r="SS55" s="19"/>
      <c r="ST55" s="19"/>
      <c r="SU55" s="26"/>
      <c r="SV55" s="44"/>
      <c r="SW55" s="68"/>
      <c r="SX55" s="26"/>
      <c r="SY55" s="27"/>
      <c r="SZ55" s="26"/>
      <c r="TA55" s="19"/>
      <c r="TB55" s="19"/>
      <c r="TC55" s="19"/>
      <c r="TD55" s="44"/>
      <c r="TE55" s="26"/>
      <c r="TF55" s="68"/>
      <c r="TG55" s="26"/>
      <c r="TH55" s="27"/>
      <c r="TI55" s="27"/>
      <c r="TJ55" s="18">
        <f t="shared" si="115"/>
        <v>53</v>
      </c>
      <c r="TK55" s="58" t="s">
        <v>551</v>
      </c>
      <c r="TL55" s="58" t="s">
        <v>462</v>
      </c>
      <c r="TM55" s="18">
        <v>5</v>
      </c>
      <c r="TN55" s="59" t="str">
        <f t="shared" si="137"/>
        <v xml:space="preserve">Cloudkill ᴴ </v>
      </c>
      <c r="TO55" s="350" t="s">
        <v>2991</v>
      </c>
      <c r="TP55" s="18" t="str">
        <f t="shared" si="48"/>
        <v/>
      </c>
      <c r="TQ55" s="18" t="str">
        <f>IF(OR(TK55=Spellcasting!$AC$18,TK55=Spellcasting!$AC$19),"ᵐ","")</f>
        <v/>
      </c>
      <c r="TR55" s="18" t="str">
        <f>IF(OR(TK55=Spellcasting!$AC$20,TK55=Spellcasting!$AC$21),"ˢ","")</f>
        <v/>
      </c>
      <c r="TS55" s="18" t="str">
        <f>""</f>
        <v/>
      </c>
      <c r="TT55" s="18" t="s">
        <v>484</v>
      </c>
      <c r="TU55" s="18" t="s">
        <v>848</v>
      </c>
      <c r="TV55" s="18" t="s">
        <v>515</v>
      </c>
      <c r="TW55" s="18" t="s">
        <v>486</v>
      </c>
      <c r="TX55" s="59" t="str">
        <f>""</f>
        <v/>
      </c>
      <c r="TY55" s="18" t="s">
        <v>516</v>
      </c>
      <c r="TZ55" s="18" t="s">
        <v>517</v>
      </c>
      <c r="UA55" s="142" t="s">
        <v>3042</v>
      </c>
      <c r="UB55" s="319" t="str">
        <f ca="1">"20 rad sphere, 5d8"&amp;IF(AD8=TRUE,"+"&amp;CHAMod,"")&amp;" poison, con save ½"</f>
        <v>20 rad sphere, 5d8 poison, con save ½</v>
      </c>
      <c r="UF55" s="18" t="str">
        <f ca="1">IF(UF$1&gt;=$TM55,1,"0")</f>
        <v>0</v>
      </c>
      <c r="UL55" s="18" t="str">
        <f ca="1">IF(UL$1&gt;=$TM55,1,"0")</f>
        <v>0</v>
      </c>
      <c r="VN55" s="18" t="str">
        <f>IF(VN$1&gt;=$TM55,1,"0")</f>
        <v>0</v>
      </c>
      <c r="WD55" s="18" t="str">
        <f ca="1">IF(SUM($VZ$1:$WC$1)&gt;0,IF(AND(SUM($VZ55:$WC55)&gt;0,$TM55=WE$1),MAX(WD$2:WD54)+1,""),IF(AND(SUM($UC55:$VY55)&gt;0,$TM55=WE$1),MAX(WD$2:WD54)+1,""))</f>
        <v/>
      </c>
      <c r="WE55" s="59" t="str">
        <f t="shared" ca="1" si="80"/>
        <v/>
      </c>
      <c r="WF55" s="18" t="str">
        <f ca="1">IF(AND(SUM($UB55:$VY55)&gt;0,$TM55=WG$1),MAX(WF$2:WF54)+1,"")</f>
        <v/>
      </c>
      <c r="WG55" s="59" t="str">
        <f t="shared" ca="1" si="81"/>
        <v/>
      </c>
      <c r="WH55" s="18" t="str">
        <f ca="1">IF(AND(SUM($UB55:$VY55)&gt;0,$TM55=WI$1),MAX(WH$2:WH54)+1,"")</f>
        <v/>
      </c>
      <c r="WI55" s="59" t="str">
        <f t="shared" ca="1" si="82"/>
        <v/>
      </c>
      <c r="WJ55" s="18" t="str">
        <f ca="1">IF(AND(SUM($UB55:$VY55)&gt;0,$TM55=WK$1),MAX(WJ$2:WJ54)+1,"")</f>
        <v/>
      </c>
      <c r="WK55" s="59" t="str">
        <f t="shared" ca="1" si="83"/>
        <v/>
      </c>
      <c r="WL55" s="18" t="str">
        <f ca="1">IF(AND(SUM($UB55:$VY55)&gt;0,$TM55=WM$1),MAX(WL$2:WL54)+1,"")</f>
        <v/>
      </c>
      <c r="WM55" s="59" t="str">
        <f t="shared" ca="1" si="84"/>
        <v/>
      </c>
      <c r="WN55" s="18" t="str">
        <f ca="1">IF(AND(SUM($UB55:$VY55)&gt;0,$TM55=WO$1),MAX(WN$2:WN54)+1,"")</f>
        <v/>
      </c>
      <c r="WO55" s="59" t="str">
        <f t="shared" ca="1" si="85"/>
        <v/>
      </c>
      <c r="WP55" s="18" t="str">
        <f ca="1">IF(AND(SUM($UB55:$VY55)&gt;0,$TM55=WQ$1),MAX(WP$2:WP54)+1,"")</f>
        <v/>
      </c>
      <c r="WQ55" s="59" t="str">
        <f t="shared" ca="1" si="86"/>
        <v/>
      </c>
      <c r="WR55" s="18" t="str">
        <f ca="1">IF(AND(SUM($UB55:$VY55)&gt;0,$TM55=WS$1),MAX(WR$2:WR54)+1,"")</f>
        <v/>
      </c>
      <c r="WS55" s="59" t="str">
        <f t="shared" ca="1" si="87"/>
        <v/>
      </c>
      <c r="WT55" s="18" t="str">
        <f ca="1">IF(AND(SUM($UB55:$VY55)&gt;0,$TM55=WU$1),MAX(WT$2:WT54)+1,"")</f>
        <v/>
      </c>
      <c r="WU55" s="59" t="str">
        <f t="shared" ca="1" si="88"/>
        <v/>
      </c>
      <c r="WV55" s="18" t="str">
        <f ca="1">IF(AND(SUM($UB55:$VY55)&gt;0,$TM55=WW$1),MAX(WV$2:WV54)+1,"")</f>
        <v/>
      </c>
      <c r="WW55" s="59" t="str">
        <f t="shared" ca="1" si="89"/>
        <v/>
      </c>
      <c r="WX55" s="18" t="str">
        <f ca="1">IF(AND(SUM($UB55:$VY55)&gt;0,$TM55=WY$1),MAX(WX$2:WX54)+1,"")</f>
        <v/>
      </c>
      <c r="WY55" s="59" t="str">
        <f t="shared" ca="1" si="90"/>
        <v/>
      </c>
      <c r="WZ55" s="59"/>
      <c r="XC55" s="59" t="str">
        <f t="shared" ca="1" si="140"/>
        <v/>
      </c>
      <c r="XD55" s="59"/>
      <c r="XE55" s="59"/>
      <c r="XF55" s="59"/>
      <c r="XG55" s="59"/>
      <c r="XH55" s="59"/>
      <c r="XI55" s="59"/>
      <c r="XJ55" s="59"/>
      <c r="XK55" s="59"/>
      <c r="XL55" s="59"/>
      <c r="XM55" s="59"/>
      <c r="YA55" s="694"/>
      <c r="YG55" s="58" t="s">
        <v>1808</v>
      </c>
      <c r="YH55" s="58" t="s">
        <v>1770</v>
      </c>
      <c r="YI55" s="215" t="s">
        <v>2364</v>
      </c>
      <c r="YJ55" s="215" t="s">
        <v>3462</v>
      </c>
      <c r="YK55" s="215" t="str">
        <f>""</f>
        <v/>
      </c>
      <c r="YL55" s="249" t="str">
        <f>""</f>
        <v/>
      </c>
      <c r="YM55" s="249" t="str">
        <f>""</f>
        <v/>
      </c>
      <c r="YN55" s="249" t="str">
        <f>""</f>
        <v/>
      </c>
      <c r="YO55" s="249"/>
      <c r="YP55" s="249"/>
      <c r="YQ55" s="215"/>
      <c r="YT55" s="18" t="s">
        <v>2698</v>
      </c>
      <c r="YU55" s="18">
        <v>19</v>
      </c>
      <c r="YV55" s="18" t="str">
        <f t="shared" ca="1" si="155"/>
        <v/>
      </c>
      <c r="YW55" s="18" t="str">
        <f ca="1">IF(YX55="","",MAX($YW$1:YW54)+1)</f>
        <v/>
      </c>
      <c r="YX55" s="59" t="str">
        <f t="shared" ca="1" si="149"/>
        <v/>
      </c>
      <c r="YY55" s="18" t="str">
        <f t="shared" ca="1" si="150"/>
        <v/>
      </c>
      <c r="ZR55"/>
    </row>
    <row r="56" spans="41:694" ht="9.9499999999999993" customHeight="1" x14ac:dyDescent="0.2">
      <c r="AO56" s="18">
        <f t="shared" si="119"/>
        <v>55</v>
      </c>
      <c r="AP56" s="59">
        <f t="shared" si="138"/>
        <v>0</v>
      </c>
      <c r="AR56" s="58" t="str">
        <f>""</f>
        <v/>
      </c>
      <c r="AS56" s="58" t="str">
        <f>""</f>
        <v/>
      </c>
      <c r="AT56" s="58" t="str">
        <f>""</f>
        <v/>
      </c>
      <c r="AU56" s="58" t="str">
        <f>""</f>
        <v/>
      </c>
      <c r="AV56" s="58" t="str">
        <f>""</f>
        <v/>
      </c>
      <c r="AW56" s="58" t="s">
        <v>2495</v>
      </c>
      <c r="AX56" s="58" t="str">
        <f>""</f>
        <v/>
      </c>
      <c r="AY56" s="58" t="str">
        <f>""</f>
        <v/>
      </c>
      <c r="AZ56" s="58" t="str">
        <f>""</f>
        <v/>
      </c>
      <c r="BA56" s="58" t="str">
        <f>""</f>
        <v/>
      </c>
      <c r="BB56" s="58" t="str">
        <f>""</f>
        <v/>
      </c>
      <c r="BC56" s="58" t="str">
        <f>""</f>
        <v/>
      </c>
      <c r="BD56" s="58" t="str">
        <f>""</f>
        <v/>
      </c>
      <c r="BJ56" s="70"/>
      <c r="BK56" s="70"/>
      <c r="BL56" s="48"/>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48"/>
      <c r="CN56" s="48"/>
      <c r="CO56" s="48"/>
      <c r="CP56" s="48"/>
      <c r="CQ56" s="48"/>
      <c r="CR56" s="48"/>
      <c r="CS56" s="48"/>
      <c r="CT56" s="48"/>
      <c r="CU56" s="48"/>
      <c r="CV56" s="48"/>
      <c r="CW56" s="48"/>
      <c r="CX56" s="48"/>
      <c r="CY56" s="48"/>
      <c r="CZ56" s="48"/>
      <c r="DA56" s="48"/>
      <c r="DB56" s="48"/>
      <c r="DC56" s="48"/>
      <c r="DD56" s="48"/>
      <c r="DE56" s="48"/>
      <c r="DF56" s="48"/>
      <c r="DG56" s="104"/>
      <c r="DH56" s="104"/>
      <c r="DI56" s="104"/>
      <c r="DJ56" s="104"/>
      <c r="DK56" s="104"/>
      <c r="DO56" s="339"/>
      <c r="DP56" s="339"/>
      <c r="DQ56" s="339"/>
      <c r="DR56" s="339"/>
      <c r="DS56" s="339"/>
      <c r="DT56" s="339"/>
      <c r="DU56" s="339"/>
      <c r="DV56" s="339"/>
      <c r="DW56" s="339"/>
      <c r="DX56" s="339"/>
      <c r="DY56" s="339"/>
      <c r="DZ56" s="339"/>
      <c r="EA56" s="339"/>
      <c r="EB56" s="339"/>
      <c r="EC56" s="339"/>
      <c r="ED56" s="339"/>
      <c r="EE56" s="339"/>
      <c r="EF56" s="339"/>
      <c r="EG56" s="339"/>
      <c r="EH56" s="339"/>
      <c r="FX56" s="104"/>
      <c r="FY56" s="104"/>
      <c r="FZ56" s="104"/>
      <c r="GA56" s="104"/>
      <c r="GB56" s="104"/>
      <c r="GC56" s="104"/>
      <c r="GD56" s="104"/>
      <c r="GE56" s="104"/>
      <c r="GF56" s="104"/>
      <c r="GG56" s="104"/>
      <c r="GH56" s="104"/>
      <c r="GI56" s="104"/>
      <c r="GJ56" s="104"/>
      <c r="GZ56" s="59"/>
      <c r="HA56" s="59"/>
      <c r="HB56" s="59"/>
      <c r="HC56" s="59"/>
      <c r="HD56" s="59"/>
      <c r="HE56" s="59"/>
      <c r="HF56" s="59"/>
      <c r="HG56" s="59"/>
      <c r="HH56" s="59"/>
      <c r="HI56" s="59"/>
      <c r="HJ56" s="59"/>
      <c r="HK56" s="59" t="s">
        <v>2944</v>
      </c>
      <c r="HL56" s="59" t="s">
        <v>2905</v>
      </c>
      <c r="HM56" s="59"/>
      <c r="HN56" s="59"/>
      <c r="HO56" s="59"/>
      <c r="HP56" s="59"/>
      <c r="HQ56" s="59"/>
      <c r="HR56" s="59"/>
      <c r="HS56" s="59"/>
      <c r="HT56" s="59"/>
      <c r="HU56" s="59"/>
      <c r="HV56" s="59"/>
      <c r="HW56" s="59"/>
      <c r="HX56" s="59"/>
      <c r="HY56" s="59"/>
      <c r="HZ56" s="59"/>
      <c r="IA56" s="59"/>
      <c r="IB56" s="59"/>
      <c r="IC56" s="59"/>
      <c r="ID56" s="59"/>
      <c r="IE56" s="59"/>
      <c r="IF56" s="59"/>
      <c r="IG56" s="59"/>
      <c r="IH56" s="59" t="str">
        <f>IF(IJ56=TRUE,MAX($IH$2:IH55)+1,"")</f>
        <v/>
      </c>
      <c r="II56" s="59"/>
      <c r="IJ56" s="59"/>
      <c r="IK56" s="59"/>
      <c r="IL56" s="59"/>
      <c r="IM56" s="59"/>
      <c r="IN56" s="59"/>
      <c r="IO56" s="59"/>
      <c r="IP56" s="59"/>
      <c r="IQ56" s="59"/>
      <c r="IR56" s="59"/>
      <c r="IS56" s="59"/>
      <c r="IT56" s="59"/>
      <c r="IU56" s="59"/>
      <c r="IX56" s="59" t="s">
        <v>1595</v>
      </c>
      <c r="IY56" s="59" t="s">
        <v>1596</v>
      </c>
      <c r="IZ56" s="59" t="s">
        <v>203</v>
      </c>
      <c r="JA56" s="59" t="s">
        <v>283</v>
      </c>
      <c r="JB56" s="59" t="s">
        <v>1597</v>
      </c>
      <c r="JK56" s="60"/>
      <c r="JL56" s="60"/>
      <c r="JM56" s="296">
        <v>1</v>
      </c>
      <c r="JN56" s="302" t="s">
        <v>140</v>
      </c>
      <c r="JO56" s="302" t="s">
        <v>140</v>
      </c>
      <c r="JP56" s="302" t="s">
        <v>140</v>
      </c>
      <c r="JQ56" s="302" t="s">
        <v>140</v>
      </c>
      <c r="JR56" s="302" t="s">
        <v>140</v>
      </c>
      <c r="JS56" s="302" t="s">
        <v>140</v>
      </c>
      <c r="JT56" s="302" t="s">
        <v>140</v>
      </c>
      <c r="JU56" s="302" t="s">
        <v>140</v>
      </c>
      <c r="JV56" s="302" t="s">
        <v>140</v>
      </c>
      <c r="JW56" s="98">
        <v>0</v>
      </c>
      <c r="JX56" s="302"/>
      <c r="JY56" s="60"/>
      <c r="JZ56" s="60"/>
      <c r="KA56" s="60"/>
      <c r="KB56" s="60"/>
      <c r="KC56" s="60"/>
      <c r="KD56" s="60"/>
      <c r="KE56" s="60"/>
      <c r="KF56" s="60"/>
      <c r="KG56" s="60"/>
      <c r="KH56" s="60"/>
      <c r="KI56" s="60"/>
      <c r="KJ56" s="60"/>
      <c r="KK56" s="60"/>
      <c r="KL56" s="60"/>
      <c r="KM56" s="60"/>
      <c r="KN56" s="60"/>
      <c r="KO56" s="60"/>
      <c r="KP56" s="60"/>
      <c r="KQ56" s="60"/>
      <c r="KR56" s="60"/>
      <c r="KS56" s="99"/>
      <c r="KT56" s="88" t="s">
        <v>352</v>
      </c>
      <c r="KU56" s="80" t="str">
        <f t="shared" si="128"/>
        <v>No</v>
      </c>
      <c r="KV56" s="89" t="s">
        <v>333</v>
      </c>
      <c r="KW56" s="92"/>
      <c r="KX56" s="92"/>
      <c r="KY56" s="92"/>
      <c r="KZ56" s="92"/>
      <c r="LA56" s="92"/>
      <c r="LB56" s="92"/>
      <c r="LC56" s="92"/>
      <c r="LD56" s="92"/>
      <c r="LE56" s="92"/>
      <c r="LF56" s="92"/>
      <c r="LG56" s="92"/>
      <c r="LH56" s="92"/>
      <c r="LI56" s="92"/>
      <c r="LJ56" s="92"/>
      <c r="LK56" s="92"/>
      <c r="LL56" s="92"/>
      <c r="LM56" s="92"/>
      <c r="LN56" s="92"/>
      <c r="LO56" s="92"/>
      <c r="LP56" s="92"/>
      <c r="LQ56" s="92"/>
      <c r="LR56" s="92"/>
      <c r="LS56" s="92"/>
      <c r="LT56" s="92"/>
      <c r="LU56" s="92"/>
      <c r="LV56" s="92"/>
      <c r="LW56" s="92"/>
      <c r="LX56" s="92"/>
      <c r="LY56" s="92"/>
      <c r="LZ56" s="92"/>
      <c r="MA56" s="92"/>
      <c r="MB56" s="92"/>
      <c r="MC56" s="92"/>
      <c r="MD56" s="92"/>
      <c r="ME56" s="92"/>
      <c r="MF56" s="92"/>
      <c r="MG56" s="92"/>
      <c r="MH56" s="92"/>
      <c r="MI56" s="92"/>
      <c r="MJ56" s="92"/>
      <c r="MK56" s="92"/>
      <c r="ML56" s="92"/>
      <c r="MM56" s="92"/>
      <c r="MN56" s="92"/>
      <c r="MO56" s="92"/>
      <c r="MP56" s="92"/>
      <c r="MQ56" s="92"/>
      <c r="MR56" s="92"/>
      <c r="MS56" s="92"/>
      <c r="MT56" s="92"/>
      <c r="MU56" s="92"/>
      <c r="MV56" s="92"/>
      <c r="MW56" s="92"/>
      <c r="MX56" s="92"/>
      <c r="MY56" s="92"/>
      <c r="MZ56" s="92"/>
      <c r="NA56" s="92"/>
      <c r="NB56" s="92"/>
      <c r="NC56" s="92"/>
      <c r="ND56" s="92"/>
      <c r="NE56" s="92"/>
      <c r="NF56" s="92"/>
      <c r="NG56" s="92"/>
      <c r="NH56" s="92"/>
      <c r="NI56" s="92"/>
      <c r="NJ56" s="92"/>
      <c r="NK56" s="92"/>
      <c r="NL56" s="92"/>
      <c r="NM56" s="92"/>
      <c r="NN56" s="92"/>
      <c r="NO56" s="92"/>
      <c r="NP56" s="92"/>
      <c r="NQ56" s="92"/>
      <c r="NR56" s="92"/>
      <c r="NS56" s="92"/>
      <c r="NT56" s="92"/>
      <c r="NU56" s="92"/>
      <c r="NV56" s="92"/>
      <c r="NW56" s="92"/>
      <c r="NX56" s="92"/>
      <c r="NY56" s="92"/>
      <c r="NZ56" s="92"/>
      <c r="OA56" s="92"/>
      <c r="OB56" s="92"/>
      <c r="OC56" s="92"/>
      <c r="OD56" s="92"/>
      <c r="OE56" s="92"/>
      <c r="OF56" s="92"/>
      <c r="OG56" s="92"/>
      <c r="OH56" s="92"/>
      <c r="OI56" s="92"/>
      <c r="OJ56" s="92"/>
      <c r="OK56" s="92"/>
      <c r="OL56" s="92"/>
      <c r="OM56" s="92"/>
      <c r="ON56" s="92"/>
      <c r="OO56" s="92"/>
      <c r="OP56" s="92"/>
      <c r="OQ56" s="92"/>
      <c r="OR56" s="92"/>
      <c r="OS56" s="92"/>
      <c r="OT56" s="92"/>
      <c r="OU56" s="92"/>
      <c r="OV56" s="92"/>
      <c r="OW56" s="92"/>
      <c r="OX56" s="92"/>
      <c r="OY56" s="92"/>
      <c r="OZ56" s="92"/>
      <c r="PA56" s="92"/>
      <c r="PB56" s="92"/>
      <c r="PC56" s="92"/>
      <c r="PD56" s="92"/>
      <c r="PE56" s="92"/>
      <c r="PF56" s="92"/>
      <c r="PG56" s="92"/>
      <c r="PH56" s="92"/>
      <c r="PI56" s="92"/>
      <c r="PJ56" s="92"/>
      <c r="PK56" s="92"/>
      <c r="PL56" s="92"/>
      <c r="PM56" s="92"/>
      <c r="PN56" s="92"/>
      <c r="PO56" s="92"/>
      <c r="PP56" s="92"/>
      <c r="PQ56" s="92"/>
      <c r="PR56" s="92"/>
      <c r="PS56" s="94" t="str">
        <f>IF(COUNTIF(Start!$AX$59:$BF$68,Tables!KT56)&gt;0,Tables!KT56,"")</f>
        <v/>
      </c>
      <c r="PT56" s="92"/>
      <c r="PU56" s="59" t="str">
        <f t="shared" si="129"/>
        <v/>
      </c>
      <c r="PV56" s="59" t="str">
        <f>IF(PU56="","",IF(COUNTIF(PU56:$PU$57,"&gt;&lt;")&gt;1,PU56&amp;", ", PU56))</f>
        <v/>
      </c>
      <c r="PW56" s="59"/>
      <c r="PX56" s="59"/>
      <c r="PZ56" s="28"/>
      <c r="QA56" s="28"/>
      <c r="QB56" s="30" t="str">
        <f t="shared" si="154"/>
        <v/>
      </c>
      <c r="QC56" s="31"/>
      <c r="QD56" s="28"/>
      <c r="QE56" s="29" t="str">
        <f>""</f>
        <v/>
      </c>
      <c r="QF56" s="29"/>
      <c r="QG56" s="29" t="str">
        <f>""</f>
        <v/>
      </c>
      <c r="QH56" s="29" t="str">
        <f>""</f>
        <v/>
      </c>
      <c r="QI56" s="29" t="str">
        <f>""</f>
        <v/>
      </c>
      <c r="QJ56" s="29" t="str">
        <f>""</f>
        <v/>
      </c>
      <c r="QK56" s="29" t="str">
        <f>""</f>
        <v/>
      </c>
      <c r="QL56" s="29" t="str">
        <f>""</f>
        <v/>
      </c>
      <c r="QM56" s="29" t="str">
        <f>""</f>
        <v/>
      </c>
      <c r="QN56" s="29" t="str">
        <f>""</f>
        <v/>
      </c>
      <c r="QO56" s="29" t="str">
        <f>""</f>
        <v/>
      </c>
      <c r="QP56" s="29" t="str">
        <f>""</f>
        <v/>
      </c>
      <c r="QQ56" s="30" t="str">
        <f>""</f>
        <v/>
      </c>
      <c r="QR56" s="30" t="str">
        <f>""</f>
        <v/>
      </c>
      <c r="SR56" s="28"/>
      <c r="SS56" s="28"/>
      <c r="ST56" s="28"/>
      <c r="SU56" s="29"/>
      <c r="SV56" s="42"/>
      <c r="SW56" s="69"/>
      <c r="SX56" s="29"/>
      <c r="SY56" s="30"/>
      <c r="SZ56" s="29"/>
      <c r="TA56" s="28"/>
      <c r="TB56" s="28"/>
      <c r="TC56" s="28"/>
      <c r="TD56" s="42"/>
      <c r="TE56" s="29"/>
      <c r="TF56" s="69"/>
      <c r="TG56" s="29"/>
      <c r="TH56" s="30"/>
      <c r="TI56" s="30"/>
      <c r="TJ56" s="18">
        <f t="shared" si="115"/>
        <v>54</v>
      </c>
      <c r="TK56" s="58" t="s">
        <v>552</v>
      </c>
      <c r="TL56" s="58" t="s">
        <v>448</v>
      </c>
      <c r="TM56" s="18">
        <v>1</v>
      </c>
      <c r="TN56" s="59" t="str">
        <f t="shared" si="137"/>
        <v xml:space="preserve">Color Spray ᴴ </v>
      </c>
      <c r="TO56" s="350" t="s">
        <v>2991</v>
      </c>
      <c r="TP56" s="18" t="str">
        <f t="shared" si="48"/>
        <v/>
      </c>
      <c r="TQ56" s="18" t="str">
        <f>IF(OR(TK56=Spellcasting!$AC$18,TK56=Spellcasting!$AC$19),"ᵐ","")</f>
        <v/>
      </c>
      <c r="TR56" s="18" t="str">
        <f>IF(OR(TK56=Spellcasting!$AC$20,TK56=Spellcasting!$AC$21),"ˢ","")</f>
        <v/>
      </c>
      <c r="TS56" s="18" t="str">
        <f>""</f>
        <v/>
      </c>
      <c r="TT56" s="18" t="s">
        <v>484</v>
      </c>
      <c r="TU56" s="18" t="s">
        <v>509</v>
      </c>
      <c r="TV56" s="18" t="s">
        <v>547</v>
      </c>
      <c r="TW56" s="18" t="s">
        <v>495</v>
      </c>
      <c r="TX56" s="59" t="s">
        <v>1388</v>
      </c>
      <c r="TY56" s="18" t="s">
        <v>523</v>
      </c>
      <c r="TZ56" s="18" t="s">
        <v>524</v>
      </c>
      <c r="UA56" s="142" t="s">
        <v>3154</v>
      </c>
      <c r="UB56" s="319" t="s">
        <v>3251</v>
      </c>
      <c r="UF56" s="18" t="str">
        <f ca="1">IF(UF$1&gt;=$TM56,1,"0")</f>
        <v>0</v>
      </c>
      <c r="UL56" s="18" t="str">
        <f ca="1">IF(UL$1&gt;=$TM56,1,"0")</f>
        <v>0</v>
      </c>
      <c r="VQ56" s="18" t="str">
        <f>IF(VQ$1&gt;=$TM56,1,"0")</f>
        <v>0</v>
      </c>
      <c r="WD56" s="18" t="str">
        <f ca="1">IF(SUM($VZ$1:$WC$1)&gt;0,IF(AND(SUM($VZ56:$WC56)&gt;0,$TM56=WE$1),MAX(WD$2:WD55)+1,""),IF(AND(SUM($UC56:$VY56)&gt;0,$TM56=WE$1),MAX(WD$2:WD55)+1,""))</f>
        <v/>
      </c>
      <c r="WE56" s="59" t="str">
        <f t="shared" ca="1" si="80"/>
        <v/>
      </c>
      <c r="WF56" s="18" t="str">
        <f ca="1">IF(AND(SUM($UB56:$VY56)&gt;0,$TM56=WG$1),MAX(WF$2:WF55)+1,"")</f>
        <v/>
      </c>
      <c r="WG56" s="59" t="str">
        <f t="shared" ca="1" si="81"/>
        <v/>
      </c>
      <c r="WH56" s="18" t="str">
        <f ca="1">IF(AND(SUM($UB56:$VY56)&gt;0,$TM56=WI$1),MAX(WH$2:WH55)+1,"")</f>
        <v/>
      </c>
      <c r="WI56" s="59" t="str">
        <f t="shared" ca="1" si="82"/>
        <v/>
      </c>
      <c r="WJ56" s="18" t="str">
        <f ca="1">IF(AND(SUM($UB56:$VY56)&gt;0,$TM56=WK$1),MAX(WJ$2:WJ55)+1,"")</f>
        <v/>
      </c>
      <c r="WK56" s="59" t="str">
        <f t="shared" ca="1" si="83"/>
        <v/>
      </c>
      <c r="WL56" s="18" t="str">
        <f ca="1">IF(AND(SUM($UB56:$VY56)&gt;0,$TM56=WM$1),MAX(WL$2:WL55)+1,"")</f>
        <v/>
      </c>
      <c r="WM56" s="59" t="str">
        <f t="shared" ca="1" si="84"/>
        <v/>
      </c>
      <c r="WN56" s="18" t="str">
        <f ca="1">IF(AND(SUM($UB56:$VY56)&gt;0,$TM56=WO$1),MAX(WN$2:WN55)+1,"")</f>
        <v/>
      </c>
      <c r="WO56" s="59" t="str">
        <f t="shared" ca="1" si="85"/>
        <v/>
      </c>
      <c r="WP56" s="18" t="str">
        <f ca="1">IF(AND(SUM($UB56:$VY56)&gt;0,$TM56=WQ$1),MAX(WP$2:WP55)+1,"")</f>
        <v/>
      </c>
      <c r="WQ56" s="59" t="str">
        <f t="shared" ca="1" si="86"/>
        <v/>
      </c>
      <c r="WR56" s="18" t="str">
        <f ca="1">IF(AND(SUM($UB56:$VY56)&gt;0,$TM56=WS$1),MAX(WR$2:WR55)+1,"")</f>
        <v/>
      </c>
      <c r="WS56" s="59" t="str">
        <f t="shared" ca="1" si="87"/>
        <v/>
      </c>
      <c r="WT56" s="18" t="str">
        <f ca="1">IF(AND(SUM($UB56:$VY56)&gt;0,$TM56=WU$1),MAX(WT$2:WT55)+1,"")</f>
        <v/>
      </c>
      <c r="WU56" s="59" t="str">
        <f t="shared" ca="1" si="88"/>
        <v/>
      </c>
      <c r="WV56" s="18" t="str">
        <f ca="1">IF(AND(SUM($UB56:$VY56)&gt;0,$TM56=WW$1),MAX(WV$2:WV55)+1,"")</f>
        <v/>
      </c>
      <c r="WW56" s="59" t="str">
        <f t="shared" ca="1" si="89"/>
        <v/>
      </c>
      <c r="WX56" s="18" t="str">
        <f ca="1">IF(AND(SUM($UB56:$VY56)&gt;0,$TM56=WY$1),MAX(WX$2:WX55)+1,"")</f>
        <v/>
      </c>
      <c r="WY56" s="59" t="str">
        <f t="shared" ca="1" si="90"/>
        <v/>
      </c>
      <c r="WZ56" s="59"/>
      <c r="XC56" s="59" t="str">
        <f t="shared" ca="1" si="140"/>
        <v/>
      </c>
      <c r="XD56" s="59"/>
      <c r="XE56" s="59"/>
      <c r="XF56" s="59"/>
      <c r="XG56" s="59"/>
      <c r="XH56" s="59"/>
      <c r="XI56" s="59"/>
      <c r="XJ56" s="59"/>
      <c r="XK56" s="59"/>
      <c r="XL56" s="59"/>
      <c r="XM56" s="59"/>
      <c r="YA56" s="694"/>
      <c r="YG56" s="58" t="s">
        <v>1809</v>
      </c>
      <c r="YH56" s="58" t="s">
        <v>187</v>
      </c>
      <c r="YI56" s="215" t="s">
        <v>1810</v>
      </c>
      <c r="YJ56" s="215" t="s">
        <v>1817</v>
      </c>
      <c r="YK56" s="215" t="str">
        <f>""</f>
        <v/>
      </c>
      <c r="YL56" s="249" t="str">
        <f>""</f>
        <v/>
      </c>
      <c r="YM56" s="249" t="s">
        <v>3091</v>
      </c>
      <c r="YN56" s="249">
        <v>1</v>
      </c>
      <c r="YO56" s="249"/>
      <c r="YP56" s="249"/>
      <c r="YQ56" s="215"/>
      <c r="YT56" s="18" t="s">
        <v>2641</v>
      </c>
      <c r="YU56" s="18">
        <v>4</v>
      </c>
      <c r="YV56" s="18" t="str">
        <f t="shared" ref="YV56:YV60" ca="1" si="156">VLOOKUP(YY56,$ZN$2:$ZP$23,$ZN$1,FALSE)</f>
        <v/>
      </c>
      <c r="YW56" s="18" t="str">
        <f ca="1">IF(YX56="","",MAX($YW$1:YW55)+1)</f>
        <v/>
      </c>
      <c r="YX56" s="59" t="str">
        <f t="shared" ca="1" si="149"/>
        <v/>
      </c>
      <c r="YY56" s="18" t="str">
        <f t="shared" ca="1" si="150"/>
        <v/>
      </c>
      <c r="ZR56"/>
    </row>
    <row r="57" spans="41:694" ht="9.9499999999999993" customHeight="1" x14ac:dyDescent="0.2">
      <c r="AO57" s="18">
        <f t="shared" si="119"/>
        <v>56</v>
      </c>
      <c r="AP57" s="59">
        <f t="shared" si="138"/>
        <v>0</v>
      </c>
      <c r="AR57" s="58" t="str">
        <f>""</f>
        <v/>
      </c>
      <c r="AS57" s="58" t="str">
        <f>""</f>
        <v/>
      </c>
      <c r="AT57" s="58" t="str">
        <f>""</f>
        <v/>
      </c>
      <c r="AU57" s="58" t="str">
        <f>""</f>
        <v/>
      </c>
      <c r="AV57" s="58" t="str">
        <f>""</f>
        <v/>
      </c>
      <c r="AW57" s="58" t="s">
        <v>2496</v>
      </c>
      <c r="AX57" s="58" t="str">
        <f>""</f>
        <v/>
      </c>
      <c r="AY57" s="58" t="str">
        <f>""</f>
        <v/>
      </c>
      <c r="AZ57" s="58" t="str">
        <f>""</f>
        <v/>
      </c>
      <c r="BA57" s="58" t="str">
        <f>""</f>
        <v/>
      </c>
      <c r="BB57" s="58" t="str">
        <f>""</f>
        <v/>
      </c>
      <c r="BC57" s="58" t="str">
        <f>""</f>
        <v/>
      </c>
      <c r="BD57" s="58" t="str">
        <f>""</f>
        <v/>
      </c>
      <c r="BJ57" s="70"/>
      <c r="BK57" s="70"/>
      <c r="BL57" s="48"/>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48"/>
      <c r="CN57" s="48"/>
      <c r="CO57" s="48"/>
      <c r="CP57" s="48"/>
      <c r="CQ57" s="48"/>
      <c r="CR57" s="48"/>
      <c r="CS57" s="48"/>
      <c r="CT57" s="48"/>
      <c r="CU57" s="48"/>
      <c r="CV57" s="48"/>
      <c r="CW57" s="48"/>
      <c r="CX57" s="48"/>
      <c r="CY57" s="48"/>
      <c r="CZ57" s="48"/>
      <c r="DA57" s="48"/>
      <c r="DB57" s="48"/>
      <c r="DC57" s="48"/>
      <c r="DD57" s="48"/>
      <c r="DE57" s="48"/>
      <c r="DF57" s="48"/>
      <c r="DG57" s="104"/>
      <c r="DH57" s="104"/>
      <c r="DI57" s="104"/>
      <c r="DJ57" s="104"/>
      <c r="DK57" s="104"/>
      <c r="DO57" s="339"/>
      <c r="DP57" s="339"/>
      <c r="DQ57" s="339"/>
      <c r="DR57" s="339"/>
      <c r="DS57" s="339"/>
      <c r="DT57" s="339"/>
      <c r="DU57" s="339"/>
      <c r="DV57" s="339"/>
      <c r="DW57" s="339"/>
      <c r="DX57" s="339"/>
      <c r="DY57" s="339"/>
      <c r="DZ57" s="339"/>
      <c r="EA57" s="339"/>
      <c r="EB57" s="339"/>
      <c r="EC57" s="339"/>
      <c r="ED57" s="339"/>
      <c r="EE57" s="339"/>
      <c r="EF57" s="339"/>
      <c r="EG57" s="339"/>
      <c r="EH57" s="339"/>
      <c r="FW57" s="48"/>
      <c r="FX57" s="104"/>
      <c r="FY57" s="104"/>
      <c r="FZ57" s="104"/>
      <c r="GA57" s="104"/>
      <c r="GB57" s="104"/>
      <c r="GC57" s="104"/>
      <c r="GD57" s="104"/>
      <c r="GE57" s="104"/>
      <c r="GF57" s="104"/>
      <c r="GG57" s="104"/>
      <c r="GH57" s="104"/>
      <c r="GI57" s="104"/>
      <c r="GJ57" s="104"/>
      <c r="GZ57" s="59"/>
      <c r="HA57" s="59"/>
      <c r="HB57" s="59"/>
      <c r="HC57" s="59"/>
      <c r="HD57" s="59"/>
      <c r="HE57" s="59"/>
      <c r="HF57" s="59"/>
      <c r="HG57" s="59"/>
      <c r="HH57" s="59"/>
      <c r="HI57" s="59"/>
      <c r="HJ57" s="59"/>
      <c r="HK57" s="59" t="s">
        <v>2945</v>
      </c>
      <c r="HL57" s="59" t="s">
        <v>2905</v>
      </c>
      <c r="HM57" s="59"/>
      <c r="HN57" s="59"/>
      <c r="HO57" s="59"/>
      <c r="HP57" s="59"/>
      <c r="HQ57" s="59"/>
      <c r="HR57" s="59"/>
      <c r="HS57" s="59"/>
      <c r="HT57" s="59"/>
      <c r="HU57" s="59"/>
      <c r="HV57" s="59"/>
      <c r="HW57" s="59"/>
      <c r="HX57" s="59"/>
      <c r="HY57" s="59"/>
      <c r="HZ57" s="59"/>
      <c r="IA57" s="59"/>
      <c r="IB57" s="59"/>
      <c r="IC57" s="59"/>
      <c r="ID57" s="59"/>
      <c r="IE57" s="59"/>
      <c r="IF57" s="59"/>
      <c r="IG57" s="59"/>
      <c r="IH57" s="59" t="str">
        <f>IF(IJ57=TRUE,MAX($IH$2:IH56)+1,"")</f>
        <v/>
      </c>
      <c r="II57" s="59"/>
      <c r="IJ57" s="59"/>
      <c r="IK57" s="59"/>
      <c r="IL57" s="59"/>
      <c r="IM57" s="59"/>
      <c r="IN57" s="59"/>
      <c r="IO57" s="59"/>
      <c r="IP57" s="59"/>
      <c r="IQ57" s="59"/>
      <c r="IR57" s="59"/>
      <c r="IS57" s="59"/>
      <c r="IT57" s="59"/>
      <c r="IU57" s="59"/>
      <c r="IX57" s="59" t="s">
        <v>1598</v>
      </c>
      <c r="IY57" s="59" t="s">
        <v>1599</v>
      </c>
      <c r="IZ57" s="59" t="s">
        <v>199</v>
      </c>
      <c r="JA57" s="59" t="s">
        <v>888</v>
      </c>
      <c r="JB57" s="59" t="s">
        <v>1600</v>
      </c>
      <c r="JK57" s="60"/>
      <c r="JL57" s="60"/>
      <c r="JM57" s="296">
        <v>2</v>
      </c>
      <c r="JN57" s="302" t="s">
        <v>140</v>
      </c>
      <c r="JO57" s="302" t="s">
        <v>140</v>
      </c>
      <c r="JP57" s="302" t="s">
        <v>140</v>
      </c>
      <c r="JQ57" s="302" t="s">
        <v>140</v>
      </c>
      <c r="JR57" s="302" t="s">
        <v>140</v>
      </c>
      <c r="JS57" s="302" t="s">
        <v>140</v>
      </c>
      <c r="JT57" s="302" t="s">
        <v>140</v>
      </c>
      <c r="JU57" s="302" t="s">
        <v>140</v>
      </c>
      <c r="JV57" s="302" t="s">
        <v>140</v>
      </c>
      <c r="JW57" s="98">
        <v>0</v>
      </c>
      <c r="JX57" s="302"/>
      <c r="JY57" s="60"/>
      <c r="JZ57" s="60"/>
      <c r="KA57" s="60"/>
      <c r="KB57" s="60"/>
      <c r="KC57" s="60"/>
      <c r="KD57" s="60"/>
      <c r="KE57" s="60"/>
      <c r="KF57" s="60"/>
      <c r="KG57" s="60"/>
      <c r="KH57" s="60"/>
      <c r="KI57" s="60"/>
      <c r="KJ57" s="60"/>
      <c r="KK57" s="60"/>
      <c r="KL57" s="60"/>
      <c r="KM57" s="60"/>
      <c r="KN57" s="60"/>
      <c r="KO57" s="60"/>
      <c r="KP57" s="60"/>
      <c r="KQ57" s="60"/>
      <c r="KR57" s="60"/>
      <c r="KS57" s="99"/>
      <c r="KT57" s="88" t="s">
        <v>1512</v>
      </c>
      <c r="KU57" s="80" t="str">
        <f t="shared" si="128"/>
        <v>No</v>
      </c>
      <c r="KV57" s="89" t="s">
        <v>333</v>
      </c>
      <c r="KW57" s="92"/>
      <c r="KX57" s="92"/>
      <c r="KY57" s="92"/>
      <c r="KZ57" s="92"/>
      <c r="LA57" s="92"/>
      <c r="LB57" s="92"/>
      <c r="LC57" s="92"/>
      <c r="LD57" s="92"/>
      <c r="LE57" s="92"/>
      <c r="LF57" s="92"/>
      <c r="LG57" s="92"/>
      <c r="LH57" s="92"/>
      <c r="LI57" s="92"/>
      <c r="LJ57" s="92"/>
      <c r="LK57" s="92"/>
      <c r="LL57" s="92"/>
      <c r="LM57" s="92"/>
      <c r="LN57" s="92"/>
      <c r="LO57" s="92"/>
      <c r="LP57" s="92"/>
      <c r="LQ57" s="92"/>
      <c r="LR57" s="92"/>
      <c r="LS57" s="92"/>
      <c r="LT57" s="92"/>
      <c r="LU57" s="92"/>
      <c r="LV57" s="92"/>
      <c r="LW57" s="92"/>
      <c r="LX57" s="92"/>
      <c r="LY57" s="92"/>
      <c r="LZ57" s="92"/>
      <c r="MA57" s="92"/>
      <c r="MB57" s="92"/>
      <c r="MC57" s="92"/>
      <c r="MD57" s="92"/>
      <c r="ME57" s="92"/>
      <c r="MF57" s="92"/>
      <c r="MG57" s="92"/>
      <c r="MH57" s="92"/>
      <c r="MI57" s="92"/>
      <c r="MJ57" s="92"/>
      <c r="MK57" s="92"/>
      <c r="ML57" s="92"/>
      <c r="MM57" s="92"/>
      <c r="MN57" s="92"/>
      <c r="MO57" s="92"/>
      <c r="MP57" s="92"/>
      <c r="MQ57" s="92"/>
      <c r="MR57" s="92"/>
      <c r="MS57" s="92"/>
      <c r="MT57" s="92"/>
      <c r="MU57" s="92"/>
      <c r="MV57" s="92"/>
      <c r="MW57" s="92"/>
      <c r="MX57" s="92"/>
      <c r="MY57" s="92"/>
      <c r="MZ57" s="92"/>
      <c r="NA57" s="92"/>
      <c r="NB57" s="92"/>
      <c r="NC57" s="92"/>
      <c r="ND57" s="92"/>
      <c r="NE57" s="92"/>
      <c r="NF57" s="92"/>
      <c r="NG57" s="92"/>
      <c r="NH57" s="92"/>
      <c r="NI57" s="92"/>
      <c r="NJ57" s="92"/>
      <c r="NK57" s="92"/>
      <c r="NL57" s="92"/>
      <c r="NM57" s="92"/>
      <c r="NN57" s="92"/>
      <c r="NO57" s="92"/>
      <c r="NP57" s="92"/>
      <c r="NQ57" s="92"/>
      <c r="NR57" s="92"/>
      <c r="NS57" s="92"/>
      <c r="NT57" s="92"/>
      <c r="NU57" s="92"/>
      <c r="NV57" s="92"/>
      <c r="NW57" s="92"/>
      <c r="NX57" s="92"/>
      <c r="NY57" s="92"/>
      <c r="NZ57" s="92"/>
      <c r="OA57" s="92"/>
      <c r="OB57" s="92"/>
      <c r="OC57" s="92"/>
      <c r="OD57" s="92"/>
      <c r="OE57" s="92"/>
      <c r="OF57" s="92"/>
      <c r="OG57" s="92"/>
      <c r="OH57" s="92"/>
      <c r="OI57" s="92"/>
      <c r="OJ57" s="92"/>
      <c r="OK57" s="92"/>
      <c r="OL57" s="92"/>
      <c r="OM57" s="92"/>
      <c r="ON57" s="92"/>
      <c r="OO57" s="92"/>
      <c r="OP57" s="92"/>
      <c r="OQ57" s="92"/>
      <c r="OR57" s="92"/>
      <c r="OS57" s="92"/>
      <c r="OT57" s="92"/>
      <c r="OU57" s="92"/>
      <c r="OV57" s="92"/>
      <c r="OW57" s="92"/>
      <c r="OX57" s="92"/>
      <c r="OY57" s="92"/>
      <c r="OZ57" s="92"/>
      <c r="PA57" s="92"/>
      <c r="PB57" s="92"/>
      <c r="PC57" s="92"/>
      <c r="PD57" s="92"/>
      <c r="PE57" s="92"/>
      <c r="PF57" s="92"/>
      <c r="PG57" s="92"/>
      <c r="PH57" s="92"/>
      <c r="PI57" s="92"/>
      <c r="PJ57" s="92"/>
      <c r="PK57" s="92"/>
      <c r="PL57" s="92"/>
      <c r="PM57" s="92"/>
      <c r="PN57" s="92"/>
      <c r="PO57" s="92"/>
      <c r="PP57" s="92"/>
      <c r="PQ57" s="92"/>
      <c r="PR57" s="92"/>
      <c r="PS57" s="94" t="str">
        <f>IF(COUNTIF(Start!$AX$59:$BF$68,Tables!KT57)&gt;0,Tables!KT57,"")</f>
        <v/>
      </c>
      <c r="PT57" s="92"/>
      <c r="PU57" s="59" t="str">
        <f t="shared" si="129"/>
        <v/>
      </c>
      <c r="PV57" s="59" t="str">
        <f>IF(PU57="","",IF(COUNTIF(PU57:$PU$57,"&gt;&lt;")&gt;1,PU57&amp;", ", PU57))</f>
        <v/>
      </c>
      <c r="PW57" s="59"/>
      <c r="PX57" s="59"/>
      <c r="PZ57" s="19"/>
      <c r="QA57" s="19"/>
      <c r="QB57" s="27" t="str">
        <f t="shared" si="154"/>
        <v/>
      </c>
      <c r="QC57" s="67"/>
      <c r="QD57" s="19"/>
      <c r="QE57" s="26" t="str">
        <f>""</f>
        <v/>
      </c>
      <c r="QF57" s="26"/>
      <c r="QG57" s="26" t="str">
        <f>""</f>
        <v/>
      </c>
      <c r="QH57" s="26" t="str">
        <f>""</f>
        <v/>
      </c>
      <c r="QI57" s="26" t="str">
        <f>""</f>
        <v/>
      </c>
      <c r="QJ57" s="26" t="str">
        <f>""</f>
        <v/>
      </c>
      <c r="QK57" s="26" t="str">
        <f>""</f>
        <v/>
      </c>
      <c r="QL57" s="26" t="str">
        <f>""</f>
        <v/>
      </c>
      <c r="QM57" s="26" t="str">
        <f>""</f>
        <v/>
      </c>
      <c r="QN57" s="26" t="str">
        <f>""</f>
        <v/>
      </c>
      <c r="QO57" s="26" t="str">
        <f>""</f>
        <v/>
      </c>
      <c r="QP57" s="26" t="str">
        <f>""</f>
        <v/>
      </c>
      <c r="QQ57" s="27" t="str">
        <f>""</f>
        <v/>
      </c>
      <c r="QR57" s="27" t="str">
        <f>""</f>
        <v/>
      </c>
      <c r="SR57" s="19"/>
      <c r="SS57" s="19"/>
      <c r="ST57" s="19"/>
      <c r="SU57" s="26"/>
      <c r="SV57" s="44"/>
      <c r="SW57" s="68"/>
      <c r="SX57" s="26"/>
      <c r="SY57" s="27"/>
      <c r="SZ57" s="26"/>
      <c r="TA57" s="19"/>
      <c r="TB57" s="19"/>
      <c r="TC57" s="19"/>
      <c r="TD57" s="44"/>
      <c r="TE57" s="26"/>
      <c r="TF57" s="68"/>
      <c r="TG57" s="26"/>
      <c r="TH57" s="27"/>
      <c r="TI57" s="27"/>
      <c r="TJ57" s="18">
        <f t="shared" si="115"/>
        <v>55</v>
      </c>
      <c r="TK57" s="58" t="s">
        <v>553</v>
      </c>
      <c r="TL57" s="58" t="s">
        <v>448</v>
      </c>
      <c r="TM57" s="18">
        <v>1</v>
      </c>
      <c r="TN57" s="59" t="str">
        <f t="shared" si="137"/>
        <v xml:space="preserve">Command ᴴ </v>
      </c>
      <c r="TO57" s="350" t="s">
        <v>2991</v>
      </c>
      <c r="TP57" s="18" t="str">
        <f t="shared" si="48"/>
        <v/>
      </c>
      <c r="TQ57" s="18" t="str">
        <f>IF(OR(TK57=Spellcasting!$AC$18,TK57=Spellcasting!$AC$19),"ᵐ","")</f>
        <v/>
      </c>
      <c r="TR57" s="18" t="str">
        <f>IF(OR(TK57=Spellcasting!$AC$20,TK57=Spellcasting!$AC$21),"ˢ","")</f>
        <v/>
      </c>
      <c r="TS57" s="18" t="str">
        <f>""</f>
        <v/>
      </c>
      <c r="TT57" s="18" t="s">
        <v>484</v>
      </c>
      <c r="TU57" s="18" t="s">
        <v>850</v>
      </c>
      <c r="TV57" s="18" t="s">
        <v>547</v>
      </c>
      <c r="TW57" s="18" t="s">
        <v>541</v>
      </c>
      <c r="TX57" s="59" t="str">
        <f>""</f>
        <v/>
      </c>
      <c r="TY57" s="18" t="s">
        <v>498</v>
      </c>
      <c r="TZ57" s="18" t="s">
        <v>499</v>
      </c>
      <c r="UA57" s="142" t="s">
        <v>3155</v>
      </c>
      <c r="UB57" s="319" t="s">
        <v>3252</v>
      </c>
      <c r="UD57" s="18" t="str">
        <f ca="1">IF(UD$1&gt;=$TM57,1,"0")</f>
        <v>0</v>
      </c>
      <c r="UH57" s="18" t="str">
        <f ca="1">IF(UH$1&gt;=$TM57,1,"0")</f>
        <v>0</v>
      </c>
      <c r="UW57" s="18" t="str">
        <f>IF(UW$1&gt;=$TM57,1,"0")</f>
        <v>0</v>
      </c>
      <c r="UY57" s="18" t="str">
        <f>IF(UY$1&gt;=$TM57,1,"0")</f>
        <v>0</v>
      </c>
      <c r="WD57" s="18" t="str">
        <f ca="1">IF(SUM($VZ$1:$WC$1)&gt;0,IF(AND(SUM($VZ57:$WC57)&gt;0,$TM57=WE$1),MAX(WD$2:WD56)+1,""),IF(AND(SUM($UC57:$VY57)&gt;0,$TM57=WE$1),MAX(WD$2:WD56)+1,""))</f>
        <v/>
      </c>
      <c r="WE57" s="59" t="str">
        <f t="shared" ca="1" si="80"/>
        <v/>
      </c>
      <c r="WF57" s="18" t="str">
        <f ca="1">IF(AND(SUM($UB57:$VY57)&gt;0,$TM57=WG$1),MAX(WF$2:WF56)+1,"")</f>
        <v/>
      </c>
      <c r="WG57" s="59" t="str">
        <f t="shared" ca="1" si="81"/>
        <v/>
      </c>
      <c r="WH57" s="18" t="str">
        <f ca="1">IF(AND(SUM($UB57:$VY57)&gt;0,$TM57=WI$1),MAX(WH$2:WH56)+1,"")</f>
        <v/>
      </c>
      <c r="WI57" s="59" t="str">
        <f t="shared" ca="1" si="82"/>
        <v/>
      </c>
      <c r="WJ57" s="18" t="str">
        <f ca="1">IF(AND(SUM($UB57:$VY57)&gt;0,$TM57=WK$1),MAX(WJ$2:WJ56)+1,"")</f>
        <v/>
      </c>
      <c r="WK57" s="59" t="str">
        <f t="shared" ca="1" si="83"/>
        <v/>
      </c>
      <c r="WL57" s="18" t="str">
        <f ca="1">IF(AND(SUM($UB57:$VY57)&gt;0,$TM57=WM$1),MAX(WL$2:WL56)+1,"")</f>
        <v/>
      </c>
      <c r="WM57" s="59" t="str">
        <f t="shared" ca="1" si="84"/>
        <v/>
      </c>
      <c r="WN57" s="18" t="str">
        <f ca="1">IF(AND(SUM($UB57:$VY57)&gt;0,$TM57=WO$1),MAX(WN$2:WN56)+1,"")</f>
        <v/>
      </c>
      <c r="WO57" s="59" t="str">
        <f t="shared" ca="1" si="85"/>
        <v/>
      </c>
      <c r="WP57" s="18" t="str">
        <f ca="1">IF(AND(SUM($UB57:$VY57)&gt;0,$TM57=WQ$1),MAX(WP$2:WP56)+1,"")</f>
        <v/>
      </c>
      <c r="WQ57" s="59" t="str">
        <f t="shared" ca="1" si="86"/>
        <v/>
      </c>
      <c r="WR57" s="18" t="str">
        <f ca="1">IF(AND(SUM($UB57:$VY57)&gt;0,$TM57=WS$1),MAX(WR$2:WR56)+1,"")</f>
        <v/>
      </c>
      <c r="WS57" s="59" t="str">
        <f t="shared" ca="1" si="87"/>
        <v/>
      </c>
      <c r="WT57" s="18" t="str">
        <f ca="1">IF(AND(SUM($UB57:$VY57)&gt;0,$TM57=WU$1),MAX(WT$2:WT56)+1,"")</f>
        <v/>
      </c>
      <c r="WU57" s="59" t="str">
        <f t="shared" ca="1" si="88"/>
        <v/>
      </c>
      <c r="WV57" s="18" t="str">
        <f ca="1">IF(AND(SUM($UB57:$VY57)&gt;0,$TM57=WW$1),MAX(WV$2:WV56)+1,"")</f>
        <v/>
      </c>
      <c r="WW57" s="59" t="str">
        <f t="shared" ca="1" si="89"/>
        <v/>
      </c>
      <c r="WX57" s="18" t="str">
        <f ca="1">IF(AND(SUM($UB57:$VY57)&gt;0,$TM57=WY$1),MAX(WX$2:WX56)+1,"")</f>
        <v/>
      </c>
      <c r="WY57" s="59" t="str">
        <f t="shared" ca="1" si="90"/>
        <v/>
      </c>
      <c r="WZ57" s="59"/>
      <c r="XC57" s="59" t="str">
        <f t="shared" ca="1" si="140"/>
        <v/>
      </c>
      <c r="XD57" s="59"/>
      <c r="XE57" s="59"/>
      <c r="XF57" s="59"/>
      <c r="XG57" s="59"/>
      <c r="XH57" s="59"/>
      <c r="XI57" s="59"/>
      <c r="XJ57" s="59"/>
      <c r="XK57" s="59"/>
      <c r="XL57" s="59"/>
      <c r="XM57" s="59"/>
      <c r="YA57" s="694"/>
      <c r="YT57" s="18" t="s">
        <v>2641</v>
      </c>
      <c r="YU57" s="18">
        <v>8</v>
      </c>
      <c r="YV57" s="18" t="str">
        <f t="shared" ca="1" si="156"/>
        <v/>
      </c>
      <c r="YW57" s="18" t="str">
        <f ca="1">IF(YX57="","",MAX($YW$1:YW56)+1)</f>
        <v/>
      </c>
      <c r="YX57" s="59" t="str">
        <f t="shared" ca="1" si="149"/>
        <v/>
      </c>
      <c r="YY57" s="18" t="str">
        <f t="shared" ca="1" si="150"/>
        <v/>
      </c>
      <c r="ZR57"/>
    </row>
    <row r="58" spans="41:694" ht="9.9499999999999993" customHeight="1" x14ac:dyDescent="0.2">
      <c r="AO58" s="18">
        <f t="shared" si="119"/>
        <v>57</v>
      </c>
      <c r="AP58" s="59">
        <f t="shared" si="138"/>
        <v>0</v>
      </c>
      <c r="AR58" s="58" t="str">
        <f>""</f>
        <v/>
      </c>
      <c r="AS58" s="58" t="str">
        <f>""</f>
        <v/>
      </c>
      <c r="AT58" s="58" t="str">
        <f>""</f>
        <v/>
      </c>
      <c r="AU58" s="58" t="str">
        <f>""</f>
        <v/>
      </c>
      <c r="AV58" s="58" t="str">
        <f>""</f>
        <v/>
      </c>
      <c r="AW58" s="58" t="s">
        <v>2497</v>
      </c>
      <c r="AX58" s="58" t="str">
        <f>""</f>
        <v/>
      </c>
      <c r="AY58" s="58" t="str">
        <f>""</f>
        <v/>
      </c>
      <c r="AZ58" s="58" t="str">
        <f>""</f>
        <v/>
      </c>
      <c r="BA58" s="58" t="str">
        <f>""</f>
        <v/>
      </c>
      <c r="BB58" s="58" t="str">
        <f>""</f>
        <v/>
      </c>
      <c r="BC58" s="58" t="str">
        <f>""</f>
        <v/>
      </c>
      <c r="BD58" s="58" t="str">
        <f>""</f>
        <v/>
      </c>
      <c r="BJ58" s="70"/>
      <c r="BK58" s="70"/>
      <c r="BL58" s="48"/>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48"/>
      <c r="CN58" s="48"/>
      <c r="CO58" s="48"/>
      <c r="CP58" s="48"/>
      <c r="CQ58" s="48"/>
      <c r="CR58" s="48"/>
      <c r="CS58" s="48"/>
      <c r="CT58" s="48"/>
      <c r="CU58" s="48"/>
      <c r="CV58" s="48"/>
      <c r="CW58" s="48"/>
      <c r="CX58" s="48"/>
      <c r="CY58" s="48"/>
      <c r="CZ58" s="48"/>
      <c r="DA58" s="48"/>
      <c r="DB58" s="48"/>
      <c r="DC58" s="48"/>
      <c r="DD58" s="48"/>
      <c r="DE58" s="48"/>
      <c r="DF58" s="48"/>
      <c r="DG58" s="104"/>
      <c r="DH58" s="104"/>
      <c r="DI58" s="104"/>
      <c r="DJ58" s="104"/>
      <c r="DK58" s="104"/>
      <c r="FW58" s="48"/>
      <c r="FX58" s="104"/>
      <c r="FY58" s="104"/>
      <c r="FZ58" s="104"/>
      <c r="GA58" s="104"/>
      <c r="GB58" s="104"/>
      <c r="GC58" s="104"/>
      <c r="GD58" s="104"/>
      <c r="GE58" s="104"/>
      <c r="GF58" s="104"/>
      <c r="GG58" s="104"/>
      <c r="GH58" s="104"/>
      <c r="GI58" s="104"/>
      <c r="GJ58" s="104"/>
      <c r="GZ58" s="59"/>
      <c r="HA58" s="59"/>
      <c r="HB58" s="59"/>
      <c r="HC58" s="59"/>
      <c r="HD58" s="59"/>
      <c r="HE58" s="59"/>
      <c r="HF58" s="59"/>
      <c r="HG58" s="59"/>
      <c r="HH58" s="59"/>
      <c r="HI58" s="59"/>
      <c r="HJ58" s="59"/>
      <c r="HK58" s="59" t="s">
        <v>2946</v>
      </c>
      <c r="HL58" s="59" t="s">
        <v>2905</v>
      </c>
      <c r="HM58" s="59"/>
      <c r="HN58" s="59"/>
      <c r="HO58" s="59"/>
      <c r="HP58" s="59"/>
      <c r="HQ58" s="59"/>
      <c r="HR58" s="59"/>
      <c r="HS58" s="59"/>
      <c r="HT58" s="59"/>
      <c r="HU58" s="59"/>
      <c r="HV58" s="59"/>
      <c r="HW58" s="59"/>
      <c r="HX58" s="59"/>
      <c r="HY58" s="59"/>
      <c r="HZ58" s="59"/>
      <c r="IA58" s="59"/>
      <c r="IB58" s="59"/>
      <c r="IC58" s="59"/>
      <c r="ID58" s="59"/>
      <c r="IE58" s="59"/>
      <c r="IF58" s="59"/>
      <c r="IG58" s="59"/>
      <c r="IH58" s="59" t="str">
        <f>IF(IJ58=TRUE,MAX($IH$2:IH57)+1,"")</f>
        <v/>
      </c>
      <c r="II58" s="59"/>
      <c r="IJ58" s="59"/>
      <c r="IK58" s="59"/>
      <c r="IL58" s="59"/>
      <c r="IM58" s="59"/>
      <c r="IN58" s="59"/>
      <c r="IO58" s="59"/>
      <c r="IP58" s="59"/>
      <c r="IQ58" s="59"/>
      <c r="IR58" s="59"/>
      <c r="IS58" s="59"/>
      <c r="IT58" s="59"/>
      <c r="IU58" s="59"/>
      <c r="IX58" s="59" t="s">
        <v>1601</v>
      </c>
      <c r="IY58" s="59" t="s">
        <v>1602</v>
      </c>
      <c r="IZ58" s="59" t="s">
        <v>194</v>
      </c>
      <c r="JA58" s="59" t="s">
        <v>898</v>
      </c>
      <c r="JB58" s="59" t="s">
        <v>1603</v>
      </c>
      <c r="JK58" s="60"/>
      <c r="JL58" s="60"/>
      <c r="JM58" s="296">
        <v>3</v>
      </c>
      <c r="JN58" s="296">
        <v>2</v>
      </c>
      <c r="JO58" s="302" t="s">
        <v>140</v>
      </c>
      <c r="JP58" s="302" t="s">
        <v>140</v>
      </c>
      <c r="JQ58" s="302" t="s">
        <v>140</v>
      </c>
      <c r="JR58" s="302" t="s">
        <v>140</v>
      </c>
      <c r="JS58" s="302" t="s">
        <v>140</v>
      </c>
      <c r="JT58" s="302" t="s">
        <v>140</v>
      </c>
      <c r="JU58" s="302" t="s">
        <v>140</v>
      </c>
      <c r="JV58" s="302" t="s">
        <v>140</v>
      </c>
      <c r="JW58" s="302">
        <v>1</v>
      </c>
      <c r="JX58" s="302"/>
      <c r="JY58" s="60"/>
      <c r="JZ58" s="60"/>
      <c r="KA58" s="60"/>
      <c r="KB58" s="60"/>
      <c r="KC58" s="60"/>
      <c r="KD58" s="60"/>
      <c r="KE58" s="60"/>
      <c r="KF58" s="60"/>
      <c r="KG58" s="60"/>
      <c r="KH58" s="60"/>
      <c r="KI58" s="60"/>
      <c r="KJ58" s="60"/>
      <c r="KK58" s="60"/>
      <c r="KL58" s="60"/>
      <c r="KM58" s="60"/>
      <c r="KN58" s="60"/>
      <c r="KO58" s="60"/>
      <c r="KP58" s="60"/>
      <c r="KQ58" s="60"/>
      <c r="KR58" s="60"/>
      <c r="KS58" s="99"/>
      <c r="KT58" s="90" t="s">
        <v>187</v>
      </c>
      <c r="KU58" s="102" t="str">
        <f t="shared" si="128"/>
        <v>No</v>
      </c>
      <c r="KV58" s="91" t="s">
        <v>333</v>
      </c>
      <c r="KW58" s="92"/>
      <c r="KX58" s="92"/>
      <c r="KY58" s="92"/>
      <c r="KZ58" s="92"/>
      <c r="LA58" s="92"/>
      <c r="LB58" s="92"/>
      <c r="LC58" s="92"/>
      <c r="LD58" s="92"/>
      <c r="LE58" s="92"/>
      <c r="LF58" s="92"/>
      <c r="LG58" s="92"/>
      <c r="LH58" s="92"/>
      <c r="LI58" s="92"/>
      <c r="LJ58" s="92"/>
      <c r="LK58" s="92"/>
      <c r="LL58" s="92"/>
      <c r="LM58" s="92"/>
      <c r="LN58" s="92"/>
      <c r="LO58" s="92"/>
      <c r="LP58" s="92"/>
      <c r="LQ58" s="92"/>
      <c r="LR58" s="92"/>
      <c r="LS58" s="92"/>
      <c r="LT58" s="92"/>
      <c r="LU58" s="92"/>
      <c r="LV58" s="92"/>
      <c r="LW58" s="92"/>
      <c r="LX58" s="92"/>
      <c r="LY58" s="92"/>
      <c r="LZ58" s="92"/>
      <c r="MA58" s="92"/>
      <c r="MB58" s="92"/>
      <c r="MC58" s="92"/>
      <c r="MD58" s="92"/>
      <c r="ME58" s="92"/>
      <c r="MF58" s="92"/>
      <c r="MG58" s="92"/>
      <c r="MH58" s="92"/>
      <c r="MI58" s="92"/>
      <c r="MJ58" s="92"/>
      <c r="MK58" s="92"/>
      <c r="ML58" s="92"/>
      <c r="MM58" s="92"/>
      <c r="MN58" s="92"/>
      <c r="MO58" s="92"/>
      <c r="MP58" s="92"/>
      <c r="MQ58" s="92"/>
      <c r="MR58" s="92"/>
      <c r="MS58" s="92"/>
      <c r="MT58" s="92"/>
      <c r="MU58" s="92"/>
      <c r="MV58" s="92"/>
      <c r="MW58" s="92"/>
      <c r="MX58" s="92"/>
      <c r="MY58" s="92"/>
      <c r="MZ58" s="92"/>
      <c r="NA58" s="92"/>
      <c r="NB58" s="92"/>
      <c r="NC58" s="92"/>
      <c r="ND58" s="92"/>
      <c r="NE58" s="92"/>
      <c r="NF58" s="92"/>
      <c r="NG58" s="92"/>
      <c r="NH58" s="92"/>
      <c r="NI58" s="92"/>
      <c r="NJ58" s="92"/>
      <c r="NK58" s="92"/>
      <c r="NL58" s="92"/>
      <c r="NM58" s="92"/>
      <c r="NN58" s="92"/>
      <c r="NO58" s="92"/>
      <c r="NP58" s="92"/>
      <c r="NQ58" s="92"/>
      <c r="NR58" s="92"/>
      <c r="NS58" s="92"/>
      <c r="NT58" s="92"/>
      <c r="NU58" s="92"/>
      <c r="NV58" s="92"/>
      <c r="NW58" s="92"/>
      <c r="NX58" s="92"/>
      <c r="NY58" s="92"/>
      <c r="NZ58" s="92"/>
      <c r="OA58" s="92"/>
      <c r="OB58" s="92"/>
      <c r="OC58" s="92"/>
      <c r="OD58" s="92"/>
      <c r="OE58" s="92"/>
      <c r="OF58" s="92"/>
      <c r="OG58" s="92"/>
      <c r="OH58" s="92"/>
      <c r="OI58" s="92"/>
      <c r="OJ58" s="92"/>
      <c r="OK58" s="92"/>
      <c r="OL58" s="92"/>
      <c r="OM58" s="92"/>
      <c r="ON58" s="92"/>
      <c r="OO58" s="92"/>
      <c r="OP58" s="92"/>
      <c r="OQ58" s="92"/>
      <c r="OR58" s="92"/>
      <c r="OS58" s="92"/>
      <c r="OT58" s="92"/>
      <c r="OU58" s="92"/>
      <c r="OV58" s="92"/>
      <c r="OW58" s="92"/>
      <c r="OX58" s="92"/>
      <c r="OY58" s="92"/>
      <c r="OZ58" s="92"/>
      <c r="PA58" s="92"/>
      <c r="PB58" s="92"/>
      <c r="PC58" s="92"/>
      <c r="PD58" s="92"/>
      <c r="PE58" s="92"/>
      <c r="PF58" s="92"/>
      <c r="PG58" s="92"/>
      <c r="PH58" s="92"/>
      <c r="PI58" s="92"/>
      <c r="PJ58" s="92"/>
      <c r="PK58" s="92"/>
      <c r="PL58" s="92"/>
      <c r="PM58" s="92"/>
      <c r="PN58" s="92"/>
      <c r="PO58" s="92"/>
      <c r="PP58" s="92"/>
      <c r="PQ58" s="92"/>
      <c r="PR58" s="92"/>
      <c r="PS58" s="92"/>
      <c r="PT58" s="92"/>
      <c r="PU58" s="59" t="str">
        <f t="shared" si="129"/>
        <v/>
      </c>
      <c r="PV58" s="59" t="str">
        <f>IF(PU58="","",IF(COUNTIF(PU58:$PU$59,"&gt;&lt;")&gt;1,PU58&amp;", ", PU58))</f>
        <v/>
      </c>
      <c r="PW58" s="59"/>
      <c r="PX58" s="59"/>
      <c r="PZ58" s="28"/>
      <c r="QA58" s="28"/>
      <c r="QB58" s="30" t="str">
        <f t="shared" si="154"/>
        <v/>
      </c>
      <c r="QC58" s="31"/>
      <c r="QD58" s="28"/>
      <c r="QE58" s="29" t="str">
        <f>""</f>
        <v/>
      </c>
      <c r="QF58" s="29"/>
      <c r="QG58" s="29" t="str">
        <f>""</f>
        <v/>
      </c>
      <c r="QH58" s="29" t="str">
        <f>""</f>
        <v/>
      </c>
      <c r="QI58" s="29" t="str">
        <f>""</f>
        <v/>
      </c>
      <c r="QJ58" s="29" t="str">
        <f>""</f>
        <v/>
      </c>
      <c r="QK58" s="29" t="str">
        <f>""</f>
        <v/>
      </c>
      <c r="QL58" s="29" t="str">
        <f>""</f>
        <v/>
      </c>
      <c r="QM58" s="29" t="str">
        <f>""</f>
        <v/>
      </c>
      <c r="QN58" s="29" t="str">
        <f>""</f>
        <v/>
      </c>
      <c r="QO58" s="29" t="str">
        <f>""</f>
        <v/>
      </c>
      <c r="QP58" s="29" t="str">
        <f>""</f>
        <v/>
      </c>
      <c r="QQ58" s="30" t="str">
        <f>""</f>
        <v/>
      </c>
      <c r="QR58" s="30" t="str">
        <f>""</f>
        <v/>
      </c>
      <c r="SR58" s="28"/>
      <c r="SS58" s="28"/>
      <c r="ST58" s="28"/>
      <c r="SU58" s="29"/>
      <c r="SV58" s="42"/>
      <c r="SW58" s="69"/>
      <c r="SX58" s="29"/>
      <c r="SY58" s="30"/>
      <c r="SZ58" s="29"/>
      <c r="TA58" s="28"/>
      <c r="TB58" s="28"/>
      <c r="TC58" s="28"/>
      <c r="TD58" s="42"/>
      <c r="TE58" s="29"/>
      <c r="TF58" s="69"/>
      <c r="TG58" s="29"/>
      <c r="TH58" s="30"/>
      <c r="TI58" s="30"/>
      <c r="TJ58" s="18">
        <f t="shared" si="115"/>
        <v>56</v>
      </c>
      <c r="TK58" s="58" t="s">
        <v>554</v>
      </c>
      <c r="TL58" s="58" t="s">
        <v>462</v>
      </c>
      <c r="TM58" s="18">
        <v>5</v>
      </c>
      <c r="TN58" s="59" t="str">
        <f t="shared" si="137"/>
        <v xml:space="preserve">Commune </v>
      </c>
      <c r="TO58" s="18" t="str">
        <f>""</f>
        <v/>
      </c>
      <c r="TP58" s="18" t="str">
        <f t="shared" si="48"/>
        <v/>
      </c>
      <c r="TQ58" s="18" t="str">
        <f>IF(OR(TK58=Spellcasting!$AC$18,TK58=Spellcasting!$AC$19),"ᵐ","")</f>
        <v/>
      </c>
      <c r="TR58" s="18" t="str">
        <f>IF(OR(TK58=Spellcasting!$AC$20,TK58=Spellcasting!$AC$21),"ˢ","")</f>
        <v/>
      </c>
      <c r="TS58" s="18" t="s">
        <v>477</v>
      </c>
      <c r="TT58" s="18" t="s">
        <v>494</v>
      </c>
      <c r="TU58" s="18" t="s">
        <v>509</v>
      </c>
      <c r="TV58" s="18" t="s">
        <v>503</v>
      </c>
      <c r="TW58" s="18" t="s">
        <v>495</v>
      </c>
      <c r="TX58" s="59" t="s">
        <v>869</v>
      </c>
      <c r="TY58" s="18" t="s">
        <v>511</v>
      </c>
      <c r="TZ58" s="18" t="s">
        <v>512</v>
      </c>
      <c r="UA58" s="142" t="s">
        <v>870</v>
      </c>
      <c r="UB58" s="319" t="s">
        <v>3253</v>
      </c>
      <c r="UE58" s="18" t="str">
        <f ca="1">IF(UE$1&gt;=$TM58,1,"0")</f>
        <v>0</v>
      </c>
      <c r="UH58" s="18" t="str">
        <f ca="1">IF(UH$1&gt;=$TM58,1,"0")</f>
        <v>0</v>
      </c>
      <c r="UO58" s="18" t="str">
        <f>IF(UO$1&gt;=$TM58,1,"0")</f>
        <v>0</v>
      </c>
      <c r="WD58" s="18" t="str">
        <f ca="1">IF(SUM($VZ$1:$WC$1)&gt;0,IF(AND(SUM($VZ58:$WC58)&gt;0,$TM58=WE$1),MAX(WD$2:WD57)+1,""),IF(AND(SUM($UC58:$VY58)&gt;0,$TM58=WE$1),MAX(WD$2:WD57)+1,""))</f>
        <v/>
      </c>
      <c r="WE58" s="59" t="str">
        <f t="shared" ca="1" si="80"/>
        <v/>
      </c>
      <c r="WF58" s="18" t="str">
        <f ca="1">IF(AND(SUM($UB58:$VY58)&gt;0,$TM58=WG$1),MAX(WF$2:WF57)+1,"")</f>
        <v/>
      </c>
      <c r="WG58" s="59" t="str">
        <f t="shared" ca="1" si="81"/>
        <v/>
      </c>
      <c r="WH58" s="18" t="str">
        <f ca="1">IF(AND(SUM($UB58:$VY58)&gt;0,$TM58=WI$1),MAX(WH$2:WH57)+1,"")</f>
        <v/>
      </c>
      <c r="WI58" s="59" t="str">
        <f t="shared" ca="1" si="82"/>
        <v/>
      </c>
      <c r="WJ58" s="18" t="str">
        <f ca="1">IF(AND(SUM($UB58:$VY58)&gt;0,$TM58=WK$1),MAX(WJ$2:WJ57)+1,"")</f>
        <v/>
      </c>
      <c r="WK58" s="59" t="str">
        <f t="shared" ca="1" si="83"/>
        <v/>
      </c>
      <c r="WL58" s="18" t="str">
        <f ca="1">IF(AND(SUM($UB58:$VY58)&gt;0,$TM58=WM$1),MAX(WL$2:WL57)+1,"")</f>
        <v/>
      </c>
      <c r="WM58" s="59" t="str">
        <f t="shared" ca="1" si="84"/>
        <v/>
      </c>
      <c r="WN58" s="18" t="str">
        <f ca="1">IF(AND(SUM($UB58:$VY58)&gt;0,$TM58=WO$1),MAX(WN$2:WN57)+1,"")</f>
        <v/>
      </c>
      <c r="WO58" s="59" t="str">
        <f t="shared" ca="1" si="85"/>
        <v/>
      </c>
      <c r="WP58" s="18" t="str">
        <f ca="1">IF(AND(SUM($UB58:$VY58)&gt;0,$TM58=WQ$1),MAX(WP$2:WP57)+1,"")</f>
        <v/>
      </c>
      <c r="WQ58" s="59" t="str">
        <f t="shared" ca="1" si="86"/>
        <v/>
      </c>
      <c r="WR58" s="18" t="str">
        <f ca="1">IF(AND(SUM($UB58:$VY58)&gt;0,$TM58=WS$1),MAX(WR$2:WR57)+1,"")</f>
        <v/>
      </c>
      <c r="WS58" s="59" t="str">
        <f t="shared" ca="1" si="87"/>
        <v/>
      </c>
      <c r="WT58" s="18" t="str">
        <f ca="1">IF(AND(SUM($UB58:$VY58)&gt;0,$TM58=WU$1),MAX(WT$2:WT57)+1,"")</f>
        <v/>
      </c>
      <c r="WU58" s="59" t="str">
        <f t="shared" ca="1" si="88"/>
        <v/>
      </c>
      <c r="WV58" s="18" t="str">
        <f ca="1">IF(AND(SUM($UB58:$VY58)&gt;0,$TM58=WW$1),MAX(WV$2:WV57)+1,"")</f>
        <v/>
      </c>
      <c r="WW58" s="59" t="str">
        <f t="shared" ca="1" si="89"/>
        <v/>
      </c>
      <c r="WX58" s="18" t="str">
        <f ca="1">IF(AND(SUM($UB58:$VY58)&gt;0,$TM58=WY$1),MAX(WX$2:WX57)+1,"")</f>
        <v/>
      </c>
      <c r="WY58" s="59" t="str">
        <f t="shared" ca="1" si="90"/>
        <v/>
      </c>
      <c r="WZ58" s="59"/>
      <c r="XC58" s="59" t="str">
        <f t="shared" ca="1" si="140"/>
        <v/>
      </c>
      <c r="XD58" s="59"/>
      <c r="XE58" s="59"/>
      <c r="XF58" s="59"/>
      <c r="XG58" s="59"/>
      <c r="XH58" s="59"/>
      <c r="XI58" s="59"/>
      <c r="XJ58" s="59"/>
      <c r="XK58" s="59"/>
      <c r="XL58" s="59"/>
      <c r="XM58" s="59"/>
      <c r="YT58" s="18" t="s">
        <v>2641</v>
      </c>
      <c r="YU58" s="18">
        <v>12</v>
      </c>
      <c r="YV58" s="18" t="str">
        <f t="shared" ca="1" si="156"/>
        <v/>
      </c>
      <c r="YW58" s="18" t="str">
        <f ca="1">IF(YX58="","",MAX($YW$1:YW57)+1)</f>
        <v/>
      </c>
      <c r="YX58" s="59" t="str">
        <f t="shared" ca="1" si="149"/>
        <v/>
      </c>
      <c r="YY58" s="18" t="str">
        <f t="shared" ca="1" si="150"/>
        <v/>
      </c>
      <c r="ZR58"/>
    </row>
    <row r="59" spans="41:694" ht="9.9499999999999993" customHeight="1" x14ac:dyDescent="0.2">
      <c r="AO59" s="18">
        <f t="shared" si="119"/>
        <v>58</v>
      </c>
      <c r="AP59" s="59">
        <f t="shared" si="138"/>
        <v>0</v>
      </c>
      <c r="AR59" s="58" t="str">
        <f>""</f>
        <v/>
      </c>
      <c r="AS59" s="58" t="str">
        <f>""</f>
        <v/>
      </c>
      <c r="AT59" s="58" t="str">
        <f>""</f>
        <v/>
      </c>
      <c r="AU59" s="58" t="str">
        <f>""</f>
        <v/>
      </c>
      <c r="AV59" s="58" t="str">
        <f>""</f>
        <v/>
      </c>
      <c r="AW59" s="58" t="s">
        <v>2498</v>
      </c>
      <c r="AX59" s="58" t="str">
        <f>""</f>
        <v/>
      </c>
      <c r="AY59" s="58" t="str">
        <f>""</f>
        <v/>
      </c>
      <c r="AZ59" s="58" t="str">
        <f>""</f>
        <v/>
      </c>
      <c r="BA59" s="58" t="str">
        <f>""</f>
        <v/>
      </c>
      <c r="BB59" s="58" t="str">
        <f>""</f>
        <v/>
      </c>
      <c r="BC59" s="58" t="str">
        <f>""</f>
        <v/>
      </c>
      <c r="BD59" s="58" t="str">
        <f>""</f>
        <v/>
      </c>
      <c r="BJ59" s="70"/>
      <c r="BK59" s="70"/>
      <c r="BL59" s="48"/>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48"/>
      <c r="CN59" s="48"/>
      <c r="CO59" s="48"/>
      <c r="CP59" s="48"/>
      <c r="CQ59" s="48"/>
      <c r="CR59" s="48"/>
      <c r="CS59" s="48"/>
      <c r="CT59" s="48"/>
      <c r="CU59" s="48"/>
      <c r="CV59" s="48"/>
      <c r="CW59" s="48"/>
      <c r="CX59" s="48"/>
      <c r="CY59" s="48"/>
      <c r="CZ59" s="48"/>
      <c r="DA59" s="48"/>
      <c r="DB59" s="48"/>
      <c r="DC59" s="48"/>
      <c r="DD59" s="48"/>
      <c r="DE59" s="48"/>
      <c r="DF59" s="48"/>
      <c r="DG59" s="104"/>
      <c r="DH59" s="104"/>
      <c r="DI59" s="104"/>
      <c r="DJ59" s="104"/>
      <c r="DK59" s="104"/>
      <c r="FW59" s="48"/>
      <c r="FX59" s="104"/>
      <c r="FY59" s="104"/>
      <c r="FZ59" s="104"/>
      <c r="GA59" s="104"/>
      <c r="GB59" s="104"/>
      <c r="GC59" s="104"/>
      <c r="GD59" s="104"/>
      <c r="GE59" s="104"/>
      <c r="GF59" s="104"/>
      <c r="GG59" s="104"/>
      <c r="GH59" s="104"/>
      <c r="GI59" s="104"/>
      <c r="GJ59" s="104"/>
      <c r="GZ59" s="59"/>
      <c r="HA59" s="59"/>
      <c r="HB59" s="59"/>
      <c r="HC59" s="59"/>
      <c r="HD59" s="59"/>
      <c r="HE59" s="59"/>
      <c r="HF59" s="59"/>
      <c r="HG59" s="59"/>
      <c r="HH59" s="59"/>
      <c r="HI59" s="59"/>
      <c r="HJ59" s="59"/>
      <c r="HK59" s="59" t="s">
        <v>2947</v>
      </c>
      <c r="HL59" s="59" t="s">
        <v>2905</v>
      </c>
      <c r="HM59" s="59"/>
      <c r="HN59" s="59"/>
      <c r="HO59" s="59"/>
      <c r="HP59" s="59"/>
      <c r="HQ59" s="59"/>
      <c r="HR59" s="59"/>
      <c r="HS59" s="59"/>
      <c r="HT59" s="59"/>
      <c r="HU59" s="59"/>
      <c r="HV59" s="59"/>
      <c r="HW59" s="59"/>
      <c r="HX59" s="59"/>
      <c r="HY59" s="59"/>
      <c r="HZ59" s="59"/>
      <c r="IA59" s="59"/>
      <c r="IB59" s="59"/>
      <c r="IC59" s="59"/>
      <c r="ID59" s="59"/>
      <c r="IE59" s="59"/>
      <c r="IF59" s="59"/>
      <c r="IG59" s="59"/>
      <c r="IH59" s="59" t="str">
        <f>IF(IJ59=TRUE,MAX($IH$2:IH58)+1,"")</f>
        <v/>
      </c>
      <c r="II59" s="59"/>
      <c r="IJ59" s="59"/>
      <c r="IK59" s="59"/>
      <c r="IL59" s="59"/>
      <c r="IM59" s="59"/>
      <c r="IN59" s="59"/>
      <c r="IO59" s="59"/>
      <c r="IP59" s="59"/>
      <c r="IQ59" s="59"/>
      <c r="IR59" s="59"/>
      <c r="IS59" s="59"/>
      <c r="IT59" s="59"/>
      <c r="IU59" s="59"/>
      <c r="IX59" s="59" t="s">
        <v>1604</v>
      </c>
      <c r="IY59" s="59" t="s">
        <v>1605</v>
      </c>
      <c r="IZ59" s="59" t="s">
        <v>196</v>
      </c>
      <c r="JA59" s="59" t="s">
        <v>91</v>
      </c>
      <c r="JB59" s="59" t="s">
        <v>1606</v>
      </c>
      <c r="JK59" s="60"/>
      <c r="JL59" s="60"/>
      <c r="JM59" s="296">
        <v>4</v>
      </c>
      <c r="JN59" s="296">
        <v>3</v>
      </c>
      <c r="JO59" s="302" t="s">
        <v>140</v>
      </c>
      <c r="JP59" s="302" t="s">
        <v>140</v>
      </c>
      <c r="JQ59" s="302" t="s">
        <v>140</v>
      </c>
      <c r="JR59" s="302" t="s">
        <v>140</v>
      </c>
      <c r="JS59" s="302" t="s">
        <v>140</v>
      </c>
      <c r="JT59" s="302" t="s">
        <v>140</v>
      </c>
      <c r="JU59" s="302" t="s">
        <v>140</v>
      </c>
      <c r="JV59" s="302" t="s">
        <v>140</v>
      </c>
      <c r="JW59" s="302">
        <v>1</v>
      </c>
      <c r="JX59" s="302"/>
      <c r="JY59" s="60"/>
      <c r="JZ59" s="60"/>
      <c r="KA59" s="60"/>
      <c r="KB59" s="60"/>
      <c r="KC59" s="60"/>
      <c r="KD59" s="60"/>
      <c r="KE59" s="60"/>
      <c r="KF59" s="60"/>
      <c r="KG59" s="60"/>
      <c r="KH59" s="60"/>
      <c r="KI59" s="60"/>
      <c r="KJ59" s="60"/>
      <c r="KK59" s="60"/>
      <c r="KL59" s="60"/>
      <c r="KM59" s="60"/>
      <c r="KN59" s="60"/>
      <c r="KO59" s="60"/>
      <c r="KP59" s="60"/>
      <c r="KQ59" s="60"/>
      <c r="KR59" s="60"/>
      <c r="KS59" s="99"/>
      <c r="KT59"/>
      <c r="KU59" s="95"/>
      <c r="KV59"/>
      <c r="KW59" s="92"/>
      <c r="KX59" s="92"/>
      <c r="KY59" s="92"/>
      <c r="KZ59" s="92"/>
      <c r="LA59" s="92"/>
      <c r="LB59" s="92"/>
      <c r="LC59" s="92"/>
      <c r="LD59" s="92"/>
      <c r="LE59" s="92"/>
      <c r="LF59" s="92"/>
      <c r="LG59" s="92"/>
      <c r="LH59" s="92"/>
      <c r="LI59" s="92"/>
      <c r="LJ59" s="92"/>
      <c r="LK59" s="92"/>
      <c r="LL59" s="92"/>
      <c r="LM59" s="92"/>
      <c r="LN59" s="92"/>
      <c r="LO59" s="92"/>
      <c r="LP59" s="92"/>
      <c r="LQ59" s="92"/>
      <c r="LR59" s="92"/>
      <c r="LS59" s="92"/>
      <c r="LT59" s="92"/>
      <c r="LU59" s="92"/>
      <c r="LV59" s="92"/>
      <c r="LW59" s="92"/>
      <c r="LX59" s="92"/>
      <c r="LY59" s="92"/>
      <c r="LZ59" s="95"/>
      <c r="MA59" s="95"/>
      <c r="MB59" s="95"/>
      <c r="MC59" s="95"/>
      <c r="MD59" s="95"/>
      <c r="ME59" s="95"/>
      <c r="MF59" s="95"/>
      <c r="MG59" s="95"/>
      <c r="MH59" s="95"/>
      <c r="MI59" s="95"/>
      <c r="MJ59" s="95"/>
      <c r="MK59" s="95"/>
      <c r="ML59" s="95"/>
      <c r="MM59" s="95"/>
      <c r="MN59" s="95"/>
      <c r="MO59" s="95"/>
      <c r="MP59" s="95"/>
      <c r="MQ59" s="95"/>
      <c r="MR59" s="95"/>
      <c r="MS59" s="95"/>
      <c r="MT59" s="95"/>
      <c r="MU59" s="95"/>
      <c r="MV59" s="95"/>
      <c r="MW59" s="95"/>
      <c r="MX59" s="95"/>
      <c r="MY59" s="95"/>
      <c r="MZ59" s="95"/>
      <c r="NA59" s="95"/>
      <c r="NB59" s="95"/>
      <c r="NC59" s="95"/>
      <c r="ND59" s="95"/>
      <c r="NE59" s="95"/>
      <c r="NF59" s="95"/>
      <c r="NG59" s="95"/>
      <c r="NH59" s="95"/>
      <c r="NI59" s="95"/>
      <c r="NJ59" s="95"/>
      <c r="NK59" s="95"/>
      <c r="NL59" s="95"/>
      <c r="NM59" s="95"/>
      <c r="NN59" s="95"/>
      <c r="NO59" s="95"/>
      <c r="NP59" s="95"/>
      <c r="NQ59" s="95"/>
      <c r="NR59" s="95"/>
      <c r="NS59" s="95"/>
      <c r="NT59" s="95"/>
      <c r="NU59" s="95"/>
      <c r="NV59" s="95"/>
      <c r="NW59" s="95"/>
      <c r="NX59" s="95"/>
      <c r="NY59" s="95"/>
      <c r="NZ59" s="95"/>
      <c r="OA59" s="95"/>
      <c r="OB59" s="95"/>
      <c r="OC59" s="95"/>
      <c r="OD59" s="95"/>
      <c r="OE59" s="95"/>
      <c r="OF59" s="95"/>
      <c r="OG59" s="95"/>
      <c r="OH59" s="95"/>
      <c r="OI59" s="95"/>
      <c r="OJ59" s="95"/>
      <c r="OK59" s="95"/>
      <c r="OL59" s="95"/>
      <c r="OM59" s="95"/>
      <c r="ON59" s="95"/>
      <c r="OO59" s="95"/>
      <c r="OP59" s="95"/>
      <c r="OQ59" s="95"/>
      <c r="OR59" s="95"/>
      <c r="OS59" s="95"/>
      <c r="OT59" s="95"/>
      <c r="OU59" s="95"/>
      <c r="OV59" s="95"/>
      <c r="OW59" s="95"/>
      <c r="OX59" s="95"/>
      <c r="OY59" s="95"/>
      <c r="OZ59" s="95"/>
      <c r="PA59" s="95"/>
      <c r="PB59" s="95"/>
      <c r="PC59" s="95"/>
      <c r="PD59" s="95"/>
      <c r="PE59" s="95"/>
      <c r="PF59" s="95"/>
      <c r="PG59" s="95"/>
      <c r="PH59" s="95"/>
      <c r="PI59" s="95"/>
      <c r="PJ59" s="95"/>
      <c r="PK59" s="95"/>
      <c r="PL59" s="95"/>
      <c r="PM59" s="95"/>
      <c r="PN59" s="95"/>
      <c r="PO59" s="95"/>
      <c r="PP59" s="95"/>
      <c r="PQ59" s="95"/>
      <c r="PR59" s="95"/>
      <c r="PS59" s="95"/>
      <c r="PT59" s="95"/>
      <c r="PU59" s="100"/>
      <c r="PV59" s="100"/>
      <c r="PW59" s="100"/>
      <c r="PX59" s="59"/>
      <c r="PY59" s="60"/>
      <c r="PZ59" s="19"/>
      <c r="QA59" s="19"/>
      <c r="QB59" s="27" t="str">
        <f t="shared" si="154"/>
        <v/>
      </c>
      <c r="QC59" s="67"/>
      <c r="QD59" s="19"/>
      <c r="QE59" s="26" t="str">
        <f>""</f>
        <v/>
      </c>
      <c r="QF59" s="26"/>
      <c r="QG59" s="26" t="str">
        <f>""</f>
        <v/>
      </c>
      <c r="QH59" s="26" t="str">
        <f>""</f>
        <v/>
      </c>
      <c r="QI59" s="26" t="str">
        <f>""</f>
        <v/>
      </c>
      <c r="QJ59" s="26" t="str">
        <f>""</f>
        <v/>
      </c>
      <c r="QK59" s="26" t="str">
        <f>""</f>
        <v/>
      </c>
      <c r="QL59" s="26" t="str">
        <f>""</f>
        <v/>
      </c>
      <c r="QM59" s="26" t="str">
        <f>""</f>
        <v/>
      </c>
      <c r="QN59" s="26" t="str">
        <f>""</f>
        <v/>
      </c>
      <c r="QO59" s="26" t="str">
        <f>""</f>
        <v/>
      </c>
      <c r="QP59" s="26" t="str">
        <f>""</f>
        <v/>
      </c>
      <c r="QQ59" s="27" t="str">
        <f>""</f>
        <v/>
      </c>
      <c r="QR59" s="27" t="str">
        <f>""</f>
        <v/>
      </c>
      <c r="SR59" s="19"/>
      <c r="SS59" s="19"/>
      <c r="ST59" s="19"/>
      <c r="SU59" s="26"/>
      <c r="SV59" s="44"/>
      <c r="SW59" s="68"/>
      <c r="SX59" s="26"/>
      <c r="SY59" s="27"/>
      <c r="SZ59" s="26"/>
      <c r="TA59" s="19"/>
      <c r="TB59" s="19"/>
      <c r="TC59" s="19"/>
      <c r="TD59" s="44"/>
      <c r="TE59" s="26"/>
      <c r="TF59" s="68"/>
      <c r="TG59" s="26"/>
      <c r="TH59" s="27"/>
      <c r="TI59" s="27"/>
      <c r="TJ59" s="18">
        <f t="shared" si="115"/>
        <v>57</v>
      </c>
      <c r="TK59" s="58" t="s">
        <v>2665</v>
      </c>
      <c r="TL59" s="58" t="s">
        <v>462</v>
      </c>
      <c r="TM59" s="18">
        <v>5</v>
      </c>
      <c r="TN59" s="59" t="str">
        <f t="shared" si="137"/>
        <v xml:space="preserve">Commune with Nature </v>
      </c>
      <c r="TO59" s="18" t="str">
        <f>""</f>
        <v/>
      </c>
      <c r="TP59" s="18" t="str">
        <f t="shared" si="48"/>
        <v/>
      </c>
      <c r="TQ59" s="18" t="str">
        <f>IF(OR(TK59=Spellcasting!$AC$18,TK59=Spellcasting!$AC$19),"ᵐ","")</f>
        <v/>
      </c>
      <c r="TR59" s="18" t="str">
        <f>IF(OR(TK59=Spellcasting!$AC$20,TK59=Spellcasting!$AC$21),"ˢ","")</f>
        <v/>
      </c>
      <c r="TS59" s="18" t="s">
        <v>477</v>
      </c>
      <c r="TT59" s="18" t="s">
        <v>494</v>
      </c>
      <c r="TU59" s="18" t="s">
        <v>509</v>
      </c>
      <c r="TV59" s="18" t="s">
        <v>505</v>
      </c>
      <c r="TW59" s="18" t="s">
        <v>486</v>
      </c>
      <c r="TY59" s="18" t="s">
        <v>511</v>
      </c>
      <c r="TZ59" s="18" t="s">
        <v>512</v>
      </c>
      <c r="UA59" s="142" t="s">
        <v>2666</v>
      </c>
      <c r="UB59" s="319" t="s">
        <v>3013</v>
      </c>
      <c r="UI59" s="18" t="str">
        <f ca="1">IF(UI$1&gt;=$TM59,1,"0")</f>
        <v>0</v>
      </c>
      <c r="UP59" s="18" t="str">
        <f>IF(UP$1&gt;=$TM59,1,"0")</f>
        <v>0</v>
      </c>
      <c r="VG59" s="18" t="str">
        <f>IF(VG$1&gt;=$TM59,1,"0")</f>
        <v>0</v>
      </c>
      <c r="VJ59" s="18" t="str">
        <f>IF(VJ$1&gt;=$TM59,1,"0")</f>
        <v>0</v>
      </c>
      <c r="WD59" s="18" t="str">
        <f ca="1">IF(SUM($VZ$1:$WC$1)&gt;0,IF(AND(SUM($VZ59:$WC59)&gt;0,$TM59=WE$1),MAX(WD$2:WD58)+1,""),IF(AND(SUM($UC59:$VY59)&gt;0,$TM59=WE$1),MAX(WD$2:WD58)+1,""))</f>
        <v/>
      </c>
      <c r="WE59" s="59" t="str">
        <f t="shared" ca="1" si="80"/>
        <v/>
      </c>
      <c r="WF59" s="18" t="str">
        <f ca="1">IF(AND(SUM($UB59:$VY59)&gt;0,$TM59=WG$1),MAX(WF$2:WF58)+1,"")</f>
        <v/>
      </c>
      <c r="WG59" s="59" t="str">
        <f t="shared" ca="1" si="81"/>
        <v/>
      </c>
      <c r="WH59" s="18" t="str">
        <f ca="1">IF(AND(SUM($UB59:$VY59)&gt;0,$TM59=WI$1),MAX(WH$2:WH58)+1,"")</f>
        <v/>
      </c>
      <c r="WI59" s="59" t="str">
        <f t="shared" ca="1" si="82"/>
        <v/>
      </c>
      <c r="WJ59" s="18" t="str">
        <f ca="1">IF(AND(SUM($UB59:$VY59)&gt;0,$TM59=WK$1),MAX(WJ$2:WJ58)+1,"")</f>
        <v/>
      </c>
      <c r="WK59" s="59" t="str">
        <f t="shared" ca="1" si="83"/>
        <v/>
      </c>
      <c r="WL59" s="18" t="str">
        <f ca="1">IF(AND(SUM($UB59:$VY59)&gt;0,$TM59=WM$1),MAX(WL$2:WL58)+1,"")</f>
        <v/>
      </c>
      <c r="WM59" s="59" t="str">
        <f t="shared" ca="1" si="84"/>
        <v/>
      </c>
      <c r="WN59" s="18" t="str">
        <f ca="1">IF(AND(SUM($UB59:$VY59)&gt;0,$TM59=WO$1),MAX(WN$2:WN58)+1,"")</f>
        <v/>
      </c>
      <c r="WO59" s="59" t="str">
        <f t="shared" ca="1" si="85"/>
        <v/>
      </c>
      <c r="WP59" s="18" t="str">
        <f ca="1">IF(AND(SUM($UB59:$VY59)&gt;0,$TM59=WQ$1),MAX(WP$2:WP58)+1,"")</f>
        <v/>
      </c>
      <c r="WQ59" s="59" t="str">
        <f t="shared" ca="1" si="86"/>
        <v/>
      </c>
      <c r="WR59" s="18" t="str">
        <f ca="1">IF(AND(SUM($UB59:$VY59)&gt;0,$TM59=WS$1),MAX(WR$2:WR58)+1,"")</f>
        <v/>
      </c>
      <c r="WS59" s="59" t="str">
        <f t="shared" ca="1" si="87"/>
        <v/>
      </c>
      <c r="WT59" s="18" t="str">
        <f ca="1">IF(AND(SUM($UB59:$VY59)&gt;0,$TM59=WU$1),MAX(WT$2:WT58)+1,"")</f>
        <v/>
      </c>
      <c r="WU59" s="59" t="str">
        <f t="shared" ca="1" si="88"/>
        <v/>
      </c>
      <c r="WV59" s="18" t="str">
        <f ca="1">IF(AND(SUM($UB59:$VY59)&gt;0,$TM59=WW$1),MAX(WV$2:WV58)+1,"")</f>
        <v/>
      </c>
      <c r="WW59" s="59" t="str">
        <f t="shared" ca="1" si="89"/>
        <v/>
      </c>
      <c r="WX59" s="18" t="str">
        <f ca="1">IF(AND(SUM($UB59:$VY59)&gt;0,$TM59=WY$1),MAX(WX$2:WX58)+1,"")</f>
        <v/>
      </c>
      <c r="WY59" s="59" t="str">
        <f t="shared" ca="1" si="90"/>
        <v/>
      </c>
      <c r="WZ59" s="59"/>
      <c r="XC59" s="59" t="str">
        <f t="shared" ca="1" si="140"/>
        <v/>
      </c>
      <c r="XD59" s="59"/>
      <c r="XE59" s="59"/>
      <c r="XF59" s="59"/>
      <c r="XG59" s="59"/>
      <c r="XH59" s="59"/>
      <c r="XI59" s="59"/>
      <c r="XJ59" s="59"/>
      <c r="XK59" s="59"/>
      <c r="XL59" s="59"/>
      <c r="XM59" s="59"/>
      <c r="YT59" s="18" t="s">
        <v>2641</v>
      </c>
      <c r="YU59" s="18">
        <v>16</v>
      </c>
      <c r="YV59" s="18" t="str">
        <f t="shared" ca="1" si="156"/>
        <v/>
      </c>
      <c r="YW59" s="18" t="str">
        <f ca="1">IF(YX59="","",MAX($YW$1:YW58)+1)</f>
        <v/>
      </c>
      <c r="YX59" s="59" t="str">
        <f t="shared" ca="1" si="149"/>
        <v/>
      </c>
      <c r="YY59" s="18" t="str">
        <f t="shared" ca="1" si="150"/>
        <v/>
      </c>
      <c r="ZR59"/>
    </row>
    <row r="60" spans="41:694" ht="9.9499999999999993" customHeight="1" x14ac:dyDescent="0.2">
      <c r="AO60" s="18">
        <f t="shared" si="119"/>
        <v>59</v>
      </c>
      <c r="AP60" s="59">
        <f t="shared" si="138"/>
        <v>0</v>
      </c>
      <c r="AR60" s="58" t="str">
        <f>""</f>
        <v/>
      </c>
      <c r="AS60" s="58" t="str">
        <f>""</f>
        <v/>
      </c>
      <c r="AT60" s="58" t="str">
        <f>""</f>
        <v/>
      </c>
      <c r="AU60" s="58" t="str">
        <f>""</f>
        <v/>
      </c>
      <c r="AV60" s="58" t="str">
        <f>""</f>
        <v/>
      </c>
      <c r="AW60" s="58" t="s">
        <v>2499</v>
      </c>
      <c r="AX60" s="58" t="str">
        <f>""</f>
        <v/>
      </c>
      <c r="AY60" s="58" t="str">
        <f>""</f>
        <v/>
      </c>
      <c r="AZ60" s="58" t="str">
        <f>""</f>
        <v/>
      </c>
      <c r="BA60" s="58" t="str">
        <f>""</f>
        <v/>
      </c>
      <c r="BB60" s="58" t="str">
        <f>""</f>
        <v/>
      </c>
      <c r="BC60" s="58" t="str">
        <f>""</f>
        <v/>
      </c>
      <c r="BD60" s="58" t="str">
        <f>""</f>
        <v/>
      </c>
      <c r="BJ60" s="70"/>
      <c r="BK60" s="70"/>
      <c r="BL60" s="48"/>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48"/>
      <c r="CN60" s="48"/>
      <c r="CO60" s="48"/>
      <c r="CP60" s="48"/>
      <c r="CQ60" s="48"/>
      <c r="CR60" s="48"/>
      <c r="CS60" s="48"/>
      <c r="CT60" s="48"/>
      <c r="CU60" s="48"/>
      <c r="CV60" s="48"/>
      <c r="CW60" s="48"/>
      <c r="CX60" s="48"/>
      <c r="CY60" s="48"/>
      <c r="CZ60" s="48"/>
      <c r="DA60" s="48"/>
      <c r="DB60" s="48"/>
      <c r="DC60" s="48"/>
      <c r="DD60" s="48"/>
      <c r="DE60" s="48"/>
      <c r="DF60" s="48"/>
      <c r="DG60" s="104"/>
      <c r="DH60" s="104"/>
      <c r="DI60" s="104"/>
      <c r="DJ60" s="104"/>
      <c r="DK60" s="104"/>
      <c r="FW60" s="48"/>
      <c r="FX60" s="104"/>
      <c r="FY60" s="104"/>
      <c r="FZ60" s="104"/>
      <c r="GA60" s="104"/>
      <c r="GB60" s="104"/>
      <c r="GC60" s="104"/>
      <c r="GD60" s="104"/>
      <c r="GE60" s="104"/>
      <c r="GF60" s="104"/>
      <c r="GG60" s="104"/>
      <c r="GH60" s="104"/>
      <c r="GI60" s="104"/>
      <c r="GJ60" s="104"/>
      <c r="GZ60" s="59"/>
      <c r="HA60" s="59"/>
      <c r="HB60" s="59"/>
      <c r="HC60" s="59"/>
      <c r="HD60" s="59"/>
      <c r="HE60" s="59"/>
      <c r="HF60" s="59"/>
      <c r="HG60" s="59"/>
      <c r="HH60" s="59"/>
      <c r="HI60" s="59"/>
      <c r="HJ60" s="59"/>
      <c r="HK60" s="59" t="s">
        <v>2948</v>
      </c>
      <c r="HL60" s="59" t="s">
        <v>2905</v>
      </c>
      <c r="HM60" s="59"/>
      <c r="HN60" s="59"/>
      <c r="HO60" s="59"/>
      <c r="HP60" s="59"/>
      <c r="HQ60" s="59"/>
      <c r="HR60" s="59"/>
      <c r="HS60" s="59"/>
      <c r="HT60" s="59"/>
      <c r="HU60" s="59"/>
      <c r="HV60" s="59"/>
      <c r="HW60" s="59"/>
      <c r="HX60" s="59"/>
      <c r="HY60" s="59"/>
      <c r="HZ60" s="59"/>
      <c r="IA60" s="59"/>
      <c r="IB60" s="59"/>
      <c r="IC60" s="59"/>
      <c r="ID60" s="59"/>
      <c r="IE60" s="59"/>
      <c r="IF60" s="59"/>
      <c r="IG60" s="59"/>
      <c r="IH60" s="59" t="str">
        <f>IF(IJ60=TRUE,MAX($IH$2:IH59)+1,"")</f>
        <v/>
      </c>
      <c r="II60" s="59"/>
      <c r="IJ60" s="59"/>
      <c r="IK60" s="59"/>
      <c r="IL60" s="59"/>
      <c r="IM60" s="59"/>
      <c r="IN60" s="59"/>
      <c r="IO60" s="59"/>
      <c r="IP60" s="59"/>
      <c r="IQ60" s="59"/>
      <c r="IR60" s="59"/>
      <c r="IS60" s="59"/>
      <c r="IT60" s="59"/>
      <c r="IU60" s="59"/>
      <c r="IX60" s="59" t="s">
        <v>1607</v>
      </c>
      <c r="IY60" s="59" t="s">
        <v>1608</v>
      </c>
      <c r="IZ60" s="59" t="s">
        <v>199</v>
      </c>
      <c r="JA60" s="59" t="s">
        <v>888</v>
      </c>
      <c r="JB60" s="59" t="s">
        <v>1609</v>
      </c>
      <c r="JK60" s="60"/>
      <c r="JL60" s="60"/>
      <c r="JM60" s="296">
        <v>5</v>
      </c>
      <c r="JN60" s="296">
        <v>3</v>
      </c>
      <c r="JO60" s="302" t="s">
        <v>140</v>
      </c>
      <c r="JP60" s="302" t="s">
        <v>140</v>
      </c>
      <c r="JQ60" s="302" t="s">
        <v>140</v>
      </c>
      <c r="JR60" s="302" t="s">
        <v>140</v>
      </c>
      <c r="JS60" s="302" t="s">
        <v>140</v>
      </c>
      <c r="JT60" s="302" t="s">
        <v>140</v>
      </c>
      <c r="JU60" s="302" t="s">
        <v>140</v>
      </c>
      <c r="JV60" s="302" t="s">
        <v>140</v>
      </c>
      <c r="JW60" s="302">
        <v>1</v>
      </c>
      <c r="JX60" s="302"/>
      <c r="JY60" s="60"/>
      <c r="JZ60" s="60"/>
      <c r="KA60" s="60"/>
      <c r="KB60" s="60"/>
      <c r="KC60" s="60"/>
      <c r="KD60" s="60"/>
      <c r="KE60" s="60"/>
      <c r="KF60" s="60"/>
      <c r="KG60" s="60"/>
      <c r="KH60" s="60"/>
      <c r="KI60" s="60"/>
      <c r="KJ60" s="60"/>
      <c r="KK60" s="60"/>
      <c r="KL60" s="60"/>
      <c r="KM60" s="60"/>
      <c r="KN60" s="60"/>
      <c r="KO60" s="60"/>
      <c r="KP60" s="60"/>
      <c r="KQ60" s="60"/>
      <c r="KR60" s="60"/>
      <c r="KS60" s="99"/>
      <c r="KT60" s="86" t="s">
        <v>91</v>
      </c>
      <c r="KU60" s="101" t="str">
        <f t="shared" ref="KU60:KU78" ca="1" si="157">IF(COUNTIF(KW60:PT60,"&gt;&lt;"),"Yes","No")</f>
        <v>No</v>
      </c>
      <c r="KV60" s="87" t="s">
        <v>247</v>
      </c>
      <c r="KW60" s="92"/>
      <c r="KX60" s="92"/>
      <c r="KY60" s="92"/>
      <c r="KZ60" s="92"/>
      <c r="LA60" s="92"/>
      <c r="LB60" s="92"/>
      <c r="LC60" s="92"/>
      <c r="LD60" s="92"/>
      <c r="LE60" s="92"/>
      <c r="LF60" s="92"/>
      <c r="LG60" s="92"/>
      <c r="LH60" s="92"/>
      <c r="LI60" s="92" t="str">
        <f>IF(LI$1&gt;0,$KT60,"")</f>
        <v/>
      </c>
      <c r="LJ60" s="92"/>
      <c r="LK60" s="92"/>
      <c r="LL60" s="92"/>
      <c r="LM60" s="92"/>
      <c r="LN60" s="92"/>
      <c r="LO60" s="92"/>
      <c r="LP60" s="92"/>
      <c r="LQ60" s="92"/>
      <c r="LR60" s="92"/>
      <c r="LS60" s="92"/>
      <c r="LT60" s="92"/>
      <c r="LU60" s="92"/>
      <c r="LV60" s="92"/>
      <c r="LW60" s="92"/>
      <c r="LX60" s="92"/>
      <c r="LY60" s="92"/>
      <c r="LZ60" s="92" t="str">
        <f ca="1">IF(LZ$1&gt;0,$KT60,"")</f>
        <v/>
      </c>
      <c r="MA60" s="92" t="str">
        <f ca="1">IF(MA$1&gt;0,$KT60,"")</f>
        <v/>
      </c>
      <c r="MB60" s="92" t="str">
        <f ca="1">IF(MB$1&gt;0,$KT60,"")</f>
        <v/>
      </c>
      <c r="MC60" s="92"/>
      <c r="MD60" s="92" t="str">
        <f>IF(Class1=MD$5,IF(MD$1&gt;0,$KT60,""),"")</f>
        <v/>
      </c>
      <c r="ME60" s="92" t="str">
        <f ca="1">IF(ME$1&gt;0,$KT60,"")</f>
        <v/>
      </c>
      <c r="MF60" s="92" t="str">
        <f ca="1">IF(MF$1&gt;0,$KT60,"")</f>
        <v/>
      </c>
      <c r="MG60" s="92"/>
      <c r="MH60" s="92" t="str">
        <f ca="1">IF(MH$1&gt;0,$KT60,"")</f>
        <v/>
      </c>
      <c r="MI60" s="92" t="str">
        <f ca="1">IF(MI$1&gt;0,$KT60,"")</f>
        <v/>
      </c>
      <c r="MJ60" s="92"/>
      <c r="MK60" s="92" t="str">
        <f ca="1">IF(MK$1&gt;0,$KT60,"")</f>
        <v/>
      </c>
      <c r="ML60" s="92"/>
      <c r="MM60" s="92"/>
      <c r="MN60" s="92"/>
      <c r="MO60" s="92"/>
      <c r="MP60" s="92"/>
      <c r="MQ60" s="92"/>
      <c r="MR60" s="92"/>
      <c r="MS60" s="92"/>
      <c r="MT60" s="92"/>
      <c r="MU60" s="92"/>
      <c r="MV60" s="92"/>
      <c r="MW60" s="92"/>
      <c r="MX60" s="92"/>
      <c r="MY60" s="92"/>
      <c r="MZ60" s="92"/>
      <c r="NA60" s="92"/>
      <c r="NB60" s="92"/>
      <c r="NC60" s="92"/>
      <c r="ND60" s="92"/>
      <c r="NE60" s="92"/>
      <c r="NF60" s="92"/>
      <c r="NG60" s="92"/>
      <c r="NH60" s="92"/>
      <c r="NI60" s="92"/>
      <c r="NJ60" s="92"/>
      <c r="NK60" s="92"/>
      <c r="NL60" s="92"/>
      <c r="NM60" s="92"/>
      <c r="NN60" s="92"/>
      <c r="NO60" s="92"/>
      <c r="NP60" s="92"/>
      <c r="NQ60" s="92"/>
      <c r="NR60" s="92"/>
      <c r="NS60" s="92"/>
      <c r="NT60" s="92"/>
      <c r="NU60" s="92"/>
      <c r="NV60" s="92"/>
      <c r="NW60" s="92"/>
      <c r="NX60" s="92"/>
      <c r="NY60" s="92"/>
      <c r="NZ60" s="92"/>
      <c r="OA60" s="92"/>
      <c r="OB60" s="92"/>
      <c r="OC60" s="92"/>
      <c r="OD60" s="92"/>
      <c r="OE60" s="92"/>
      <c r="OF60" s="92"/>
      <c r="OG60" s="92"/>
      <c r="OH60" s="92"/>
      <c r="OI60" s="92"/>
      <c r="OJ60" s="92"/>
      <c r="OK60" s="92"/>
      <c r="OL60" s="92"/>
      <c r="OM60" s="92"/>
      <c r="ON60" s="92"/>
      <c r="OO60" s="92"/>
      <c r="OP60" s="92"/>
      <c r="OQ60" s="92"/>
      <c r="OR60" s="92"/>
      <c r="OS60" s="92" t="str">
        <f>IF(OS$1&gt;0,$KT60,"")</f>
        <v/>
      </c>
      <c r="OT60" s="92"/>
      <c r="OU60" s="92"/>
      <c r="OV60" s="92"/>
      <c r="OW60" s="92"/>
      <c r="OX60" s="92"/>
      <c r="OY60" s="92"/>
      <c r="OZ60" s="92"/>
      <c r="PA60" s="92"/>
      <c r="PB60" s="92"/>
      <c r="PC60" s="92"/>
      <c r="PD60" s="92"/>
      <c r="PE60" s="92"/>
      <c r="PF60" s="92"/>
      <c r="PG60" s="92"/>
      <c r="PH60" s="92"/>
      <c r="PI60" s="92"/>
      <c r="PJ60" s="92"/>
      <c r="PK60" s="92"/>
      <c r="PL60" s="92"/>
      <c r="PM60" s="92"/>
      <c r="PN60" s="92"/>
      <c r="PO60" s="92"/>
      <c r="PP60" s="92"/>
      <c r="PQ60" s="92"/>
      <c r="PR60" s="92"/>
      <c r="PS60" s="92"/>
      <c r="PT60" s="92"/>
      <c r="PU60" s="59" t="str">
        <f ca="1">IF(COUNTIF(KW60:PT60,"&gt;&lt;"),KT60,"")</f>
        <v/>
      </c>
      <c r="PV60" s="59" t="str">
        <f ca="1">IF(PU60="","",IF(COUNTIF(PU60:$PU$76,"&gt;&lt;")&gt;1,PU60&amp;", ", PU60))</f>
        <v/>
      </c>
      <c r="PW60" s="59"/>
      <c r="PX60" s="59"/>
      <c r="PY60" s="60"/>
      <c r="PZ60" s="28"/>
      <c r="QA60" s="28"/>
      <c r="QB60" s="30" t="str">
        <f t="shared" si="154"/>
        <v/>
      </c>
      <c r="QC60" s="31"/>
      <c r="QD60" s="28"/>
      <c r="QE60" s="29" t="str">
        <f>""</f>
        <v/>
      </c>
      <c r="QF60" s="29"/>
      <c r="QG60" s="29" t="str">
        <f>""</f>
        <v/>
      </c>
      <c r="QH60" s="29" t="str">
        <f>""</f>
        <v/>
      </c>
      <c r="QI60" s="29" t="str">
        <f>""</f>
        <v/>
      </c>
      <c r="QJ60" s="29" t="str">
        <f>""</f>
        <v/>
      </c>
      <c r="QK60" s="29" t="str">
        <f>""</f>
        <v/>
      </c>
      <c r="QL60" s="29" t="str">
        <f>""</f>
        <v/>
      </c>
      <c r="QM60" s="29" t="str">
        <f>""</f>
        <v/>
      </c>
      <c r="QN60" s="29" t="str">
        <f>""</f>
        <v/>
      </c>
      <c r="QO60" s="29" t="str">
        <f>""</f>
        <v/>
      </c>
      <c r="QP60" s="29" t="str">
        <f>""</f>
        <v/>
      </c>
      <c r="QQ60" s="30" t="str">
        <f>""</f>
        <v/>
      </c>
      <c r="QR60" s="30" t="str">
        <f>""</f>
        <v/>
      </c>
      <c r="SR60" s="28"/>
      <c r="SS60" s="28"/>
      <c r="ST60" s="28"/>
      <c r="SU60" s="29"/>
      <c r="SV60" s="42"/>
      <c r="SW60" s="69"/>
      <c r="SX60" s="29"/>
      <c r="SY60" s="30"/>
      <c r="SZ60" s="29"/>
      <c r="TA60" s="28"/>
      <c r="TB60" s="28"/>
      <c r="TC60" s="28"/>
      <c r="TD60" s="42"/>
      <c r="TE60" s="29"/>
      <c r="TF60" s="69"/>
      <c r="TG60" s="29"/>
      <c r="TH60" s="30"/>
      <c r="TI60" s="30"/>
      <c r="TJ60" s="18">
        <f t="shared" si="115"/>
        <v>58</v>
      </c>
      <c r="TK60" s="58" t="s">
        <v>2732</v>
      </c>
      <c r="TL60" s="58" t="s">
        <v>448</v>
      </c>
      <c r="TM60" s="18">
        <v>1</v>
      </c>
      <c r="TN60" s="59" t="str">
        <f t="shared" si="137"/>
        <v xml:space="preserve">Compelled Duel </v>
      </c>
      <c r="TO60" s="350" t="str">
        <f>""</f>
        <v/>
      </c>
      <c r="TP60" s="18" t="str">
        <f t="shared" si="48"/>
        <v/>
      </c>
      <c r="TQ60" s="18" t="str">
        <f>IF(OR(TK60=Spellcasting!$AC$18,TK60=Spellcasting!$AC$19),"ᵐ","")</f>
        <v/>
      </c>
      <c r="TR60" s="18" t="str">
        <f>IF(OR(TK60=Spellcasting!$AC$20,TK60=Spellcasting!$AC$21),"ˢ","")</f>
        <v/>
      </c>
      <c r="TS60" s="18" t="str">
        <f>""</f>
        <v/>
      </c>
      <c r="TT60" s="18" t="s">
        <v>1256</v>
      </c>
      <c r="TU60" s="18" t="s">
        <v>851</v>
      </c>
      <c r="TV60" s="18" t="s">
        <v>558</v>
      </c>
      <c r="TW60" s="18" t="s">
        <v>541</v>
      </c>
      <c r="TY60" s="18" t="s">
        <v>498</v>
      </c>
      <c r="TZ60" s="18" t="s">
        <v>499</v>
      </c>
      <c r="UA60" s="142" t="s">
        <v>2745</v>
      </c>
      <c r="UB60" s="319" t="s">
        <v>2733</v>
      </c>
      <c r="UD60" s="18" t="str">
        <f ca="1">IF(UD$1&gt;=$TM60,1,"0")</f>
        <v>0</v>
      </c>
      <c r="WD60" s="18" t="str">
        <f ca="1">IF(SUM($VZ$1:$WC$1)&gt;0,IF(AND(SUM($VZ60:$WC60)&gt;0,$TM60=WE$1),MAX(WD$2:WD59)+1,""),IF(AND(SUM($UC60:$VY60)&gt;0,$TM60=WE$1),MAX(WD$2:WD59)+1,""))</f>
        <v/>
      </c>
      <c r="WE60" s="59" t="str">
        <f t="shared" ca="1" si="80"/>
        <v/>
      </c>
      <c r="WF60" s="18" t="str">
        <f ca="1">IF(AND(SUM($UB60:$VY60)&gt;0,$TM60=WG$1),MAX(WF$2:WF59)+1,"")</f>
        <v/>
      </c>
      <c r="WG60" s="59" t="str">
        <f t="shared" ca="1" si="81"/>
        <v/>
      </c>
      <c r="WH60" s="18" t="str">
        <f ca="1">IF(AND(SUM($UB60:$VY60)&gt;0,$TM60=WI$1),MAX(WH$2:WH59)+1,"")</f>
        <v/>
      </c>
      <c r="WI60" s="59" t="str">
        <f t="shared" ca="1" si="82"/>
        <v/>
      </c>
      <c r="WJ60" s="18" t="str">
        <f ca="1">IF(AND(SUM($UB60:$VY60)&gt;0,$TM60=WK$1),MAX(WJ$2:WJ59)+1,"")</f>
        <v/>
      </c>
      <c r="WK60" s="59" t="str">
        <f t="shared" ca="1" si="83"/>
        <v/>
      </c>
      <c r="WL60" s="18" t="str">
        <f ca="1">IF(AND(SUM($UB60:$VY60)&gt;0,$TM60=WM$1),MAX(WL$2:WL59)+1,"")</f>
        <v/>
      </c>
      <c r="WM60" s="59" t="str">
        <f t="shared" ca="1" si="84"/>
        <v/>
      </c>
      <c r="WN60" s="18" t="str">
        <f ca="1">IF(AND(SUM($UB60:$VY60)&gt;0,$TM60=WO$1),MAX(WN$2:WN59)+1,"")</f>
        <v/>
      </c>
      <c r="WO60" s="59" t="str">
        <f t="shared" ca="1" si="85"/>
        <v/>
      </c>
      <c r="WP60" s="18" t="str">
        <f ca="1">IF(AND(SUM($UB60:$VY60)&gt;0,$TM60=WQ$1),MAX(WP$2:WP59)+1,"")</f>
        <v/>
      </c>
      <c r="WQ60" s="59" t="str">
        <f t="shared" ca="1" si="86"/>
        <v/>
      </c>
      <c r="WR60" s="18" t="str">
        <f ca="1">IF(AND(SUM($UB60:$VY60)&gt;0,$TM60=WS$1),MAX(WR$2:WR59)+1,"")</f>
        <v/>
      </c>
      <c r="WS60" s="59" t="str">
        <f t="shared" ca="1" si="87"/>
        <v/>
      </c>
      <c r="WT60" s="18" t="str">
        <f ca="1">IF(AND(SUM($UB60:$VY60)&gt;0,$TM60=WU$1),MAX(WT$2:WT59)+1,"")</f>
        <v/>
      </c>
      <c r="WU60" s="59" t="str">
        <f t="shared" ca="1" si="88"/>
        <v/>
      </c>
      <c r="WV60" s="18" t="str">
        <f ca="1">IF(AND(SUM($UB60:$VY60)&gt;0,$TM60=WW$1),MAX(WV$2:WV59)+1,"")</f>
        <v/>
      </c>
      <c r="WW60" s="59" t="str">
        <f t="shared" ca="1" si="89"/>
        <v/>
      </c>
      <c r="WX60" s="18" t="str">
        <f ca="1">IF(AND(SUM($UB60:$VY60)&gt;0,$TM60=WY$1),MAX(WX$2:WX59)+1,"")</f>
        <v/>
      </c>
      <c r="WY60" s="59" t="str">
        <f t="shared" ca="1" si="90"/>
        <v/>
      </c>
      <c r="WZ60" s="59"/>
      <c r="XC60" s="59" t="str">
        <f t="shared" ca="1" si="140"/>
        <v/>
      </c>
      <c r="XD60" s="59"/>
      <c r="XE60" s="59"/>
      <c r="XF60" s="59"/>
      <c r="XG60" s="59"/>
      <c r="XH60" s="59"/>
      <c r="XI60" s="59"/>
      <c r="XJ60" s="59"/>
      <c r="XK60" s="59"/>
      <c r="XL60" s="59"/>
      <c r="XM60" s="59"/>
      <c r="XS60" s="58" t="s">
        <v>3376</v>
      </c>
      <c r="YT60" s="18" t="s">
        <v>2641</v>
      </c>
      <c r="YU60" s="18">
        <v>19</v>
      </c>
      <c r="YV60" s="18" t="str">
        <f t="shared" ca="1" si="156"/>
        <v/>
      </c>
      <c r="YW60" s="18" t="str">
        <f ca="1">IF(YX60="","",MAX($YW$1:YW59)+1)</f>
        <v/>
      </c>
      <c r="YX60" s="59" t="str">
        <f t="shared" ca="1" si="149"/>
        <v/>
      </c>
      <c r="YY60" s="18" t="str">
        <f t="shared" ca="1" si="150"/>
        <v/>
      </c>
      <c r="ZR60"/>
    </row>
    <row r="61" spans="41:694" ht="9.9499999999999993" customHeight="1" x14ac:dyDescent="0.2">
      <c r="AO61" s="18">
        <f t="shared" si="119"/>
        <v>60</v>
      </c>
      <c r="AP61" s="59">
        <f t="shared" si="138"/>
        <v>0</v>
      </c>
      <c r="AR61" s="58" t="str">
        <f>""</f>
        <v/>
      </c>
      <c r="AS61" s="58" t="str">
        <f>""</f>
        <v/>
      </c>
      <c r="AT61" s="58" t="str">
        <f>""</f>
        <v/>
      </c>
      <c r="AU61" s="58" t="str">
        <f>""</f>
        <v/>
      </c>
      <c r="AV61" s="58" t="str">
        <f>""</f>
        <v/>
      </c>
      <c r="AW61" s="58" t="s">
        <v>2500</v>
      </c>
      <c r="AX61" s="58" t="str">
        <f>""</f>
        <v/>
      </c>
      <c r="AY61" s="58" t="str">
        <f>""</f>
        <v/>
      </c>
      <c r="AZ61" s="58" t="str">
        <f>""</f>
        <v/>
      </c>
      <c r="BA61" s="58" t="str">
        <f>""</f>
        <v/>
      </c>
      <c r="BB61" s="58" t="str">
        <f>""</f>
        <v/>
      </c>
      <c r="BC61" s="58" t="str">
        <f>""</f>
        <v/>
      </c>
      <c r="BD61" s="58" t="str">
        <f>""</f>
        <v/>
      </c>
      <c r="BJ61" s="70"/>
      <c r="BK61" s="70"/>
      <c r="BL61" s="48"/>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48"/>
      <c r="CN61" s="48"/>
      <c r="CO61" s="48"/>
      <c r="CP61" s="48"/>
      <c r="CQ61" s="48"/>
      <c r="CR61" s="48"/>
      <c r="CS61" s="48"/>
      <c r="CT61" s="48"/>
      <c r="CU61" s="48"/>
      <c r="CV61" s="48"/>
      <c r="CW61" s="48"/>
      <c r="CX61" s="48"/>
      <c r="CY61" s="48"/>
      <c r="CZ61" s="48"/>
      <c r="DA61" s="48"/>
      <c r="DB61" s="48"/>
      <c r="DC61" s="48"/>
      <c r="DD61" s="48"/>
      <c r="DE61" s="48"/>
      <c r="DF61" s="48"/>
      <c r="DG61" s="104"/>
      <c r="DH61" s="104"/>
      <c r="DI61" s="104"/>
      <c r="DJ61" s="104"/>
      <c r="DK61" s="104"/>
      <c r="FW61" s="48"/>
      <c r="FX61" s="104"/>
      <c r="FY61" s="104"/>
      <c r="FZ61" s="104"/>
      <c r="GA61" s="104"/>
      <c r="GB61" s="104"/>
      <c r="GC61" s="104"/>
      <c r="GD61" s="104"/>
      <c r="GE61" s="104"/>
      <c r="GF61" s="104"/>
      <c r="GG61" s="104"/>
      <c r="GH61" s="104"/>
      <c r="GI61" s="104"/>
      <c r="GJ61" s="104"/>
      <c r="GZ61" s="59"/>
      <c r="HA61" s="59"/>
      <c r="HB61" s="59"/>
      <c r="HC61" s="59"/>
      <c r="HD61" s="59"/>
      <c r="HE61" s="59"/>
      <c r="HF61" s="59"/>
      <c r="HG61" s="59"/>
      <c r="HH61" s="59"/>
      <c r="HI61" s="59"/>
      <c r="HJ61" s="59"/>
      <c r="HK61" s="59" t="s">
        <v>2949</v>
      </c>
      <c r="HL61" s="59" t="s">
        <v>2905</v>
      </c>
      <c r="HM61" s="59"/>
      <c r="HN61" s="59"/>
      <c r="HO61" s="59"/>
      <c r="HP61" s="59"/>
      <c r="HQ61" s="59"/>
      <c r="HR61" s="59"/>
      <c r="HS61" s="59"/>
      <c r="HT61" s="59"/>
      <c r="HU61" s="59"/>
      <c r="HV61" s="59"/>
      <c r="HW61" s="59"/>
      <c r="HX61" s="59"/>
      <c r="HY61" s="59"/>
      <c r="HZ61" s="59"/>
      <c r="IA61" s="59"/>
      <c r="IB61" s="59"/>
      <c r="IC61" s="59"/>
      <c r="ID61" s="59"/>
      <c r="IE61" s="59"/>
      <c r="IF61" s="59"/>
      <c r="IG61" s="59"/>
      <c r="IH61" s="59" t="str">
        <f>IF(IJ61=TRUE,MAX($IH$2:IH60)+1,"")</f>
        <v/>
      </c>
      <c r="II61" s="59"/>
      <c r="IJ61" s="59"/>
      <c r="IK61" s="59"/>
      <c r="IL61" s="59"/>
      <c r="IM61" s="59"/>
      <c r="IN61" s="59"/>
      <c r="IO61" s="59"/>
      <c r="IP61" s="59"/>
      <c r="IQ61" s="59"/>
      <c r="IR61" s="59"/>
      <c r="IS61" s="59"/>
      <c r="IT61" s="59"/>
      <c r="IU61" s="59"/>
      <c r="IX61" s="59" t="s">
        <v>1610</v>
      </c>
      <c r="IY61" s="59" t="s">
        <v>1611</v>
      </c>
      <c r="IZ61" s="59" t="s">
        <v>196</v>
      </c>
      <c r="JA61" s="59" t="s">
        <v>281</v>
      </c>
      <c r="JB61" s="59" t="s">
        <v>1612</v>
      </c>
      <c r="JK61" s="60"/>
      <c r="JL61" s="60"/>
      <c r="JM61" s="296">
        <v>6</v>
      </c>
      <c r="JN61" s="296">
        <v>3</v>
      </c>
      <c r="JO61" s="302" t="s">
        <v>140</v>
      </c>
      <c r="JP61" s="302" t="s">
        <v>140</v>
      </c>
      <c r="JQ61" s="302" t="s">
        <v>140</v>
      </c>
      <c r="JR61" s="302" t="s">
        <v>140</v>
      </c>
      <c r="JS61" s="302" t="s">
        <v>140</v>
      </c>
      <c r="JT61" s="302" t="s">
        <v>140</v>
      </c>
      <c r="JU61" s="302" t="s">
        <v>140</v>
      </c>
      <c r="JV61" s="302" t="s">
        <v>140</v>
      </c>
      <c r="JW61" s="302">
        <v>1</v>
      </c>
      <c r="JX61" s="302"/>
      <c r="JY61" s="60"/>
      <c r="JZ61" s="60"/>
      <c r="KA61" s="60"/>
      <c r="KB61" s="60"/>
      <c r="KC61" s="60"/>
      <c r="KD61" s="60"/>
      <c r="KE61" s="60"/>
      <c r="KF61" s="60"/>
      <c r="KG61" s="60"/>
      <c r="KH61" s="60"/>
      <c r="KI61" s="60"/>
      <c r="KJ61" s="60"/>
      <c r="KK61" s="60"/>
      <c r="KL61" s="60"/>
      <c r="KM61" s="60"/>
      <c r="KN61" s="60"/>
      <c r="KO61" s="60"/>
      <c r="KP61" s="60"/>
      <c r="KQ61" s="60"/>
      <c r="KR61" s="60"/>
      <c r="KS61" s="99"/>
      <c r="KT61" s="88" t="s">
        <v>195</v>
      </c>
      <c r="KU61" s="80" t="str">
        <f t="shared" ca="1" si="157"/>
        <v>No</v>
      </c>
      <c r="KV61" s="89" t="s">
        <v>247</v>
      </c>
      <c r="KW61" s="92"/>
      <c r="KX61" s="92"/>
      <c r="KY61" s="92"/>
      <c r="KZ61" s="92"/>
      <c r="LA61" s="92"/>
      <c r="LB61" s="92"/>
      <c r="LC61" s="92"/>
      <c r="LD61" s="92"/>
      <c r="LE61" s="92"/>
      <c r="LF61" s="92"/>
      <c r="LG61" s="92"/>
      <c r="LH61" s="92"/>
      <c r="LI61" s="92" t="str">
        <f>IF(LI$1&gt;0,$KT61,"")</f>
        <v/>
      </c>
      <c r="LJ61" s="92"/>
      <c r="LK61" s="92"/>
      <c r="LL61" s="92"/>
      <c r="LM61" s="92"/>
      <c r="LN61" s="92"/>
      <c r="LO61" s="92"/>
      <c r="LP61" s="92"/>
      <c r="LQ61" s="92"/>
      <c r="LR61" s="92"/>
      <c r="LS61" s="92"/>
      <c r="LT61" s="92"/>
      <c r="LU61" s="92"/>
      <c r="LV61" s="92"/>
      <c r="LW61" s="92"/>
      <c r="LX61" s="92"/>
      <c r="LY61" s="92"/>
      <c r="LZ61" s="92" t="str">
        <f ca="1">IF(LZ$1&gt;0,$KT61,"")</f>
        <v/>
      </c>
      <c r="MA61" s="92" t="str">
        <f ca="1">IF(MA$1&gt;0,$KT61,"")</f>
        <v/>
      </c>
      <c r="MB61" s="92"/>
      <c r="MC61" s="92"/>
      <c r="MD61" s="92" t="str">
        <f>IF(Class1=MD$5,IF(MD$1&gt;0,$KT61,""),"")</f>
        <v/>
      </c>
      <c r="ME61" s="92"/>
      <c r="MF61" s="92" t="str">
        <f ca="1">IF(MF$1&gt;0,$KT61,"")</f>
        <v/>
      </c>
      <c r="MG61" s="92"/>
      <c r="MH61" s="92" t="str">
        <f ca="1">IF(MH$1&gt;0,$KT61,"")</f>
        <v/>
      </c>
      <c r="MI61" s="92" t="str">
        <f ca="1">IF(MI$1&gt;0,$KT61,"")</f>
        <v/>
      </c>
      <c r="MJ61" s="92"/>
      <c r="MK61" s="92"/>
      <c r="ML61" s="92"/>
      <c r="MM61" s="92"/>
      <c r="MN61" s="92"/>
      <c r="MO61" s="92"/>
      <c r="MP61" s="92"/>
      <c r="MQ61" s="92"/>
      <c r="MR61" s="92"/>
      <c r="MS61" s="92"/>
      <c r="MT61" s="92"/>
      <c r="MU61" s="92"/>
      <c r="MV61" s="92"/>
      <c r="MW61" s="92"/>
      <c r="MX61" s="92"/>
      <c r="MY61" s="92"/>
      <c r="MZ61" s="92"/>
      <c r="NA61" s="92"/>
      <c r="NB61" s="92"/>
      <c r="NC61" s="92"/>
      <c r="ND61" s="92"/>
      <c r="NE61" s="92"/>
      <c r="NF61" s="92"/>
      <c r="NG61" s="92"/>
      <c r="NH61" s="92"/>
      <c r="NI61" s="92"/>
      <c r="NJ61" s="92"/>
      <c r="NK61" s="92" t="str">
        <f ca="1">IF(NK$1&gt;2,$KT61,"")</f>
        <v/>
      </c>
      <c r="NL61" s="92"/>
      <c r="NM61" s="92"/>
      <c r="NN61" s="92"/>
      <c r="NO61" s="92"/>
      <c r="NP61" s="92"/>
      <c r="NQ61" s="92"/>
      <c r="NR61" s="92"/>
      <c r="NS61" s="92"/>
      <c r="NT61" s="92"/>
      <c r="NU61" s="92"/>
      <c r="NV61" s="92"/>
      <c r="NW61" s="92"/>
      <c r="NX61" s="92"/>
      <c r="NY61" s="92"/>
      <c r="NZ61" s="92"/>
      <c r="OA61" s="92"/>
      <c r="OB61" s="92"/>
      <c r="OC61" s="92"/>
      <c r="OD61" s="92"/>
      <c r="OE61" s="92"/>
      <c r="OF61" s="92"/>
      <c r="OG61" s="92"/>
      <c r="OH61" s="92"/>
      <c r="OI61" s="92"/>
      <c r="OJ61" s="92"/>
      <c r="OK61" s="92"/>
      <c r="OL61" s="92"/>
      <c r="OM61" s="92"/>
      <c r="ON61" s="92"/>
      <c r="OO61" s="92"/>
      <c r="OP61" s="92"/>
      <c r="OQ61" s="92"/>
      <c r="OR61" s="92"/>
      <c r="OS61" s="92"/>
      <c r="OT61" s="92"/>
      <c r="OU61" s="92"/>
      <c r="OV61" s="92"/>
      <c r="OW61" s="92"/>
      <c r="OX61" s="92"/>
      <c r="OY61" s="92"/>
      <c r="OZ61" s="92"/>
      <c r="PA61" s="92" t="str">
        <f>IF(PA$1&gt;0,$KT61,"")</f>
        <v/>
      </c>
      <c r="PB61" s="92"/>
      <c r="PC61" s="92"/>
      <c r="PD61" s="92"/>
      <c r="PE61" s="92"/>
      <c r="PF61" s="92"/>
      <c r="PG61" s="92"/>
      <c r="PH61" s="92"/>
      <c r="PI61" s="92"/>
      <c r="PJ61" s="92"/>
      <c r="PK61" s="92"/>
      <c r="PL61" s="92"/>
      <c r="PM61" s="92"/>
      <c r="PN61" s="92"/>
      <c r="PO61" s="92"/>
      <c r="PP61" s="92"/>
      <c r="PQ61" s="92"/>
      <c r="PR61" s="92"/>
      <c r="PS61" s="92"/>
      <c r="PT61" s="92"/>
      <c r="PU61" s="59" t="str">
        <f ca="1">IF(COUNTIF(KW61:PT61,"&gt;&lt;"),KT61,"")</f>
        <v/>
      </c>
      <c r="PV61" s="59" t="str">
        <f ca="1">IF(PU61="","",IF(COUNTIF(PU61:$PU$76,"&gt;&lt;")&gt;1,PU61&amp;", ", PU61))</f>
        <v/>
      </c>
      <c r="PW61" s="59"/>
      <c r="PX61" s="59"/>
      <c r="PY61" s="60"/>
      <c r="PZ61" s="19"/>
      <c r="QA61" s="19"/>
      <c r="QB61" s="27" t="str">
        <f t="shared" si="154"/>
        <v/>
      </c>
      <c r="QC61" s="67"/>
      <c r="QD61" s="19"/>
      <c r="QE61" s="26" t="str">
        <f>""</f>
        <v/>
      </c>
      <c r="QF61" s="26"/>
      <c r="QG61" s="26" t="str">
        <f>""</f>
        <v/>
      </c>
      <c r="QH61" s="26" t="str">
        <f>""</f>
        <v/>
      </c>
      <c r="QI61" s="26" t="str">
        <f>""</f>
        <v/>
      </c>
      <c r="QJ61" s="26" t="str">
        <f>""</f>
        <v/>
      </c>
      <c r="QK61" s="26" t="str">
        <f>""</f>
        <v/>
      </c>
      <c r="QL61" s="26" t="str">
        <f>""</f>
        <v/>
      </c>
      <c r="QM61" s="26" t="str">
        <f>""</f>
        <v/>
      </c>
      <c r="QN61" s="26" t="str">
        <f>""</f>
        <v/>
      </c>
      <c r="QO61" s="26" t="str">
        <f>""</f>
        <v/>
      </c>
      <c r="QP61" s="26" t="str">
        <f>""</f>
        <v/>
      </c>
      <c r="QQ61" s="27" t="str">
        <f>""</f>
        <v/>
      </c>
      <c r="QR61" s="27" t="str">
        <f>""</f>
        <v/>
      </c>
      <c r="SR61" s="19"/>
      <c r="SS61" s="19"/>
      <c r="ST61" s="19"/>
      <c r="SU61" s="26"/>
      <c r="SV61" s="44"/>
      <c r="SW61" s="68"/>
      <c r="SX61" s="26"/>
      <c r="SY61" s="27"/>
      <c r="SZ61" s="26"/>
      <c r="TA61" s="19"/>
      <c r="TB61" s="19"/>
      <c r="TC61" s="19"/>
      <c r="TD61" s="44"/>
      <c r="TE61" s="26"/>
      <c r="TF61" s="68"/>
      <c r="TG61" s="26"/>
      <c r="TH61" s="27"/>
      <c r="TI61" s="27"/>
      <c r="TJ61" s="18">
        <f t="shared" si="115"/>
        <v>59</v>
      </c>
      <c r="TK61" s="58" t="s">
        <v>555</v>
      </c>
      <c r="TL61" s="58" t="s">
        <v>448</v>
      </c>
      <c r="TM61" s="18">
        <v>1</v>
      </c>
      <c r="TN61" s="59" t="str">
        <f t="shared" si="137"/>
        <v xml:space="preserve">Comprehend Languages </v>
      </c>
      <c r="TO61" s="18" t="str">
        <f>""</f>
        <v/>
      </c>
      <c r="TP61" s="18" t="str">
        <f t="shared" si="48"/>
        <v/>
      </c>
      <c r="TQ61" s="18" t="str">
        <f>IF(OR(TK61=Spellcasting!$AC$18,TK61=Spellcasting!$AC$19),"ᵐ","")</f>
        <v/>
      </c>
      <c r="TR61" s="18" t="str">
        <f>IF(OR(TK61=Spellcasting!$AC$20,TK61=Spellcasting!$AC$21),"ˢ","")</f>
        <v/>
      </c>
      <c r="TS61" s="18" t="s">
        <v>477</v>
      </c>
      <c r="TT61" s="18" t="s">
        <v>501</v>
      </c>
      <c r="TU61" s="18" t="s">
        <v>509</v>
      </c>
      <c r="TV61" s="18" t="s">
        <v>521</v>
      </c>
      <c r="TW61" s="18" t="s">
        <v>495</v>
      </c>
      <c r="TX61" s="59" t="s">
        <v>872</v>
      </c>
      <c r="TY61" s="18" t="s">
        <v>511</v>
      </c>
      <c r="TZ61" s="18" t="s">
        <v>512</v>
      </c>
      <c r="UA61" s="142" t="s">
        <v>871</v>
      </c>
      <c r="UB61" s="319" t="s">
        <v>1389</v>
      </c>
      <c r="UC61" s="18" t="str">
        <f ca="1">IF(UC$1&gt;=$TM61,1,"0")</f>
        <v>0</v>
      </c>
      <c r="UF61" s="18" t="str">
        <f ca="1">IF(UF$1&gt;=$TM61,1,"0")</f>
        <v>0</v>
      </c>
      <c r="UG61" s="18" t="str">
        <f ca="1">IF(UG$1&gt;=$TM61,1,"0")</f>
        <v>0</v>
      </c>
      <c r="UL61" s="18" t="str">
        <f ca="1">IF(UL$1&gt;=$TM61,1,"0")</f>
        <v>0</v>
      </c>
      <c r="WD61" s="18" t="str">
        <f ca="1">IF(SUM($VZ$1:$WC$1)&gt;0,IF(AND(SUM($VZ61:$WC61)&gt;0,$TM61=WE$1),MAX(WD$2:WD60)+1,""),IF(AND(SUM($UC61:$VY61)&gt;0,$TM61=WE$1),MAX(WD$2:WD60)+1,""))</f>
        <v/>
      </c>
      <c r="WE61" s="59" t="str">
        <f t="shared" ca="1" si="80"/>
        <v/>
      </c>
      <c r="WF61" s="18" t="str">
        <f ca="1">IF(AND(SUM($UB61:$VY61)&gt;0,$TM61=WG$1),MAX(WF$2:WF60)+1,"")</f>
        <v/>
      </c>
      <c r="WG61" s="59" t="str">
        <f t="shared" ca="1" si="81"/>
        <v/>
      </c>
      <c r="WH61" s="18" t="str">
        <f ca="1">IF(AND(SUM($UB61:$VY61)&gt;0,$TM61=WI$1),MAX(WH$2:WH60)+1,"")</f>
        <v/>
      </c>
      <c r="WI61" s="59" t="str">
        <f t="shared" ca="1" si="82"/>
        <v/>
      </c>
      <c r="WJ61" s="18" t="str">
        <f ca="1">IF(AND(SUM($UB61:$VY61)&gt;0,$TM61=WK$1),MAX(WJ$2:WJ60)+1,"")</f>
        <v/>
      </c>
      <c r="WK61" s="59" t="str">
        <f t="shared" ca="1" si="83"/>
        <v/>
      </c>
      <c r="WL61" s="18" t="str">
        <f ca="1">IF(AND(SUM($UB61:$VY61)&gt;0,$TM61=WM$1),MAX(WL$2:WL60)+1,"")</f>
        <v/>
      </c>
      <c r="WM61" s="59" t="str">
        <f t="shared" ca="1" si="84"/>
        <v/>
      </c>
      <c r="WN61" s="18" t="str">
        <f ca="1">IF(AND(SUM($UB61:$VY61)&gt;0,$TM61=WO$1),MAX(WN$2:WN60)+1,"")</f>
        <v/>
      </c>
      <c r="WO61" s="59" t="str">
        <f t="shared" ca="1" si="85"/>
        <v/>
      </c>
      <c r="WP61" s="18" t="str">
        <f ca="1">IF(AND(SUM($UB61:$VY61)&gt;0,$TM61=WQ$1),MAX(WP$2:WP60)+1,"")</f>
        <v/>
      </c>
      <c r="WQ61" s="59" t="str">
        <f t="shared" ca="1" si="86"/>
        <v/>
      </c>
      <c r="WR61" s="18" t="str">
        <f ca="1">IF(AND(SUM($UB61:$VY61)&gt;0,$TM61=WS$1),MAX(WR$2:WR60)+1,"")</f>
        <v/>
      </c>
      <c r="WS61" s="59" t="str">
        <f t="shared" ca="1" si="87"/>
        <v/>
      </c>
      <c r="WT61" s="18" t="str">
        <f ca="1">IF(AND(SUM($UB61:$VY61)&gt;0,$TM61=WU$1),MAX(WT$2:WT60)+1,"")</f>
        <v/>
      </c>
      <c r="WU61" s="59" t="str">
        <f t="shared" ca="1" si="88"/>
        <v/>
      </c>
      <c r="WV61" s="18" t="str">
        <f ca="1">IF(AND(SUM($UB61:$VY61)&gt;0,$TM61=WW$1),MAX(WV$2:WV60)+1,"")</f>
        <v/>
      </c>
      <c r="WW61" s="59" t="str">
        <f t="shared" ca="1" si="89"/>
        <v/>
      </c>
      <c r="WX61" s="18" t="str">
        <f ca="1">IF(AND(SUM($UB61:$VY61)&gt;0,$TM61=WY$1),MAX(WX$2:WX60)+1,"")</f>
        <v/>
      </c>
      <c r="WY61" s="59" t="str">
        <f t="shared" ca="1" si="90"/>
        <v/>
      </c>
      <c r="WZ61" s="59"/>
      <c r="XC61" s="59" t="str">
        <f t="shared" ca="1" si="140"/>
        <v/>
      </c>
      <c r="XD61" s="59"/>
      <c r="XE61" s="59"/>
      <c r="XF61" s="59"/>
      <c r="XG61" s="59"/>
      <c r="XH61" s="59"/>
      <c r="XI61" s="59"/>
      <c r="XJ61" s="59"/>
      <c r="XK61" s="59"/>
      <c r="XL61" s="59"/>
      <c r="XM61" s="59"/>
      <c r="YT61" s="18" t="s">
        <v>801</v>
      </c>
      <c r="YU61" s="18">
        <v>4</v>
      </c>
      <c r="YV61" s="18" t="str">
        <f ca="1">VLOOKUP(YY61,$ZO$2:$ZP$23,$ZO$1,FALSE)</f>
        <v/>
      </c>
      <c r="YW61" s="18" t="str">
        <f ca="1">IF(YX61="","",MAX($YW$1:YW60)+1)</f>
        <v/>
      </c>
      <c r="YX61" s="59" t="str">
        <f t="shared" ca="1" si="149"/>
        <v/>
      </c>
      <c r="YY61" s="18" t="str">
        <f t="shared" ca="1" si="150"/>
        <v/>
      </c>
      <c r="ZR61"/>
    </row>
    <row r="62" spans="41:694" ht="9.9499999999999993" customHeight="1" x14ac:dyDescent="0.2">
      <c r="AO62" s="18">
        <f t="shared" si="119"/>
        <v>61</v>
      </c>
      <c r="AP62" s="59">
        <f t="shared" si="138"/>
        <v>0</v>
      </c>
      <c r="AR62" s="58" t="str">
        <f>""</f>
        <v/>
      </c>
      <c r="AS62" s="58" t="str">
        <f>""</f>
        <v/>
      </c>
      <c r="AT62" s="58" t="str">
        <f>""</f>
        <v/>
      </c>
      <c r="AU62" s="58" t="str">
        <f>""</f>
        <v/>
      </c>
      <c r="AV62" s="58" t="str">
        <f>""</f>
        <v/>
      </c>
      <c r="AW62" s="58" t="s">
        <v>2501</v>
      </c>
      <c r="AX62" s="58" t="str">
        <f>""</f>
        <v/>
      </c>
      <c r="AY62" s="58" t="str">
        <f>""</f>
        <v/>
      </c>
      <c r="AZ62" s="58" t="str">
        <f>""</f>
        <v/>
      </c>
      <c r="BA62" s="58" t="str">
        <f>""</f>
        <v/>
      </c>
      <c r="BB62" s="58" t="str">
        <f>""</f>
        <v/>
      </c>
      <c r="BC62" s="58" t="str">
        <f>""</f>
        <v/>
      </c>
      <c r="BD62" s="58" t="str">
        <f>""</f>
        <v/>
      </c>
      <c r="BJ62" s="70"/>
      <c r="BK62" s="70"/>
      <c r="BL62" s="48"/>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48"/>
      <c r="CN62" s="48"/>
      <c r="CO62" s="48"/>
      <c r="CP62" s="48"/>
      <c r="CQ62" s="48"/>
      <c r="CR62" s="48"/>
      <c r="CS62" s="48"/>
      <c r="CT62" s="48"/>
      <c r="CU62" s="48"/>
      <c r="CV62" s="48"/>
      <c r="CW62" s="48"/>
      <c r="CX62" s="48"/>
      <c r="CY62" s="48"/>
      <c r="CZ62" s="48"/>
      <c r="DA62" s="48"/>
      <c r="DB62" s="48"/>
      <c r="DC62" s="48"/>
      <c r="DD62" s="48"/>
      <c r="DE62" s="48"/>
      <c r="DF62" s="48"/>
      <c r="DG62" s="104"/>
      <c r="DH62" s="104"/>
      <c r="DI62" s="104"/>
      <c r="DJ62" s="104"/>
      <c r="DK62" s="104"/>
      <c r="FW62" s="48"/>
      <c r="FX62" s="104"/>
      <c r="FY62" s="104"/>
      <c r="FZ62" s="104"/>
      <c r="GA62" s="104"/>
      <c r="GB62" s="104"/>
      <c r="GC62" s="104"/>
      <c r="GD62" s="104"/>
      <c r="GE62" s="104"/>
      <c r="GF62" s="104"/>
      <c r="GG62" s="104"/>
      <c r="GH62" s="104"/>
      <c r="GI62" s="104"/>
      <c r="GJ62" s="104"/>
      <c r="GZ62" s="59"/>
      <c r="HA62" s="59"/>
      <c r="HB62" s="59"/>
      <c r="HC62" s="59"/>
      <c r="HD62" s="59"/>
      <c r="HE62" s="59"/>
      <c r="HF62" s="59"/>
      <c r="HG62" s="59"/>
      <c r="HH62" s="59"/>
      <c r="HI62" s="59"/>
      <c r="HJ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X62" s="59" t="s">
        <v>1613</v>
      </c>
      <c r="IY62" s="59" t="s">
        <v>1614</v>
      </c>
      <c r="IZ62" s="59" t="s">
        <v>198</v>
      </c>
      <c r="JA62" s="59" t="s">
        <v>281</v>
      </c>
      <c r="JB62" s="59" t="s">
        <v>1615</v>
      </c>
      <c r="JK62" s="60"/>
      <c r="JL62" s="60"/>
      <c r="JM62" s="296">
        <v>7</v>
      </c>
      <c r="JN62" s="296">
        <v>4</v>
      </c>
      <c r="JO62" s="296">
        <v>2</v>
      </c>
      <c r="JP62" s="302" t="s">
        <v>140</v>
      </c>
      <c r="JQ62" s="302" t="s">
        <v>140</v>
      </c>
      <c r="JR62" s="302" t="s">
        <v>140</v>
      </c>
      <c r="JS62" s="302" t="s">
        <v>140</v>
      </c>
      <c r="JT62" s="302" t="s">
        <v>140</v>
      </c>
      <c r="JU62" s="302" t="s">
        <v>140</v>
      </c>
      <c r="JV62" s="302" t="s">
        <v>140</v>
      </c>
      <c r="JW62" s="302">
        <v>2</v>
      </c>
      <c r="JX62" s="302"/>
      <c r="JY62" s="60"/>
      <c r="JZ62" s="60"/>
      <c r="KA62" s="60"/>
      <c r="KB62" s="60"/>
      <c r="KC62" s="60"/>
      <c r="KD62" s="60"/>
      <c r="KE62" s="60"/>
      <c r="KF62" s="60"/>
      <c r="KG62" s="60"/>
      <c r="KH62" s="60"/>
      <c r="KI62" s="60"/>
      <c r="KJ62" s="60"/>
      <c r="KK62" s="60"/>
      <c r="KL62" s="60"/>
      <c r="KM62" s="60"/>
      <c r="KN62" s="60"/>
      <c r="KO62" s="60"/>
      <c r="KP62" s="60"/>
      <c r="KQ62" s="60"/>
      <c r="KR62" s="60"/>
      <c r="KS62" s="99"/>
      <c r="KT62" s="88" t="s">
        <v>90</v>
      </c>
      <c r="KU62" s="80" t="str">
        <f t="shared" ca="1" si="157"/>
        <v>No</v>
      </c>
      <c r="KV62" s="89" t="s">
        <v>247</v>
      </c>
      <c r="KW62" s="92"/>
      <c r="KX62" s="92"/>
      <c r="KY62" s="92"/>
      <c r="KZ62" s="92"/>
      <c r="LA62" s="92"/>
      <c r="LB62" s="92"/>
      <c r="LC62" s="92"/>
      <c r="LD62" s="92"/>
      <c r="LE62" s="92"/>
      <c r="LF62" s="92"/>
      <c r="LG62" s="92"/>
      <c r="LH62" s="92"/>
      <c r="LI62" s="92"/>
      <c r="LJ62" s="92"/>
      <c r="LK62" s="92"/>
      <c r="LL62" s="92"/>
      <c r="LM62" s="92"/>
      <c r="LN62" s="92"/>
      <c r="LO62" s="92"/>
      <c r="LP62" s="92"/>
      <c r="LQ62" s="92"/>
      <c r="LR62" s="92"/>
      <c r="LS62" s="92"/>
      <c r="LT62" s="92"/>
      <c r="LU62" s="92"/>
      <c r="LV62" s="92"/>
      <c r="LW62" s="92"/>
      <c r="LX62" s="92"/>
      <c r="LY62" s="92"/>
      <c r="LZ62" s="92"/>
      <c r="MA62" s="92" t="str">
        <f>IF(Class1=MA$5,IF(MA$1&gt;0,$KT62,""),"")</f>
        <v/>
      </c>
      <c r="MB62" s="92"/>
      <c r="MC62" s="92"/>
      <c r="MD62" s="92"/>
      <c r="ME62" s="92"/>
      <c r="MF62" s="92"/>
      <c r="MG62" s="92"/>
      <c r="MH62" s="92" t="str">
        <f>IF(Class1=MH$5,IF(MH$1&gt;0,$KT62,""),"")</f>
        <v/>
      </c>
      <c r="MI62" s="92"/>
      <c r="MJ62" s="92"/>
      <c r="MK62" s="92"/>
      <c r="ML62" s="92"/>
      <c r="MM62" s="92"/>
      <c r="MN62" s="92" t="str">
        <f ca="1">IF(MN$1&gt;0,$KT62,"")</f>
        <v/>
      </c>
      <c r="MO62" s="92"/>
      <c r="MP62" s="92" t="str">
        <f ca="1">IF(MP$1&gt;0,$KT62,"")</f>
        <v/>
      </c>
      <c r="MQ62" s="92" t="str">
        <f ca="1">IF(MQ$1&gt;0,$KT62,"")</f>
        <v/>
      </c>
      <c r="MR62" s="92"/>
      <c r="MS62" s="92" t="str">
        <f ca="1">IF(MS$1&gt;0,$KT62,"")</f>
        <v/>
      </c>
      <c r="MT62" s="92"/>
      <c r="MU62" s="92"/>
      <c r="MV62" s="92"/>
      <c r="MW62" s="92"/>
      <c r="MX62" s="92"/>
      <c r="MY62" s="92"/>
      <c r="MZ62" s="92"/>
      <c r="NA62" s="92"/>
      <c r="NB62" s="92"/>
      <c r="NC62" s="92"/>
      <c r="ND62" s="92"/>
      <c r="NE62" s="92"/>
      <c r="NF62" s="92"/>
      <c r="NG62" s="92"/>
      <c r="NH62" s="92"/>
      <c r="NI62" s="92"/>
      <c r="NJ62" s="92"/>
      <c r="NK62" s="92"/>
      <c r="NL62" s="92"/>
      <c r="NM62" s="92"/>
      <c r="NN62" s="92"/>
      <c r="NO62" s="92"/>
      <c r="NP62" s="92"/>
      <c r="NQ62" s="92"/>
      <c r="NR62" s="92"/>
      <c r="NS62" s="92"/>
      <c r="NT62" s="92"/>
      <c r="NU62" s="92"/>
      <c r="NV62" s="92"/>
      <c r="NW62" s="92"/>
      <c r="NX62" s="92"/>
      <c r="NY62" s="92"/>
      <c r="NZ62" s="92"/>
      <c r="OA62" s="92"/>
      <c r="OB62" s="92"/>
      <c r="OC62" s="92"/>
      <c r="OD62" s="92"/>
      <c r="OE62" s="92"/>
      <c r="OF62" s="92"/>
      <c r="OG62" s="92"/>
      <c r="OH62" s="92"/>
      <c r="OI62" s="92"/>
      <c r="OJ62" s="92"/>
      <c r="OK62" s="92"/>
      <c r="OL62" s="92"/>
      <c r="OM62" s="92"/>
      <c r="ON62" s="92"/>
      <c r="OO62" s="92" t="str">
        <f>IF(OO$1&gt;0,$KT62,"")</f>
        <v/>
      </c>
      <c r="OP62" s="92"/>
      <c r="OQ62" s="92"/>
      <c r="OR62" s="92"/>
      <c r="OS62" s="92"/>
      <c r="OT62" s="92"/>
      <c r="OU62" s="92"/>
      <c r="OV62" s="92"/>
      <c r="OW62" s="92"/>
      <c r="OX62" s="92"/>
      <c r="OY62" s="92"/>
      <c r="OZ62" s="92"/>
      <c r="PA62" s="92"/>
      <c r="PB62" s="92"/>
      <c r="PC62" s="92"/>
      <c r="PD62" s="92"/>
      <c r="PE62" s="92"/>
      <c r="PF62" s="92"/>
      <c r="PG62" s="92"/>
      <c r="PH62" s="92"/>
      <c r="PI62" s="92"/>
      <c r="PJ62" s="92"/>
      <c r="PK62" s="92"/>
      <c r="PL62" s="92"/>
      <c r="PM62" s="92"/>
      <c r="PN62" s="92"/>
      <c r="PO62" s="92"/>
      <c r="PP62" s="92"/>
      <c r="PQ62" s="92"/>
      <c r="PR62" s="92"/>
      <c r="PS62" s="92"/>
      <c r="PT62" s="92"/>
      <c r="PU62" s="59" t="str">
        <f ca="1">IF(COUNTIF(KW62:PT62,"&gt;&lt;"),KT62,"")</f>
        <v/>
      </c>
      <c r="PV62" s="59" t="str">
        <f ca="1">IF(PU62="","",IF(COUNTIF(PU62:$PU$76,"&gt;&lt;")&gt;1,PU62&amp;", ", PU62))</f>
        <v/>
      </c>
      <c r="PW62" s="59"/>
      <c r="PX62" s="59"/>
      <c r="PY62" s="60"/>
      <c r="PZ62" s="28"/>
      <c r="QA62" s="28"/>
      <c r="QB62" s="30" t="str">
        <f t="shared" si="154"/>
        <v/>
      </c>
      <c r="QC62" s="31"/>
      <c r="QD62" s="28"/>
      <c r="QE62" s="29" t="str">
        <f>""</f>
        <v/>
      </c>
      <c r="QF62" s="29"/>
      <c r="QG62" s="29" t="str">
        <f>""</f>
        <v/>
      </c>
      <c r="QH62" s="29" t="str">
        <f>""</f>
        <v/>
      </c>
      <c r="QI62" s="29" t="str">
        <f>""</f>
        <v/>
      </c>
      <c r="QJ62" s="29" t="str">
        <f>""</f>
        <v/>
      </c>
      <c r="QK62" s="29" t="str">
        <f>""</f>
        <v/>
      </c>
      <c r="QL62" s="29" t="str">
        <f>""</f>
        <v/>
      </c>
      <c r="QM62" s="29" t="str">
        <f>""</f>
        <v/>
      </c>
      <c r="QN62" s="29" t="str">
        <f>""</f>
        <v/>
      </c>
      <c r="QO62" s="29" t="str">
        <f>""</f>
        <v/>
      </c>
      <c r="QP62" s="29" t="str">
        <f>""</f>
        <v/>
      </c>
      <c r="QQ62" s="30" t="str">
        <f>""</f>
        <v/>
      </c>
      <c r="QR62" s="30" t="str">
        <f>""</f>
        <v/>
      </c>
      <c r="SR62" s="28"/>
      <c r="SS62" s="28"/>
      <c r="ST62" s="28"/>
      <c r="SU62" s="29"/>
      <c r="SV62" s="42"/>
      <c r="SW62" s="69"/>
      <c r="SX62" s="29"/>
      <c r="SY62" s="30"/>
      <c r="SZ62" s="29"/>
      <c r="TA62" s="28"/>
      <c r="TB62" s="28"/>
      <c r="TC62" s="28"/>
      <c r="TD62" s="42"/>
      <c r="TE62" s="29"/>
      <c r="TF62" s="69"/>
      <c r="TG62" s="29"/>
      <c r="TH62" s="30"/>
      <c r="TI62" s="30"/>
      <c r="TJ62" s="18">
        <f t="shared" si="115"/>
        <v>60</v>
      </c>
      <c r="TK62" s="58" t="s">
        <v>2753</v>
      </c>
      <c r="TL62" s="58" t="s">
        <v>461</v>
      </c>
      <c r="TM62" s="18">
        <v>4</v>
      </c>
      <c r="TN62" s="59" t="str">
        <f t="shared" si="137"/>
        <v xml:space="preserve">Compulsion </v>
      </c>
      <c r="TO62" s="350" t="str">
        <f>""</f>
        <v/>
      </c>
      <c r="TP62" s="18" t="str">
        <f t="shared" si="48"/>
        <v/>
      </c>
      <c r="TQ62" s="18" t="str">
        <f>IF(OR(TK62=Spellcasting!$AC$18,TK62=Spellcasting!$AC$19),"ᵐ","")</f>
        <v/>
      </c>
      <c r="TR62" s="18" t="str">
        <f>IF(OR(TK62=Spellcasting!$AC$20,TK62=Spellcasting!$AC$21),"ˢ","")</f>
        <v/>
      </c>
      <c r="TS62" s="18" t="str">
        <f>""</f>
        <v/>
      </c>
      <c r="TT62" s="18" t="s">
        <v>484</v>
      </c>
      <c r="TU62" s="18" t="s">
        <v>851</v>
      </c>
      <c r="TV62" s="18" t="s">
        <v>558</v>
      </c>
      <c r="TW62" s="18" t="s">
        <v>486</v>
      </c>
      <c r="TY62" s="18" t="s">
        <v>498</v>
      </c>
      <c r="TZ62" s="18" t="s">
        <v>499</v>
      </c>
      <c r="UA62" s="142" t="s">
        <v>2754</v>
      </c>
      <c r="UB62" s="319" t="s">
        <v>3007</v>
      </c>
      <c r="UC62" s="18" t="str">
        <f ca="1">IF(UC$1&gt;=$TM62,1,"0")</f>
        <v>0</v>
      </c>
      <c r="WD62" s="18" t="str">
        <f ca="1">IF(SUM($VZ$1:$WC$1)&gt;0,IF(AND(SUM($VZ62:$WC62)&gt;0,$TM62=WE$1),MAX(WD$2:WD61)+1,""),IF(AND(SUM($UC62:$VY62)&gt;0,$TM62=WE$1),MAX(WD$2:WD61)+1,""))</f>
        <v/>
      </c>
      <c r="WE62" s="59" t="str">
        <f t="shared" ca="1" si="80"/>
        <v/>
      </c>
      <c r="WF62" s="18" t="str">
        <f ca="1">IF(AND(SUM($UB62:$VY62)&gt;0,$TM62=WG$1),MAX(WF$2:WF61)+1,"")</f>
        <v/>
      </c>
      <c r="WG62" s="59" t="str">
        <f t="shared" ca="1" si="81"/>
        <v/>
      </c>
      <c r="WH62" s="18" t="str">
        <f ca="1">IF(AND(SUM($UB62:$VY62)&gt;0,$TM62=WI$1),MAX(WH$2:WH61)+1,"")</f>
        <v/>
      </c>
      <c r="WI62" s="59" t="str">
        <f t="shared" ca="1" si="82"/>
        <v/>
      </c>
      <c r="WJ62" s="18" t="str">
        <f ca="1">IF(AND(SUM($UB62:$VY62)&gt;0,$TM62=WK$1),MAX(WJ$2:WJ61)+1,"")</f>
        <v/>
      </c>
      <c r="WK62" s="59" t="str">
        <f t="shared" ca="1" si="83"/>
        <v/>
      </c>
      <c r="WL62" s="18" t="str">
        <f ca="1">IF(AND(SUM($UB62:$VY62)&gt;0,$TM62=WM$1),MAX(WL$2:WL61)+1,"")</f>
        <v/>
      </c>
      <c r="WM62" s="59" t="str">
        <f t="shared" ca="1" si="84"/>
        <v/>
      </c>
      <c r="WN62" s="18" t="str">
        <f ca="1">IF(AND(SUM($UB62:$VY62)&gt;0,$TM62=WO$1),MAX(WN$2:WN61)+1,"")</f>
        <v/>
      </c>
      <c r="WO62" s="59" t="str">
        <f t="shared" ca="1" si="85"/>
        <v/>
      </c>
      <c r="WP62" s="18" t="str">
        <f ca="1">IF(AND(SUM($UB62:$VY62)&gt;0,$TM62=WQ$1),MAX(WP$2:WP61)+1,"")</f>
        <v/>
      </c>
      <c r="WQ62" s="59" t="str">
        <f t="shared" ca="1" si="86"/>
        <v/>
      </c>
      <c r="WR62" s="18" t="str">
        <f ca="1">IF(AND(SUM($UB62:$VY62)&gt;0,$TM62=WS$1),MAX(WR$2:WR61)+1,"")</f>
        <v/>
      </c>
      <c r="WS62" s="59" t="str">
        <f t="shared" ca="1" si="87"/>
        <v/>
      </c>
      <c r="WT62" s="18" t="str">
        <f ca="1">IF(AND(SUM($UB62:$VY62)&gt;0,$TM62=WU$1),MAX(WT$2:WT61)+1,"")</f>
        <v/>
      </c>
      <c r="WU62" s="59" t="str">
        <f t="shared" ca="1" si="88"/>
        <v/>
      </c>
      <c r="WV62" s="18" t="str">
        <f ca="1">IF(AND(SUM($UB62:$VY62)&gt;0,$TM62=WW$1),MAX(WV$2:WV61)+1,"")</f>
        <v/>
      </c>
      <c r="WW62" s="59" t="str">
        <f t="shared" ca="1" si="89"/>
        <v/>
      </c>
      <c r="WX62" s="18" t="str">
        <f ca="1">IF(AND(SUM($UB62:$VY62)&gt;0,$TM62=WY$1),MAX(WX$2:WX61)+1,"")</f>
        <v/>
      </c>
      <c r="WY62" s="59" t="str">
        <f t="shared" ca="1" si="90"/>
        <v/>
      </c>
      <c r="WZ62" s="59"/>
      <c r="XC62" s="59" t="str">
        <f t="shared" ca="1" si="140"/>
        <v/>
      </c>
      <c r="XD62" s="59"/>
      <c r="XE62" s="59"/>
      <c r="XF62" s="59"/>
      <c r="XG62" s="59"/>
      <c r="XH62" s="59"/>
      <c r="XI62" s="59"/>
      <c r="XJ62" s="59"/>
      <c r="XK62" s="59"/>
      <c r="XL62" s="59"/>
      <c r="XM62" s="59"/>
      <c r="YT62" s="18" t="s">
        <v>801</v>
      </c>
      <c r="YU62" s="18">
        <v>8</v>
      </c>
      <c r="YV62" s="18" t="str">
        <f ca="1">VLOOKUP(YY62,$ZO$2:$ZP$23,$ZO$1,FALSE)</f>
        <v/>
      </c>
      <c r="YW62" s="18" t="str">
        <f ca="1">IF(YX62="","",MAX($YW$1:YW61)+1)</f>
        <v/>
      </c>
      <c r="YX62" s="59" t="str">
        <f t="shared" ca="1" si="149"/>
        <v/>
      </c>
      <c r="YY62" s="18" t="str">
        <f t="shared" ca="1" si="150"/>
        <v/>
      </c>
      <c r="ZR62"/>
    </row>
    <row r="63" spans="41:694" ht="9.9499999999999993" customHeight="1" x14ac:dyDescent="0.2">
      <c r="AO63" s="18">
        <f t="shared" si="119"/>
        <v>62</v>
      </c>
      <c r="AP63" s="59">
        <f t="shared" si="138"/>
        <v>0</v>
      </c>
      <c r="AR63" s="58" t="str">
        <f>""</f>
        <v/>
      </c>
      <c r="AS63" s="58" t="str">
        <f>""</f>
        <v/>
      </c>
      <c r="AT63" s="58" t="str">
        <f>""</f>
        <v/>
      </c>
      <c r="AU63" s="58" t="str">
        <f>""</f>
        <v/>
      </c>
      <c r="AV63" s="58" t="str">
        <f>""</f>
        <v/>
      </c>
      <c r="AW63" s="58" t="s">
        <v>2502</v>
      </c>
      <c r="AX63" s="58" t="str">
        <f>""</f>
        <v/>
      </c>
      <c r="AY63" s="58" t="str">
        <f>""</f>
        <v/>
      </c>
      <c r="AZ63" s="58" t="str">
        <f>""</f>
        <v/>
      </c>
      <c r="BA63" s="58" t="str">
        <f>""</f>
        <v/>
      </c>
      <c r="BB63" s="58" t="str">
        <f>""</f>
        <v/>
      </c>
      <c r="BC63" s="58" t="str">
        <f>""</f>
        <v/>
      </c>
      <c r="BD63" s="58" t="str">
        <f>""</f>
        <v/>
      </c>
      <c r="BJ63" s="70"/>
      <c r="BK63" s="70"/>
      <c r="BL63" s="48"/>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48"/>
      <c r="CN63" s="48"/>
      <c r="CO63" s="48"/>
      <c r="CP63" s="48"/>
      <c r="CQ63" s="48"/>
      <c r="CR63" s="48"/>
      <c r="CS63" s="48"/>
      <c r="CT63" s="48"/>
      <c r="CU63" s="48"/>
      <c r="CV63" s="48"/>
      <c r="CW63" s="48"/>
      <c r="CX63" s="48"/>
      <c r="CY63" s="48"/>
      <c r="CZ63" s="48"/>
      <c r="DA63" s="48"/>
      <c r="DB63" s="48"/>
      <c r="DC63" s="48"/>
      <c r="DD63" s="48"/>
      <c r="DE63" s="48"/>
      <c r="DF63" s="48"/>
      <c r="DG63" s="104"/>
      <c r="DH63" s="104"/>
      <c r="DI63" s="104"/>
      <c r="DJ63" s="104"/>
      <c r="DK63" s="104"/>
      <c r="FW63" s="48"/>
      <c r="FX63" s="104"/>
      <c r="FY63" s="104"/>
      <c r="FZ63" s="104"/>
      <c r="GA63" s="104"/>
      <c r="GB63" s="104"/>
      <c r="GC63" s="104"/>
      <c r="GD63" s="104"/>
      <c r="GE63" s="104"/>
      <c r="GF63" s="104"/>
      <c r="GG63" s="104"/>
      <c r="GH63" s="104"/>
      <c r="GI63" s="104"/>
      <c r="GJ63" s="104"/>
      <c r="GZ63" s="59"/>
      <c r="HA63" s="59"/>
      <c r="HB63" s="59"/>
      <c r="HC63" s="59"/>
      <c r="HD63" s="59"/>
      <c r="HE63" s="59"/>
      <c r="HF63" s="59"/>
      <c r="HG63" s="59"/>
      <c r="HH63" s="59"/>
      <c r="HI63" s="59"/>
      <c r="HJ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X63" s="59" t="s">
        <v>1616</v>
      </c>
      <c r="IY63" s="59" t="s">
        <v>1617</v>
      </c>
      <c r="IZ63" s="59" t="s">
        <v>202</v>
      </c>
      <c r="JA63" s="59" t="s">
        <v>888</v>
      </c>
      <c r="JB63" s="59" t="s">
        <v>1618</v>
      </c>
      <c r="JK63" s="60"/>
      <c r="JL63" s="60"/>
      <c r="JM63" s="296">
        <v>8</v>
      </c>
      <c r="JN63" s="296">
        <v>4</v>
      </c>
      <c r="JO63" s="296">
        <v>2</v>
      </c>
      <c r="JP63" s="302" t="s">
        <v>140</v>
      </c>
      <c r="JQ63" s="302" t="s">
        <v>140</v>
      </c>
      <c r="JR63" s="302" t="s">
        <v>140</v>
      </c>
      <c r="JS63" s="302" t="s">
        <v>140</v>
      </c>
      <c r="JT63" s="302" t="s">
        <v>140</v>
      </c>
      <c r="JU63" s="302" t="s">
        <v>140</v>
      </c>
      <c r="JV63" s="302" t="s">
        <v>140</v>
      </c>
      <c r="JW63" s="302">
        <v>2</v>
      </c>
      <c r="JX63" s="302"/>
      <c r="JY63" s="60"/>
      <c r="JZ63" s="60"/>
      <c r="KA63" s="60"/>
      <c r="KB63" s="60"/>
      <c r="KC63" s="60"/>
      <c r="KD63" s="60"/>
      <c r="KE63" s="60"/>
      <c r="KF63" s="60"/>
      <c r="KG63" s="60"/>
      <c r="KH63" s="60"/>
      <c r="KI63" s="60"/>
      <c r="KJ63" s="60"/>
      <c r="KK63" s="60"/>
      <c r="KL63" s="60"/>
      <c r="KM63" s="60"/>
      <c r="KN63" s="60"/>
      <c r="KO63" s="60"/>
      <c r="KP63" s="60"/>
      <c r="KQ63" s="60"/>
      <c r="KR63" s="60"/>
      <c r="KS63" s="99"/>
      <c r="KT63" s="88" t="s">
        <v>344</v>
      </c>
      <c r="KU63" s="80" t="str">
        <f t="shared" ca="1" si="157"/>
        <v>No</v>
      </c>
      <c r="KV63" s="89" t="s">
        <v>344</v>
      </c>
      <c r="KW63" s="92"/>
      <c r="KX63" s="92"/>
      <c r="KY63" s="92"/>
      <c r="KZ63" s="92"/>
      <c r="LA63" s="92"/>
      <c r="LB63" s="92"/>
      <c r="LC63" s="92"/>
      <c r="LD63" s="92"/>
      <c r="LE63" s="92"/>
      <c r="LF63" s="92"/>
      <c r="LG63" s="92"/>
      <c r="LH63" s="92"/>
      <c r="LI63" s="92"/>
      <c r="LJ63" s="92"/>
      <c r="LK63" s="92"/>
      <c r="LL63" s="92"/>
      <c r="LM63" s="92"/>
      <c r="LN63" s="92"/>
      <c r="LO63" s="92"/>
      <c r="LP63" s="92"/>
      <c r="LQ63" s="92"/>
      <c r="LR63" s="92"/>
      <c r="LS63" s="92"/>
      <c r="LT63" s="92"/>
      <c r="LU63" s="92"/>
      <c r="LV63" s="92"/>
      <c r="LW63" s="92"/>
      <c r="LX63" s="92"/>
      <c r="LY63" s="92"/>
      <c r="LZ63" s="92" t="str">
        <f ca="1">IF(LZ$1&gt;0,$KT63,"")</f>
        <v/>
      </c>
      <c r="MA63" s="92" t="str">
        <f ca="1">IF(MA$1&gt;0,$KT63,"")</f>
        <v/>
      </c>
      <c r="MB63" s="92"/>
      <c r="MC63" s="92"/>
      <c r="MD63" s="92" t="str">
        <f ca="1">IF(MD$1&gt;0,$KT63,"")</f>
        <v/>
      </c>
      <c r="ME63" s="92"/>
      <c r="MF63" s="92"/>
      <c r="MG63" s="92"/>
      <c r="MH63" s="92" t="str">
        <f t="shared" ref="MH63:MH72" ca="1" si="158">IF(MH$1&gt;0,$KT63,"")</f>
        <v/>
      </c>
      <c r="MI63" s="92" t="str">
        <f t="shared" ref="MI63:MI78" ca="1" si="159">IF(MI$1&gt;0,$KT63,"")</f>
        <v/>
      </c>
      <c r="MJ63" s="92"/>
      <c r="MK63" s="92"/>
      <c r="ML63" s="92"/>
      <c r="MM63" s="92"/>
      <c r="MN63" s="92"/>
      <c r="MO63" s="92"/>
      <c r="MP63" s="92"/>
      <c r="MQ63" s="92"/>
      <c r="MR63" s="92"/>
      <c r="MS63" s="92"/>
      <c r="MT63" s="92"/>
      <c r="MU63" s="92"/>
      <c r="MV63" s="92"/>
      <c r="MW63" s="92"/>
      <c r="MX63" s="92"/>
      <c r="MY63" s="92"/>
      <c r="MZ63" s="92"/>
      <c r="NA63" s="92"/>
      <c r="NB63" s="92"/>
      <c r="NC63" s="92"/>
      <c r="ND63" s="92"/>
      <c r="NE63" s="92"/>
      <c r="NF63" s="92"/>
      <c r="NG63" s="92"/>
      <c r="NH63" s="92"/>
      <c r="NI63" s="92"/>
      <c r="NJ63" s="92"/>
      <c r="NK63" s="92" t="str">
        <f ca="1">IF(NK$1&gt;2,$KT63,"")</f>
        <v/>
      </c>
      <c r="NL63" s="92"/>
      <c r="NM63" s="92"/>
      <c r="NN63" s="92"/>
      <c r="NO63" s="92"/>
      <c r="NP63" s="92"/>
      <c r="NQ63" s="92"/>
      <c r="NR63" s="92"/>
      <c r="NS63" s="92"/>
      <c r="NT63" s="92"/>
      <c r="NU63" s="92"/>
      <c r="NV63" s="92"/>
      <c r="NW63" s="92"/>
      <c r="NX63" s="92"/>
      <c r="NY63" s="92"/>
      <c r="NZ63" s="92"/>
      <c r="OA63" s="92"/>
      <c r="OB63" s="92"/>
      <c r="OC63" s="92"/>
      <c r="OD63" s="92"/>
      <c r="OE63" s="92"/>
      <c r="OF63" s="92"/>
      <c r="OG63" s="92"/>
      <c r="OH63" s="92"/>
      <c r="OI63" s="92"/>
      <c r="OJ63" s="92"/>
      <c r="OK63" s="92"/>
      <c r="OL63" s="92"/>
      <c r="OM63" s="92"/>
      <c r="ON63" s="92"/>
      <c r="OO63" s="92"/>
      <c r="OP63" s="92"/>
      <c r="OQ63" s="92"/>
      <c r="OR63" s="92"/>
      <c r="OS63" s="92"/>
      <c r="OT63" s="92"/>
      <c r="OU63" s="92"/>
      <c r="OV63" s="92"/>
      <c r="OW63" s="92"/>
      <c r="OX63" s="92"/>
      <c r="OY63" s="92"/>
      <c r="OZ63" s="92"/>
      <c r="PA63" s="92" t="str">
        <f>IF(PA$1&gt;0,$KT63,"")</f>
        <v/>
      </c>
      <c r="PB63" s="92"/>
      <c r="PC63" s="92"/>
      <c r="PD63" s="92"/>
      <c r="PE63" s="92"/>
      <c r="PF63" s="92"/>
      <c r="PG63" s="92"/>
      <c r="PH63" s="92"/>
      <c r="PI63" s="92"/>
      <c r="PJ63" s="92"/>
      <c r="PK63" s="92"/>
      <c r="PL63" s="92"/>
      <c r="PM63" s="92"/>
      <c r="PN63" s="92"/>
      <c r="PO63" s="92"/>
      <c r="PP63" s="92"/>
      <c r="PQ63" s="92"/>
      <c r="PR63" s="92"/>
      <c r="PS63" s="92"/>
      <c r="PT63" s="92"/>
      <c r="PU63" s="59" t="str">
        <f ca="1">IF(COUNTIF(KX63:PT63,"&gt;&lt;"),KT63,"")</f>
        <v/>
      </c>
      <c r="PV63" s="59" t="str">
        <f ca="1">IF(PU63="","",IF(COUNTIF(PU63:$PU$76,"&gt;&lt;")&gt;1,PU63&amp;", ", PU63))</f>
        <v/>
      </c>
      <c r="PW63" s="59"/>
      <c r="PX63" s="59"/>
      <c r="PY63" s="60"/>
      <c r="PZ63" s="19"/>
      <c r="QA63" s="19"/>
      <c r="QB63" s="27" t="str">
        <f t="shared" si="154"/>
        <v/>
      </c>
      <c r="QC63" s="67"/>
      <c r="QD63" s="19"/>
      <c r="QE63" s="26" t="str">
        <f>""</f>
        <v/>
      </c>
      <c r="QF63" s="26"/>
      <c r="QG63" s="26" t="str">
        <f>""</f>
        <v/>
      </c>
      <c r="QH63" s="26" t="str">
        <f>""</f>
        <v/>
      </c>
      <c r="QI63" s="26" t="str">
        <f>""</f>
        <v/>
      </c>
      <c r="QJ63" s="26" t="str">
        <f>""</f>
        <v/>
      </c>
      <c r="QK63" s="26" t="str">
        <f>""</f>
        <v/>
      </c>
      <c r="QL63" s="26" t="str">
        <f>""</f>
        <v/>
      </c>
      <c r="QM63" s="26" t="str">
        <f>""</f>
        <v/>
      </c>
      <c r="QN63" s="26" t="str">
        <f>""</f>
        <v/>
      </c>
      <c r="QO63" s="26" t="str">
        <f>""</f>
        <v/>
      </c>
      <c r="QP63" s="26" t="str">
        <f>""</f>
        <v/>
      </c>
      <c r="QQ63" s="27" t="str">
        <f>""</f>
        <v/>
      </c>
      <c r="QR63" s="27" t="str">
        <f>""</f>
        <v/>
      </c>
      <c r="SR63" s="19"/>
      <c r="SS63" s="19"/>
      <c r="ST63" s="19"/>
      <c r="SU63" s="26"/>
      <c r="SV63" s="44"/>
      <c r="SW63" s="68"/>
      <c r="SX63" s="26"/>
      <c r="SY63" s="27"/>
      <c r="SZ63" s="26"/>
      <c r="TA63" s="19"/>
      <c r="TB63" s="19"/>
      <c r="TC63" s="19"/>
      <c r="TD63" s="44"/>
      <c r="TE63" s="26"/>
      <c r="TF63" s="68"/>
      <c r="TG63" s="26"/>
      <c r="TH63" s="27"/>
      <c r="TI63" s="27"/>
      <c r="TJ63" s="18">
        <f t="shared" si="115"/>
        <v>61</v>
      </c>
      <c r="TK63" s="58" t="s">
        <v>556</v>
      </c>
      <c r="TL63" s="58" t="s">
        <v>462</v>
      </c>
      <c r="TM63" s="18">
        <v>5</v>
      </c>
      <c r="TN63" s="59" t="str">
        <f t="shared" si="137"/>
        <v xml:space="preserve">Cone of Cold ᴴ </v>
      </c>
      <c r="TO63" s="350" t="s">
        <v>2991</v>
      </c>
      <c r="TP63" s="18" t="str">
        <f t="shared" si="48"/>
        <v/>
      </c>
      <c r="TQ63" s="18" t="str">
        <f>IF(OR(TK63=Spellcasting!$AC$18,TK63=Spellcasting!$AC$19),"ᵐ","")</f>
        <v/>
      </c>
      <c r="TR63" s="18" t="str">
        <f>IF(OR(TK63=Spellcasting!$AC$20,TK63=Spellcasting!$AC$21),"ˢ","")</f>
        <v/>
      </c>
      <c r="TS63" s="18" t="str">
        <f>""</f>
        <v/>
      </c>
      <c r="TT63" s="18" t="s">
        <v>484</v>
      </c>
      <c r="TU63" s="18" t="s">
        <v>509</v>
      </c>
      <c r="TV63" s="18" t="s">
        <v>505</v>
      </c>
      <c r="TW63" s="18" t="s">
        <v>495</v>
      </c>
      <c r="TX63" s="59" t="s">
        <v>873</v>
      </c>
      <c r="TY63" s="18" t="s">
        <v>534</v>
      </c>
      <c r="TZ63" s="18" t="s">
        <v>535</v>
      </c>
      <c r="UA63" s="142" t="s">
        <v>3156</v>
      </c>
      <c r="UB63" s="319" t="str">
        <f ca="1">"60ft cone, 8d8"&amp;IF(WizardEvocationLevel&gt;=10,"+"&amp;INTMod,IF(AD5=TRUE,"+"&amp;CHAMod,""))&amp;" cold, con ½"</f>
        <v>60ft cone, 8d8 cold, con ½</v>
      </c>
      <c r="UF63" s="18" t="str">
        <f ca="1">IF(UF$1&gt;=$TM63,1,"0")</f>
        <v>0</v>
      </c>
      <c r="UL63" s="18" t="str">
        <f ca="1">IF(UL$1&gt;=$TM63,1,"0")</f>
        <v>0</v>
      </c>
      <c r="VG63" s="18" t="str">
        <f>IF(VG$1&gt;=$TM63,1,"0")</f>
        <v>0</v>
      </c>
      <c r="WD63" s="18" t="str">
        <f ca="1">IF(SUM($VZ$1:$WC$1)&gt;0,IF(AND(SUM($VZ63:$WC63)&gt;0,$TM63=WE$1),MAX(WD$2:WD62)+1,""),IF(AND(SUM($UC63:$VY63)&gt;0,$TM63=WE$1),MAX(WD$2:WD62)+1,""))</f>
        <v/>
      </c>
      <c r="WE63" s="59" t="str">
        <f t="shared" ca="1" si="80"/>
        <v/>
      </c>
      <c r="WF63" s="18" t="str">
        <f ca="1">IF(AND(SUM($UB63:$VY63)&gt;0,$TM63=WG$1),MAX(WF$2:WF62)+1,"")</f>
        <v/>
      </c>
      <c r="WG63" s="59" t="str">
        <f t="shared" ca="1" si="81"/>
        <v/>
      </c>
      <c r="WH63" s="18" t="str">
        <f ca="1">IF(AND(SUM($UB63:$VY63)&gt;0,$TM63=WI$1),MAX(WH$2:WH62)+1,"")</f>
        <v/>
      </c>
      <c r="WI63" s="59" t="str">
        <f t="shared" ca="1" si="82"/>
        <v/>
      </c>
      <c r="WJ63" s="18" t="str">
        <f ca="1">IF(AND(SUM($UB63:$VY63)&gt;0,$TM63=WK$1),MAX(WJ$2:WJ62)+1,"")</f>
        <v/>
      </c>
      <c r="WK63" s="59" t="str">
        <f t="shared" ca="1" si="83"/>
        <v/>
      </c>
      <c r="WL63" s="18" t="str">
        <f ca="1">IF(AND(SUM($UB63:$VY63)&gt;0,$TM63=WM$1),MAX(WL$2:WL62)+1,"")</f>
        <v/>
      </c>
      <c r="WM63" s="59" t="str">
        <f t="shared" ca="1" si="84"/>
        <v/>
      </c>
      <c r="WN63" s="18" t="str">
        <f ca="1">IF(AND(SUM($UB63:$VY63)&gt;0,$TM63=WO$1),MAX(WN$2:WN62)+1,"")</f>
        <v/>
      </c>
      <c r="WO63" s="59" t="str">
        <f t="shared" ca="1" si="85"/>
        <v/>
      </c>
      <c r="WP63" s="18" t="str">
        <f ca="1">IF(AND(SUM($UB63:$VY63)&gt;0,$TM63=WQ$1),MAX(WP$2:WP62)+1,"")</f>
        <v/>
      </c>
      <c r="WQ63" s="59" t="str">
        <f t="shared" ca="1" si="86"/>
        <v/>
      </c>
      <c r="WR63" s="18" t="str">
        <f ca="1">IF(AND(SUM($UB63:$VY63)&gt;0,$TM63=WS$1),MAX(WR$2:WR62)+1,"")</f>
        <v/>
      </c>
      <c r="WS63" s="59" t="str">
        <f t="shared" ca="1" si="87"/>
        <v/>
      </c>
      <c r="WT63" s="18" t="str">
        <f ca="1">IF(AND(SUM($UB63:$VY63)&gt;0,$TM63=WU$1),MAX(WT$2:WT62)+1,"")</f>
        <v/>
      </c>
      <c r="WU63" s="59" t="str">
        <f t="shared" ca="1" si="88"/>
        <v/>
      </c>
      <c r="WV63" s="18" t="str">
        <f ca="1">IF(AND(SUM($UB63:$VY63)&gt;0,$TM63=WW$1),MAX(WV$2:WV62)+1,"")</f>
        <v/>
      </c>
      <c r="WW63" s="59" t="str">
        <f t="shared" ca="1" si="89"/>
        <v/>
      </c>
      <c r="WX63" s="18" t="str">
        <f ca="1">IF(AND(SUM($UB63:$VY63)&gt;0,$TM63=WY$1),MAX(WX$2:WX62)+1,"")</f>
        <v/>
      </c>
      <c r="WY63" s="59" t="str">
        <f t="shared" ca="1" si="90"/>
        <v/>
      </c>
      <c r="WZ63" s="59"/>
      <c r="XC63" s="59" t="str">
        <f t="shared" ca="1" si="140"/>
        <v/>
      </c>
      <c r="XD63" s="59"/>
      <c r="XE63" s="59"/>
      <c r="XF63" s="59"/>
      <c r="XG63" s="59"/>
      <c r="XH63" s="59"/>
      <c r="XI63" s="59"/>
      <c r="XJ63" s="59"/>
      <c r="XK63" s="59"/>
      <c r="XL63" s="59"/>
      <c r="XM63" s="59"/>
      <c r="YN63" s="551"/>
      <c r="YO63" s="551"/>
      <c r="YP63" s="551"/>
      <c r="YQ63" s="551"/>
      <c r="YT63" s="18" t="s">
        <v>801</v>
      </c>
      <c r="YU63" s="18">
        <v>12</v>
      </c>
      <c r="YV63" s="18" t="str">
        <f ca="1">VLOOKUP(YY63,$ZO$2:$ZP$23,$ZO$1,FALSE)</f>
        <v/>
      </c>
      <c r="YW63" s="18" t="str">
        <f ca="1">IF(YX63="","",MAX($YW$1:YW62)+1)</f>
        <v/>
      </c>
      <c r="YX63" s="59" t="str">
        <f t="shared" ca="1" si="149"/>
        <v/>
      </c>
      <c r="YY63" s="18" t="str">
        <f t="shared" ca="1" si="150"/>
        <v/>
      </c>
      <c r="ZR63"/>
    </row>
    <row r="64" spans="41:694" ht="9.9499999999999993" customHeight="1" x14ac:dyDescent="0.2">
      <c r="AO64" s="18">
        <f t="shared" si="119"/>
        <v>63</v>
      </c>
      <c r="AP64" s="59" t="str">
        <f>""</f>
        <v/>
      </c>
      <c r="AX64" s="58" t="str">
        <f>""</f>
        <v/>
      </c>
      <c r="AY64" s="58" t="str">
        <f>""</f>
        <v/>
      </c>
      <c r="AZ64" s="58" t="str">
        <f>""</f>
        <v/>
      </c>
      <c r="BJ64" s="70"/>
      <c r="BK64" s="70"/>
      <c r="BL64" s="48"/>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48"/>
      <c r="CN64" s="48"/>
      <c r="CO64" s="48"/>
      <c r="CP64" s="48"/>
      <c r="CQ64" s="48"/>
      <c r="CR64" s="48"/>
      <c r="CS64" s="48"/>
      <c r="CT64" s="48"/>
      <c r="CU64" s="48"/>
      <c r="CV64" s="48"/>
      <c r="CW64" s="48"/>
      <c r="CX64" s="48"/>
      <c r="CY64" s="48"/>
      <c r="CZ64" s="48"/>
      <c r="DA64" s="48"/>
      <c r="DB64" s="48"/>
      <c r="DC64" s="48"/>
      <c r="DD64" s="48"/>
      <c r="DE64" s="48"/>
      <c r="DF64" s="48"/>
      <c r="DG64" s="104"/>
      <c r="DH64" s="104"/>
      <c r="DI64" s="104"/>
      <c r="DJ64" s="104"/>
      <c r="DK64" s="104"/>
      <c r="FW64" s="48"/>
      <c r="FX64" s="104"/>
      <c r="FY64" s="104"/>
      <c r="FZ64" s="104"/>
      <c r="GA64" s="104"/>
      <c r="GB64" s="104"/>
      <c r="GC64" s="104"/>
      <c r="GD64" s="104"/>
      <c r="GE64" s="104"/>
      <c r="GF64" s="104"/>
      <c r="GG64" s="104"/>
      <c r="GH64" s="104"/>
      <c r="GI64" s="104"/>
      <c r="GJ64" s="104"/>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X64" s="59" t="s">
        <v>1619</v>
      </c>
      <c r="IY64" s="59" t="s">
        <v>1620</v>
      </c>
      <c r="IZ64" s="59" t="s">
        <v>197</v>
      </c>
      <c r="JA64" s="59" t="s">
        <v>284</v>
      </c>
      <c r="JB64" s="59" t="s">
        <v>1621</v>
      </c>
      <c r="JK64" s="60"/>
      <c r="JL64" s="60"/>
      <c r="JM64" s="296">
        <v>9</v>
      </c>
      <c r="JN64" s="296">
        <v>4</v>
      </c>
      <c r="JO64" s="296">
        <v>2</v>
      </c>
      <c r="JP64" s="302" t="s">
        <v>140</v>
      </c>
      <c r="JQ64" s="302" t="s">
        <v>140</v>
      </c>
      <c r="JR64" s="302" t="s">
        <v>140</v>
      </c>
      <c r="JS64" s="302" t="s">
        <v>140</v>
      </c>
      <c r="JT64" s="302" t="s">
        <v>140</v>
      </c>
      <c r="JU64" s="302" t="s">
        <v>140</v>
      </c>
      <c r="JV64" s="302" t="s">
        <v>140</v>
      </c>
      <c r="JW64" s="302">
        <v>2</v>
      </c>
      <c r="JX64" s="302"/>
      <c r="JY64" s="60"/>
      <c r="JZ64" s="60"/>
      <c r="KA64" s="60"/>
      <c r="KB64" s="60"/>
      <c r="KC64" s="60"/>
      <c r="KD64" s="60"/>
      <c r="KE64" s="60"/>
      <c r="KF64" s="60"/>
      <c r="KG64" s="60"/>
      <c r="KH64" s="60"/>
      <c r="KI64" s="60"/>
      <c r="KJ64" s="60"/>
      <c r="KK64" s="60"/>
      <c r="KL64" s="60"/>
      <c r="KM64" s="60"/>
      <c r="KN64" s="60"/>
      <c r="KO64" s="60"/>
      <c r="KP64" s="60"/>
      <c r="KQ64" s="60"/>
      <c r="KR64" s="60"/>
      <c r="KS64" s="99"/>
      <c r="KT64" s="88" t="s">
        <v>345</v>
      </c>
      <c r="KU64" s="80" t="str">
        <f t="shared" ca="1" si="157"/>
        <v>No</v>
      </c>
      <c r="KV64" s="89" t="s">
        <v>344</v>
      </c>
      <c r="KW64" s="92"/>
      <c r="KX64" s="92"/>
      <c r="KY64" s="92"/>
      <c r="KZ64" s="92"/>
      <c r="LA64" s="92"/>
      <c r="LB64" s="92"/>
      <c r="LC64" s="92"/>
      <c r="LD64" s="92"/>
      <c r="LE64" s="92"/>
      <c r="LF64" s="92"/>
      <c r="LG64" s="92"/>
      <c r="LH64" s="92"/>
      <c r="LI64" s="92"/>
      <c r="LJ64" s="92"/>
      <c r="LK64" s="92"/>
      <c r="LL64" s="92"/>
      <c r="LM64" s="92"/>
      <c r="LN64" s="92"/>
      <c r="LO64" s="92"/>
      <c r="LP64" s="92"/>
      <c r="LQ64" s="92"/>
      <c r="LR64" s="92"/>
      <c r="LS64" s="92"/>
      <c r="LT64" s="92"/>
      <c r="LU64" s="92"/>
      <c r="LV64" s="92"/>
      <c r="LW64" s="92"/>
      <c r="LX64" s="92"/>
      <c r="LY64" s="92"/>
      <c r="LZ64" s="92" t="str">
        <f ca="1">IF(LZ$1&gt;0,$KT64,"")</f>
        <v/>
      </c>
      <c r="MA64" s="92" t="str">
        <f ca="1">IF(MA$1&gt;0,$KT64,"")</f>
        <v/>
      </c>
      <c r="MB64" s="92"/>
      <c r="MC64" s="92"/>
      <c r="MD64" s="92" t="str">
        <f ca="1">IF(MD$1&gt;0,$KT64,"")</f>
        <v/>
      </c>
      <c r="ME64" s="92"/>
      <c r="MF64" s="92" t="str">
        <f t="shared" ref="MF64:MF72" ca="1" si="160">IF(MF$1&gt;0,$KT64,"")</f>
        <v/>
      </c>
      <c r="MG64" s="92"/>
      <c r="MH64" s="92" t="str">
        <f t="shared" ca="1" si="158"/>
        <v/>
      </c>
      <c r="MI64" s="92" t="str">
        <f t="shared" ca="1" si="159"/>
        <v/>
      </c>
      <c r="MJ64" s="92"/>
      <c r="MK64" s="92"/>
      <c r="ML64" s="92"/>
      <c r="MM64" s="92"/>
      <c r="MN64" s="92"/>
      <c r="MO64" s="92"/>
      <c r="MP64" s="92"/>
      <c r="MQ64" s="92"/>
      <c r="MR64" s="92"/>
      <c r="MS64" s="92"/>
      <c r="MT64" s="92"/>
      <c r="MU64" s="92"/>
      <c r="MV64" s="92"/>
      <c r="MW64" s="92"/>
      <c r="MX64" s="92"/>
      <c r="MY64" s="92"/>
      <c r="MZ64" s="92"/>
      <c r="NA64" s="92"/>
      <c r="NB64" s="92"/>
      <c r="NC64" s="92"/>
      <c r="ND64" s="92"/>
      <c r="NE64" s="92"/>
      <c r="NF64" s="92"/>
      <c r="NG64" s="92"/>
      <c r="NH64" s="92"/>
      <c r="NI64" s="92"/>
      <c r="NJ64" s="92"/>
      <c r="NK64" s="92" t="str">
        <f ca="1">IF(NK$1&gt;2,$KT64,"")</f>
        <v/>
      </c>
      <c r="NL64" s="92"/>
      <c r="NM64" s="92"/>
      <c r="NN64" s="92"/>
      <c r="NO64" s="92"/>
      <c r="NP64" s="92"/>
      <c r="NQ64" s="92"/>
      <c r="NR64" s="92"/>
      <c r="NS64" s="92"/>
      <c r="NT64" s="92"/>
      <c r="NU64" s="92"/>
      <c r="NV64" s="92"/>
      <c r="NW64" s="92"/>
      <c r="NX64" s="92"/>
      <c r="NY64" s="92"/>
      <c r="NZ64" s="92"/>
      <c r="OA64" s="92"/>
      <c r="OB64" s="92"/>
      <c r="OC64" s="92"/>
      <c r="OD64" s="92"/>
      <c r="OE64" s="92"/>
      <c r="OF64" s="92"/>
      <c r="OG64" s="92"/>
      <c r="OH64" s="92"/>
      <c r="OI64" s="92"/>
      <c r="OJ64" s="92"/>
      <c r="OK64" s="92"/>
      <c r="OL64" s="92"/>
      <c r="OM64" s="92"/>
      <c r="ON64" s="92"/>
      <c r="OO64" s="92"/>
      <c r="OP64" s="92"/>
      <c r="OQ64" s="92"/>
      <c r="OR64" s="92"/>
      <c r="OS64" s="92"/>
      <c r="OT64" s="92"/>
      <c r="OU64" s="92"/>
      <c r="OV64" s="92"/>
      <c r="OW64" s="92"/>
      <c r="OX64" s="92"/>
      <c r="OY64" s="92"/>
      <c r="OZ64" s="92"/>
      <c r="PA64" s="92" t="str">
        <f>IF(PA$1&gt;0,$KT64,"")</f>
        <v/>
      </c>
      <c r="PB64" s="92"/>
      <c r="PC64" s="92"/>
      <c r="PD64" s="92"/>
      <c r="PE64" s="92"/>
      <c r="PF64" s="92"/>
      <c r="PG64" s="92"/>
      <c r="PH64" s="92"/>
      <c r="PI64" s="92"/>
      <c r="PJ64" s="92"/>
      <c r="PK64" s="92"/>
      <c r="PL64" s="92"/>
      <c r="PM64" s="92"/>
      <c r="PN64" s="92"/>
      <c r="PO64" s="92"/>
      <c r="PP64" s="92"/>
      <c r="PQ64" s="92"/>
      <c r="PR64" s="92"/>
      <c r="PS64" s="92"/>
      <c r="PT64" s="92"/>
      <c r="PU64" s="59" t="str">
        <f ca="1">IF($PU$63="",IF(COUNTIF(KW64:PT64,"&gt;&lt;"),KT64,""),"")</f>
        <v/>
      </c>
      <c r="PV64" s="59" t="str">
        <f ca="1">IF(PU64="","",IF(COUNTIF(PU64:$PU$76,"&gt;&lt;")&gt;1,PU64&amp;", ", PU64))</f>
        <v/>
      </c>
      <c r="PW64" s="59"/>
      <c r="PX64" s="59"/>
      <c r="PY64" s="60"/>
      <c r="PZ64" s="28"/>
      <c r="QA64" s="28"/>
      <c r="QB64" s="30" t="str">
        <f t="shared" si="154"/>
        <v/>
      </c>
      <c r="QC64" s="31"/>
      <c r="QD64" s="28"/>
      <c r="QE64" s="29" t="str">
        <f>""</f>
        <v/>
      </c>
      <c r="QF64" s="29"/>
      <c r="QG64" s="29" t="str">
        <f>""</f>
        <v/>
      </c>
      <c r="QH64" s="29" t="str">
        <f>""</f>
        <v/>
      </c>
      <c r="QI64" s="29" t="str">
        <f>""</f>
        <v/>
      </c>
      <c r="QJ64" s="29" t="str">
        <f>""</f>
        <v/>
      </c>
      <c r="QK64" s="29" t="str">
        <f>""</f>
        <v/>
      </c>
      <c r="QL64" s="29" t="str">
        <f>""</f>
        <v/>
      </c>
      <c r="QM64" s="29" t="str">
        <f>""</f>
        <v/>
      </c>
      <c r="QN64" s="29" t="str">
        <f>""</f>
        <v/>
      </c>
      <c r="QO64" s="29" t="str">
        <f>""</f>
        <v/>
      </c>
      <c r="QP64" s="29" t="str">
        <f>""</f>
        <v/>
      </c>
      <c r="QQ64" s="30" t="str">
        <f>""</f>
        <v/>
      </c>
      <c r="QR64" s="30" t="str">
        <f>""</f>
        <v/>
      </c>
      <c r="SR64" s="28"/>
      <c r="SS64" s="28"/>
      <c r="ST64" s="28"/>
      <c r="SU64" s="29"/>
      <c r="SV64" s="42"/>
      <c r="SW64" s="69"/>
      <c r="SX64" s="29"/>
      <c r="SY64" s="30"/>
      <c r="SZ64" s="29"/>
      <c r="TA64" s="28"/>
      <c r="TB64" s="28"/>
      <c r="TC64" s="28"/>
      <c r="TD64" s="42"/>
      <c r="TE64" s="29"/>
      <c r="TF64" s="69"/>
      <c r="TG64" s="29"/>
      <c r="TH64" s="30"/>
      <c r="TI64" s="30"/>
      <c r="TJ64" s="18">
        <f t="shared" si="115"/>
        <v>62</v>
      </c>
      <c r="TK64" s="58" t="s">
        <v>557</v>
      </c>
      <c r="TL64" s="58" t="s">
        <v>461</v>
      </c>
      <c r="TM64" s="18">
        <v>4</v>
      </c>
      <c r="TN64" s="59" t="str">
        <f t="shared" si="137"/>
        <v xml:space="preserve">Confusion ᴴ </v>
      </c>
      <c r="TO64" s="350" t="s">
        <v>2991</v>
      </c>
      <c r="TP64" s="18" t="str">
        <f t="shared" si="48"/>
        <v/>
      </c>
      <c r="TQ64" s="18" t="str">
        <f>IF(OR(TK64=Spellcasting!$AC$18,TK64=Spellcasting!$AC$19),"ᵐ","")</f>
        <v/>
      </c>
      <c r="TR64" s="18" t="str">
        <f>IF(OR(TK64=Spellcasting!$AC$20,TK64=Spellcasting!$AC$21),"ˢ","")</f>
        <v/>
      </c>
      <c r="TS64" s="18" t="str">
        <f>""</f>
        <v/>
      </c>
      <c r="TT64" s="18" t="s">
        <v>484</v>
      </c>
      <c r="TU64" s="18" t="s">
        <v>864</v>
      </c>
      <c r="TV64" s="18" t="s">
        <v>558</v>
      </c>
      <c r="TW64" s="18" t="s">
        <v>495</v>
      </c>
      <c r="TX64" s="59" t="s">
        <v>1986</v>
      </c>
      <c r="TY64" s="18" t="s">
        <v>498</v>
      </c>
      <c r="TZ64" s="18" t="s">
        <v>499</v>
      </c>
      <c r="UA64" s="142" t="s">
        <v>2255</v>
      </c>
      <c r="UB64" s="319" t="s">
        <v>2106</v>
      </c>
      <c r="UC64" s="18" t="str">
        <f ca="1">IF(UC$1&gt;=$TM64,1,"0")</f>
        <v>0</v>
      </c>
      <c r="UF64" s="18" t="str">
        <f ca="1">IF(UF$1&gt;=$TM64,1,"0")</f>
        <v>0</v>
      </c>
      <c r="UI64" s="18" t="str">
        <f ca="1">IF(UI$1&gt;=$TM64,1,"0")</f>
        <v>0</v>
      </c>
      <c r="UL64" s="18" t="str">
        <f ca="1">IF(UL$1&gt;=$TM64,1,"0")</f>
        <v>0</v>
      </c>
      <c r="UY64" s="18" t="str">
        <f>IF(UY$1&gt;=$TM64,1,"0")</f>
        <v>0</v>
      </c>
      <c r="VQ64" s="18" t="str">
        <f>IF(VQ$1&gt;=$TM64,1,"0")</f>
        <v>0</v>
      </c>
      <c r="WD64" s="18" t="str">
        <f ca="1">IF(SUM($VZ$1:$WC$1)&gt;0,IF(AND(SUM($VZ64:$WC64)&gt;0,$TM64=WE$1),MAX(WD$2:WD63)+1,""),IF(AND(SUM($UC64:$VY64)&gt;0,$TM64=WE$1),MAX(WD$2:WD63)+1,""))</f>
        <v/>
      </c>
      <c r="WE64" s="59" t="str">
        <f t="shared" ca="1" si="80"/>
        <v/>
      </c>
      <c r="WF64" s="18" t="str">
        <f ca="1">IF(AND(SUM($UB64:$VY64)&gt;0,$TM64=WG$1),MAX(WF$2:WF63)+1,"")</f>
        <v/>
      </c>
      <c r="WG64" s="59" t="str">
        <f t="shared" ca="1" si="81"/>
        <v/>
      </c>
      <c r="WH64" s="18" t="str">
        <f ca="1">IF(AND(SUM($UB64:$VY64)&gt;0,$TM64=WI$1),MAX(WH$2:WH63)+1,"")</f>
        <v/>
      </c>
      <c r="WI64" s="59" t="str">
        <f t="shared" ca="1" si="82"/>
        <v/>
      </c>
      <c r="WJ64" s="18" t="str">
        <f ca="1">IF(AND(SUM($UB64:$VY64)&gt;0,$TM64=WK$1),MAX(WJ$2:WJ63)+1,"")</f>
        <v/>
      </c>
      <c r="WK64" s="59" t="str">
        <f t="shared" ca="1" si="83"/>
        <v/>
      </c>
      <c r="WL64" s="18" t="str">
        <f ca="1">IF(AND(SUM($UB64:$VY64)&gt;0,$TM64=WM$1),MAX(WL$2:WL63)+1,"")</f>
        <v/>
      </c>
      <c r="WM64" s="59" t="str">
        <f t="shared" ca="1" si="84"/>
        <v/>
      </c>
      <c r="WN64" s="18" t="str">
        <f ca="1">IF(AND(SUM($UB64:$VY64)&gt;0,$TM64=WO$1),MAX(WN$2:WN63)+1,"")</f>
        <v/>
      </c>
      <c r="WO64" s="59" t="str">
        <f t="shared" ca="1" si="85"/>
        <v/>
      </c>
      <c r="WP64" s="18" t="str">
        <f ca="1">IF(AND(SUM($UB64:$VY64)&gt;0,$TM64=WQ$1),MAX(WP$2:WP63)+1,"")</f>
        <v/>
      </c>
      <c r="WQ64" s="59" t="str">
        <f t="shared" ca="1" si="86"/>
        <v/>
      </c>
      <c r="WR64" s="18" t="str">
        <f ca="1">IF(AND(SUM($UB64:$VY64)&gt;0,$TM64=WS$1),MAX(WR$2:WR63)+1,"")</f>
        <v/>
      </c>
      <c r="WS64" s="59" t="str">
        <f t="shared" ca="1" si="87"/>
        <v/>
      </c>
      <c r="WT64" s="18" t="str">
        <f ca="1">IF(AND(SUM($UB64:$VY64)&gt;0,$TM64=WU$1),MAX(WT$2:WT63)+1,"")</f>
        <v/>
      </c>
      <c r="WU64" s="59" t="str">
        <f t="shared" ca="1" si="88"/>
        <v/>
      </c>
      <c r="WV64" s="18" t="str">
        <f ca="1">IF(AND(SUM($UB64:$VY64)&gt;0,$TM64=WW$1),MAX(WV$2:WV63)+1,"")</f>
        <v/>
      </c>
      <c r="WW64" s="59" t="str">
        <f t="shared" ca="1" si="89"/>
        <v/>
      </c>
      <c r="WX64" s="18" t="str">
        <f ca="1">IF(AND(SUM($UB64:$VY64)&gt;0,$TM64=WY$1),MAX(WX$2:WX63)+1,"")</f>
        <v/>
      </c>
      <c r="WY64" s="59" t="str">
        <f t="shared" ca="1" si="90"/>
        <v/>
      </c>
      <c r="WZ64" s="59"/>
      <c r="XC64" s="59" t="str">
        <f t="shared" ca="1" si="140"/>
        <v/>
      </c>
      <c r="XD64" s="59"/>
      <c r="XE64" s="59"/>
      <c r="XF64" s="59"/>
      <c r="XG64" s="59"/>
      <c r="XH64" s="59"/>
      <c r="XI64" s="59"/>
      <c r="XJ64" s="59"/>
      <c r="XK64" s="59"/>
      <c r="XL64" s="59"/>
      <c r="XM64" s="59"/>
      <c r="YT64" s="18" t="s">
        <v>801</v>
      </c>
      <c r="YU64" s="18">
        <v>16</v>
      </c>
      <c r="YV64" s="18" t="str">
        <f ca="1">VLOOKUP(YY64,$ZO$2:$ZP$23,$ZO$1,FALSE)</f>
        <v/>
      </c>
      <c r="YW64" s="18" t="str">
        <f ca="1">IF(YX64="","",MAX($YW$1:YW63)+1)</f>
        <v/>
      </c>
      <c r="YX64" s="59" t="str">
        <f t="shared" ca="1" si="149"/>
        <v/>
      </c>
      <c r="YY64" s="18" t="str">
        <f t="shared" ca="1" si="150"/>
        <v/>
      </c>
    </row>
    <row r="65" spans="41:675" ht="9.9499999999999993" customHeight="1" x14ac:dyDescent="0.2">
      <c r="AO65" s="18"/>
      <c r="AP65" s="59"/>
      <c r="BJ65" s="70"/>
      <c r="BK65" s="70"/>
      <c r="BL65" s="48"/>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48"/>
      <c r="CN65" s="48"/>
      <c r="CO65" s="48"/>
      <c r="CP65" s="48"/>
      <c r="CQ65" s="48"/>
      <c r="CR65" s="48"/>
      <c r="CS65" s="48"/>
      <c r="CT65" s="48"/>
      <c r="CU65" s="48"/>
      <c r="CV65" s="48"/>
      <c r="CW65" s="48"/>
      <c r="CX65" s="48"/>
      <c r="CY65" s="48"/>
      <c r="CZ65" s="48"/>
      <c r="DA65" s="48"/>
      <c r="DB65" s="48"/>
      <c r="DC65" s="48"/>
      <c r="DD65" s="48"/>
      <c r="DE65" s="48"/>
      <c r="DF65" s="48"/>
      <c r="DG65" s="104"/>
      <c r="DH65" s="104"/>
      <c r="DI65" s="104"/>
      <c r="DJ65" s="104"/>
      <c r="DK65" s="104"/>
      <c r="FW65" s="48"/>
      <c r="FX65" s="104"/>
      <c r="FY65" s="104"/>
      <c r="FZ65" s="104"/>
      <c r="GA65" s="104"/>
      <c r="GB65" s="104"/>
      <c r="GC65" s="104"/>
      <c r="GD65" s="104"/>
      <c r="GE65" s="104"/>
      <c r="GF65" s="104"/>
      <c r="GG65" s="104"/>
      <c r="GH65" s="104"/>
      <c r="GI65" s="104"/>
      <c r="GJ65" s="104"/>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X65" s="59" t="s">
        <v>1622</v>
      </c>
      <c r="IY65" s="59" t="s">
        <v>1623</v>
      </c>
      <c r="IZ65" s="58" t="s">
        <v>196</v>
      </c>
      <c r="JA65" s="58" t="s">
        <v>1624</v>
      </c>
      <c r="JB65" s="58" t="s">
        <v>1625</v>
      </c>
      <c r="JK65" s="60"/>
      <c r="JL65" s="60"/>
      <c r="JM65" s="296">
        <v>10</v>
      </c>
      <c r="JN65" s="296">
        <v>4</v>
      </c>
      <c r="JO65" s="296">
        <v>3</v>
      </c>
      <c r="JP65" s="302" t="s">
        <v>140</v>
      </c>
      <c r="JQ65" s="302" t="s">
        <v>140</v>
      </c>
      <c r="JR65" s="302" t="s">
        <v>140</v>
      </c>
      <c r="JS65" s="302" t="s">
        <v>140</v>
      </c>
      <c r="JT65" s="302" t="s">
        <v>140</v>
      </c>
      <c r="JU65" s="302" t="s">
        <v>140</v>
      </c>
      <c r="JV65" s="302" t="s">
        <v>140</v>
      </c>
      <c r="JW65" s="302">
        <v>2</v>
      </c>
      <c r="JX65" s="302"/>
      <c r="JY65" s="60"/>
      <c r="JZ65" s="60"/>
      <c r="KA65" s="60"/>
      <c r="KB65" s="60"/>
      <c r="KC65" s="60"/>
      <c r="KD65" s="60"/>
      <c r="KE65" s="60"/>
      <c r="KF65" s="60"/>
      <c r="KG65" s="60"/>
      <c r="KH65" s="60"/>
      <c r="KI65" s="60"/>
      <c r="KJ65" s="60"/>
      <c r="KK65" s="60"/>
      <c r="KL65" s="60"/>
      <c r="KM65" s="60"/>
      <c r="KN65" s="60"/>
      <c r="KO65" s="60"/>
      <c r="KP65" s="60"/>
      <c r="KQ65" s="60"/>
      <c r="KR65" s="60"/>
      <c r="KS65" s="99"/>
      <c r="KT65" s="88" t="s">
        <v>236</v>
      </c>
      <c r="KU65" s="80" t="str">
        <f t="shared" ca="1" si="157"/>
        <v>No</v>
      </c>
      <c r="KV65" s="89" t="s">
        <v>91</v>
      </c>
      <c r="KW65" s="92"/>
      <c r="KX65" s="92"/>
      <c r="KY65" s="92"/>
      <c r="KZ65" s="92"/>
      <c r="LA65" s="92"/>
      <c r="LB65" s="92"/>
      <c r="LC65" s="92"/>
      <c r="LD65" s="92"/>
      <c r="LE65" s="92"/>
      <c r="LF65" s="92"/>
      <c r="LG65" s="92"/>
      <c r="LH65" s="92"/>
      <c r="LI65" s="92" t="str">
        <f>IF(LI$1&gt;0,$KT65,"")</f>
        <v/>
      </c>
      <c r="LJ65" s="92"/>
      <c r="LK65" s="92"/>
      <c r="LL65" s="92"/>
      <c r="LM65" s="92"/>
      <c r="LN65" s="92"/>
      <c r="LO65" s="92"/>
      <c r="LP65" s="92"/>
      <c r="LQ65" s="92"/>
      <c r="LR65" s="92"/>
      <c r="LS65" s="92"/>
      <c r="LT65" s="92"/>
      <c r="LU65" s="92"/>
      <c r="LV65" s="92"/>
      <c r="LW65" s="92"/>
      <c r="LX65" s="92"/>
      <c r="LY65" s="92"/>
      <c r="LZ65" s="92" t="str">
        <f t="shared" ref="LZ65:LZ72" ca="1" si="161">IF(LZ$1&gt;0,$KT65,"")</f>
        <v/>
      </c>
      <c r="MA65" s="92" t="str">
        <f t="shared" ref="MA65:MB67" ca="1" si="162">IF(MA$1&gt;0,$KT65,"")</f>
        <v/>
      </c>
      <c r="MB65" s="92" t="str">
        <f t="shared" ca="1" si="162"/>
        <v/>
      </c>
      <c r="MC65" s="92"/>
      <c r="MD65" s="92" t="str">
        <f t="shared" ref="MD65:MD72" si="163">IF(Class1=MD$5,IF(MD$1&gt;0,$KT65,""),"")</f>
        <v/>
      </c>
      <c r="ME65" s="92" t="str">
        <f ca="1">IF(ME$1&gt;0,$KT65,"")</f>
        <v/>
      </c>
      <c r="MF65" s="92" t="str">
        <f t="shared" ca="1" si="160"/>
        <v/>
      </c>
      <c r="MG65" s="92"/>
      <c r="MH65" s="92" t="str">
        <f t="shared" ca="1" si="158"/>
        <v/>
      </c>
      <c r="MI65" s="92" t="str">
        <f t="shared" ca="1" si="159"/>
        <v/>
      </c>
      <c r="MJ65" s="92"/>
      <c r="MK65" s="92" t="str">
        <f t="shared" ref="MK65:MK67" ca="1" si="164">IF(MK$1&gt;0,$KT65,"")</f>
        <v/>
      </c>
      <c r="ML65" s="92"/>
      <c r="MM65" s="92"/>
      <c r="MN65" s="92"/>
      <c r="MO65" s="92"/>
      <c r="MP65" s="92"/>
      <c r="MQ65" s="92"/>
      <c r="MR65" s="92"/>
      <c r="MS65" s="92"/>
      <c r="MT65" s="92"/>
      <c r="MU65" s="92"/>
      <c r="MV65" s="92"/>
      <c r="MW65" s="92"/>
      <c r="MX65" s="92"/>
      <c r="MY65" s="92"/>
      <c r="MZ65" s="92"/>
      <c r="NA65" s="92"/>
      <c r="NB65" s="92"/>
      <c r="NC65" s="92"/>
      <c r="ND65" s="92"/>
      <c r="NE65" s="92"/>
      <c r="NF65" s="92"/>
      <c r="NG65" s="92"/>
      <c r="NH65" s="92"/>
      <c r="NI65" s="92"/>
      <c r="NJ65" s="92"/>
      <c r="NK65" s="92" t="str">
        <f t="shared" ref="NK65:NK72" ca="1" si="165">IF(NK$1&gt;2,$KT65,"")</f>
        <v/>
      </c>
      <c r="NL65" s="92"/>
      <c r="NM65" s="92"/>
      <c r="NN65" s="92"/>
      <c r="NO65" s="92"/>
      <c r="NP65" s="92"/>
      <c r="NQ65" s="92"/>
      <c r="NR65" s="92"/>
      <c r="NS65" s="92"/>
      <c r="NT65" s="92"/>
      <c r="NU65" s="92"/>
      <c r="NV65" s="92"/>
      <c r="NW65" s="92"/>
      <c r="NX65" s="92"/>
      <c r="NY65" s="92"/>
      <c r="NZ65" s="92"/>
      <c r="OA65" s="92"/>
      <c r="OB65" s="92"/>
      <c r="OC65" s="92"/>
      <c r="OD65" s="92"/>
      <c r="OE65" s="92"/>
      <c r="OF65" s="92"/>
      <c r="OG65" s="92"/>
      <c r="OH65" s="92"/>
      <c r="OI65" s="92"/>
      <c r="OJ65" s="92"/>
      <c r="OK65" s="92"/>
      <c r="OL65" s="92"/>
      <c r="OM65" s="92"/>
      <c r="ON65" s="92"/>
      <c r="OO65" s="92"/>
      <c r="OP65" s="92"/>
      <c r="OQ65" s="92"/>
      <c r="OR65" s="92"/>
      <c r="OS65" s="92" t="str">
        <f>IF(OS$1&gt;0,$KT65,"")</f>
        <v/>
      </c>
      <c r="OT65" s="92"/>
      <c r="OU65" s="92"/>
      <c r="OV65" s="92"/>
      <c r="OW65" s="92"/>
      <c r="OX65" s="92"/>
      <c r="OY65" s="92"/>
      <c r="OZ65" s="92"/>
      <c r="PA65" s="92"/>
      <c r="PB65" s="92"/>
      <c r="PC65" s="92"/>
      <c r="PD65" s="92"/>
      <c r="PE65" s="92"/>
      <c r="PF65" s="92"/>
      <c r="PG65" s="92"/>
      <c r="PH65" s="92"/>
      <c r="PI65" s="92"/>
      <c r="PJ65" s="92"/>
      <c r="PK65" s="92"/>
      <c r="PL65" s="92"/>
      <c r="PM65" s="92"/>
      <c r="PN65" s="92"/>
      <c r="PO65" s="92"/>
      <c r="PP65" s="92"/>
      <c r="PQ65" s="92"/>
      <c r="PR65" s="92"/>
      <c r="PS65" s="92"/>
      <c r="PT65" s="92"/>
      <c r="PU65" s="59" t="str">
        <f ca="1">IF($PU$60="",IF(COUNTIF(KW65:PT65,"&gt;&lt;"),KT65,""),"")</f>
        <v/>
      </c>
      <c r="PV65" s="59" t="str">
        <f ca="1">IF(PU65="","",IF(COUNTIF(PU65:$PU$76,"&gt;&lt;")&gt;1,PU65&amp;", ", PU65))</f>
        <v/>
      </c>
      <c r="PW65" s="59"/>
      <c r="PX65" s="59"/>
      <c r="PY65" s="60"/>
      <c r="PZ65" s="19"/>
      <c r="QA65" s="19"/>
      <c r="QB65" s="27" t="str">
        <f t="shared" si="154"/>
        <v/>
      </c>
      <c r="QC65" s="67"/>
      <c r="QD65" s="19"/>
      <c r="QE65" s="26" t="str">
        <f>""</f>
        <v/>
      </c>
      <c r="QF65" s="26"/>
      <c r="QG65" s="26" t="str">
        <f>""</f>
        <v/>
      </c>
      <c r="QH65" s="26" t="str">
        <f>""</f>
        <v/>
      </c>
      <c r="QI65" s="26" t="str">
        <f>""</f>
        <v/>
      </c>
      <c r="QJ65" s="26" t="str">
        <f>""</f>
        <v/>
      </c>
      <c r="QK65" s="26" t="str">
        <f>""</f>
        <v/>
      </c>
      <c r="QL65" s="26" t="str">
        <f>""</f>
        <v/>
      </c>
      <c r="QM65" s="26" t="str">
        <f>""</f>
        <v/>
      </c>
      <c r="QN65" s="26" t="str">
        <f>""</f>
        <v/>
      </c>
      <c r="QO65" s="26" t="str">
        <f>""</f>
        <v/>
      </c>
      <c r="QP65" s="26" t="str">
        <f>""</f>
        <v/>
      </c>
      <c r="QQ65" s="27" t="str">
        <f>""</f>
        <v/>
      </c>
      <c r="QR65" s="27" t="str">
        <f>""</f>
        <v/>
      </c>
      <c r="SR65" s="19"/>
      <c r="SS65" s="19"/>
      <c r="ST65" s="19"/>
      <c r="SU65" s="26"/>
      <c r="SV65" s="44"/>
      <c r="SW65" s="68"/>
      <c r="SX65" s="26"/>
      <c r="SY65" s="27"/>
      <c r="SZ65" s="26"/>
      <c r="TA65" s="19"/>
      <c r="TB65" s="19"/>
      <c r="TC65" s="19"/>
      <c r="TD65" s="44"/>
      <c r="TE65" s="26"/>
      <c r="TF65" s="68"/>
      <c r="TG65" s="26"/>
      <c r="TH65" s="27"/>
      <c r="TI65" s="27"/>
      <c r="TJ65" s="18">
        <f t="shared" si="115"/>
        <v>63</v>
      </c>
      <c r="TK65" s="58" t="s">
        <v>2676</v>
      </c>
      <c r="TL65" s="58" t="s">
        <v>460</v>
      </c>
      <c r="TM65" s="18">
        <v>3</v>
      </c>
      <c r="TN65" s="59" t="str">
        <f t="shared" si="137"/>
        <v xml:space="preserve">Conjure Animals ᴴ </v>
      </c>
      <c r="TO65" s="350" t="s">
        <v>2991</v>
      </c>
      <c r="TP65" s="18" t="str">
        <f t="shared" si="48"/>
        <v/>
      </c>
      <c r="TQ65" s="18" t="str">
        <f>IF(OR(TK65=Spellcasting!$AC$18,TK65=Spellcasting!$AC$19),"ᵐ","")</f>
        <v/>
      </c>
      <c r="TR65" s="18" t="str">
        <f>IF(OR(TK65=Spellcasting!$AC$20,TK65=Spellcasting!$AC$21),"ˢ","")</f>
        <v/>
      </c>
      <c r="TS65" s="18" t="str">
        <f>""</f>
        <v/>
      </c>
      <c r="TT65" s="18" t="s">
        <v>484</v>
      </c>
      <c r="TU65" s="18" t="s">
        <v>850</v>
      </c>
      <c r="TV65" s="18" t="s">
        <v>490</v>
      </c>
      <c r="TW65" s="18" t="s">
        <v>486</v>
      </c>
      <c r="TY65" s="18" t="s">
        <v>516</v>
      </c>
      <c r="TZ65" s="18" t="s">
        <v>517</v>
      </c>
      <c r="UA65" s="142" t="s">
        <v>2677</v>
      </c>
      <c r="UB65" s="319" t="s">
        <v>3034</v>
      </c>
      <c r="UE65" s="18" t="str">
        <f ca="1">IF(UE$1&gt;=$TM65,1,"0")</f>
        <v>0</v>
      </c>
      <c r="UI65" s="18" t="str">
        <f ca="1">IF(UI$1&gt;=$TM65,1,"0")</f>
        <v>0</v>
      </c>
      <c r="WD65" s="18" t="str">
        <f ca="1">IF(SUM($VZ$1:$WC$1)&gt;0,IF(AND(SUM($VZ65:$WC65)&gt;0,$TM65=WE$1),MAX(WD$2:WD64)+1,""),IF(AND(SUM($UC65:$VY65)&gt;0,$TM65=WE$1),MAX(WD$2:WD64)+1,""))</f>
        <v/>
      </c>
      <c r="WE65" s="59" t="str">
        <f t="shared" ca="1" si="80"/>
        <v/>
      </c>
      <c r="WF65" s="18" t="str">
        <f ca="1">IF(AND(SUM($UB65:$VY65)&gt;0,$TM65=WG$1),MAX(WF$2:WF64)+1,"")</f>
        <v/>
      </c>
      <c r="WG65" s="59" t="str">
        <f t="shared" ca="1" si="81"/>
        <v/>
      </c>
      <c r="WH65" s="18" t="str">
        <f ca="1">IF(AND(SUM($UB65:$VY65)&gt;0,$TM65=WI$1),MAX(WH$2:WH64)+1,"")</f>
        <v/>
      </c>
      <c r="WI65" s="59" t="str">
        <f t="shared" ca="1" si="82"/>
        <v/>
      </c>
      <c r="WJ65" s="18" t="str">
        <f ca="1">IF(AND(SUM($UB65:$VY65)&gt;0,$TM65=WK$1),MAX(WJ$2:WJ64)+1,"")</f>
        <v/>
      </c>
      <c r="WK65" s="59" t="str">
        <f t="shared" ca="1" si="83"/>
        <v/>
      </c>
      <c r="WL65" s="18" t="str">
        <f ca="1">IF(AND(SUM($UB65:$VY65)&gt;0,$TM65=WM$1),MAX(WL$2:WL64)+1,"")</f>
        <v/>
      </c>
      <c r="WM65" s="59" t="str">
        <f t="shared" ca="1" si="84"/>
        <v/>
      </c>
      <c r="WN65" s="18" t="str">
        <f ca="1">IF(AND(SUM($UB65:$VY65)&gt;0,$TM65=WO$1),MAX(WN$2:WN64)+1,"")</f>
        <v/>
      </c>
      <c r="WO65" s="59" t="str">
        <f t="shared" ca="1" si="85"/>
        <v/>
      </c>
      <c r="WP65" s="18" t="str">
        <f ca="1">IF(AND(SUM($UB65:$VY65)&gt;0,$TM65=WQ$1),MAX(WP$2:WP64)+1,"")</f>
        <v/>
      </c>
      <c r="WQ65" s="59" t="str">
        <f t="shared" ca="1" si="86"/>
        <v/>
      </c>
      <c r="WR65" s="18" t="str">
        <f ca="1">IF(AND(SUM($UB65:$VY65)&gt;0,$TM65=WS$1),MAX(WR$2:WR64)+1,"")</f>
        <v/>
      </c>
      <c r="WS65" s="59" t="str">
        <f t="shared" ca="1" si="87"/>
        <v/>
      </c>
      <c r="WT65" s="18" t="str">
        <f ca="1">IF(AND(SUM($UB65:$VY65)&gt;0,$TM65=WU$1),MAX(WT$2:WT64)+1,"")</f>
        <v/>
      </c>
      <c r="WU65" s="59" t="str">
        <f t="shared" ca="1" si="88"/>
        <v/>
      </c>
      <c r="WV65" s="18" t="str">
        <f ca="1">IF(AND(SUM($UB65:$VY65)&gt;0,$TM65=WW$1),MAX(WV$2:WV64)+1,"")</f>
        <v/>
      </c>
      <c r="WW65" s="59" t="str">
        <f t="shared" ca="1" si="89"/>
        <v/>
      </c>
      <c r="WX65" s="18" t="str">
        <f ca="1">IF(AND(SUM($UB65:$VY65)&gt;0,$TM65=WY$1),MAX(WX$2:WX64)+1,"")</f>
        <v/>
      </c>
      <c r="WY65" s="59" t="str">
        <f t="shared" ca="1" si="90"/>
        <v/>
      </c>
      <c r="WZ65" s="59"/>
      <c r="XC65" s="59" t="str">
        <f t="shared" ca="1" si="140"/>
        <v/>
      </c>
      <c r="XD65" s="59"/>
      <c r="XE65" s="59"/>
      <c r="XF65" s="59"/>
      <c r="XG65" s="59"/>
      <c r="XH65" s="59"/>
      <c r="XI65" s="59"/>
      <c r="XJ65" s="59"/>
      <c r="XK65" s="59"/>
      <c r="XL65" s="59"/>
      <c r="XM65" s="59"/>
      <c r="YT65" s="18" t="s">
        <v>801</v>
      </c>
      <c r="YU65" s="18">
        <v>19</v>
      </c>
      <c r="YV65" s="18" t="str">
        <f ca="1">VLOOKUP(YY65,$ZO$2:$ZP$23,$ZO$1,FALSE)</f>
        <v/>
      </c>
      <c r="YW65" s="18" t="str">
        <f ca="1">IF(YX65="","",MAX($YW$1:YW64)+1)</f>
        <v/>
      </c>
      <c r="YX65" s="59" t="str">
        <f t="shared" ca="1" si="149"/>
        <v/>
      </c>
      <c r="YY65" s="18" t="str">
        <f t="shared" ca="1" si="150"/>
        <v/>
      </c>
    </row>
    <row r="66" spans="41:675" ht="9.9499999999999993" customHeight="1" x14ac:dyDescent="0.2">
      <c r="AO66" s="18"/>
      <c r="AP66" s="59"/>
      <c r="BJ66" s="70"/>
      <c r="BK66" s="70"/>
      <c r="BL66" s="48"/>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48"/>
      <c r="CN66" s="48"/>
      <c r="CO66" s="48"/>
      <c r="CP66" s="48"/>
      <c r="CQ66" s="48"/>
      <c r="CR66" s="48"/>
      <c r="CS66" s="48"/>
      <c r="CT66" s="48"/>
      <c r="CU66" s="48"/>
      <c r="CV66" s="48"/>
      <c r="CW66" s="48"/>
      <c r="CX66" s="48"/>
      <c r="CY66" s="48"/>
      <c r="CZ66" s="48"/>
      <c r="DA66" s="48"/>
      <c r="DB66" s="48"/>
      <c r="DC66" s="48"/>
      <c r="DD66" s="48"/>
      <c r="DE66" s="48"/>
      <c r="DF66" s="48"/>
      <c r="DG66" s="104"/>
      <c r="DH66" s="104"/>
      <c r="DI66" s="104"/>
      <c r="DJ66" s="104"/>
      <c r="DK66" s="104"/>
      <c r="FW66" s="48"/>
      <c r="FX66" s="104"/>
      <c r="FY66" s="104"/>
      <c r="FZ66" s="104"/>
      <c r="GA66" s="104"/>
      <c r="GB66" s="104"/>
      <c r="GC66" s="104"/>
      <c r="GD66" s="104"/>
      <c r="GE66" s="104"/>
      <c r="GF66" s="104"/>
      <c r="GG66" s="104"/>
      <c r="GH66" s="104"/>
      <c r="GI66" s="104"/>
      <c r="GJ66" s="104"/>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X66" s="58" t="s">
        <v>1626</v>
      </c>
      <c r="IY66" s="58" t="s">
        <v>1627</v>
      </c>
      <c r="IZ66" s="58" t="s">
        <v>201</v>
      </c>
      <c r="JA66" s="58" t="s">
        <v>281</v>
      </c>
      <c r="JB66" s="58" t="s">
        <v>1628</v>
      </c>
      <c r="JK66" s="60"/>
      <c r="JL66" s="60"/>
      <c r="JM66" s="296">
        <v>11</v>
      </c>
      <c r="JN66" s="296">
        <v>4</v>
      </c>
      <c r="JO66" s="296">
        <v>3</v>
      </c>
      <c r="JP66" s="302" t="s">
        <v>140</v>
      </c>
      <c r="JQ66" s="302" t="s">
        <v>140</v>
      </c>
      <c r="JR66" s="302" t="s">
        <v>140</v>
      </c>
      <c r="JS66" s="302" t="s">
        <v>140</v>
      </c>
      <c r="JT66" s="302" t="s">
        <v>140</v>
      </c>
      <c r="JU66" s="302" t="s">
        <v>140</v>
      </c>
      <c r="JV66" s="302" t="s">
        <v>140</v>
      </c>
      <c r="JW66" s="302">
        <v>2</v>
      </c>
      <c r="JX66" s="302"/>
      <c r="JY66" s="60"/>
      <c r="JZ66" s="60"/>
      <c r="KA66" s="60"/>
      <c r="KB66" s="60"/>
      <c r="KC66" s="60"/>
      <c r="KD66" s="60"/>
      <c r="KE66" s="60"/>
      <c r="KF66" s="60"/>
      <c r="KG66" s="60"/>
      <c r="KH66" s="60"/>
      <c r="KI66" s="60"/>
      <c r="KJ66" s="60"/>
      <c r="KK66" s="60"/>
      <c r="KL66" s="60"/>
      <c r="KM66" s="60"/>
      <c r="KN66" s="60"/>
      <c r="KO66" s="60"/>
      <c r="KP66" s="60"/>
      <c r="KQ66" s="60"/>
      <c r="KR66" s="60"/>
      <c r="KS66" s="99"/>
      <c r="KT66" s="88" t="s">
        <v>237</v>
      </c>
      <c r="KU66" s="80" t="str">
        <f t="shared" ca="1" si="157"/>
        <v>No</v>
      </c>
      <c r="KV66" s="89" t="s">
        <v>91</v>
      </c>
      <c r="KW66" s="92"/>
      <c r="KX66" s="92"/>
      <c r="KY66" s="92"/>
      <c r="KZ66" s="92"/>
      <c r="LA66" s="92"/>
      <c r="LB66" s="92"/>
      <c r="LC66" s="92"/>
      <c r="LD66" s="92"/>
      <c r="LE66" s="92"/>
      <c r="LF66" s="92"/>
      <c r="LG66" s="92"/>
      <c r="LH66" s="92"/>
      <c r="LI66" s="92" t="str">
        <f t="shared" ref="LI66:LI72" si="166">IF(LI$1&gt;0,$KT66,"")</f>
        <v/>
      </c>
      <c r="LJ66" s="92"/>
      <c r="LK66" s="92"/>
      <c r="LL66" s="92"/>
      <c r="LM66" s="92"/>
      <c r="LN66" s="92"/>
      <c r="LO66" s="92"/>
      <c r="LP66" s="92"/>
      <c r="LQ66" s="92"/>
      <c r="LR66" s="92"/>
      <c r="LS66" s="92"/>
      <c r="LT66" s="92"/>
      <c r="LU66" s="92"/>
      <c r="LV66" s="92"/>
      <c r="LW66" s="92"/>
      <c r="LX66" s="92"/>
      <c r="LY66" s="92"/>
      <c r="LZ66" s="92" t="str">
        <f t="shared" ca="1" si="161"/>
        <v/>
      </c>
      <c r="MA66" s="92" t="str">
        <f t="shared" ca="1" si="162"/>
        <v/>
      </c>
      <c r="MB66" s="92" t="str">
        <f t="shared" ca="1" si="162"/>
        <v/>
      </c>
      <c r="MC66" s="92"/>
      <c r="MD66" s="92" t="str">
        <f t="shared" si="163"/>
        <v/>
      </c>
      <c r="ME66" s="92" t="str">
        <f ca="1">IF(ME$1&gt;0,$KT66,"")</f>
        <v/>
      </c>
      <c r="MF66" s="92" t="str">
        <f t="shared" ca="1" si="160"/>
        <v/>
      </c>
      <c r="MG66" s="92"/>
      <c r="MH66" s="92" t="str">
        <f t="shared" ca="1" si="158"/>
        <v/>
      </c>
      <c r="MI66" s="92" t="str">
        <f t="shared" ca="1" si="159"/>
        <v/>
      </c>
      <c r="MJ66" s="92"/>
      <c r="MK66" s="92" t="str">
        <f t="shared" ca="1" si="164"/>
        <v/>
      </c>
      <c r="ML66" s="92"/>
      <c r="MM66" s="92"/>
      <c r="MN66" s="92"/>
      <c r="MO66" s="92"/>
      <c r="MP66" s="92"/>
      <c r="MQ66" s="92"/>
      <c r="MR66" s="92"/>
      <c r="MS66" s="92"/>
      <c r="MT66" s="92"/>
      <c r="MU66" s="92"/>
      <c r="MV66" s="92"/>
      <c r="MW66" s="92"/>
      <c r="MX66" s="92"/>
      <c r="MY66" s="92"/>
      <c r="MZ66" s="92"/>
      <c r="NA66" s="92"/>
      <c r="NB66" s="92"/>
      <c r="NC66" s="92"/>
      <c r="ND66" s="92"/>
      <c r="NE66" s="92"/>
      <c r="NF66" s="92"/>
      <c r="NG66" s="92"/>
      <c r="NH66" s="92"/>
      <c r="NI66" s="92"/>
      <c r="NJ66" s="92"/>
      <c r="NK66" s="92" t="str">
        <f t="shared" ca="1" si="165"/>
        <v/>
      </c>
      <c r="NL66" s="92"/>
      <c r="NM66" s="92"/>
      <c r="NN66" s="92"/>
      <c r="NO66" s="92"/>
      <c r="NP66" s="92"/>
      <c r="NQ66" s="92"/>
      <c r="NR66" s="92"/>
      <c r="NS66" s="92"/>
      <c r="NT66" s="92"/>
      <c r="NU66" s="92"/>
      <c r="NV66" s="92"/>
      <c r="NW66" s="92"/>
      <c r="NX66" s="92"/>
      <c r="NY66" s="92"/>
      <c r="NZ66" s="92"/>
      <c r="OA66" s="92"/>
      <c r="OB66" s="92"/>
      <c r="OC66" s="92"/>
      <c r="OD66" s="92"/>
      <c r="OE66" s="92"/>
      <c r="OF66" s="92"/>
      <c r="OG66" s="92"/>
      <c r="OH66" s="92"/>
      <c r="OI66" s="92"/>
      <c r="OJ66" s="92"/>
      <c r="OK66" s="92"/>
      <c r="OL66" s="92"/>
      <c r="OM66" s="92"/>
      <c r="ON66" s="92"/>
      <c r="OO66" s="92"/>
      <c r="OP66" s="92"/>
      <c r="OQ66" s="92"/>
      <c r="OR66" s="92"/>
      <c r="OS66" s="92" t="str">
        <f>IF(OS$1&gt;0,$KT66,"")</f>
        <v/>
      </c>
      <c r="OT66" s="92"/>
      <c r="OU66" s="92"/>
      <c r="OV66" s="92"/>
      <c r="OW66" s="92"/>
      <c r="OX66" s="92"/>
      <c r="OY66" s="92"/>
      <c r="OZ66" s="92"/>
      <c r="PA66" s="92"/>
      <c r="PB66" s="92"/>
      <c r="PC66" s="92"/>
      <c r="PD66" s="92"/>
      <c r="PE66" s="92"/>
      <c r="PF66" s="92"/>
      <c r="PG66" s="92"/>
      <c r="PH66" s="92"/>
      <c r="PI66" s="92"/>
      <c r="PJ66" s="92"/>
      <c r="PK66" s="92"/>
      <c r="PL66" s="92"/>
      <c r="PM66" s="92"/>
      <c r="PN66" s="92"/>
      <c r="PO66" s="92"/>
      <c r="PP66" s="92"/>
      <c r="PQ66" s="92"/>
      <c r="PR66" s="92"/>
      <c r="PS66" s="92"/>
      <c r="PT66" s="92"/>
      <c r="PU66" s="59" t="str">
        <f ca="1">IF($PU$60="",IF(COUNTIF(KW66:PT66,"&gt;&lt;"),KT66,""),"")</f>
        <v/>
      </c>
      <c r="PV66" s="59" t="str">
        <f ca="1">IF(PU66="","",IF(COUNTIF(PU66:$PU$76,"&gt;&lt;")&gt;1,PU66&amp;", ", PU66))</f>
        <v/>
      </c>
      <c r="PW66" s="59"/>
      <c r="PX66" s="59"/>
      <c r="PY66" s="60"/>
      <c r="PZ66" s="28"/>
      <c r="QA66" s="28"/>
      <c r="QB66" s="30" t="str">
        <f t="shared" si="154"/>
        <v/>
      </c>
      <c r="QC66" s="31"/>
      <c r="QD66" s="28"/>
      <c r="QE66" s="29" t="str">
        <f>""</f>
        <v/>
      </c>
      <c r="QF66" s="29"/>
      <c r="QG66" s="29" t="str">
        <f>""</f>
        <v/>
      </c>
      <c r="QH66" s="29" t="str">
        <f>""</f>
        <v/>
      </c>
      <c r="QI66" s="29" t="str">
        <f>""</f>
        <v/>
      </c>
      <c r="QJ66" s="29" t="str">
        <f>""</f>
        <v/>
      </c>
      <c r="QK66" s="29" t="str">
        <f>""</f>
        <v/>
      </c>
      <c r="QL66" s="29" t="str">
        <f>""</f>
        <v/>
      </c>
      <c r="QM66" s="29" t="str">
        <f>""</f>
        <v/>
      </c>
      <c r="QN66" s="29" t="str">
        <f>""</f>
        <v/>
      </c>
      <c r="QO66" s="29" t="str">
        <f>""</f>
        <v/>
      </c>
      <c r="QP66" s="29" t="str">
        <f>""</f>
        <v/>
      </c>
      <c r="QQ66" s="30" t="str">
        <f>""</f>
        <v/>
      </c>
      <c r="QR66" s="30" t="str">
        <f>""</f>
        <v/>
      </c>
      <c r="SR66" s="28"/>
      <c r="SS66" s="28"/>
      <c r="ST66" s="28"/>
      <c r="SU66" s="29"/>
      <c r="SV66" s="42"/>
      <c r="SW66" s="69"/>
      <c r="SX66" s="29"/>
      <c r="SY66" s="30"/>
      <c r="SZ66" s="29"/>
      <c r="TA66" s="28"/>
      <c r="TB66" s="28"/>
      <c r="TC66" s="28"/>
      <c r="TD66" s="42"/>
      <c r="TE66" s="29"/>
      <c r="TF66" s="69"/>
      <c r="TG66" s="29"/>
      <c r="TH66" s="30"/>
      <c r="TI66" s="30"/>
      <c r="TJ66" s="18">
        <f t="shared" si="115"/>
        <v>64</v>
      </c>
      <c r="TK66" s="58" t="s">
        <v>559</v>
      </c>
      <c r="TL66" s="58" t="s">
        <v>460</v>
      </c>
      <c r="TM66" s="18">
        <v>3</v>
      </c>
      <c r="TN66" s="59" t="str">
        <f t="shared" si="137"/>
        <v xml:space="preserve">Conjure Barrage </v>
      </c>
      <c r="TO66" s="18" t="str">
        <f>""</f>
        <v/>
      </c>
      <c r="TP66" s="18" t="str">
        <f t="shared" si="48"/>
        <v/>
      </c>
      <c r="TQ66" s="18" t="str">
        <f>IF(OR(TK66=Spellcasting!$AC$18,TK66=Spellcasting!$AC$19),"ᵐ","")</f>
        <v/>
      </c>
      <c r="TR66" s="18" t="str">
        <f>IF(OR(TK66=Spellcasting!$AC$20,TK66=Spellcasting!$AC$21),"ˢ","")</f>
        <v/>
      </c>
      <c r="TS66" s="18" t="str">
        <f>""</f>
        <v/>
      </c>
      <c r="TT66" s="18" t="s">
        <v>484</v>
      </c>
      <c r="TU66" s="18" t="s">
        <v>509</v>
      </c>
      <c r="TV66" s="18" t="s">
        <v>505</v>
      </c>
      <c r="TW66" s="18" t="s">
        <v>495</v>
      </c>
      <c r="TX66" s="59" t="s">
        <v>1443</v>
      </c>
      <c r="TY66" s="18" t="s">
        <v>516</v>
      </c>
      <c r="TZ66" s="18" t="s">
        <v>517</v>
      </c>
      <c r="UA66" s="142" t="s">
        <v>1444</v>
      </c>
      <c r="UB66" s="319" t="s">
        <v>2997</v>
      </c>
      <c r="UE66" s="18" t="str">
        <f ca="1">IF(UE$1&gt;=$TM66,1,"0")</f>
        <v>0</v>
      </c>
      <c r="WD66" s="18" t="str">
        <f ca="1">IF(SUM($VZ$1:$WC$1)&gt;0,IF(AND(SUM($VZ66:$WC66)&gt;0,$TM66=WE$1),MAX(WD$2:WD65)+1,""),IF(AND(SUM($UC66:$VY66)&gt;0,$TM66=WE$1),MAX(WD$2:WD65)+1,""))</f>
        <v/>
      </c>
      <c r="WE66" s="59" t="str">
        <f t="shared" ca="1" si="80"/>
        <v/>
      </c>
      <c r="WF66" s="18" t="str">
        <f ca="1">IF(AND(SUM($UB66:$VY66)&gt;0,$TM66=WG$1),MAX(WF$2:WF65)+1,"")</f>
        <v/>
      </c>
      <c r="WG66" s="59" t="str">
        <f t="shared" ca="1" si="81"/>
        <v/>
      </c>
      <c r="WH66" s="18" t="str">
        <f ca="1">IF(AND(SUM($UB66:$VY66)&gt;0,$TM66=WI$1),MAX(WH$2:WH65)+1,"")</f>
        <v/>
      </c>
      <c r="WI66" s="59" t="str">
        <f t="shared" ca="1" si="82"/>
        <v/>
      </c>
      <c r="WJ66" s="18" t="str">
        <f ca="1">IF(AND(SUM($UB66:$VY66)&gt;0,$TM66=WK$1),MAX(WJ$2:WJ65)+1,"")</f>
        <v/>
      </c>
      <c r="WK66" s="59" t="str">
        <f t="shared" ca="1" si="83"/>
        <v/>
      </c>
      <c r="WL66" s="18" t="str">
        <f ca="1">IF(AND(SUM($UB66:$VY66)&gt;0,$TM66=WM$1),MAX(WL$2:WL65)+1,"")</f>
        <v/>
      </c>
      <c r="WM66" s="59" t="str">
        <f t="shared" ca="1" si="84"/>
        <v/>
      </c>
      <c r="WN66" s="18" t="str">
        <f ca="1">IF(AND(SUM($UB66:$VY66)&gt;0,$TM66=WO$1),MAX(WN$2:WN65)+1,"")</f>
        <v/>
      </c>
      <c r="WO66" s="59" t="str">
        <f t="shared" ca="1" si="85"/>
        <v/>
      </c>
      <c r="WP66" s="18" t="str">
        <f ca="1">IF(AND(SUM($UB66:$VY66)&gt;0,$TM66=WQ$1),MAX(WP$2:WP65)+1,"")</f>
        <v/>
      </c>
      <c r="WQ66" s="59" t="str">
        <f t="shared" ca="1" si="86"/>
        <v/>
      </c>
      <c r="WR66" s="18" t="str">
        <f ca="1">IF(AND(SUM($UB66:$VY66)&gt;0,$TM66=WS$1),MAX(WR$2:WR65)+1,"")</f>
        <v/>
      </c>
      <c r="WS66" s="59" t="str">
        <f t="shared" ca="1" si="87"/>
        <v/>
      </c>
      <c r="WT66" s="18" t="str">
        <f ca="1">IF(AND(SUM($UB66:$VY66)&gt;0,$TM66=WU$1),MAX(WT$2:WT65)+1,"")</f>
        <v/>
      </c>
      <c r="WU66" s="59" t="str">
        <f t="shared" ca="1" si="88"/>
        <v/>
      </c>
      <c r="WV66" s="18" t="str">
        <f ca="1">IF(AND(SUM($UB66:$VY66)&gt;0,$TM66=WW$1),MAX(WV$2:WV65)+1,"")</f>
        <v/>
      </c>
      <c r="WW66" s="59" t="str">
        <f t="shared" ca="1" si="89"/>
        <v/>
      </c>
      <c r="WX66" s="18" t="str">
        <f ca="1">IF(AND(SUM($UB66:$VY66)&gt;0,$TM66=WY$1),MAX(WX$2:WX65)+1,"")</f>
        <v/>
      </c>
      <c r="WY66" s="59" t="str">
        <f t="shared" ca="1" si="90"/>
        <v/>
      </c>
      <c r="WZ66" s="59"/>
      <c r="XC66" s="59" t="str">
        <f t="shared" ca="1" si="140"/>
        <v/>
      </c>
      <c r="XD66" s="59"/>
      <c r="XE66" s="59"/>
      <c r="XF66" s="59"/>
      <c r="XG66" s="59"/>
      <c r="XH66" s="59"/>
      <c r="XI66" s="59"/>
      <c r="XJ66" s="59"/>
      <c r="XK66" s="59"/>
      <c r="XL66" s="59"/>
      <c r="XM66" s="59"/>
      <c r="YN66" s="550"/>
      <c r="YO66" s="550"/>
      <c r="YP66" s="550"/>
      <c r="YQ66" s="550"/>
    </row>
    <row r="67" spans="41:675" ht="9.9499999999999993" customHeight="1" x14ac:dyDescent="0.2">
      <c r="AO67" s="18"/>
      <c r="AP67" s="59"/>
      <c r="BJ67" s="70"/>
      <c r="BK67" s="70"/>
      <c r="BL67" s="48"/>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48"/>
      <c r="CN67" s="48"/>
      <c r="CO67" s="48"/>
      <c r="CP67" s="48"/>
      <c r="CQ67" s="48"/>
      <c r="CR67" s="48"/>
      <c r="CS67" s="48"/>
      <c r="CT67" s="48"/>
      <c r="CU67" s="48"/>
      <c r="CV67" s="48"/>
      <c r="CW67" s="48"/>
      <c r="CX67" s="48"/>
      <c r="CY67" s="48"/>
      <c r="CZ67" s="48"/>
      <c r="DA67" s="48"/>
      <c r="DB67" s="48"/>
      <c r="DC67" s="48"/>
      <c r="DD67" s="48"/>
      <c r="DE67" s="48"/>
      <c r="DF67" s="48"/>
      <c r="DG67" s="104"/>
      <c r="DH67" s="104"/>
      <c r="DI67" s="104"/>
      <c r="DJ67" s="104"/>
      <c r="DK67" s="104"/>
      <c r="FW67" s="48"/>
      <c r="FX67" s="104"/>
      <c r="FY67" s="104"/>
      <c r="FZ67" s="104"/>
      <c r="GA67" s="104"/>
      <c r="GB67" s="104"/>
      <c r="GC67" s="104"/>
      <c r="GD67" s="104"/>
      <c r="GE67" s="104"/>
      <c r="GF67" s="104"/>
      <c r="GG67" s="104"/>
      <c r="GH67" s="104"/>
      <c r="GI67" s="104"/>
      <c r="GJ67" s="104"/>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X67" s="58" t="s">
        <v>1629</v>
      </c>
      <c r="IY67" s="58" t="s">
        <v>1630</v>
      </c>
      <c r="IZ67" s="58" t="s">
        <v>198</v>
      </c>
      <c r="JA67" s="58" t="s">
        <v>1631</v>
      </c>
      <c r="JB67" s="58" t="s">
        <v>1632</v>
      </c>
      <c r="JK67" s="60"/>
      <c r="JL67" s="60"/>
      <c r="JM67" s="296">
        <v>12</v>
      </c>
      <c r="JN67" s="296">
        <v>4</v>
      </c>
      <c r="JO67" s="296">
        <v>3</v>
      </c>
      <c r="JP67" s="302" t="s">
        <v>140</v>
      </c>
      <c r="JQ67" s="302" t="s">
        <v>140</v>
      </c>
      <c r="JR67" s="302" t="s">
        <v>140</v>
      </c>
      <c r="JS67" s="302" t="s">
        <v>140</v>
      </c>
      <c r="JT67" s="302" t="s">
        <v>140</v>
      </c>
      <c r="JU67" s="302" t="s">
        <v>140</v>
      </c>
      <c r="JV67" s="302" t="s">
        <v>140</v>
      </c>
      <c r="JW67" s="302">
        <v>2</v>
      </c>
      <c r="JX67" s="302"/>
      <c r="KK67" s="60"/>
      <c r="KL67" s="60"/>
      <c r="KM67" s="60"/>
      <c r="KN67" s="60"/>
      <c r="KO67" s="60"/>
      <c r="KP67" s="60"/>
      <c r="KQ67" s="60"/>
      <c r="KR67" s="60"/>
      <c r="KS67" s="99"/>
      <c r="KT67" s="88" t="s">
        <v>239</v>
      </c>
      <c r="KU67" s="80" t="str">
        <f t="shared" ca="1" si="157"/>
        <v>No</v>
      </c>
      <c r="KV67" s="89" t="s">
        <v>91</v>
      </c>
      <c r="KW67" s="92"/>
      <c r="KX67" s="92"/>
      <c r="KY67" s="92"/>
      <c r="KZ67" s="92"/>
      <c r="LA67" s="92"/>
      <c r="LB67" s="92"/>
      <c r="LC67" s="92"/>
      <c r="LD67" s="92"/>
      <c r="LE67" s="92"/>
      <c r="LF67" s="92"/>
      <c r="LG67" s="92"/>
      <c r="LH67" s="92"/>
      <c r="LI67" s="92" t="str">
        <f t="shared" si="166"/>
        <v/>
      </c>
      <c r="LJ67" s="92"/>
      <c r="LK67" s="92"/>
      <c r="LL67" s="92"/>
      <c r="LM67" s="92"/>
      <c r="LN67" s="92"/>
      <c r="LO67" s="92"/>
      <c r="LP67" s="92"/>
      <c r="LQ67" s="92"/>
      <c r="LR67" s="92"/>
      <c r="LS67" s="92"/>
      <c r="LT67" s="92"/>
      <c r="LU67" s="92"/>
      <c r="LV67" s="92"/>
      <c r="LW67" s="92"/>
      <c r="LX67" s="92"/>
      <c r="LY67" s="92"/>
      <c r="LZ67" s="92" t="str">
        <f t="shared" ca="1" si="161"/>
        <v/>
      </c>
      <c r="MA67" s="92" t="str">
        <f t="shared" ca="1" si="162"/>
        <v/>
      </c>
      <c r="MB67" s="92" t="str">
        <f t="shared" ca="1" si="162"/>
        <v/>
      </c>
      <c r="MC67" s="92"/>
      <c r="MD67" s="92" t="str">
        <f t="shared" si="163"/>
        <v/>
      </c>
      <c r="ME67" s="92" t="str">
        <f ca="1">IF(ME$1&gt;0,$KT67,"")</f>
        <v/>
      </c>
      <c r="MF67" s="92" t="str">
        <f t="shared" ca="1" si="160"/>
        <v/>
      </c>
      <c r="MG67" s="92"/>
      <c r="MH67" s="92" t="str">
        <f t="shared" ca="1" si="158"/>
        <v/>
      </c>
      <c r="MI67" s="92" t="str">
        <f t="shared" ca="1" si="159"/>
        <v/>
      </c>
      <c r="MJ67" s="92"/>
      <c r="MK67" s="92" t="str">
        <f t="shared" ca="1" si="164"/>
        <v/>
      </c>
      <c r="ML67" s="92"/>
      <c r="MM67" s="92"/>
      <c r="MN67" s="92"/>
      <c r="MO67" s="92"/>
      <c r="MP67" s="92"/>
      <c r="MQ67" s="92"/>
      <c r="MR67" s="92"/>
      <c r="MS67" s="92"/>
      <c r="MT67" s="92"/>
      <c r="MU67" s="92"/>
      <c r="MV67" s="92"/>
      <c r="MW67" s="92"/>
      <c r="MX67" s="92"/>
      <c r="MY67" s="92"/>
      <c r="MZ67" s="92"/>
      <c r="NA67" s="92"/>
      <c r="NB67" s="92"/>
      <c r="NC67" s="92"/>
      <c r="ND67" s="92"/>
      <c r="NE67" s="92"/>
      <c r="NF67" s="92"/>
      <c r="NG67" s="92"/>
      <c r="NH67" s="92"/>
      <c r="NI67" s="92"/>
      <c r="NJ67" s="92"/>
      <c r="NK67" s="92" t="str">
        <f t="shared" ca="1" si="165"/>
        <v/>
      </c>
      <c r="NL67" s="92"/>
      <c r="NM67" s="92"/>
      <c r="NN67" s="92"/>
      <c r="NO67" s="92"/>
      <c r="NP67" s="92"/>
      <c r="NQ67" s="92"/>
      <c r="NR67" s="92"/>
      <c r="NS67" s="92"/>
      <c r="NT67" s="92"/>
      <c r="NU67" s="92"/>
      <c r="NV67" s="92"/>
      <c r="NW67" s="92"/>
      <c r="NX67" s="92"/>
      <c r="NY67" s="92"/>
      <c r="NZ67" s="92"/>
      <c r="OA67" s="92"/>
      <c r="OB67" s="92"/>
      <c r="OC67" s="92"/>
      <c r="OD67" s="92"/>
      <c r="OE67" s="92"/>
      <c r="OF67" s="92"/>
      <c r="OG67" s="92"/>
      <c r="OH67" s="92"/>
      <c r="OI67" s="92"/>
      <c r="OJ67" s="92"/>
      <c r="OK67" s="92"/>
      <c r="OL67" s="92"/>
      <c r="OM67" s="92"/>
      <c r="ON67" s="92"/>
      <c r="OO67" s="92"/>
      <c r="OP67" s="92"/>
      <c r="OQ67" s="92"/>
      <c r="OR67" s="92"/>
      <c r="OS67" s="92" t="str">
        <f>IF(OS$1&gt;0,$KT67,"")</f>
        <v/>
      </c>
      <c r="OT67" s="92"/>
      <c r="OU67" s="92"/>
      <c r="OV67" s="92"/>
      <c r="OW67" s="92"/>
      <c r="OX67" s="92"/>
      <c r="OY67" s="92"/>
      <c r="OZ67" s="92"/>
      <c r="PA67" s="92"/>
      <c r="PB67" s="92"/>
      <c r="PC67" s="92"/>
      <c r="PD67" s="92"/>
      <c r="PE67" s="92"/>
      <c r="PF67" s="92"/>
      <c r="PG67" s="92"/>
      <c r="PH67" s="92"/>
      <c r="PI67" s="92"/>
      <c r="PJ67" s="92"/>
      <c r="PK67" s="92"/>
      <c r="PL67" s="92"/>
      <c r="PM67" s="92"/>
      <c r="PN67" s="92"/>
      <c r="PO67" s="92"/>
      <c r="PP67" s="92"/>
      <c r="PQ67" s="92"/>
      <c r="PR67" s="92"/>
      <c r="PS67" s="92"/>
      <c r="PT67" s="92"/>
      <c r="PU67" s="59" t="str">
        <f ca="1">IF($PU$60="",IF(COUNTIF(KW67:PT67,"&gt;&lt;"),KT67,""),"")</f>
        <v/>
      </c>
      <c r="PV67" s="59" t="str">
        <f ca="1">IF(PU67="","",IF(COUNTIF(PU67:$PU$76,"&gt;&lt;")&gt;1,PU67&amp;", ", PU67))</f>
        <v/>
      </c>
      <c r="PW67" s="59"/>
      <c r="PX67" s="59"/>
      <c r="PY67" s="60"/>
      <c r="PZ67" s="19"/>
      <c r="QA67" s="19"/>
      <c r="QB67" s="27" t="str">
        <f t="shared" si="154"/>
        <v/>
      </c>
      <c r="QC67" s="67"/>
      <c r="QD67" s="19"/>
      <c r="QE67" s="26" t="str">
        <f>""</f>
        <v/>
      </c>
      <c r="QF67" s="26"/>
      <c r="QG67" s="26" t="str">
        <f>""</f>
        <v/>
      </c>
      <c r="QH67" s="26" t="str">
        <f>""</f>
        <v/>
      </c>
      <c r="QI67" s="26" t="str">
        <f>""</f>
        <v/>
      </c>
      <c r="QJ67" s="26" t="str">
        <f>""</f>
        <v/>
      </c>
      <c r="QK67" s="26" t="str">
        <f>""</f>
        <v/>
      </c>
      <c r="QL67" s="26" t="str">
        <f>""</f>
        <v/>
      </c>
      <c r="QM67" s="26" t="str">
        <f>""</f>
        <v/>
      </c>
      <c r="QN67" s="26" t="str">
        <f>""</f>
        <v/>
      </c>
      <c r="QO67" s="26" t="str">
        <f>""</f>
        <v/>
      </c>
      <c r="QP67" s="26" t="str">
        <f>""</f>
        <v/>
      </c>
      <c r="QQ67" s="27" t="str">
        <f>""</f>
        <v/>
      </c>
      <c r="QR67" s="27" t="str">
        <f>""</f>
        <v/>
      </c>
      <c r="SR67" s="19"/>
      <c r="SS67" s="19"/>
      <c r="ST67" s="19"/>
      <c r="SU67" s="26"/>
      <c r="SV67" s="44"/>
      <c r="SW67" s="68"/>
      <c r="SX67" s="26"/>
      <c r="SY67" s="27"/>
      <c r="SZ67" s="26"/>
      <c r="TA67" s="19"/>
      <c r="TB67" s="19"/>
      <c r="TC67" s="19"/>
      <c r="TD67" s="44"/>
      <c r="TE67" s="26"/>
      <c r="TF67" s="68"/>
      <c r="TG67" s="26"/>
      <c r="TH67" s="27"/>
      <c r="TI67" s="27"/>
      <c r="TJ67" s="18">
        <f t="shared" si="115"/>
        <v>65</v>
      </c>
      <c r="TK67" s="58" t="s">
        <v>1983</v>
      </c>
      <c r="TL67" s="58" t="s">
        <v>464</v>
      </c>
      <c r="TM67" s="18">
        <v>7</v>
      </c>
      <c r="TN67" s="59" t="str">
        <f t="shared" ref="TN67:TN130" si="167">TK67&amp;" "&amp;TO67&amp;TP67&amp;TQ67&amp;TR67</f>
        <v xml:space="preserve">Conjure Celestial ᴴ </v>
      </c>
      <c r="TO67" s="350" t="s">
        <v>2991</v>
      </c>
      <c r="TP67" s="18" t="str">
        <f t="shared" ref="TP67:TP130" si="168">IF(SUM(UY67:VE67)&gt;0,"ᵈ","")&amp;IF(SUM(UO67:UQ67)&gt;0,"ᵒ","")&amp;IF(SUM(VG67:VO67)&gt;0,"ᶜ","")</f>
        <v/>
      </c>
      <c r="TQ67" s="18" t="str">
        <f>IF(OR(TK67=Spellcasting!$AC$18,TK67=Spellcasting!$AC$19),"ᵐ","")</f>
        <v/>
      </c>
      <c r="TR67" s="18" t="str">
        <f>IF(OR(TK67=Spellcasting!$AC$20,TK67=Spellcasting!$AC$21),"ˢ","")</f>
        <v/>
      </c>
      <c r="TS67" s="18" t="str">
        <f>""</f>
        <v/>
      </c>
      <c r="TT67" s="18" t="s">
        <v>503</v>
      </c>
      <c r="TU67" s="18" t="s">
        <v>864</v>
      </c>
      <c r="TV67" s="18" t="s">
        <v>490</v>
      </c>
      <c r="TW67" s="18" t="s">
        <v>486</v>
      </c>
      <c r="TX67" s="59" t="str">
        <f>""</f>
        <v/>
      </c>
      <c r="TY67" s="18" t="s">
        <v>516</v>
      </c>
      <c r="TZ67" s="18" t="s">
        <v>517</v>
      </c>
      <c r="UA67" s="142" t="s">
        <v>2107</v>
      </c>
      <c r="UB67" s="538" t="s">
        <v>3254</v>
      </c>
      <c r="UH67" s="18" t="str">
        <f ca="1">IF(UH$1&gt;=$TM67,1,"0")</f>
        <v>0</v>
      </c>
      <c r="VZ67" s="179"/>
      <c r="WA67" s="179"/>
      <c r="WB67" s="179"/>
      <c r="WC67" s="179"/>
      <c r="WD67" s="18" t="str">
        <f ca="1">IF(SUM($VZ$1:$WC$1)&gt;0,IF(AND(SUM($VZ67:$WC67)&gt;0,$TM67=WE$1),MAX(WD$2:WD66)+1,""),IF(AND(SUM($UC67:$VY67)&gt;0,$TM67=WE$1),MAX(WD$2:WD66)+1,""))</f>
        <v/>
      </c>
      <c r="WE67" s="59" t="str">
        <f t="shared" ca="1" si="80"/>
        <v/>
      </c>
      <c r="WF67" s="18" t="str">
        <f ca="1">IF(AND(SUM($UB67:$VY67)&gt;0,$TM67=WG$1),MAX(WF$2:WF66)+1,"")</f>
        <v/>
      </c>
      <c r="WG67" s="59" t="str">
        <f t="shared" ca="1" si="81"/>
        <v/>
      </c>
      <c r="WH67" s="18" t="str">
        <f ca="1">IF(AND(SUM($UB67:$VY67)&gt;0,$TM67=WI$1),MAX(WH$2:WH66)+1,"")</f>
        <v/>
      </c>
      <c r="WI67" s="59" t="str">
        <f t="shared" ca="1" si="82"/>
        <v/>
      </c>
      <c r="WJ67" s="18" t="str">
        <f ca="1">IF(AND(SUM($UB67:$VY67)&gt;0,$TM67=WK$1),MAX(WJ$2:WJ66)+1,"")</f>
        <v/>
      </c>
      <c r="WK67" s="59" t="str">
        <f t="shared" ca="1" si="83"/>
        <v/>
      </c>
      <c r="WL67" s="18" t="str">
        <f ca="1">IF(AND(SUM($UB67:$VY67)&gt;0,$TM67=WM$1),MAX(WL$2:WL66)+1,"")</f>
        <v/>
      </c>
      <c r="WM67" s="59" t="str">
        <f t="shared" ca="1" si="84"/>
        <v/>
      </c>
      <c r="WN67" s="18" t="str">
        <f ca="1">IF(AND(SUM($UB67:$VY67)&gt;0,$TM67=WO$1),MAX(WN$2:WN66)+1,"")</f>
        <v/>
      </c>
      <c r="WO67" s="59" t="str">
        <f t="shared" ca="1" si="85"/>
        <v/>
      </c>
      <c r="WP67" s="18" t="str">
        <f ca="1">IF(AND(SUM($UB67:$VY67)&gt;0,$TM67=WQ$1),MAX(WP$2:WP66)+1,"")</f>
        <v/>
      </c>
      <c r="WQ67" s="59" t="str">
        <f t="shared" ca="1" si="86"/>
        <v/>
      </c>
      <c r="WR67" s="18" t="str">
        <f ca="1">IF(AND(SUM($UB67:$VY67)&gt;0,$TM67=WS$1),MAX(WR$2:WR66)+1,"")</f>
        <v/>
      </c>
      <c r="WS67" s="59" t="str">
        <f t="shared" ca="1" si="87"/>
        <v/>
      </c>
      <c r="WT67" s="18" t="str">
        <f ca="1">IF(AND(SUM($UB67:$VY67)&gt;0,$TM67=WU$1),MAX(WT$2:WT66)+1,"")</f>
        <v/>
      </c>
      <c r="WU67" s="59" t="str">
        <f t="shared" ca="1" si="88"/>
        <v/>
      </c>
      <c r="WV67" s="18" t="str">
        <f ca="1">IF(AND(SUM($UB67:$VY67)&gt;0,$TM67=WW$1),MAX(WV$2:WV66)+1,"")</f>
        <v/>
      </c>
      <c r="WW67" s="59" t="str">
        <f t="shared" ca="1" si="89"/>
        <v/>
      </c>
      <c r="WX67" s="18" t="str">
        <f ca="1">IF(AND(SUM($UB67:$VY67)&gt;0,$TM67=WY$1),MAX(WX$2:WX66)+1,"")</f>
        <v/>
      </c>
      <c r="WY67" s="59" t="str">
        <f t="shared" ca="1" si="90"/>
        <v/>
      </c>
      <c r="WZ67" s="59"/>
      <c r="XC67" s="59" t="str">
        <f t="shared" ca="1" si="140"/>
        <v/>
      </c>
      <c r="XD67" s="59"/>
      <c r="XE67" s="59"/>
      <c r="XF67" s="59"/>
      <c r="XG67" s="59"/>
      <c r="XH67" s="59"/>
      <c r="XI67" s="59"/>
      <c r="XJ67" s="59"/>
      <c r="XK67" s="59"/>
      <c r="XL67" s="59"/>
      <c r="XM67" s="59"/>
    </row>
    <row r="68" spans="41:675" ht="9.9499999999999993" customHeight="1" x14ac:dyDescent="0.2">
      <c r="BJ68" s="70"/>
      <c r="BK68" s="70"/>
      <c r="BL68" s="48"/>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48"/>
      <c r="CN68" s="48"/>
      <c r="CO68" s="48"/>
      <c r="CP68" s="48"/>
      <c r="CQ68" s="48"/>
      <c r="CR68" s="48"/>
      <c r="CS68" s="48"/>
      <c r="CT68" s="48"/>
      <c r="CU68" s="48"/>
      <c r="CV68" s="48"/>
      <c r="CW68" s="48"/>
      <c r="CX68" s="48"/>
      <c r="CY68" s="48"/>
      <c r="CZ68" s="48"/>
      <c r="DA68" s="48"/>
      <c r="DB68" s="48"/>
      <c r="DC68" s="48"/>
      <c r="DD68" s="48"/>
      <c r="DE68" s="48"/>
      <c r="DF68" s="48"/>
      <c r="DG68" s="104"/>
      <c r="DH68" s="104"/>
      <c r="DI68" s="104"/>
      <c r="DJ68" s="104"/>
      <c r="DK68" s="104"/>
      <c r="FW68" s="48"/>
      <c r="FX68" s="104"/>
      <c r="FY68" s="104"/>
      <c r="FZ68" s="104"/>
      <c r="GA68" s="104"/>
      <c r="GB68" s="104"/>
      <c r="GC68" s="104"/>
      <c r="GD68" s="104"/>
      <c r="GE68" s="104"/>
      <c r="GF68" s="104"/>
      <c r="GG68" s="104"/>
      <c r="GH68" s="104"/>
      <c r="GI68" s="104"/>
      <c r="GJ68" s="104"/>
      <c r="GZ68" s="59"/>
      <c r="HA68" s="59"/>
      <c r="HB68" s="59"/>
      <c r="HC68" s="59"/>
      <c r="HD68" s="59"/>
      <c r="HE68" s="59"/>
      <c r="HF68" s="59"/>
      <c r="HG68" s="59"/>
      <c r="HH68" s="59"/>
      <c r="HI68" s="59"/>
      <c r="HJ68" s="59"/>
      <c r="HK68" s="59"/>
      <c r="HL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c r="IS68" s="59"/>
      <c r="IT68" s="59"/>
      <c r="IU68" s="59"/>
      <c r="IX68" s="209" t="s">
        <v>1702</v>
      </c>
      <c r="JK68" s="60"/>
      <c r="JL68" s="60"/>
      <c r="JM68" s="296">
        <v>13</v>
      </c>
      <c r="JN68" s="296">
        <v>4</v>
      </c>
      <c r="JO68" s="296">
        <v>3</v>
      </c>
      <c r="JP68" s="296">
        <v>2</v>
      </c>
      <c r="JQ68" s="302" t="s">
        <v>140</v>
      </c>
      <c r="JR68" s="302" t="s">
        <v>140</v>
      </c>
      <c r="JS68" s="302" t="s">
        <v>140</v>
      </c>
      <c r="JT68" s="302" t="s">
        <v>140</v>
      </c>
      <c r="JU68" s="302" t="s">
        <v>140</v>
      </c>
      <c r="JV68" s="302" t="s">
        <v>140</v>
      </c>
      <c r="JW68" s="302">
        <v>3</v>
      </c>
      <c r="JX68" s="302"/>
      <c r="KK68" s="60"/>
      <c r="KL68" s="60"/>
      <c r="KM68" s="60"/>
      <c r="KN68" s="60"/>
      <c r="KO68" s="60"/>
      <c r="KP68" s="60"/>
      <c r="KQ68" s="60"/>
      <c r="KR68" s="60"/>
      <c r="KS68" s="99"/>
      <c r="KT68" s="88" t="s">
        <v>238</v>
      </c>
      <c r="KU68" s="80" t="str">
        <f t="shared" ca="1" si="157"/>
        <v>No</v>
      </c>
      <c r="KV68" s="89" t="s">
        <v>195</v>
      </c>
      <c r="KW68" s="92"/>
      <c r="KX68" s="92"/>
      <c r="KY68" s="92"/>
      <c r="KZ68" s="92"/>
      <c r="LA68" s="92"/>
      <c r="LB68" s="92"/>
      <c r="LC68" s="92"/>
      <c r="LD68" s="92"/>
      <c r="LE68" s="92"/>
      <c r="LF68" s="92"/>
      <c r="LG68" s="92"/>
      <c r="LH68" s="92"/>
      <c r="LI68" s="92" t="str">
        <f t="shared" si="166"/>
        <v/>
      </c>
      <c r="LJ68" s="92"/>
      <c r="LK68" s="92"/>
      <c r="LL68" s="92"/>
      <c r="LM68" s="92"/>
      <c r="LN68" s="92"/>
      <c r="LO68" s="92"/>
      <c r="LP68" s="92"/>
      <c r="LQ68" s="92"/>
      <c r="LR68" s="92"/>
      <c r="LS68" s="92"/>
      <c r="LT68" s="92"/>
      <c r="LU68" s="92"/>
      <c r="LV68" s="92"/>
      <c r="LW68" s="92"/>
      <c r="LX68" s="92"/>
      <c r="LY68" s="92"/>
      <c r="LZ68" s="92" t="str">
        <f t="shared" ca="1" si="161"/>
        <v/>
      </c>
      <c r="MA68" s="92" t="str">
        <f ca="1">IF(MA$1&gt;0,$KT68,"")</f>
        <v/>
      </c>
      <c r="MB68" s="92"/>
      <c r="MC68" s="92"/>
      <c r="MD68" s="92" t="str">
        <f t="shared" si="163"/>
        <v/>
      </c>
      <c r="ME68" s="92"/>
      <c r="MF68" s="92" t="str">
        <f t="shared" ca="1" si="160"/>
        <v/>
      </c>
      <c r="MG68" s="92"/>
      <c r="MH68" s="92" t="str">
        <f t="shared" ca="1" si="158"/>
        <v/>
      </c>
      <c r="MI68" s="92" t="str">
        <f t="shared" ca="1" si="159"/>
        <v/>
      </c>
      <c r="MJ68" s="92"/>
      <c r="MK68" s="92"/>
      <c r="ML68" s="92"/>
      <c r="MM68" s="92"/>
      <c r="MN68" s="92"/>
      <c r="MO68" s="92"/>
      <c r="MP68" s="92"/>
      <c r="MQ68" s="92"/>
      <c r="MR68" s="92"/>
      <c r="MS68" s="92"/>
      <c r="MT68" s="92"/>
      <c r="MU68" s="92"/>
      <c r="MV68" s="92"/>
      <c r="MW68" s="92"/>
      <c r="MX68" s="92"/>
      <c r="MY68" s="92"/>
      <c r="MZ68" s="92"/>
      <c r="NA68" s="92"/>
      <c r="NB68" s="92"/>
      <c r="NC68" s="92"/>
      <c r="ND68" s="92"/>
      <c r="NE68" s="92"/>
      <c r="NF68" s="92"/>
      <c r="NG68" s="92"/>
      <c r="NH68" s="92"/>
      <c r="NI68" s="92"/>
      <c r="NJ68" s="92"/>
      <c r="NK68" s="92" t="str">
        <f t="shared" ca="1" si="165"/>
        <v/>
      </c>
      <c r="NL68" s="92"/>
      <c r="NM68" s="92"/>
      <c r="NN68" s="92"/>
      <c r="NO68" s="92"/>
      <c r="NP68" s="92"/>
      <c r="NQ68" s="92"/>
      <c r="NR68" s="92"/>
      <c r="NS68" s="92"/>
      <c r="NT68" s="92"/>
      <c r="NU68" s="92"/>
      <c r="NV68" s="92"/>
      <c r="NW68" s="92"/>
      <c r="NX68" s="92"/>
      <c r="NY68" s="92"/>
      <c r="NZ68" s="92"/>
      <c r="OA68" s="92"/>
      <c r="OB68" s="92"/>
      <c r="OC68" s="92"/>
      <c r="OD68" s="92"/>
      <c r="OE68" s="92"/>
      <c r="OF68" s="92"/>
      <c r="OG68" s="92"/>
      <c r="OH68" s="92"/>
      <c r="OI68" s="92"/>
      <c r="OJ68" s="92"/>
      <c r="OK68" s="92"/>
      <c r="OL68" s="92"/>
      <c r="OM68" s="92"/>
      <c r="ON68" s="92"/>
      <c r="OO68" s="92"/>
      <c r="OP68" s="92"/>
      <c r="OQ68" s="92"/>
      <c r="OR68" s="92"/>
      <c r="OS68" s="92"/>
      <c r="OT68" s="92"/>
      <c r="OU68" s="92"/>
      <c r="OV68" s="92"/>
      <c r="OW68" s="92"/>
      <c r="OX68" s="92"/>
      <c r="OY68" s="92"/>
      <c r="OZ68" s="92"/>
      <c r="PA68" s="92" t="str">
        <f>IF(PA$1&gt;0,$KT68,"")</f>
        <v/>
      </c>
      <c r="PB68" s="92"/>
      <c r="PC68" s="92"/>
      <c r="PD68" s="92"/>
      <c r="PE68" s="92"/>
      <c r="PF68" s="92"/>
      <c r="PG68" s="92"/>
      <c r="PH68" s="92"/>
      <c r="PI68" s="92"/>
      <c r="PJ68" s="92"/>
      <c r="PK68" s="92"/>
      <c r="PL68" s="92"/>
      <c r="PM68" s="92"/>
      <c r="PN68" s="92"/>
      <c r="PO68" s="92"/>
      <c r="PP68" s="92"/>
      <c r="PQ68" s="92"/>
      <c r="PR68" s="92"/>
      <c r="PS68" s="92"/>
      <c r="PT68" s="92"/>
      <c r="PU68" s="59" t="str">
        <f ca="1">IF($PU$60="",IF(COUNTIF(KW68:PT68,"&gt;&lt;"),KT68,""),"")</f>
        <v/>
      </c>
      <c r="PV68" s="59" t="str">
        <f ca="1">IF(PU68="","",IF(COUNTIF(PU68:$PU$76,"&gt;&lt;")&gt;1,PU68&amp;", ", PU68))</f>
        <v/>
      </c>
      <c r="PW68" s="59"/>
      <c r="PX68" s="59"/>
      <c r="PY68" s="60"/>
      <c r="PZ68" s="28"/>
      <c r="QA68" s="28"/>
      <c r="QB68" s="30" t="str">
        <f t="shared" si="154"/>
        <v/>
      </c>
      <c r="QC68" s="31"/>
      <c r="QD68" s="28"/>
      <c r="QE68" s="29" t="str">
        <f>""</f>
        <v/>
      </c>
      <c r="QF68" s="29"/>
      <c r="QG68" s="29" t="str">
        <f>""</f>
        <v/>
      </c>
      <c r="QH68" s="29" t="str">
        <f>""</f>
        <v/>
      </c>
      <c r="QI68" s="29" t="str">
        <f>""</f>
        <v/>
      </c>
      <c r="QJ68" s="29" t="str">
        <f>""</f>
        <v/>
      </c>
      <c r="QK68" s="29" t="str">
        <f>""</f>
        <v/>
      </c>
      <c r="QL68" s="29" t="str">
        <f>""</f>
        <v/>
      </c>
      <c r="QM68" s="29" t="str">
        <f>""</f>
        <v/>
      </c>
      <c r="QN68" s="29" t="str">
        <f>""</f>
        <v/>
      </c>
      <c r="QO68" s="29" t="str">
        <f>""</f>
        <v/>
      </c>
      <c r="QP68" s="29" t="str">
        <f>""</f>
        <v/>
      </c>
      <c r="QQ68" s="30" t="str">
        <f>""</f>
        <v/>
      </c>
      <c r="QR68" s="30" t="str">
        <f>""</f>
        <v/>
      </c>
      <c r="SR68" s="28"/>
      <c r="SS68" s="28"/>
      <c r="ST68" s="28"/>
      <c r="SU68" s="29"/>
      <c r="SV68" s="42"/>
      <c r="SW68" s="69"/>
      <c r="SX68" s="29"/>
      <c r="SY68" s="30"/>
      <c r="SZ68" s="29"/>
      <c r="TA68" s="28"/>
      <c r="TB68" s="28"/>
      <c r="TC68" s="28"/>
      <c r="TD68" s="42"/>
      <c r="TE68" s="29"/>
      <c r="TF68" s="69"/>
      <c r="TG68" s="29"/>
      <c r="TH68" s="30"/>
      <c r="TI68" s="30"/>
      <c r="TJ68" s="18">
        <f t="shared" si="115"/>
        <v>66</v>
      </c>
      <c r="TK68" s="58" t="s">
        <v>1935</v>
      </c>
      <c r="TL68" s="58" t="s">
        <v>462</v>
      </c>
      <c r="TM68" s="18">
        <v>5</v>
      </c>
      <c r="TN68" s="59" t="str">
        <f t="shared" si="167"/>
        <v xml:space="preserve">Conjure Elemental ᴴ </v>
      </c>
      <c r="TO68" s="350" t="s">
        <v>2991</v>
      </c>
      <c r="TP68" s="18" t="str">
        <f t="shared" si="168"/>
        <v/>
      </c>
      <c r="TQ68" s="18" t="str">
        <f>IF(OR(TK68=Spellcasting!$AC$18,TK68=Spellcasting!$AC$19),"ᵐ","")</f>
        <v/>
      </c>
      <c r="TR68" s="18" t="str">
        <f>IF(OR(TK68=Spellcasting!$AC$20,TK68=Spellcasting!$AC$21),"ˢ","")</f>
        <v/>
      </c>
      <c r="TS68" s="18" t="str">
        <f>""</f>
        <v/>
      </c>
      <c r="TT68" s="18" t="s">
        <v>503</v>
      </c>
      <c r="TU68" s="18" t="s">
        <v>864</v>
      </c>
      <c r="TV68" s="18" t="s">
        <v>490</v>
      </c>
      <c r="TW68" s="18" t="s">
        <v>495</v>
      </c>
      <c r="TX68" s="59" t="s">
        <v>2108</v>
      </c>
      <c r="TY68" s="18" t="s">
        <v>516</v>
      </c>
      <c r="TZ68" s="18" t="s">
        <v>517</v>
      </c>
      <c r="UA68" s="142" t="s">
        <v>2232</v>
      </c>
      <c r="UB68" s="319" t="s">
        <v>3223</v>
      </c>
      <c r="UI68" s="18" t="str">
        <f ca="1">IF(UI$1&gt;=$TM68,1,"0")</f>
        <v>0</v>
      </c>
      <c r="UL68" s="18" t="str">
        <f ca="1">IF(UL$1&gt;=$TM68,1,"0")</f>
        <v>0</v>
      </c>
      <c r="VH68" s="18" t="str">
        <f>IF(VH$1&gt;=$TM68,1,"0")</f>
        <v>0</v>
      </c>
      <c r="WD68" s="18" t="str">
        <f ca="1">IF(SUM($VZ$1:$WC$1)&gt;0,IF(AND(SUM($VZ68:$WC68)&gt;0,$TM68=WE$1),MAX(WD$2:WD67)+1,""),IF(AND(SUM($UC68:$VY68)&gt;0,$TM68=WE$1),MAX(WD$2:WD67)+1,""))</f>
        <v/>
      </c>
      <c r="WE68" s="59" t="str">
        <f t="shared" ref="WE68:WE131" ca="1" si="169">IF(AND(WD68&lt;&gt;"",$TM68=WE$1),$TK68,"")</f>
        <v/>
      </c>
      <c r="WF68" s="18" t="str">
        <f ca="1">IF(AND(SUM($UB68:$VY68)&gt;0,$TM68=WG$1),MAX(WF$2:WF67)+1,"")</f>
        <v/>
      </c>
      <c r="WG68" s="59" t="str">
        <f t="shared" ref="WG68:WG131" ca="1" si="170">IF(AND(WF68&lt;&gt;"",$TM68=WG$1),$TK68,"")</f>
        <v/>
      </c>
      <c r="WH68" s="18" t="str">
        <f ca="1">IF(AND(SUM($UB68:$VY68)&gt;0,$TM68=WI$1),MAX(WH$2:WH67)+1,"")</f>
        <v/>
      </c>
      <c r="WI68" s="59" t="str">
        <f t="shared" ref="WI68:WI131" ca="1" si="171">IF(AND(WH68&lt;&gt;"",$TM68=WI$1),$TK68,"")</f>
        <v/>
      </c>
      <c r="WJ68" s="18" t="str">
        <f ca="1">IF(AND(SUM($UB68:$VY68)&gt;0,$TM68=WK$1),MAX(WJ$2:WJ67)+1,"")</f>
        <v/>
      </c>
      <c r="WK68" s="59" t="str">
        <f t="shared" ref="WK68:WK131" ca="1" si="172">IF(AND(WJ68&lt;&gt;"",$TM68=WK$1),$TK68,"")</f>
        <v/>
      </c>
      <c r="WL68" s="18" t="str">
        <f ca="1">IF(AND(SUM($UB68:$VY68)&gt;0,$TM68=WM$1),MAX(WL$2:WL67)+1,"")</f>
        <v/>
      </c>
      <c r="WM68" s="59" t="str">
        <f t="shared" ref="WM68:WM131" ca="1" si="173">IF(AND(WL68&lt;&gt;"",$TM68=WM$1),$TK68,"")</f>
        <v/>
      </c>
      <c r="WN68" s="18" t="str">
        <f ca="1">IF(AND(SUM($UB68:$VY68)&gt;0,$TM68=WO$1),MAX(WN$2:WN67)+1,"")</f>
        <v/>
      </c>
      <c r="WO68" s="59" t="str">
        <f t="shared" ref="WO68:WO131" ca="1" si="174">IF(AND(WN68&lt;&gt;"",$TM68=WO$1),$TK68,"")</f>
        <v/>
      </c>
      <c r="WP68" s="18" t="str">
        <f ca="1">IF(AND(SUM($UB68:$VY68)&gt;0,$TM68=WQ$1),MAX(WP$2:WP67)+1,"")</f>
        <v/>
      </c>
      <c r="WQ68" s="59" t="str">
        <f t="shared" ref="WQ68:WQ131" ca="1" si="175">IF(AND(WP68&lt;&gt;"",$TM68=WQ$1),$TK68,"")</f>
        <v/>
      </c>
      <c r="WR68" s="18" t="str">
        <f ca="1">IF(AND(SUM($UB68:$VY68)&gt;0,$TM68=WS$1),MAX(WR$2:WR67)+1,"")</f>
        <v/>
      </c>
      <c r="WS68" s="59" t="str">
        <f t="shared" ref="WS68:WS131" ca="1" si="176">IF(AND(WR68&lt;&gt;"",$TM68=WS$1),$TK68,"")</f>
        <v/>
      </c>
      <c r="WT68" s="18" t="str">
        <f ca="1">IF(AND(SUM($UB68:$VY68)&gt;0,$TM68=WU$1),MAX(WT$2:WT67)+1,"")</f>
        <v/>
      </c>
      <c r="WU68" s="59" t="str">
        <f t="shared" ref="WU68:WU131" ca="1" si="177">IF(AND(WT68&lt;&gt;"",$TM68=WU$1),$TK68,"")</f>
        <v/>
      </c>
      <c r="WV68" s="18" t="str">
        <f ca="1">IF(AND(SUM($UB68:$VY68)&gt;0,$TM68=WW$1),MAX(WV$2:WV67)+1,"")</f>
        <v/>
      </c>
      <c r="WW68" s="59" t="str">
        <f t="shared" ref="WW68:WW131" ca="1" si="178">IF(AND(WV68&lt;&gt;"",$TM68=WW$1),$TK68,"")</f>
        <v/>
      </c>
      <c r="WX68" s="18" t="str">
        <f ca="1">IF(AND(SUM($UB68:$VY68)&gt;0,$TM68=WY$1),MAX(WX$2:WX67)+1,"")</f>
        <v/>
      </c>
      <c r="WY68" s="59" t="str">
        <f t="shared" ref="WY68:WY131" ca="1" si="179">IF(AND(WX68&lt;&gt;"",$TM68=WY$1),$TK68,"")</f>
        <v/>
      </c>
      <c r="WZ68" s="59"/>
      <c r="XC68" s="59" t="str">
        <f t="shared" ca="1" si="140"/>
        <v/>
      </c>
      <c r="XD68" s="59"/>
      <c r="XE68" s="59"/>
      <c r="XF68" s="59"/>
      <c r="XG68" s="59"/>
      <c r="XH68" s="59"/>
      <c r="XI68" s="59"/>
      <c r="XJ68" s="59"/>
      <c r="XK68" s="59"/>
      <c r="XL68" s="59"/>
      <c r="XM68" s="59"/>
      <c r="YN68" s="552"/>
      <c r="YO68" s="552"/>
      <c r="YP68" s="552"/>
      <c r="YQ68" s="552"/>
    </row>
    <row r="69" spans="41:675" ht="9.9499999999999993" customHeight="1" x14ac:dyDescent="0.2">
      <c r="BJ69" s="70"/>
      <c r="BK69" s="70"/>
      <c r="BL69" s="48"/>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48"/>
      <c r="CN69" s="48"/>
      <c r="CO69" s="48"/>
      <c r="CP69" s="48"/>
      <c r="CQ69" s="48"/>
      <c r="CR69" s="48"/>
      <c r="CS69" s="48"/>
      <c r="CT69" s="48"/>
      <c r="CU69" s="48"/>
      <c r="CV69" s="48"/>
      <c r="CW69" s="48"/>
      <c r="CX69" s="48"/>
      <c r="CY69" s="48"/>
      <c r="CZ69" s="48"/>
      <c r="DA69" s="48"/>
      <c r="DB69" s="48"/>
      <c r="DC69" s="48"/>
      <c r="DD69" s="48"/>
      <c r="DE69" s="48"/>
      <c r="DF69" s="48"/>
      <c r="DG69" s="104"/>
      <c r="DH69" s="104"/>
      <c r="DI69" s="104"/>
      <c r="DJ69" s="104"/>
      <c r="DK69" s="104"/>
      <c r="FW69" s="48"/>
      <c r="FX69" s="104"/>
      <c r="FY69" s="104"/>
      <c r="FZ69" s="104"/>
      <c r="GA69" s="104"/>
      <c r="GB69" s="104"/>
      <c r="GC69" s="104"/>
      <c r="GD69" s="104"/>
      <c r="GE69" s="104"/>
      <c r="GF69" s="104"/>
      <c r="GG69" s="104"/>
      <c r="GH69" s="104"/>
      <c r="GI69" s="104"/>
      <c r="GJ69" s="104"/>
      <c r="HG69" s="59"/>
      <c r="HH69" s="59"/>
      <c r="HI69" s="59"/>
      <c r="HK69" s="59"/>
      <c r="HL69" s="59"/>
      <c r="IX69" s="58" t="s">
        <v>1633</v>
      </c>
      <c r="JM69" s="296">
        <v>14</v>
      </c>
      <c r="JN69" s="296">
        <v>4</v>
      </c>
      <c r="JO69" s="296">
        <v>3</v>
      </c>
      <c r="JP69" s="296">
        <v>2</v>
      </c>
      <c r="JQ69" s="302" t="s">
        <v>140</v>
      </c>
      <c r="JR69" s="302" t="s">
        <v>140</v>
      </c>
      <c r="JS69" s="302" t="s">
        <v>140</v>
      </c>
      <c r="JT69" s="302" t="s">
        <v>140</v>
      </c>
      <c r="JU69" s="302" t="s">
        <v>140</v>
      </c>
      <c r="JV69" s="302" t="s">
        <v>140</v>
      </c>
      <c r="JW69" s="302">
        <v>3</v>
      </c>
      <c r="KK69" s="60"/>
      <c r="KL69" s="60"/>
      <c r="KM69" s="60"/>
      <c r="KN69" s="60"/>
      <c r="KO69" s="60"/>
      <c r="KP69" s="60"/>
      <c r="KQ69" s="60"/>
      <c r="KR69" s="60"/>
      <c r="KS69" s="99"/>
      <c r="KT69" s="88" t="s">
        <v>838</v>
      </c>
      <c r="KU69" s="80" t="str">
        <f t="shared" ca="1" si="157"/>
        <v>No</v>
      </c>
      <c r="KV69" s="89" t="s">
        <v>195</v>
      </c>
      <c r="KW69" s="92"/>
      <c r="KX69" s="92"/>
      <c r="KY69" s="92"/>
      <c r="KZ69" s="92"/>
      <c r="LA69" s="92"/>
      <c r="LB69" s="92"/>
      <c r="LC69" s="92"/>
      <c r="LD69" s="92"/>
      <c r="LE69" s="92"/>
      <c r="LF69" s="92"/>
      <c r="LG69" s="92"/>
      <c r="LH69" s="92"/>
      <c r="LI69" s="92" t="str">
        <f t="shared" si="166"/>
        <v/>
      </c>
      <c r="LJ69" s="92"/>
      <c r="LK69" s="92"/>
      <c r="LL69" s="92"/>
      <c r="LM69" s="92"/>
      <c r="LN69" s="92"/>
      <c r="LO69" s="92"/>
      <c r="LP69" s="92"/>
      <c r="LQ69" s="92"/>
      <c r="LR69" s="92"/>
      <c r="LS69" s="92"/>
      <c r="LT69" s="92"/>
      <c r="LU69" s="92"/>
      <c r="LV69" s="92"/>
      <c r="LW69" s="92"/>
      <c r="LX69" s="92"/>
      <c r="LY69" s="92"/>
      <c r="LZ69" s="92" t="str">
        <f t="shared" ca="1" si="161"/>
        <v/>
      </c>
      <c r="MA69" s="92" t="str">
        <f ca="1">IF(MA$1&gt;0,$KT69,"")</f>
        <v/>
      </c>
      <c r="MB69" s="92"/>
      <c r="MC69" s="92"/>
      <c r="MD69" s="92" t="str">
        <f t="shared" si="163"/>
        <v/>
      </c>
      <c r="ME69" s="92"/>
      <c r="MF69" s="92" t="str">
        <f t="shared" ca="1" si="160"/>
        <v/>
      </c>
      <c r="MG69" s="92"/>
      <c r="MH69" s="92" t="str">
        <f t="shared" ca="1" si="158"/>
        <v/>
      </c>
      <c r="MI69" s="92" t="str">
        <f t="shared" ca="1" si="159"/>
        <v/>
      </c>
      <c r="MJ69" s="92"/>
      <c r="MK69" s="92"/>
      <c r="ML69" s="92"/>
      <c r="MM69" s="92"/>
      <c r="MN69" s="92"/>
      <c r="MO69" s="92"/>
      <c r="MP69" s="92"/>
      <c r="MQ69" s="92"/>
      <c r="MR69" s="92"/>
      <c r="MS69" s="92"/>
      <c r="MT69" s="92"/>
      <c r="MU69" s="92"/>
      <c r="MV69" s="92"/>
      <c r="MW69" s="92"/>
      <c r="MX69" s="92"/>
      <c r="MY69" s="92"/>
      <c r="MZ69" s="92"/>
      <c r="NA69" s="92"/>
      <c r="NB69" s="92"/>
      <c r="NC69" s="92"/>
      <c r="ND69" s="92"/>
      <c r="NE69" s="92"/>
      <c r="NF69" s="92"/>
      <c r="NG69" s="92"/>
      <c r="NH69" s="92"/>
      <c r="NI69" s="92"/>
      <c r="NJ69" s="92"/>
      <c r="NK69" s="92" t="str">
        <f t="shared" ca="1" si="165"/>
        <v/>
      </c>
      <c r="NL69" s="92"/>
      <c r="NM69" s="92"/>
      <c r="NN69" s="92"/>
      <c r="NO69" s="92"/>
      <c r="NP69" s="92"/>
      <c r="NQ69" s="92"/>
      <c r="NR69" s="92"/>
      <c r="NS69" s="92"/>
      <c r="NT69" s="92"/>
      <c r="NU69" s="92"/>
      <c r="NV69" s="92"/>
      <c r="NW69" s="92"/>
      <c r="NX69" s="92"/>
      <c r="NY69" s="92"/>
      <c r="NZ69" s="92"/>
      <c r="OA69" s="92"/>
      <c r="OB69" s="92"/>
      <c r="OC69" s="92"/>
      <c r="OD69" s="92"/>
      <c r="OE69" s="92"/>
      <c r="OF69" s="92"/>
      <c r="OG69" s="92"/>
      <c r="OH69" s="92"/>
      <c r="OI69" s="92"/>
      <c r="OJ69" s="92"/>
      <c r="OK69" s="92"/>
      <c r="OL69" s="92"/>
      <c r="OM69" s="92"/>
      <c r="ON69" s="92"/>
      <c r="OO69" s="92"/>
      <c r="OP69" s="92"/>
      <c r="OQ69" s="92"/>
      <c r="OR69" s="92"/>
      <c r="OS69" s="92"/>
      <c r="OT69" s="92"/>
      <c r="OU69" s="92"/>
      <c r="OV69" s="92"/>
      <c r="OW69" s="92"/>
      <c r="OX69" s="92"/>
      <c r="OY69" s="92"/>
      <c r="OZ69" s="92"/>
      <c r="PA69" s="92" t="str">
        <f>IF(PA$1&gt;0,$KT69,"")</f>
        <v/>
      </c>
      <c r="PB69" s="92"/>
      <c r="PC69" s="92"/>
      <c r="PD69" s="92"/>
      <c r="PE69" s="92"/>
      <c r="PF69" s="92"/>
      <c r="PG69" s="92"/>
      <c r="PH69" s="92"/>
      <c r="PI69" s="92"/>
      <c r="PJ69" s="92"/>
      <c r="PK69" s="92"/>
      <c r="PL69" s="92"/>
      <c r="PM69" s="92"/>
      <c r="PN69" s="92"/>
      <c r="PO69" s="92"/>
      <c r="PP69" s="92"/>
      <c r="PQ69" s="92"/>
      <c r="PR69" s="92"/>
      <c r="PS69" s="92"/>
      <c r="PT69" s="92"/>
      <c r="PU69" s="59" t="str">
        <f t="shared" ref="PU69:PU74" ca="1" si="180">IF($PU$61="",IF(COUNTIF(KW69:PT69,"&gt;&lt;"),KT69,""),"")</f>
        <v/>
      </c>
      <c r="PV69" s="59" t="str">
        <f ca="1">IF(PU69="","",IF(COUNTIF(PU69:$PU$76,"&gt;&lt;")&gt;1,PU69&amp;", ", PU69))</f>
        <v/>
      </c>
      <c r="PW69" s="59"/>
      <c r="PX69" s="59"/>
      <c r="PY69" s="60"/>
      <c r="PZ69" s="19"/>
      <c r="QA69" s="19"/>
      <c r="QB69" s="27" t="str">
        <f t="shared" si="154"/>
        <v/>
      </c>
      <c r="QC69" s="67"/>
      <c r="QD69" s="19"/>
      <c r="QE69" s="26" t="str">
        <f>""</f>
        <v/>
      </c>
      <c r="QF69" s="26"/>
      <c r="QG69" s="26" t="str">
        <f>""</f>
        <v/>
      </c>
      <c r="QH69" s="26" t="str">
        <f>""</f>
        <v/>
      </c>
      <c r="QI69" s="26" t="str">
        <f>""</f>
        <v/>
      </c>
      <c r="QJ69" s="26" t="str">
        <f>""</f>
        <v/>
      </c>
      <c r="QK69" s="26" t="str">
        <f>""</f>
        <v/>
      </c>
      <c r="QL69" s="26" t="str">
        <f>""</f>
        <v/>
      </c>
      <c r="QM69" s="26" t="str">
        <f>""</f>
        <v/>
      </c>
      <c r="QN69" s="26" t="str">
        <f>""</f>
        <v/>
      </c>
      <c r="QO69" s="26" t="str">
        <f>""</f>
        <v/>
      </c>
      <c r="QP69" s="26" t="str">
        <f>""</f>
        <v/>
      </c>
      <c r="QQ69" s="27" t="str">
        <f>""</f>
        <v/>
      </c>
      <c r="QR69" s="27" t="str">
        <f>""</f>
        <v/>
      </c>
      <c r="SR69" s="19"/>
      <c r="SS69" s="19"/>
      <c r="ST69" s="19"/>
      <c r="SU69" s="26"/>
      <c r="SV69" s="44"/>
      <c r="SW69" s="68"/>
      <c r="SX69" s="26"/>
      <c r="SY69" s="27"/>
      <c r="SZ69" s="26"/>
      <c r="TA69" s="19"/>
      <c r="TB69" s="19"/>
      <c r="TC69" s="19"/>
      <c r="TD69" s="44"/>
      <c r="TE69" s="26"/>
      <c r="TF69" s="68"/>
      <c r="TG69" s="26"/>
      <c r="TH69" s="27"/>
      <c r="TI69" s="27"/>
      <c r="TJ69" s="18">
        <f t="shared" si="115"/>
        <v>67</v>
      </c>
      <c r="TK69" s="58" t="s">
        <v>2690</v>
      </c>
      <c r="TL69" s="58" t="s">
        <v>463</v>
      </c>
      <c r="TM69" s="18">
        <v>6</v>
      </c>
      <c r="TN69" s="59" t="str">
        <f t="shared" si="167"/>
        <v xml:space="preserve">Conjure Fey ᴴ </v>
      </c>
      <c r="TO69" s="350" t="s">
        <v>2991</v>
      </c>
      <c r="TP69" s="18" t="str">
        <f t="shared" si="168"/>
        <v/>
      </c>
      <c r="TQ69" s="18" t="str">
        <f>IF(OR(TK69=Spellcasting!$AC$18,TK69=Spellcasting!$AC$19),"ᵐ","")</f>
        <v/>
      </c>
      <c r="TR69" s="18" t="str">
        <f>IF(OR(TK69=Spellcasting!$AC$20,TK69=Spellcasting!$AC$21),"ˢ","")</f>
        <v/>
      </c>
      <c r="TS69" s="18" t="str">
        <f>""</f>
        <v/>
      </c>
      <c r="TT69" s="18" t="s">
        <v>503</v>
      </c>
      <c r="TU69" s="18" t="s">
        <v>864</v>
      </c>
      <c r="TV69" s="18" t="s">
        <v>490</v>
      </c>
      <c r="TW69" s="18" t="s">
        <v>486</v>
      </c>
      <c r="TY69" s="18" t="s">
        <v>516</v>
      </c>
      <c r="TZ69" s="18" t="s">
        <v>517</v>
      </c>
      <c r="UA69" s="142" t="s">
        <v>2792</v>
      </c>
      <c r="UB69" s="319" t="s">
        <v>3222</v>
      </c>
      <c r="UG69" s="18" t="str">
        <f ca="1">IF(UG$1&gt;=$TM69,1,"0")</f>
        <v>0</v>
      </c>
      <c r="UI69" s="18" t="str">
        <f ca="1">IF(UI$1&gt;=$TM69,1,"0")</f>
        <v>0</v>
      </c>
      <c r="WD69" s="18" t="str">
        <f ca="1">IF(SUM($VZ$1:$WC$1)&gt;0,IF(AND(SUM($VZ69:$WC69)&gt;0,$TM69=WE$1),MAX(WD$2:WD68)+1,""),IF(AND(SUM($UC69:$VY69)&gt;0,$TM69=WE$1),MAX(WD$2:WD68)+1,""))</f>
        <v/>
      </c>
      <c r="WE69" s="59" t="str">
        <f t="shared" ca="1" si="169"/>
        <v/>
      </c>
      <c r="WF69" s="18" t="str">
        <f ca="1">IF(AND(SUM($UB69:$VY69)&gt;0,$TM69=WG$1),MAX(WF$2:WF68)+1,"")</f>
        <v/>
      </c>
      <c r="WG69" s="59" t="str">
        <f t="shared" ca="1" si="170"/>
        <v/>
      </c>
      <c r="WH69" s="18" t="str">
        <f ca="1">IF(AND(SUM($UB69:$VY69)&gt;0,$TM69=WI$1),MAX(WH$2:WH68)+1,"")</f>
        <v/>
      </c>
      <c r="WI69" s="59" t="str">
        <f t="shared" ca="1" si="171"/>
        <v/>
      </c>
      <c r="WJ69" s="18" t="str">
        <f ca="1">IF(AND(SUM($UB69:$VY69)&gt;0,$TM69=WK$1),MAX(WJ$2:WJ68)+1,"")</f>
        <v/>
      </c>
      <c r="WK69" s="59" t="str">
        <f t="shared" ca="1" si="172"/>
        <v/>
      </c>
      <c r="WL69" s="18" t="str">
        <f ca="1">IF(AND(SUM($UB69:$VY69)&gt;0,$TM69=WM$1),MAX(WL$2:WL68)+1,"")</f>
        <v/>
      </c>
      <c r="WM69" s="59" t="str">
        <f t="shared" ca="1" si="173"/>
        <v/>
      </c>
      <c r="WN69" s="18" t="str">
        <f ca="1">IF(AND(SUM($UB69:$VY69)&gt;0,$TM69=WO$1),MAX(WN$2:WN68)+1,"")</f>
        <v/>
      </c>
      <c r="WO69" s="59" t="str">
        <f t="shared" ca="1" si="174"/>
        <v/>
      </c>
      <c r="WP69" s="18" t="str">
        <f ca="1">IF(AND(SUM($UB69:$VY69)&gt;0,$TM69=WQ$1),MAX(WP$2:WP68)+1,"")</f>
        <v/>
      </c>
      <c r="WQ69" s="59" t="str">
        <f t="shared" ca="1" si="175"/>
        <v/>
      </c>
      <c r="WR69" s="18" t="str">
        <f ca="1">IF(AND(SUM($UB69:$VY69)&gt;0,$TM69=WS$1),MAX(WR$2:WR68)+1,"")</f>
        <v/>
      </c>
      <c r="WS69" s="59" t="str">
        <f t="shared" ca="1" si="176"/>
        <v/>
      </c>
      <c r="WT69" s="18" t="str">
        <f ca="1">IF(AND(SUM($UB69:$VY69)&gt;0,$TM69=WU$1),MAX(WT$2:WT68)+1,"")</f>
        <v/>
      </c>
      <c r="WU69" s="59" t="str">
        <f t="shared" ca="1" si="177"/>
        <v/>
      </c>
      <c r="WV69" s="18" t="str">
        <f ca="1">IF(AND(SUM($UB69:$VY69)&gt;0,$TM69=WW$1),MAX(WV$2:WV68)+1,"")</f>
        <v/>
      </c>
      <c r="WW69" s="59" t="str">
        <f t="shared" ca="1" si="178"/>
        <v/>
      </c>
      <c r="WX69" s="18" t="str">
        <f ca="1">IF(AND(SUM($UB69:$VY69)&gt;0,$TM69=WY$1),MAX(WX$2:WX68)+1,"")</f>
        <v/>
      </c>
      <c r="WY69" s="59" t="str">
        <f t="shared" ca="1" si="179"/>
        <v/>
      </c>
      <c r="WZ69" s="59"/>
      <c r="XC69" s="59" t="str">
        <f t="shared" ca="1" si="140"/>
        <v/>
      </c>
      <c r="XD69" s="59"/>
      <c r="XE69" s="59"/>
      <c r="XF69" s="59"/>
      <c r="XG69" s="59"/>
      <c r="XH69" s="59"/>
      <c r="XI69" s="59"/>
      <c r="XJ69" s="59"/>
      <c r="XK69" s="59"/>
      <c r="XL69" s="59"/>
      <c r="XM69" s="59"/>
    </row>
    <row r="70" spans="41:675" ht="9.9499999999999993" customHeight="1" x14ac:dyDescent="0.2">
      <c r="BJ70" s="70"/>
      <c r="BK70" s="70"/>
      <c r="BL70" s="48"/>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48"/>
      <c r="CN70" s="48"/>
      <c r="CO70" s="48"/>
      <c r="CP70" s="48"/>
      <c r="CQ70" s="48"/>
      <c r="CR70" s="48"/>
      <c r="CS70" s="48"/>
      <c r="CT70" s="48"/>
      <c r="CU70" s="48"/>
      <c r="CV70" s="48"/>
      <c r="CW70" s="48"/>
      <c r="CX70" s="48"/>
      <c r="CY70" s="48"/>
      <c r="CZ70" s="48"/>
      <c r="DA70" s="48"/>
      <c r="DB70" s="48"/>
      <c r="DC70" s="48"/>
      <c r="DD70" s="48"/>
      <c r="DE70" s="48"/>
      <c r="DF70" s="48"/>
      <c r="DG70" s="104"/>
      <c r="DH70" s="104"/>
      <c r="DI70" s="104"/>
      <c r="DJ70" s="104"/>
      <c r="DK70" s="104"/>
      <c r="FW70" s="48"/>
      <c r="FX70" s="104"/>
      <c r="FY70" s="104"/>
      <c r="FZ70" s="104"/>
      <c r="GA70" s="104"/>
      <c r="GB70" s="104"/>
      <c r="GC70" s="104"/>
      <c r="GD70" s="104"/>
      <c r="GE70" s="104"/>
      <c r="GF70" s="104"/>
      <c r="GG70" s="104"/>
      <c r="GH70" s="104"/>
      <c r="GI70" s="104"/>
      <c r="GJ70" s="104"/>
      <c r="HK70" s="59"/>
      <c r="HL70" s="59"/>
      <c r="IX70" s="58" t="s">
        <v>1637</v>
      </c>
      <c r="IY70" s="58" t="s">
        <v>1638</v>
      </c>
      <c r="IZ70" s="58" t="s">
        <v>196</v>
      </c>
      <c r="JA70" s="58" t="s">
        <v>91</v>
      </c>
      <c r="JB70" s="58" t="s">
        <v>1639</v>
      </c>
      <c r="JM70" s="296">
        <v>15</v>
      </c>
      <c r="JN70" s="296">
        <v>4</v>
      </c>
      <c r="JO70" s="296">
        <v>3</v>
      </c>
      <c r="JP70" s="296">
        <v>3</v>
      </c>
      <c r="JQ70" s="302" t="s">
        <v>140</v>
      </c>
      <c r="JR70" s="302" t="s">
        <v>140</v>
      </c>
      <c r="JS70" s="302" t="s">
        <v>140</v>
      </c>
      <c r="JT70" s="302" t="s">
        <v>140</v>
      </c>
      <c r="JU70" s="302" t="s">
        <v>140</v>
      </c>
      <c r="JV70" s="302" t="s">
        <v>140</v>
      </c>
      <c r="JW70" s="302">
        <v>3</v>
      </c>
      <c r="KT70" s="88" t="s">
        <v>242</v>
      </c>
      <c r="KU70" s="80" t="str">
        <f t="shared" ca="1" si="157"/>
        <v>No</v>
      </c>
      <c r="KV70" s="89" t="s">
        <v>195</v>
      </c>
      <c r="KW70" s="92"/>
      <c r="KX70" s="92"/>
      <c r="KY70" s="92"/>
      <c r="KZ70" s="92"/>
      <c r="LA70" s="92"/>
      <c r="LB70" s="92"/>
      <c r="LC70" s="92"/>
      <c r="LD70" s="92"/>
      <c r="LE70" s="92"/>
      <c r="LF70" s="92"/>
      <c r="LG70" s="92"/>
      <c r="LH70" s="92"/>
      <c r="LI70" s="92" t="str">
        <f t="shared" si="166"/>
        <v/>
      </c>
      <c r="LJ70" s="92"/>
      <c r="LK70" s="92"/>
      <c r="LL70" s="92"/>
      <c r="LM70" s="92"/>
      <c r="LN70" s="92"/>
      <c r="LO70" s="92"/>
      <c r="LP70" s="92"/>
      <c r="LQ70" s="92"/>
      <c r="LR70" s="92"/>
      <c r="LS70" s="92"/>
      <c r="LT70" s="92"/>
      <c r="LU70" s="92"/>
      <c r="LV70" s="92"/>
      <c r="LW70" s="92"/>
      <c r="LX70" s="92"/>
      <c r="LY70" s="92"/>
      <c r="LZ70" s="92" t="str">
        <f t="shared" ca="1" si="161"/>
        <v/>
      </c>
      <c r="MA70" s="92" t="str">
        <f ca="1">IF(MA$1&gt;0,$KT70,"")</f>
        <v/>
      </c>
      <c r="MB70" s="92"/>
      <c r="MC70" s="92"/>
      <c r="MD70" s="92" t="str">
        <f t="shared" si="163"/>
        <v/>
      </c>
      <c r="ME70" s="92"/>
      <c r="MF70" s="92" t="str">
        <f t="shared" ca="1" si="160"/>
        <v/>
      </c>
      <c r="MG70" s="92"/>
      <c r="MH70" s="92" t="str">
        <f t="shared" ca="1" si="158"/>
        <v/>
      </c>
      <c r="MI70" s="92" t="str">
        <f t="shared" ca="1" si="159"/>
        <v/>
      </c>
      <c r="MJ70" s="92"/>
      <c r="MK70" s="92"/>
      <c r="ML70" s="92"/>
      <c r="MM70" s="92"/>
      <c r="MN70" s="92"/>
      <c r="MO70" s="92"/>
      <c r="MP70" s="92"/>
      <c r="MQ70" s="92"/>
      <c r="MR70" s="92"/>
      <c r="MS70" s="92"/>
      <c r="MT70" s="92"/>
      <c r="MU70" s="92"/>
      <c r="MV70" s="92"/>
      <c r="MW70" s="92"/>
      <c r="MX70" s="92"/>
      <c r="MY70" s="92"/>
      <c r="MZ70" s="92"/>
      <c r="NA70" s="92"/>
      <c r="NB70" s="92"/>
      <c r="NC70" s="92"/>
      <c r="ND70" s="92"/>
      <c r="NE70" s="92"/>
      <c r="NF70" s="92"/>
      <c r="NG70" s="92"/>
      <c r="NH70" s="92"/>
      <c r="NI70" s="92"/>
      <c r="NJ70" s="92"/>
      <c r="NK70" s="92" t="str">
        <f t="shared" ca="1" si="165"/>
        <v/>
      </c>
      <c r="NL70" s="92"/>
      <c r="NM70" s="92"/>
      <c r="NN70" s="92"/>
      <c r="NO70" s="92"/>
      <c r="NP70" s="92"/>
      <c r="NQ70" s="92"/>
      <c r="NR70" s="92"/>
      <c r="NS70" s="92"/>
      <c r="NT70" s="92"/>
      <c r="NU70" s="92"/>
      <c r="NV70" s="92"/>
      <c r="NW70" s="92"/>
      <c r="NX70" s="92"/>
      <c r="NY70" s="92"/>
      <c r="NZ70" s="92"/>
      <c r="OA70" s="92"/>
      <c r="OB70" s="92"/>
      <c r="OC70" s="92"/>
      <c r="OD70" s="92"/>
      <c r="OE70" s="92"/>
      <c r="OF70" s="92"/>
      <c r="OG70" s="92"/>
      <c r="OH70" s="92"/>
      <c r="OI70" s="92"/>
      <c r="OJ70" s="92"/>
      <c r="OK70" s="92"/>
      <c r="OL70" s="92"/>
      <c r="OM70" s="92"/>
      <c r="ON70" s="92"/>
      <c r="OO70" s="92"/>
      <c r="OP70" s="92"/>
      <c r="OQ70" s="92"/>
      <c r="OR70" s="92"/>
      <c r="OS70" s="92"/>
      <c r="OT70" s="92"/>
      <c r="OU70" s="92"/>
      <c r="OV70" s="92"/>
      <c r="OW70" s="92"/>
      <c r="OX70" s="92"/>
      <c r="OY70" s="92"/>
      <c r="OZ70" s="92"/>
      <c r="PA70" s="92" t="str">
        <f>IF(PA$1&gt;0,$KT70,"")</f>
        <v/>
      </c>
      <c r="PB70" s="92"/>
      <c r="PC70" s="92"/>
      <c r="PD70" s="92"/>
      <c r="PE70" s="92"/>
      <c r="PF70" s="92"/>
      <c r="PG70" s="92"/>
      <c r="PH70" s="92"/>
      <c r="PI70" s="92"/>
      <c r="PJ70" s="92"/>
      <c r="PK70" s="92"/>
      <c r="PL70" s="92"/>
      <c r="PM70" s="92"/>
      <c r="PN70" s="92"/>
      <c r="PO70" s="92"/>
      <c r="PP70" s="92"/>
      <c r="PQ70" s="92"/>
      <c r="PR70" s="92"/>
      <c r="PS70" s="92"/>
      <c r="PT70" s="92"/>
      <c r="PU70" s="59" t="str">
        <f t="shared" ca="1" si="180"/>
        <v/>
      </c>
      <c r="PV70" s="59" t="str">
        <f ca="1">IF(PU70="","",IF(COUNTIF(PU70:$PU$76,"&gt;&lt;")&gt;1,PU70&amp;", ", PU70))</f>
        <v/>
      </c>
      <c r="PW70" s="59"/>
      <c r="PX70" s="59"/>
      <c r="PY70" s="60"/>
      <c r="PZ70" s="71"/>
      <c r="QA70" s="71"/>
      <c r="QB70" s="20" t="str">
        <f t="shared" si="154"/>
        <v/>
      </c>
      <c r="QC70" s="72"/>
      <c r="QD70" s="71"/>
      <c r="QE70" s="32" t="str">
        <f>""</f>
        <v/>
      </c>
      <c r="QF70" s="32"/>
      <c r="QG70" s="32" t="str">
        <f>""</f>
        <v/>
      </c>
      <c r="QH70" s="32" t="str">
        <f>""</f>
        <v/>
      </c>
      <c r="QI70" s="32" t="str">
        <f>""</f>
        <v/>
      </c>
      <c r="QJ70" s="32" t="str">
        <f>""</f>
        <v/>
      </c>
      <c r="QK70" s="32" t="str">
        <f>""</f>
        <v/>
      </c>
      <c r="QL70" s="32" t="str">
        <f>""</f>
        <v/>
      </c>
      <c r="QM70" s="32" t="str">
        <f>""</f>
        <v/>
      </c>
      <c r="QN70" s="32" t="str">
        <f>""</f>
        <v/>
      </c>
      <c r="QO70" s="32" t="str">
        <f>""</f>
        <v/>
      </c>
      <c r="QP70" s="32" t="str">
        <f>""</f>
        <v/>
      </c>
      <c r="QQ70" s="20" t="str">
        <f>""</f>
        <v/>
      </c>
      <c r="QR70" s="20" t="str">
        <f>""</f>
        <v/>
      </c>
      <c r="SR70" s="20" t="str">
        <f>""</f>
        <v/>
      </c>
      <c r="SS70" s="20" t="str">
        <f>""</f>
        <v/>
      </c>
      <c r="ST70" s="20"/>
      <c r="SU70" s="20" t="str">
        <f>""</f>
        <v/>
      </c>
      <c r="SV70" s="41" t="str">
        <f>""</f>
        <v/>
      </c>
      <c r="SW70" s="233" t="str">
        <f>""</f>
        <v/>
      </c>
      <c r="SX70" s="20" t="str">
        <f>""</f>
        <v/>
      </c>
      <c r="SY70" s="20" t="str">
        <f>""</f>
        <v/>
      </c>
      <c r="SZ70" s="20"/>
      <c r="TA70" s="20" t="str">
        <f>""</f>
        <v/>
      </c>
      <c r="TB70" s="20" t="str">
        <f>""</f>
        <v/>
      </c>
      <c r="TC70" s="20"/>
      <c r="TD70" s="41" t="str">
        <f>""</f>
        <v/>
      </c>
      <c r="TE70" s="20" t="str">
        <f>""</f>
        <v/>
      </c>
      <c r="TF70" s="233" t="str">
        <f>""</f>
        <v/>
      </c>
      <c r="TG70" s="20" t="str">
        <f>""</f>
        <v/>
      </c>
      <c r="TH70" s="20" t="str">
        <f>""</f>
        <v/>
      </c>
      <c r="TI70" s="20"/>
      <c r="TJ70" s="18">
        <f t="shared" ref="TJ70:TJ133" si="181">TJ69+1</f>
        <v>68</v>
      </c>
      <c r="TK70" s="58" t="s">
        <v>1246</v>
      </c>
      <c r="TL70" s="58" t="s">
        <v>461</v>
      </c>
      <c r="TM70" s="18">
        <v>4</v>
      </c>
      <c r="TN70" s="59" t="str">
        <f t="shared" si="167"/>
        <v xml:space="preserve">Conjure Minor Elementals ᴴ </v>
      </c>
      <c r="TO70" s="350" t="s">
        <v>2991</v>
      </c>
      <c r="TP70" s="18" t="str">
        <f t="shared" si="168"/>
        <v/>
      </c>
      <c r="TQ70" s="18" t="str">
        <f>IF(OR(TK70=Spellcasting!$AC$18,TK70=Spellcasting!$AC$19),"ᵐ","")</f>
        <v/>
      </c>
      <c r="TR70" s="18" t="str">
        <f>IF(OR(TK70=Spellcasting!$AC$20,TK70=Spellcasting!$AC$21),"ˢ","")</f>
        <v/>
      </c>
      <c r="TS70" s="18" t="str">
        <f>""</f>
        <v/>
      </c>
      <c r="TT70" s="18" t="s">
        <v>503</v>
      </c>
      <c r="TU70" s="18" t="s">
        <v>864</v>
      </c>
      <c r="TV70" s="18" t="s">
        <v>490</v>
      </c>
      <c r="TW70" s="18" t="s">
        <v>486</v>
      </c>
      <c r="TX70" s="59" t="str">
        <f>""</f>
        <v/>
      </c>
      <c r="TY70" s="18" t="s">
        <v>516</v>
      </c>
      <c r="TZ70" s="18" t="s">
        <v>517</v>
      </c>
      <c r="UA70" s="142" t="s">
        <v>2109</v>
      </c>
      <c r="UB70" s="319" t="s">
        <v>3255</v>
      </c>
      <c r="UI70" s="18" t="str">
        <f ca="1">IF(UI$1&gt;=$TM70,1,"0")</f>
        <v>0</v>
      </c>
      <c r="UL70" s="18" t="str">
        <f ca="1">IF(UL$1&gt;=$TM70,1,"0")</f>
        <v>0</v>
      </c>
      <c r="WD70" s="18" t="str">
        <f ca="1">IF(SUM($VZ$1:$WC$1)&gt;0,IF(AND(SUM($VZ70:$WC70)&gt;0,$TM70=WE$1),MAX(WD$2:WD69)+1,""),IF(AND(SUM($UC70:$VY70)&gt;0,$TM70=WE$1),MAX(WD$2:WD69)+1,""))</f>
        <v/>
      </c>
      <c r="WE70" s="59" t="str">
        <f t="shared" ca="1" si="169"/>
        <v/>
      </c>
      <c r="WF70" s="18" t="str">
        <f ca="1">IF(AND(SUM($UB70:$VY70)&gt;0,$TM70=WG$1),MAX(WF$2:WF69)+1,"")</f>
        <v/>
      </c>
      <c r="WG70" s="59" t="str">
        <f t="shared" ca="1" si="170"/>
        <v/>
      </c>
      <c r="WH70" s="18" t="str">
        <f ca="1">IF(AND(SUM($UB70:$VY70)&gt;0,$TM70=WI$1),MAX(WH$2:WH69)+1,"")</f>
        <v/>
      </c>
      <c r="WI70" s="59" t="str">
        <f t="shared" ca="1" si="171"/>
        <v/>
      </c>
      <c r="WJ70" s="18" t="str">
        <f ca="1">IF(AND(SUM($UB70:$VY70)&gt;0,$TM70=WK$1),MAX(WJ$2:WJ69)+1,"")</f>
        <v/>
      </c>
      <c r="WK70" s="59" t="str">
        <f t="shared" ca="1" si="172"/>
        <v/>
      </c>
      <c r="WL70" s="18" t="str">
        <f ca="1">IF(AND(SUM($UB70:$VY70)&gt;0,$TM70=WM$1),MAX(WL$2:WL69)+1,"")</f>
        <v/>
      </c>
      <c r="WM70" s="59" t="str">
        <f t="shared" ca="1" si="173"/>
        <v/>
      </c>
      <c r="WN70" s="18" t="str">
        <f ca="1">IF(AND(SUM($UB70:$VY70)&gt;0,$TM70=WO$1),MAX(WN$2:WN69)+1,"")</f>
        <v/>
      </c>
      <c r="WO70" s="59" t="str">
        <f t="shared" ca="1" si="174"/>
        <v/>
      </c>
      <c r="WP70" s="18" t="str">
        <f ca="1">IF(AND(SUM($UB70:$VY70)&gt;0,$TM70=WQ$1),MAX(WP$2:WP69)+1,"")</f>
        <v/>
      </c>
      <c r="WQ70" s="59" t="str">
        <f t="shared" ca="1" si="175"/>
        <v/>
      </c>
      <c r="WR70" s="18" t="str">
        <f ca="1">IF(AND(SUM($UB70:$VY70)&gt;0,$TM70=WS$1),MAX(WR$2:WR69)+1,"")</f>
        <v/>
      </c>
      <c r="WS70" s="59" t="str">
        <f t="shared" ca="1" si="176"/>
        <v/>
      </c>
      <c r="WT70" s="18" t="str">
        <f ca="1">IF(AND(SUM($UB70:$VY70)&gt;0,$TM70=WU$1),MAX(WT$2:WT69)+1,"")</f>
        <v/>
      </c>
      <c r="WU70" s="59" t="str">
        <f t="shared" ca="1" si="177"/>
        <v/>
      </c>
      <c r="WV70" s="18" t="str">
        <f ca="1">IF(AND(SUM($UB70:$VY70)&gt;0,$TM70=WW$1),MAX(WV$2:WV69)+1,"")</f>
        <v/>
      </c>
      <c r="WW70" s="59" t="str">
        <f t="shared" ca="1" si="178"/>
        <v/>
      </c>
      <c r="WX70" s="18" t="str">
        <f ca="1">IF(AND(SUM($UB70:$VY70)&gt;0,$TM70=WY$1),MAX(WX$2:WX69)+1,"")</f>
        <v/>
      </c>
      <c r="WY70" s="59" t="str">
        <f t="shared" ca="1" si="179"/>
        <v/>
      </c>
      <c r="WZ70" s="59"/>
      <c r="XC70" s="59" t="str">
        <f t="shared" ca="1" si="140"/>
        <v/>
      </c>
      <c r="XD70" s="59"/>
      <c r="XE70" s="59"/>
      <c r="XF70" s="59"/>
      <c r="XG70" s="59"/>
      <c r="XH70" s="59"/>
      <c r="XI70" s="59"/>
      <c r="XJ70" s="59"/>
      <c r="XK70" s="59"/>
      <c r="XL70" s="59"/>
      <c r="XM70" s="59"/>
    </row>
    <row r="71" spans="41:675" ht="9.9499999999999993" customHeight="1" x14ac:dyDescent="0.2">
      <c r="BJ71" s="70"/>
      <c r="BK71" s="70"/>
      <c r="BL71" s="48"/>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48"/>
      <c r="CN71" s="48"/>
      <c r="CO71" s="48"/>
      <c r="CP71" s="48"/>
      <c r="CQ71" s="48"/>
      <c r="CR71" s="48"/>
      <c r="CS71" s="48"/>
      <c r="CT71" s="48"/>
      <c r="CU71" s="48"/>
      <c r="CV71" s="48"/>
      <c r="CW71" s="48"/>
      <c r="CX71" s="48"/>
      <c r="CY71" s="48"/>
      <c r="CZ71" s="48"/>
      <c r="DA71" s="48"/>
      <c r="DB71" s="48"/>
      <c r="DC71" s="48"/>
      <c r="DD71" s="48"/>
      <c r="DE71" s="48"/>
      <c r="DF71" s="48"/>
      <c r="DG71" s="104"/>
      <c r="DH71" s="104"/>
      <c r="DI71" s="104"/>
      <c r="DJ71" s="104"/>
      <c r="DK71" s="104"/>
      <c r="FW71" s="48"/>
      <c r="FX71" s="104"/>
      <c r="FY71" s="104"/>
      <c r="FZ71" s="104"/>
      <c r="GA71" s="104"/>
      <c r="GB71" s="104"/>
      <c r="GC71" s="104"/>
      <c r="GD71" s="104"/>
      <c r="GE71" s="104"/>
      <c r="GF71" s="104"/>
      <c r="GG71" s="104"/>
      <c r="GH71" s="104"/>
      <c r="GI71" s="104"/>
      <c r="GJ71" s="104"/>
      <c r="HK71" s="59"/>
      <c r="HL71" s="59"/>
      <c r="IX71" s="58" t="s">
        <v>1640</v>
      </c>
      <c r="IY71" s="58" t="s">
        <v>1641</v>
      </c>
      <c r="IZ71" s="58" t="s">
        <v>196</v>
      </c>
      <c r="JA71" s="58" t="s">
        <v>1642</v>
      </c>
      <c r="JB71" s="58" t="s">
        <v>1643</v>
      </c>
      <c r="JM71" s="296">
        <v>16</v>
      </c>
      <c r="JN71" s="296">
        <v>4</v>
      </c>
      <c r="JO71" s="296">
        <v>3</v>
      </c>
      <c r="JP71" s="296">
        <v>3</v>
      </c>
      <c r="JQ71" s="302" t="s">
        <v>140</v>
      </c>
      <c r="JR71" s="302" t="s">
        <v>140</v>
      </c>
      <c r="JS71" s="302" t="s">
        <v>140</v>
      </c>
      <c r="JT71" s="302" t="s">
        <v>140</v>
      </c>
      <c r="JU71" s="302" t="s">
        <v>140</v>
      </c>
      <c r="JV71" s="302" t="s">
        <v>140</v>
      </c>
      <c r="JW71" s="302">
        <v>3</v>
      </c>
      <c r="JX71" s="18"/>
      <c r="KT71" s="88" t="s">
        <v>840</v>
      </c>
      <c r="KU71" s="80" t="str">
        <f t="shared" ca="1" si="157"/>
        <v>No</v>
      </c>
      <c r="KV71" s="89" t="s">
        <v>195</v>
      </c>
      <c r="KW71" s="92"/>
      <c r="KX71" s="92"/>
      <c r="KY71" s="92"/>
      <c r="KZ71" s="92"/>
      <c r="LA71" s="92"/>
      <c r="LB71" s="92"/>
      <c r="LC71" s="92"/>
      <c r="LD71" s="92"/>
      <c r="LE71" s="92"/>
      <c r="LF71" s="92"/>
      <c r="LG71" s="92"/>
      <c r="LH71" s="92"/>
      <c r="LI71" s="92" t="str">
        <f t="shared" si="166"/>
        <v/>
      </c>
      <c r="LJ71" s="92"/>
      <c r="LK71" s="92"/>
      <c r="LL71" s="92"/>
      <c r="LM71" s="92"/>
      <c r="LN71" s="92"/>
      <c r="LO71" s="92"/>
      <c r="LP71" s="92"/>
      <c r="LQ71" s="92"/>
      <c r="LR71" s="92"/>
      <c r="LS71" s="92"/>
      <c r="LT71" s="92"/>
      <c r="LU71" s="92"/>
      <c r="LV71" s="92"/>
      <c r="LW71" s="92"/>
      <c r="LX71" s="92"/>
      <c r="LY71" s="92"/>
      <c r="LZ71" s="92" t="str">
        <f t="shared" ca="1" si="161"/>
        <v/>
      </c>
      <c r="MA71" s="92" t="str">
        <f ca="1">IF(MA$1&gt;0,$KT71,"")</f>
        <v/>
      </c>
      <c r="MB71" s="92"/>
      <c r="MC71" s="92"/>
      <c r="MD71" s="92" t="str">
        <f t="shared" si="163"/>
        <v/>
      </c>
      <c r="ME71" s="92"/>
      <c r="MF71" s="92" t="str">
        <f t="shared" ca="1" si="160"/>
        <v/>
      </c>
      <c r="MG71" s="92"/>
      <c r="MH71" s="92" t="str">
        <f t="shared" ca="1" si="158"/>
        <v/>
      </c>
      <c r="MI71" s="92" t="str">
        <f t="shared" ca="1" si="159"/>
        <v/>
      </c>
      <c r="MJ71" s="92"/>
      <c r="MK71" s="92"/>
      <c r="ML71" s="92"/>
      <c r="MM71" s="92"/>
      <c r="MN71" s="92"/>
      <c r="MO71" s="92"/>
      <c r="MP71" s="92"/>
      <c r="MQ71" s="92"/>
      <c r="MR71" s="92"/>
      <c r="MS71" s="92"/>
      <c r="MT71" s="92"/>
      <c r="MU71" s="92"/>
      <c r="MV71" s="92"/>
      <c r="MW71" s="92"/>
      <c r="MX71" s="92"/>
      <c r="MY71" s="92"/>
      <c r="MZ71" s="92"/>
      <c r="NA71" s="92"/>
      <c r="NB71" s="92"/>
      <c r="NC71" s="92"/>
      <c r="ND71" s="92"/>
      <c r="NE71" s="92"/>
      <c r="NF71" s="92"/>
      <c r="NG71" s="92"/>
      <c r="NH71" s="92"/>
      <c r="NI71" s="92"/>
      <c r="NJ71" s="92"/>
      <c r="NK71" s="92" t="str">
        <f t="shared" ca="1" si="165"/>
        <v/>
      </c>
      <c r="NL71" s="92"/>
      <c r="NM71" s="92"/>
      <c r="NN71" s="92"/>
      <c r="NO71" s="92"/>
      <c r="NP71" s="92"/>
      <c r="NQ71" s="92"/>
      <c r="NR71" s="92"/>
      <c r="NS71" s="92"/>
      <c r="NT71" s="92"/>
      <c r="NU71" s="92"/>
      <c r="NV71" s="92"/>
      <c r="NW71" s="92"/>
      <c r="NX71" s="92"/>
      <c r="NY71" s="92"/>
      <c r="NZ71" s="92"/>
      <c r="OA71" s="92"/>
      <c r="OB71" s="92"/>
      <c r="OC71" s="92"/>
      <c r="OD71" s="92"/>
      <c r="OE71" s="92"/>
      <c r="OF71" s="92"/>
      <c r="OG71" s="92"/>
      <c r="OH71" s="92"/>
      <c r="OI71" s="92"/>
      <c r="OJ71" s="92"/>
      <c r="OK71" s="92"/>
      <c r="OL71" s="92"/>
      <c r="OM71" s="92"/>
      <c r="ON71" s="92"/>
      <c r="OO71" s="92"/>
      <c r="OP71" s="92"/>
      <c r="OQ71" s="92"/>
      <c r="OR71" s="92"/>
      <c r="OS71" s="92"/>
      <c r="OT71" s="92"/>
      <c r="OU71" s="92"/>
      <c r="OV71" s="92"/>
      <c r="OW71" s="92"/>
      <c r="OX71" s="92"/>
      <c r="OY71" s="92"/>
      <c r="OZ71" s="92"/>
      <c r="PA71" s="92" t="str">
        <f>IF(PA$1&gt;0,$KT71,"")</f>
        <v/>
      </c>
      <c r="PB71" s="92"/>
      <c r="PC71" s="92"/>
      <c r="PD71" s="92"/>
      <c r="PE71" s="92"/>
      <c r="PF71" s="92"/>
      <c r="PG71" s="92"/>
      <c r="PH71" s="92"/>
      <c r="PI71" s="92"/>
      <c r="PJ71" s="92"/>
      <c r="PK71" s="92"/>
      <c r="PL71" s="92"/>
      <c r="PM71" s="92"/>
      <c r="PN71" s="92"/>
      <c r="PO71" s="92"/>
      <c r="PP71" s="92"/>
      <c r="PQ71" s="92"/>
      <c r="PR71" s="92"/>
      <c r="PS71" s="92"/>
      <c r="PT71" s="92"/>
      <c r="PU71" s="59" t="str">
        <f t="shared" ca="1" si="180"/>
        <v/>
      </c>
      <c r="PV71" s="59" t="str">
        <f ca="1">IF(PU71="","",IF(COUNTIF(PU71:$PU$76,"&gt;&lt;")&gt;1,PU71&amp;", ", PU71))</f>
        <v/>
      </c>
      <c r="PW71" s="59"/>
      <c r="PX71" s="59"/>
      <c r="PY71" s="60"/>
      <c r="TJ71" s="18">
        <f t="shared" si="181"/>
        <v>69</v>
      </c>
      <c r="TK71" s="58" t="s">
        <v>560</v>
      </c>
      <c r="TL71" s="58" t="s">
        <v>462</v>
      </c>
      <c r="TM71" s="18">
        <v>5</v>
      </c>
      <c r="TN71" s="59" t="str">
        <f t="shared" si="167"/>
        <v xml:space="preserve">Conjure Volley </v>
      </c>
      <c r="TO71" s="18" t="str">
        <f>""</f>
        <v/>
      </c>
      <c r="TP71" s="18" t="str">
        <f t="shared" si="168"/>
        <v/>
      </c>
      <c r="TQ71" s="18" t="str">
        <f>IF(OR(TK71=Spellcasting!$AC$18,TK71=Spellcasting!$AC$19),"ᵐ","")</f>
        <v/>
      </c>
      <c r="TR71" s="18" t="str">
        <f>IF(OR(TK71=Spellcasting!$AC$20,TK71=Spellcasting!$AC$21),"ˢ","")</f>
        <v/>
      </c>
      <c r="TS71" s="18" t="str">
        <f>""</f>
        <v/>
      </c>
      <c r="TT71" s="18" t="s">
        <v>484</v>
      </c>
      <c r="TU71" s="18" t="s">
        <v>660</v>
      </c>
      <c r="TV71" s="18" t="s">
        <v>505</v>
      </c>
      <c r="TW71" s="18" t="s">
        <v>495</v>
      </c>
      <c r="TX71" s="59" t="s">
        <v>2111</v>
      </c>
      <c r="TY71" s="18" t="s">
        <v>516</v>
      </c>
      <c r="TZ71" s="18" t="s">
        <v>517</v>
      </c>
      <c r="UA71" s="142" t="s">
        <v>2110</v>
      </c>
      <c r="UB71" s="319" t="s">
        <v>3256</v>
      </c>
      <c r="UE71" s="18" t="str">
        <f ca="1">IF(UE$1&gt;=$TM71,1,"0")</f>
        <v>0</v>
      </c>
      <c r="WD71" s="18" t="str">
        <f ca="1">IF(SUM($VZ$1:$WC$1)&gt;0,IF(AND(SUM($VZ71:$WC71)&gt;0,$TM71=WE$1),MAX(WD$2:WD70)+1,""),IF(AND(SUM($UC71:$VY71)&gt;0,$TM71=WE$1),MAX(WD$2:WD70)+1,""))</f>
        <v/>
      </c>
      <c r="WE71" s="59" t="str">
        <f t="shared" ca="1" si="169"/>
        <v/>
      </c>
      <c r="WF71" s="18" t="str">
        <f ca="1">IF(AND(SUM($UB71:$VY71)&gt;0,$TM71=WG$1),MAX(WF$2:WF70)+1,"")</f>
        <v/>
      </c>
      <c r="WG71" s="59" t="str">
        <f t="shared" ca="1" si="170"/>
        <v/>
      </c>
      <c r="WH71" s="18" t="str">
        <f ca="1">IF(AND(SUM($UB71:$VY71)&gt;0,$TM71=WI$1),MAX(WH$2:WH70)+1,"")</f>
        <v/>
      </c>
      <c r="WI71" s="59" t="str">
        <f t="shared" ca="1" si="171"/>
        <v/>
      </c>
      <c r="WJ71" s="18" t="str">
        <f ca="1">IF(AND(SUM($UB71:$VY71)&gt;0,$TM71=WK$1),MAX(WJ$2:WJ70)+1,"")</f>
        <v/>
      </c>
      <c r="WK71" s="59" t="str">
        <f t="shared" ca="1" si="172"/>
        <v/>
      </c>
      <c r="WL71" s="18" t="str">
        <f ca="1">IF(AND(SUM($UB71:$VY71)&gt;0,$TM71=WM$1),MAX(WL$2:WL70)+1,"")</f>
        <v/>
      </c>
      <c r="WM71" s="59" t="str">
        <f t="shared" ca="1" si="173"/>
        <v/>
      </c>
      <c r="WN71" s="18" t="str">
        <f ca="1">IF(AND(SUM($UB71:$VY71)&gt;0,$TM71=WO$1),MAX(WN$2:WN70)+1,"")</f>
        <v/>
      </c>
      <c r="WO71" s="59" t="str">
        <f t="shared" ca="1" si="174"/>
        <v/>
      </c>
      <c r="WP71" s="18" t="str">
        <f ca="1">IF(AND(SUM($UB71:$VY71)&gt;0,$TM71=WQ$1),MAX(WP$2:WP70)+1,"")</f>
        <v/>
      </c>
      <c r="WQ71" s="59" t="str">
        <f t="shared" ca="1" si="175"/>
        <v/>
      </c>
      <c r="WR71" s="18" t="str">
        <f ca="1">IF(AND(SUM($UB71:$VY71)&gt;0,$TM71=WS$1),MAX(WR$2:WR70)+1,"")</f>
        <v/>
      </c>
      <c r="WS71" s="59" t="str">
        <f t="shared" ca="1" si="176"/>
        <v/>
      </c>
      <c r="WT71" s="18" t="str">
        <f ca="1">IF(AND(SUM($UB71:$VY71)&gt;0,$TM71=WU$1),MAX(WT$2:WT70)+1,"")</f>
        <v/>
      </c>
      <c r="WU71" s="59" t="str">
        <f t="shared" ca="1" si="177"/>
        <v/>
      </c>
      <c r="WV71" s="18" t="str">
        <f ca="1">IF(AND(SUM($UB71:$VY71)&gt;0,$TM71=WW$1),MAX(WV$2:WV70)+1,"")</f>
        <v/>
      </c>
      <c r="WW71" s="59" t="str">
        <f t="shared" ca="1" si="178"/>
        <v/>
      </c>
      <c r="WX71" s="18" t="str">
        <f ca="1">IF(AND(SUM($UB71:$VY71)&gt;0,$TM71=WY$1),MAX(WX$2:WX70)+1,"")</f>
        <v/>
      </c>
      <c r="WY71" s="59" t="str">
        <f t="shared" ca="1" si="179"/>
        <v/>
      </c>
      <c r="WZ71" s="59"/>
      <c r="XC71" s="59" t="str">
        <f>IF(ISERROR(VLOOKUP(#REF!,$WH$1:$WI$5013,2,FALSE)),"",VLOOKUP(#REF!,$WH$1:$WI$5013,2,FALSE))</f>
        <v/>
      </c>
      <c r="XD71" s="59"/>
      <c r="XE71" s="59"/>
      <c r="XF71" s="59"/>
      <c r="XG71" s="59"/>
      <c r="XH71" s="59"/>
      <c r="XI71" s="59"/>
      <c r="XJ71" s="59"/>
      <c r="XK71" s="59"/>
      <c r="XL71" s="59"/>
      <c r="XM71" s="59"/>
    </row>
    <row r="72" spans="41:675" ht="9.9499999999999993" customHeight="1" x14ac:dyDescent="0.2">
      <c r="BJ72" s="70"/>
      <c r="BK72" s="70"/>
      <c r="BL72" s="48"/>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48"/>
      <c r="CN72" s="48"/>
      <c r="CO72" s="48"/>
      <c r="CP72" s="48"/>
      <c r="CQ72" s="48"/>
      <c r="CR72" s="48"/>
      <c r="CS72" s="48"/>
      <c r="CT72" s="48"/>
      <c r="CU72" s="48"/>
      <c r="CV72" s="48"/>
      <c r="CW72" s="48"/>
      <c r="CX72" s="48"/>
      <c r="CY72" s="48"/>
      <c r="CZ72" s="48"/>
      <c r="DA72" s="48"/>
      <c r="DB72" s="48"/>
      <c r="DC72" s="48"/>
      <c r="DD72" s="48"/>
      <c r="DE72" s="48"/>
      <c r="DF72" s="48"/>
      <c r="DG72" s="104"/>
      <c r="DH72" s="104"/>
      <c r="DI72" s="104"/>
      <c r="DJ72" s="104"/>
      <c r="DK72" s="104"/>
      <c r="FW72" s="48"/>
      <c r="FX72" s="104"/>
      <c r="FY72" s="104"/>
      <c r="FZ72" s="104"/>
      <c r="GA72" s="104"/>
      <c r="GB72" s="104"/>
      <c r="GC72" s="104"/>
      <c r="GD72" s="104"/>
      <c r="GE72" s="104"/>
      <c r="GF72" s="104"/>
      <c r="GG72" s="104"/>
      <c r="GH72" s="104"/>
      <c r="GI72" s="104"/>
      <c r="GJ72" s="104"/>
      <c r="HK72" s="59"/>
      <c r="HL72" s="59"/>
      <c r="IX72" s="58" t="s">
        <v>1644</v>
      </c>
      <c r="IY72" s="58" t="s">
        <v>1645</v>
      </c>
      <c r="IZ72" s="58" t="s">
        <v>196</v>
      </c>
      <c r="JA72" s="58" t="s">
        <v>284</v>
      </c>
      <c r="JB72" s="58" t="s">
        <v>1646</v>
      </c>
      <c r="JM72" s="296">
        <v>17</v>
      </c>
      <c r="JN72" s="296">
        <v>4</v>
      </c>
      <c r="JO72" s="296">
        <v>3</v>
      </c>
      <c r="JP72" s="296">
        <v>3</v>
      </c>
      <c r="JQ72" s="302" t="s">
        <v>140</v>
      </c>
      <c r="JR72" s="302" t="s">
        <v>140</v>
      </c>
      <c r="JS72" s="302" t="s">
        <v>140</v>
      </c>
      <c r="JT72" s="302" t="s">
        <v>140</v>
      </c>
      <c r="JU72" s="302" t="s">
        <v>140</v>
      </c>
      <c r="JV72" s="302" t="s">
        <v>140</v>
      </c>
      <c r="JW72" s="302">
        <v>3</v>
      </c>
      <c r="JX72" s="302"/>
      <c r="KT72" s="88" t="s">
        <v>839</v>
      </c>
      <c r="KU72" s="80" t="str">
        <f t="shared" ca="1" si="157"/>
        <v>No</v>
      </c>
      <c r="KV72" s="89" t="s">
        <v>195</v>
      </c>
      <c r="KW72" s="92"/>
      <c r="KX72" s="92"/>
      <c r="KY72" s="92"/>
      <c r="KZ72" s="92"/>
      <c r="LA72" s="92"/>
      <c r="LB72" s="92"/>
      <c r="LC72" s="92"/>
      <c r="LD72" s="92"/>
      <c r="LE72" s="92"/>
      <c r="LF72" s="92"/>
      <c r="LG72" s="92"/>
      <c r="LH72" s="92"/>
      <c r="LI72" s="92" t="str">
        <f t="shared" si="166"/>
        <v/>
      </c>
      <c r="LJ72" s="92"/>
      <c r="LK72" s="92"/>
      <c r="LL72" s="92"/>
      <c r="LM72" s="92"/>
      <c r="LN72" s="92"/>
      <c r="LO72" s="92"/>
      <c r="LP72" s="92"/>
      <c r="LQ72" s="92"/>
      <c r="LR72" s="92"/>
      <c r="LS72" s="92"/>
      <c r="LT72" s="92"/>
      <c r="LU72" s="92"/>
      <c r="LV72" s="92"/>
      <c r="LW72" s="92"/>
      <c r="LX72" s="92"/>
      <c r="LY72" s="92"/>
      <c r="LZ72" s="92" t="str">
        <f t="shared" ca="1" si="161"/>
        <v/>
      </c>
      <c r="MA72" s="92" t="str">
        <f ca="1">IF(MA$1&gt;0,$KT72,"")</f>
        <v/>
      </c>
      <c r="MB72" s="92"/>
      <c r="MC72" s="92"/>
      <c r="MD72" s="92" t="str">
        <f t="shared" si="163"/>
        <v/>
      </c>
      <c r="ME72" s="92"/>
      <c r="MF72" s="92" t="str">
        <f t="shared" ca="1" si="160"/>
        <v/>
      </c>
      <c r="MG72" s="92"/>
      <c r="MH72" s="92" t="str">
        <f t="shared" ca="1" si="158"/>
        <v/>
      </c>
      <c r="MI72" s="92" t="str">
        <f t="shared" ca="1" si="159"/>
        <v/>
      </c>
      <c r="MJ72" s="92"/>
      <c r="MK72" s="92"/>
      <c r="ML72" s="92"/>
      <c r="MM72" s="92"/>
      <c r="MN72" s="92"/>
      <c r="MO72" s="92"/>
      <c r="MP72" s="92"/>
      <c r="MQ72" s="92"/>
      <c r="MR72" s="92"/>
      <c r="MS72" s="92"/>
      <c r="MT72" s="92"/>
      <c r="MU72" s="92"/>
      <c r="MV72" s="92"/>
      <c r="MW72" s="92"/>
      <c r="MX72" s="92"/>
      <c r="MY72" s="92"/>
      <c r="MZ72" s="92"/>
      <c r="NA72" s="92"/>
      <c r="NB72" s="92"/>
      <c r="NC72" s="92"/>
      <c r="ND72" s="92"/>
      <c r="NE72" s="92"/>
      <c r="NF72" s="92"/>
      <c r="NG72" s="92"/>
      <c r="NH72" s="92"/>
      <c r="NI72" s="92"/>
      <c r="NJ72" s="92"/>
      <c r="NK72" s="92" t="str">
        <f t="shared" ca="1" si="165"/>
        <v/>
      </c>
      <c r="NL72" s="92"/>
      <c r="NM72" s="92"/>
      <c r="NN72" s="92"/>
      <c r="NO72" s="92"/>
      <c r="NP72" s="92"/>
      <c r="NQ72" s="92"/>
      <c r="NR72" s="92"/>
      <c r="NS72" s="92"/>
      <c r="NT72" s="92"/>
      <c r="NU72" s="92"/>
      <c r="NV72" s="92"/>
      <c r="NW72" s="92"/>
      <c r="NX72" s="92"/>
      <c r="NY72" s="92"/>
      <c r="NZ72" s="92"/>
      <c r="OA72" s="92"/>
      <c r="OB72" s="92"/>
      <c r="OC72" s="92"/>
      <c r="OD72" s="92"/>
      <c r="OE72" s="92"/>
      <c r="OF72" s="92"/>
      <c r="OG72" s="92"/>
      <c r="OH72" s="92"/>
      <c r="OI72" s="92"/>
      <c r="OJ72" s="92"/>
      <c r="OK72" s="92"/>
      <c r="OL72" s="92"/>
      <c r="OM72" s="92"/>
      <c r="ON72" s="92"/>
      <c r="OO72" s="92"/>
      <c r="OP72" s="92"/>
      <c r="OQ72" s="92"/>
      <c r="OR72" s="92"/>
      <c r="OS72" s="92"/>
      <c r="OT72" s="92"/>
      <c r="OU72" s="92"/>
      <c r="OV72" s="92"/>
      <c r="OW72" s="92"/>
      <c r="OX72" s="92"/>
      <c r="OY72" s="92"/>
      <c r="OZ72" s="92"/>
      <c r="PA72" s="92" t="str">
        <f>IF(PA$1&gt;0,$KT72,"")</f>
        <v/>
      </c>
      <c r="PB72" s="92"/>
      <c r="PC72" s="92"/>
      <c r="PD72" s="92"/>
      <c r="PE72" s="92"/>
      <c r="PF72" s="92"/>
      <c r="PG72" s="92"/>
      <c r="PH72" s="92"/>
      <c r="PI72" s="92"/>
      <c r="PJ72" s="92"/>
      <c r="PK72" s="92"/>
      <c r="PL72" s="92"/>
      <c r="PM72" s="92"/>
      <c r="PN72" s="92"/>
      <c r="PO72" s="92"/>
      <c r="PP72" s="92"/>
      <c r="PQ72" s="92"/>
      <c r="PR72" s="92"/>
      <c r="PS72" s="92"/>
      <c r="PT72" s="92"/>
      <c r="PU72" s="59" t="str">
        <f t="shared" ca="1" si="180"/>
        <v/>
      </c>
      <c r="PV72" s="59" t="str">
        <f ca="1">IF(PU72="","",IF(COUNTIF(PU72:$PU$76,"&gt;&lt;")&gt;1,PU72&amp;", ", PU72))</f>
        <v/>
      </c>
      <c r="PW72" s="59"/>
      <c r="PX72" s="59"/>
      <c r="PY72" s="60"/>
      <c r="TJ72" s="18">
        <f t="shared" si="181"/>
        <v>70</v>
      </c>
      <c r="TK72" s="58" t="s">
        <v>2680</v>
      </c>
      <c r="TL72" s="58" t="s">
        <v>461</v>
      </c>
      <c r="TM72" s="18">
        <v>4</v>
      </c>
      <c r="TN72" s="59" t="str">
        <f t="shared" si="167"/>
        <v xml:space="preserve">Conjure Woodland Beings ᴴ </v>
      </c>
      <c r="TO72" s="350" t="s">
        <v>2991</v>
      </c>
      <c r="TP72" s="18" t="str">
        <f t="shared" si="168"/>
        <v/>
      </c>
      <c r="TQ72" s="18" t="str">
        <f>IF(OR(TK72=Spellcasting!$AC$18,TK72=Spellcasting!$AC$19),"ᵐ","")</f>
        <v/>
      </c>
      <c r="TR72" s="18" t="str">
        <f>IF(OR(TK72=Spellcasting!$AC$20,TK72=Spellcasting!$AC$21),"ˢ","")</f>
        <v/>
      </c>
      <c r="TS72" s="18" t="str">
        <f>""</f>
        <v/>
      </c>
      <c r="TT72" s="18" t="s">
        <v>484</v>
      </c>
      <c r="TU72" s="18" t="s">
        <v>850</v>
      </c>
      <c r="TV72" s="18" t="s">
        <v>490</v>
      </c>
      <c r="TW72" s="18" t="s">
        <v>495</v>
      </c>
      <c r="TX72" s="59" t="s">
        <v>2684</v>
      </c>
      <c r="TY72" s="18" t="s">
        <v>516</v>
      </c>
      <c r="TZ72" s="18" t="s">
        <v>517</v>
      </c>
      <c r="UA72" s="142" t="s">
        <v>2685</v>
      </c>
      <c r="UB72" s="319" t="s">
        <v>3033</v>
      </c>
      <c r="UI72" s="18" t="str">
        <f ca="1">IF(UI$1&gt;=$TM72,1,"0")</f>
        <v>0</v>
      </c>
      <c r="WD72" s="18" t="str">
        <f ca="1">IF(SUM($VZ$1:$WC$1)&gt;0,IF(AND(SUM($VZ72:$WC72)&gt;0,$TM72=WE$1),MAX(WD$2:WD71)+1,""),IF(AND(SUM($UC72:$VY72)&gt;0,$TM72=WE$1),MAX(WD$2:WD71)+1,""))</f>
        <v/>
      </c>
      <c r="WE72" s="59" t="str">
        <f t="shared" ca="1" si="169"/>
        <v/>
      </c>
      <c r="WF72" s="18" t="str">
        <f ca="1">IF(AND(SUM($UB72:$VY72)&gt;0,$TM72=WG$1),MAX(WF$2:WF71)+1,"")</f>
        <v/>
      </c>
      <c r="WG72" s="59" t="str">
        <f t="shared" ca="1" si="170"/>
        <v/>
      </c>
      <c r="WH72" s="18" t="str">
        <f ca="1">IF(AND(SUM($UB72:$VY72)&gt;0,$TM72=WI$1),MAX(WH$2:WH71)+1,"")</f>
        <v/>
      </c>
      <c r="WI72" s="59" t="str">
        <f t="shared" ca="1" si="171"/>
        <v/>
      </c>
      <c r="WJ72" s="18" t="str">
        <f ca="1">IF(AND(SUM($UB72:$VY72)&gt;0,$TM72=WK$1),MAX(WJ$2:WJ71)+1,"")</f>
        <v/>
      </c>
      <c r="WK72" s="59" t="str">
        <f t="shared" ca="1" si="172"/>
        <v/>
      </c>
      <c r="WL72" s="18" t="str">
        <f ca="1">IF(AND(SUM($UB72:$VY72)&gt;0,$TM72=WM$1),MAX(WL$2:WL71)+1,"")</f>
        <v/>
      </c>
      <c r="WM72" s="59" t="str">
        <f t="shared" ca="1" si="173"/>
        <v/>
      </c>
      <c r="WN72" s="18" t="str">
        <f ca="1">IF(AND(SUM($UB72:$VY72)&gt;0,$TM72=WO$1),MAX(WN$2:WN71)+1,"")</f>
        <v/>
      </c>
      <c r="WO72" s="59" t="str">
        <f t="shared" ca="1" si="174"/>
        <v/>
      </c>
      <c r="WP72" s="18" t="str">
        <f ca="1">IF(AND(SUM($UB72:$VY72)&gt;0,$TM72=WQ$1),MAX(WP$2:WP71)+1,"")</f>
        <v/>
      </c>
      <c r="WQ72" s="59" t="str">
        <f t="shared" ca="1" si="175"/>
        <v/>
      </c>
      <c r="WR72" s="18" t="str">
        <f ca="1">IF(AND(SUM($UB72:$VY72)&gt;0,$TM72=WS$1),MAX(WR$2:WR71)+1,"")</f>
        <v/>
      </c>
      <c r="WS72" s="59" t="str">
        <f t="shared" ca="1" si="176"/>
        <v/>
      </c>
      <c r="WT72" s="18" t="str">
        <f ca="1">IF(AND(SUM($UB72:$VY72)&gt;0,$TM72=WU$1),MAX(WT$2:WT71)+1,"")</f>
        <v/>
      </c>
      <c r="WU72" s="59" t="str">
        <f t="shared" ca="1" si="177"/>
        <v/>
      </c>
      <c r="WV72" s="18" t="str">
        <f ca="1">IF(AND(SUM($UB72:$VY72)&gt;0,$TM72=WW$1),MAX(WV$2:WV71)+1,"")</f>
        <v/>
      </c>
      <c r="WW72" s="59" t="str">
        <f t="shared" ca="1" si="178"/>
        <v/>
      </c>
      <c r="WX72" s="18" t="str">
        <f ca="1">IF(AND(SUM($UB72:$VY72)&gt;0,$TM72=WY$1),MAX(WX$2:WX71)+1,"")</f>
        <v/>
      </c>
      <c r="WY72" s="59" t="str">
        <f t="shared" ca="1" si="179"/>
        <v/>
      </c>
      <c r="WZ72" s="59"/>
      <c r="XC72" s="59" t="str">
        <f t="shared" ref="XC72:XC91" ca="1" si="182">IF(ISERROR(VLOOKUP($WZ71,$WH$1:$WI$5013,2,FALSE)),"",VLOOKUP($WZ71,$WH$1:$WI$5013,2,FALSE))</f>
        <v/>
      </c>
      <c r="XD72" s="59"/>
      <c r="XE72" s="59"/>
      <c r="XF72" s="59"/>
      <c r="XG72" s="59"/>
      <c r="XH72" s="59"/>
      <c r="XI72" s="59"/>
      <c r="XJ72" s="59"/>
      <c r="XK72" s="59"/>
      <c r="XL72" s="59"/>
      <c r="XM72" s="59"/>
    </row>
    <row r="73" spans="41:675" ht="9.9499999999999993" customHeight="1" x14ac:dyDescent="0.2">
      <c r="BJ73" s="70"/>
      <c r="BK73" s="70"/>
      <c r="BL73" s="48"/>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48"/>
      <c r="CN73" s="48"/>
      <c r="CO73" s="48"/>
      <c r="CP73" s="48"/>
      <c r="CQ73" s="48"/>
      <c r="CR73" s="48"/>
      <c r="CS73" s="48"/>
      <c r="CT73" s="48"/>
      <c r="CU73" s="48"/>
      <c r="CV73" s="48"/>
      <c r="CW73" s="48"/>
      <c r="CX73" s="48"/>
      <c r="CY73" s="48"/>
      <c r="CZ73" s="48"/>
      <c r="DA73" s="48"/>
      <c r="DB73" s="48"/>
      <c r="DC73" s="48"/>
      <c r="DD73" s="48"/>
      <c r="DE73" s="48"/>
      <c r="DF73" s="48"/>
      <c r="DG73" s="104"/>
      <c r="DH73" s="104"/>
      <c r="DI73" s="104"/>
      <c r="DJ73" s="104"/>
      <c r="DK73" s="104"/>
      <c r="FW73" s="48"/>
      <c r="FX73" s="104"/>
      <c r="FY73" s="104"/>
      <c r="FZ73" s="104"/>
      <c r="GA73" s="104"/>
      <c r="GB73" s="104"/>
      <c r="GC73" s="104"/>
      <c r="GD73" s="104"/>
      <c r="GE73" s="104"/>
      <c r="GF73" s="104"/>
      <c r="GG73" s="104"/>
      <c r="GH73" s="104"/>
      <c r="GI73" s="104"/>
      <c r="GJ73" s="104"/>
      <c r="HK73" s="59"/>
      <c r="HL73" s="59"/>
      <c r="IX73" s="58" t="s">
        <v>1647</v>
      </c>
      <c r="IY73" s="58" t="s">
        <v>1648</v>
      </c>
      <c r="IZ73" s="58" t="s">
        <v>196</v>
      </c>
      <c r="JA73" s="58" t="s">
        <v>281</v>
      </c>
      <c r="JB73" s="58" t="s">
        <v>1649</v>
      </c>
      <c r="JM73" s="296">
        <v>18</v>
      </c>
      <c r="JN73" s="296">
        <v>4</v>
      </c>
      <c r="JO73" s="296">
        <v>3</v>
      </c>
      <c r="JP73" s="296">
        <v>3</v>
      </c>
      <c r="JQ73" s="302" t="s">
        <v>140</v>
      </c>
      <c r="JR73" s="302" t="s">
        <v>140</v>
      </c>
      <c r="JS73" s="302" t="s">
        <v>140</v>
      </c>
      <c r="JT73" s="302" t="s">
        <v>140</v>
      </c>
      <c r="JU73" s="302" t="s">
        <v>140</v>
      </c>
      <c r="JV73" s="302" t="s">
        <v>140</v>
      </c>
      <c r="JW73" s="302">
        <v>3</v>
      </c>
      <c r="JX73" s="302"/>
      <c r="KT73" s="88" t="s">
        <v>243</v>
      </c>
      <c r="KU73" s="80" t="str">
        <f t="shared" ca="1" si="157"/>
        <v>No</v>
      </c>
      <c r="KV73" s="89" t="s">
        <v>90</v>
      </c>
      <c r="KW73" s="92"/>
      <c r="KX73" s="92"/>
      <c r="KY73" s="92"/>
      <c r="KZ73" s="92"/>
      <c r="LA73" s="92"/>
      <c r="LB73" s="92"/>
      <c r="LC73" s="92"/>
      <c r="LD73" s="92"/>
      <c r="LE73" s="92"/>
      <c r="LF73" s="92"/>
      <c r="LG73" s="92"/>
      <c r="LH73" s="92"/>
      <c r="LI73" s="92"/>
      <c r="LJ73" s="92"/>
      <c r="LK73" s="92"/>
      <c r="LL73" s="92"/>
      <c r="LM73" s="92"/>
      <c r="LN73" s="92"/>
      <c r="LO73" s="92"/>
      <c r="LP73" s="92"/>
      <c r="LQ73" s="92"/>
      <c r="LR73" s="92"/>
      <c r="LS73" s="92"/>
      <c r="LT73" s="92"/>
      <c r="LU73" s="92"/>
      <c r="LV73" s="92"/>
      <c r="LW73" s="92"/>
      <c r="LX73" s="92"/>
      <c r="LY73" s="92"/>
      <c r="LZ73" s="92"/>
      <c r="MA73" s="92" t="str">
        <f>IF(Class1=MA$5,IF(MA$1&gt;0,$KT73,""),"")</f>
        <v/>
      </c>
      <c r="MB73" s="92"/>
      <c r="MC73" s="92"/>
      <c r="MD73" s="92"/>
      <c r="ME73" s="92"/>
      <c r="MF73" s="92"/>
      <c r="MG73" s="92"/>
      <c r="MH73" s="92" t="str">
        <f>IF(Class1=MH$5,IF(MH$1&gt;0,$KT73,""),"")</f>
        <v/>
      </c>
      <c r="MI73" s="92" t="str">
        <f t="shared" ca="1" si="159"/>
        <v/>
      </c>
      <c r="MJ73" s="92"/>
      <c r="MK73" s="92"/>
      <c r="ML73" s="92"/>
      <c r="MM73" s="92"/>
      <c r="MN73" s="92" t="str">
        <f ca="1">IF(MN$1&gt;0,$KT73,"")</f>
        <v/>
      </c>
      <c r="MO73" s="92"/>
      <c r="MP73" s="92" t="str">
        <f t="shared" ref="MP73:MQ77" ca="1" si="183">IF(MP$1&gt;0,$KT73,"")</f>
        <v/>
      </c>
      <c r="MQ73" s="92" t="str">
        <f t="shared" ca="1" si="183"/>
        <v/>
      </c>
      <c r="MR73" s="92"/>
      <c r="MS73" s="92" t="str">
        <f ca="1">IF(MS$1&gt;0,$KT73,"")</f>
        <v/>
      </c>
      <c r="MT73" s="92"/>
      <c r="MU73" s="92"/>
      <c r="MV73" s="92"/>
      <c r="MW73" s="92"/>
      <c r="MX73" s="92"/>
      <c r="MY73" s="92"/>
      <c r="MZ73" s="92"/>
      <c r="NA73" s="92"/>
      <c r="NB73" s="92"/>
      <c r="NC73" s="92"/>
      <c r="ND73" s="92"/>
      <c r="NE73" s="92"/>
      <c r="NF73" s="92"/>
      <c r="NG73" s="92"/>
      <c r="NH73" s="92"/>
      <c r="NI73" s="92"/>
      <c r="NJ73" s="92"/>
      <c r="NK73" s="92"/>
      <c r="NL73" s="92"/>
      <c r="NM73" s="92"/>
      <c r="NN73" s="92"/>
      <c r="NO73" s="92"/>
      <c r="NP73" s="92"/>
      <c r="NQ73" s="92"/>
      <c r="NR73" s="92"/>
      <c r="NS73" s="92"/>
      <c r="NT73" s="92"/>
      <c r="NU73" s="92"/>
      <c r="NV73" s="92"/>
      <c r="NW73" s="92"/>
      <c r="NX73" s="92"/>
      <c r="NY73" s="92"/>
      <c r="NZ73" s="92"/>
      <c r="OA73" s="92"/>
      <c r="OB73" s="92"/>
      <c r="OC73" s="92"/>
      <c r="OD73" s="92"/>
      <c r="OE73" s="92"/>
      <c r="OF73" s="92"/>
      <c r="OG73" s="92"/>
      <c r="OH73" s="92"/>
      <c r="OI73" s="92"/>
      <c r="OJ73" s="92"/>
      <c r="OK73" s="92"/>
      <c r="OL73" s="92"/>
      <c r="OM73" s="92"/>
      <c r="ON73" s="92"/>
      <c r="OO73" s="92" t="str">
        <f>IF(OO$1&gt;0,$KT73,"")</f>
        <v/>
      </c>
      <c r="OP73" s="92"/>
      <c r="OQ73" s="92"/>
      <c r="OR73" s="92"/>
      <c r="OS73" s="92"/>
      <c r="OT73" s="92"/>
      <c r="OU73" s="92"/>
      <c r="OV73" s="92"/>
      <c r="OW73" s="92"/>
      <c r="OX73" s="92"/>
      <c r="OY73" s="92"/>
      <c r="OZ73" s="92"/>
      <c r="PA73" s="92"/>
      <c r="PB73" s="92"/>
      <c r="PC73" s="92"/>
      <c r="PD73" s="92"/>
      <c r="PE73" s="92"/>
      <c r="PF73" s="92"/>
      <c r="PG73" s="92"/>
      <c r="PH73" s="92"/>
      <c r="PI73" s="92"/>
      <c r="PJ73" s="92"/>
      <c r="PK73" s="92"/>
      <c r="PL73" s="92"/>
      <c r="PM73" s="92"/>
      <c r="PN73" s="92"/>
      <c r="PO73" s="92"/>
      <c r="PP73" s="92"/>
      <c r="PQ73" s="92"/>
      <c r="PR73" s="92"/>
      <c r="PS73" s="92"/>
      <c r="PT73" s="92"/>
      <c r="PU73" s="59" t="str">
        <f t="shared" ca="1" si="180"/>
        <v/>
      </c>
      <c r="PV73" s="59" t="str">
        <f ca="1">IF(PU73="","",IF(COUNTIF(PU73:$PU$76,"&gt;&lt;")&gt;1,PU73&amp;", ", PU73))</f>
        <v/>
      </c>
      <c r="PW73" s="59"/>
      <c r="PX73" s="59"/>
      <c r="PY73" s="60"/>
      <c r="TJ73" s="18">
        <f t="shared" si="181"/>
        <v>71</v>
      </c>
      <c r="TK73" s="58" t="s">
        <v>561</v>
      </c>
      <c r="TL73" s="58" t="s">
        <v>462</v>
      </c>
      <c r="TM73" s="18">
        <v>5</v>
      </c>
      <c r="TN73" s="59" t="str">
        <f t="shared" si="167"/>
        <v xml:space="preserve">Contact Other Plane </v>
      </c>
      <c r="TO73" s="18" t="str">
        <f>""</f>
        <v/>
      </c>
      <c r="TP73" s="18" t="str">
        <f t="shared" si="168"/>
        <v/>
      </c>
      <c r="TQ73" s="18" t="str">
        <f>IF(OR(TK73=Spellcasting!$AC$18,TK73=Spellcasting!$AC$19),"ᵐ","")</f>
        <v/>
      </c>
      <c r="TR73" s="18" t="str">
        <f>IF(OR(TK73=Spellcasting!$AC$20,TK73=Spellcasting!$AC$21),"ˢ","")</f>
        <v/>
      </c>
      <c r="TS73" s="18" t="s">
        <v>477</v>
      </c>
      <c r="TT73" s="18" t="s">
        <v>494</v>
      </c>
      <c r="TU73" s="18" t="s">
        <v>509</v>
      </c>
      <c r="TV73" s="18" t="s">
        <v>503</v>
      </c>
      <c r="TW73" s="18" t="s">
        <v>541</v>
      </c>
      <c r="TX73" s="59" t="str">
        <f>""</f>
        <v/>
      </c>
      <c r="TY73" s="18" t="s">
        <v>511</v>
      </c>
      <c r="TZ73" s="18" t="s">
        <v>512</v>
      </c>
      <c r="UA73" s="142" t="s">
        <v>2112</v>
      </c>
      <c r="UB73" s="319" t="s">
        <v>3257</v>
      </c>
      <c r="UG73" s="18" t="str">
        <f ca="1">IF(UG$1&gt;=$TM73,1,"0")</f>
        <v>0</v>
      </c>
      <c r="UL73" s="18" t="str">
        <f ca="1">IF(UL$1&gt;=$TM73,1,"0")</f>
        <v>0</v>
      </c>
      <c r="WD73" s="18" t="str">
        <f ca="1">IF(SUM($VZ$1:$WC$1)&gt;0,IF(AND(SUM($VZ73:$WC73)&gt;0,$TM73=WE$1),MAX(WD$2:WD72)+1,""),IF(AND(SUM($UC73:$VY73)&gt;0,$TM73=WE$1),MAX(WD$2:WD72)+1,""))</f>
        <v/>
      </c>
      <c r="WE73" s="59" t="str">
        <f t="shared" ca="1" si="169"/>
        <v/>
      </c>
      <c r="WF73" s="18" t="str">
        <f ca="1">IF(AND(SUM($UB73:$VY73)&gt;0,$TM73=WG$1),MAX(WF$2:WF72)+1,"")</f>
        <v/>
      </c>
      <c r="WG73" s="59" t="str">
        <f t="shared" ca="1" si="170"/>
        <v/>
      </c>
      <c r="WH73" s="18" t="str">
        <f ca="1">IF(AND(SUM($UB73:$VY73)&gt;0,$TM73=WI$1),MAX(WH$2:WH72)+1,"")</f>
        <v/>
      </c>
      <c r="WI73" s="59" t="str">
        <f t="shared" ca="1" si="171"/>
        <v/>
      </c>
      <c r="WJ73" s="18" t="str">
        <f ca="1">IF(AND(SUM($UB73:$VY73)&gt;0,$TM73=WK$1),MAX(WJ$2:WJ72)+1,"")</f>
        <v/>
      </c>
      <c r="WK73" s="59" t="str">
        <f t="shared" ca="1" si="172"/>
        <v/>
      </c>
      <c r="WL73" s="18" t="str">
        <f ca="1">IF(AND(SUM($UB73:$VY73)&gt;0,$TM73=WM$1),MAX(WL$2:WL72)+1,"")</f>
        <v/>
      </c>
      <c r="WM73" s="59" t="str">
        <f t="shared" ca="1" si="173"/>
        <v/>
      </c>
      <c r="WN73" s="18" t="str">
        <f ca="1">IF(AND(SUM($UB73:$VY73)&gt;0,$TM73=WO$1),MAX(WN$2:WN72)+1,"")</f>
        <v/>
      </c>
      <c r="WO73" s="59" t="str">
        <f t="shared" ca="1" si="174"/>
        <v/>
      </c>
      <c r="WP73" s="18" t="str">
        <f ca="1">IF(AND(SUM($UB73:$VY73)&gt;0,$TM73=WQ$1),MAX(WP$2:WP72)+1,"")</f>
        <v/>
      </c>
      <c r="WQ73" s="59" t="str">
        <f t="shared" ca="1" si="175"/>
        <v/>
      </c>
      <c r="WR73" s="18" t="str">
        <f ca="1">IF(AND(SUM($UB73:$VY73)&gt;0,$TM73=WS$1),MAX(WR$2:WR72)+1,"")</f>
        <v/>
      </c>
      <c r="WS73" s="59" t="str">
        <f t="shared" ca="1" si="176"/>
        <v/>
      </c>
      <c r="WT73" s="18" t="str">
        <f ca="1">IF(AND(SUM($UB73:$VY73)&gt;0,$TM73=WU$1),MAX(WT$2:WT72)+1,"")</f>
        <v/>
      </c>
      <c r="WU73" s="59" t="str">
        <f t="shared" ca="1" si="177"/>
        <v/>
      </c>
      <c r="WV73" s="18" t="str">
        <f ca="1">IF(AND(SUM($UB73:$VY73)&gt;0,$TM73=WW$1),MAX(WV$2:WV72)+1,"")</f>
        <v/>
      </c>
      <c r="WW73" s="59" t="str">
        <f t="shared" ca="1" si="178"/>
        <v/>
      </c>
      <c r="WX73" s="18" t="str">
        <f ca="1">IF(AND(SUM($UB73:$VY73)&gt;0,$TM73=WY$1),MAX(WX$2:WX72)+1,"")</f>
        <v/>
      </c>
      <c r="WY73" s="59" t="str">
        <f t="shared" ca="1" si="179"/>
        <v/>
      </c>
      <c r="WZ73" s="59"/>
      <c r="XC73" s="59" t="str">
        <f t="shared" ca="1" si="182"/>
        <v/>
      </c>
      <c r="XD73" s="59"/>
      <c r="XE73" s="59"/>
      <c r="XF73" s="59"/>
      <c r="XG73" s="59"/>
      <c r="XH73" s="59"/>
      <c r="XI73" s="59"/>
      <c r="XJ73" s="59"/>
      <c r="XK73" s="59"/>
      <c r="XL73" s="59"/>
      <c r="XM73" s="59"/>
    </row>
    <row r="74" spans="41:675" ht="9.9499999999999993" customHeight="1" x14ac:dyDescent="0.2">
      <c r="DK74" s="104"/>
      <c r="FW74" s="48"/>
      <c r="FX74" s="104"/>
      <c r="FY74" s="104"/>
      <c r="FZ74" s="104"/>
      <c r="GA74" s="104"/>
      <c r="GB74" s="104"/>
      <c r="GC74" s="104"/>
      <c r="GD74" s="104"/>
      <c r="GE74" s="104"/>
      <c r="GF74" s="104"/>
      <c r="GG74" s="104"/>
      <c r="GH74" s="104"/>
      <c r="GI74" s="104"/>
      <c r="GJ74" s="104"/>
      <c r="HK74" s="59"/>
      <c r="HL74" s="59"/>
      <c r="IX74" s="58" t="s">
        <v>1650</v>
      </c>
      <c r="IY74" s="58" t="s">
        <v>1651</v>
      </c>
      <c r="IZ74" s="58" t="s">
        <v>196</v>
      </c>
      <c r="JA74" s="58" t="s">
        <v>1652</v>
      </c>
      <c r="JB74" s="58" t="s">
        <v>1653</v>
      </c>
      <c r="JM74" s="296">
        <v>19</v>
      </c>
      <c r="JN74" s="296">
        <v>4</v>
      </c>
      <c r="JO74" s="296">
        <v>3</v>
      </c>
      <c r="JP74" s="296">
        <v>3</v>
      </c>
      <c r="JQ74" s="296">
        <v>1</v>
      </c>
      <c r="JR74" s="302" t="s">
        <v>140</v>
      </c>
      <c r="JS74" s="302" t="s">
        <v>140</v>
      </c>
      <c r="JT74" s="302" t="s">
        <v>140</v>
      </c>
      <c r="JU74" s="302" t="s">
        <v>140</v>
      </c>
      <c r="JV74" s="302" t="s">
        <v>140</v>
      </c>
      <c r="JW74" s="302">
        <v>4</v>
      </c>
      <c r="JX74" s="302"/>
      <c r="KT74" s="88" t="s">
        <v>244</v>
      </c>
      <c r="KU74" s="80" t="str">
        <f t="shared" ca="1" si="157"/>
        <v>No</v>
      </c>
      <c r="KV74" s="89" t="s">
        <v>90</v>
      </c>
      <c r="KW74" s="92"/>
      <c r="KX74" s="92"/>
      <c r="KY74" s="92"/>
      <c r="KZ74" s="92"/>
      <c r="LA74" s="92"/>
      <c r="LB74" s="92"/>
      <c r="LC74" s="92"/>
      <c r="LD74" s="92"/>
      <c r="LE74" s="92"/>
      <c r="LF74" s="92"/>
      <c r="LG74" s="92"/>
      <c r="LH74" s="92"/>
      <c r="LI74" s="92"/>
      <c r="LJ74" s="92"/>
      <c r="LK74" s="92"/>
      <c r="LL74" s="92"/>
      <c r="LM74" s="92"/>
      <c r="LN74" s="92"/>
      <c r="LO74" s="92"/>
      <c r="LP74" s="92"/>
      <c r="LQ74" s="92"/>
      <c r="LR74" s="92"/>
      <c r="LS74" s="92"/>
      <c r="LT74" s="92"/>
      <c r="LU74" s="92"/>
      <c r="LV74" s="92"/>
      <c r="LW74" s="92"/>
      <c r="LX74" s="92"/>
      <c r="LY74" s="92"/>
      <c r="LZ74" s="92"/>
      <c r="MA74" s="92" t="str">
        <f>IF(Class1=MA$5,IF(MA$1&gt;0,$KT74,""),"")</f>
        <v/>
      </c>
      <c r="MB74" s="92"/>
      <c r="MC74" s="92"/>
      <c r="MD74" s="92"/>
      <c r="ME74" s="92"/>
      <c r="MF74" s="92"/>
      <c r="MG74" s="92"/>
      <c r="MH74" s="92" t="str">
        <f>IF(Class1=MH$5,IF(MH$1&gt;0,$KT74,""),"")</f>
        <v/>
      </c>
      <c r="MI74" s="92" t="str">
        <f t="shared" ca="1" si="159"/>
        <v/>
      </c>
      <c r="MJ74" s="92"/>
      <c r="MK74" s="92"/>
      <c r="ML74" s="92"/>
      <c r="MM74" s="92"/>
      <c r="MN74" s="92" t="str">
        <f ca="1">IF(MN$1&gt;0,$KT74,"")</f>
        <v/>
      </c>
      <c r="MO74" s="92"/>
      <c r="MP74" s="92" t="str">
        <f t="shared" ca="1" si="183"/>
        <v/>
      </c>
      <c r="MQ74" s="92" t="str">
        <f t="shared" ca="1" si="183"/>
        <v/>
      </c>
      <c r="MR74" s="92"/>
      <c r="MS74" s="92" t="str">
        <f ca="1">IF(MS$1&gt;0,$KT74,"")</f>
        <v/>
      </c>
      <c r="MT74" s="92"/>
      <c r="MU74" s="92"/>
      <c r="MV74" s="92"/>
      <c r="MW74" s="92"/>
      <c r="MX74" s="92"/>
      <c r="MY74" s="92"/>
      <c r="MZ74" s="92"/>
      <c r="NA74" s="92"/>
      <c r="NB74" s="92"/>
      <c r="NC74" s="92"/>
      <c r="ND74" s="92"/>
      <c r="NE74" s="92"/>
      <c r="NF74" s="92"/>
      <c r="NG74" s="92"/>
      <c r="NH74" s="92"/>
      <c r="NI74" s="92"/>
      <c r="NJ74" s="92"/>
      <c r="NK74" s="92"/>
      <c r="NL74" s="92"/>
      <c r="NM74" s="92"/>
      <c r="NN74" s="92"/>
      <c r="NO74" s="92"/>
      <c r="NP74" s="92"/>
      <c r="NQ74" s="92"/>
      <c r="NR74" s="92"/>
      <c r="NS74" s="92"/>
      <c r="NT74" s="92"/>
      <c r="NU74" s="92"/>
      <c r="NV74" s="92"/>
      <c r="NW74" s="92"/>
      <c r="NX74" s="92"/>
      <c r="NY74" s="92"/>
      <c r="NZ74" s="92"/>
      <c r="OA74" s="92"/>
      <c r="OB74" s="92"/>
      <c r="OC74" s="92"/>
      <c r="OD74" s="92"/>
      <c r="OE74" s="92"/>
      <c r="OF74" s="92"/>
      <c r="OG74" s="92"/>
      <c r="OH74" s="92"/>
      <c r="OI74" s="92"/>
      <c r="OJ74" s="92"/>
      <c r="OK74" s="92"/>
      <c r="OL74" s="92"/>
      <c r="OM74" s="92"/>
      <c r="ON74" s="92"/>
      <c r="OO74" s="92" t="str">
        <f>IF(OO$1&gt;0,$KT74,"")</f>
        <v/>
      </c>
      <c r="OP74" s="92"/>
      <c r="OQ74" s="92"/>
      <c r="OR74" s="92"/>
      <c r="OS74" s="92"/>
      <c r="OT74" s="92"/>
      <c r="OU74" s="92"/>
      <c r="OV74" s="92"/>
      <c r="OW74" s="92"/>
      <c r="OX74" s="92"/>
      <c r="OY74" s="92"/>
      <c r="OZ74" s="92"/>
      <c r="PA74" s="92"/>
      <c r="PB74" s="92"/>
      <c r="PC74" s="92"/>
      <c r="PD74" s="92"/>
      <c r="PE74" s="92"/>
      <c r="PF74" s="92"/>
      <c r="PG74" s="92"/>
      <c r="PH74" s="92"/>
      <c r="PI74" s="92"/>
      <c r="PJ74" s="92"/>
      <c r="PK74" s="92"/>
      <c r="PL74" s="92"/>
      <c r="PM74" s="92"/>
      <c r="PN74" s="92"/>
      <c r="PO74" s="92"/>
      <c r="PP74" s="92"/>
      <c r="PQ74" s="92"/>
      <c r="PR74" s="92"/>
      <c r="PS74" s="92"/>
      <c r="PT74" s="92"/>
      <c r="PU74" s="59" t="str">
        <f t="shared" ca="1" si="180"/>
        <v/>
      </c>
      <c r="PV74" s="59" t="str">
        <f ca="1">IF(PU74="","",IF(COUNTIF(PU74:$PU$76,"&gt;&lt;")&gt;1,PU74&amp;", ", PU74))</f>
        <v/>
      </c>
      <c r="PW74" s="59"/>
      <c r="PX74" s="59"/>
      <c r="PY74" s="60"/>
      <c r="TJ74" s="18">
        <f t="shared" si="181"/>
        <v>72</v>
      </c>
      <c r="TK74" s="58" t="s">
        <v>1978</v>
      </c>
      <c r="TL74" s="58" t="s">
        <v>462</v>
      </c>
      <c r="TM74" s="18">
        <v>5</v>
      </c>
      <c r="TN74" s="59" t="str">
        <f t="shared" si="167"/>
        <v xml:space="preserve">Contagion </v>
      </c>
      <c r="TO74" s="18" t="str">
        <f>""</f>
        <v/>
      </c>
      <c r="TP74" s="18" t="str">
        <f t="shared" si="168"/>
        <v/>
      </c>
      <c r="TQ74" s="18" t="str">
        <f>IF(OR(TK74=Spellcasting!$AC$18,TK74=Spellcasting!$AC$19),"ᵐ","")</f>
        <v/>
      </c>
      <c r="TR74" s="18" t="str">
        <f>IF(OR(TK74=Spellcasting!$AC$20,TK74=Spellcasting!$AC$21),"ˢ","")</f>
        <v/>
      </c>
      <c r="TS74" s="18" t="str">
        <f>""</f>
        <v/>
      </c>
      <c r="TT74" s="18" t="s">
        <v>484</v>
      </c>
      <c r="TU74" s="18" t="s">
        <v>519</v>
      </c>
      <c r="TV74" s="18" t="s">
        <v>2060</v>
      </c>
      <c r="TW74" s="18" t="s">
        <v>486</v>
      </c>
      <c r="TX74" s="59" t="str">
        <f>""</f>
        <v/>
      </c>
      <c r="TY74" s="18" t="s">
        <v>506</v>
      </c>
      <c r="TZ74" s="18" t="s">
        <v>507</v>
      </c>
      <c r="UA74" s="142" t="s">
        <v>2221</v>
      </c>
      <c r="UB74" s="319" t="s">
        <v>2113</v>
      </c>
      <c r="UH74" s="18" t="str">
        <f ca="1">IF(UH$1&gt;=$TM74,1,"0")</f>
        <v>0</v>
      </c>
      <c r="UI74" s="18" t="str">
        <f ca="1">IF(UI$1&gt;=$TM74,1,"0")</f>
        <v>0</v>
      </c>
      <c r="WD74" s="18" t="str">
        <f ca="1">IF(SUM($VZ$1:$WC$1)&gt;0,IF(AND(SUM($VZ74:$WC74)&gt;0,$TM74=WE$1),MAX(WD$2:WD73)+1,""),IF(AND(SUM($UC74:$VY74)&gt;0,$TM74=WE$1),MAX(WD$2:WD73)+1,""))</f>
        <v/>
      </c>
      <c r="WE74" s="59" t="str">
        <f t="shared" ca="1" si="169"/>
        <v/>
      </c>
      <c r="WF74" s="18" t="str">
        <f ca="1">IF(AND(SUM($UB74:$VY74)&gt;0,$TM74=WG$1),MAX(WF$2:WF73)+1,"")</f>
        <v/>
      </c>
      <c r="WG74" s="59" t="str">
        <f t="shared" ca="1" si="170"/>
        <v/>
      </c>
      <c r="WH74" s="18" t="str">
        <f ca="1">IF(AND(SUM($UB74:$VY74)&gt;0,$TM74=WI$1),MAX(WH$2:WH73)+1,"")</f>
        <v/>
      </c>
      <c r="WI74" s="59" t="str">
        <f t="shared" ca="1" si="171"/>
        <v/>
      </c>
      <c r="WJ74" s="18" t="str">
        <f ca="1">IF(AND(SUM($UB74:$VY74)&gt;0,$TM74=WK$1),MAX(WJ$2:WJ73)+1,"")</f>
        <v/>
      </c>
      <c r="WK74" s="59" t="str">
        <f t="shared" ca="1" si="172"/>
        <v/>
      </c>
      <c r="WL74" s="18" t="str">
        <f ca="1">IF(AND(SUM($UB74:$VY74)&gt;0,$TM74=WM$1),MAX(WL$2:WL73)+1,"")</f>
        <v/>
      </c>
      <c r="WM74" s="59" t="str">
        <f t="shared" ca="1" si="173"/>
        <v/>
      </c>
      <c r="WN74" s="18" t="str">
        <f ca="1">IF(AND(SUM($UB74:$VY74)&gt;0,$TM74=WO$1),MAX(WN$2:WN73)+1,"")</f>
        <v/>
      </c>
      <c r="WO74" s="59" t="str">
        <f t="shared" ca="1" si="174"/>
        <v/>
      </c>
      <c r="WP74" s="18" t="str">
        <f ca="1">IF(AND(SUM($UB74:$VY74)&gt;0,$TM74=WQ$1),MAX(WP$2:WP73)+1,"")</f>
        <v/>
      </c>
      <c r="WQ74" s="59" t="str">
        <f t="shared" ca="1" si="175"/>
        <v/>
      </c>
      <c r="WR74" s="18" t="str">
        <f ca="1">IF(AND(SUM($UB74:$VY74)&gt;0,$TM74=WS$1),MAX(WR$2:WR73)+1,"")</f>
        <v/>
      </c>
      <c r="WS74" s="59" t="str">
        <f t="shared" ca="1" si="176"/>
        <v/>
      </c>
      <c r="WT74" s="18" t="str">
        <f ca="1">IF(AND(SUM($UB74:$VY74)&gt;0,$TM74=WU$1),MAX(WT$2:WT73)+1,"")</f>
        <v/>
      </c>
      <c r="WU74" s="59" t="str">
        <f t="shared" ca="1" si="177"/>
        <v/>
      </c>
      <c r="WV74" s="18" t="str">
        <f ca="1">IF(AND(SUM($UB74:$VY74)&gt;0,$TM74=WW$1),MAX(WV$2:WV73)+1,"")</f>
        <v/>
      </c>
      <c r="WW74" s="59" t="str">
        <f t="shared" ca="1" si="178"/>
        <v/>
      </c>
      <c r="WX74" s="18" t="str">
        <f ca="1">IF(AND(SUM($UB74:$VY74)&gt;0,$TM74=WY$1),MAX(WX$2:WX73)+1,"")</f>
        <v/>
      </c>
      <c r="WY74" s="59" t="str">
        <f t="shared" ca="1" si="179"/>
        <v/>
      </c>
      <c r="WZ74" s="59"/>
      <c r="XC74" s="59" t="str">
        <f t="shared" ca="1" si="182"/>
        <v/>
      </c>
      <c r="XD74" s="59"/>
      <c r="XE74" s="59"/>
      <c r="XF74" s="59"/>
      <c r="XG74" s="59"/>
      <c r="XH74" s="59"/>
      <c r="XI74" s="59"/>
      <c r="XJ74" s="59"/>
      <c r="XK74" s="59"/>
      <c r="XL74" s="59"/>
      <c r="XM74" s="59"/>
    </row>
    <row r="75" spans="41:675" ht="9.9499999999999993" customHeight="1" x14ac:dyDescent="0.2">
      <c r="FX75" s="104"/>
      <c r="FY75" s="104"/>
      <c r="GE75" s="104"/>
      <c r="GF75" s="104"/>
      <c r="GG75" s="104"/>
      <c r="GH75" s="104"/>
      <c r="HK75" s="59"/>
      <c r="HL75" s="59"/>
      <c r="IX75" s="58" t="s">
        <v>1634</v>
      </c>
      <c r="IY75" s="58" t="s">
        <v>1635</v>
      </c>
      <c r="IZ75" s="58" t="s">
        <v>196</v>
      </c>
      <c r="JA75" s="58" t="s">
        <v>284</v>
      </c>
      <c r="JB75" s="58" t="s">
        <v>1636</v>
      </c>
      <c r="JM75" s="296">
        <v>20</v>
      </c>
      <c r="JN75" s="296">
        <v>4</v>
      </c>
      <c r="JO75" s="296">
        <v>3</v>
      </c>
      <c r="JP75" s="296">
        <v>3</v>
      </c>
      <c r="JQ75" s="296">
        <v>1</v>
      </c>
      <c r="JR75" s="302" t="s">
        <v>140</v>
      </c>
      <c r="JS75" s="302" t="s">
        <v>140</v>
      </c>
      <c r="JT75" s="302" t="s">
        <v>140</v>
      </c>
      <c r="JU75" s="302" t="s">
        <v>140</v>
      </c>
      <c r="JV75" s="302" t="s">
        <v>140</v>
      </c>
      <c r="JW75" s="302">
        <v>4</v>
      </c>
      <c r="JX75" s="302"/>
      <c r="KT75" s="88" t="s">
        <v>250</v>
      </c>
      <c r="KU75" s="80" t="str">
        <f t="shared" ca="1" si="157"/>
        <v>No</v>
      </c>
      <c r="KV75" s="89" t="s">
        <v>90</v>
      </c>
      <c r="KW75" s="92"/>
      <c r="KX75" s="92"/>
      <c r="KY75" s="92"/>
      <c r="KZ75" s="92"/>
      <c r="LA75" s="92"/>
      <c r="LB75" s="92"/>
      <c r="LC75" s="92"/>
      <c r="LD75" s="92"/>
      <c r="LE75" s="92"/>
      <c r="LF75" s="92"/>
      <c r="LG75" s="92"/>
      <c r="LH75" s="92"/>
      <c r="LI75" s="92"/>
      <c r="LJ75" s="92"/>
      <c r="LK75" s="92"/>
      <c r="LL75" s="92"/>
      <c r="LM75" s="92"/>
      <c r="LN75" s="92"/>
      <c r="LO75" s="92"/>
      <c r="LP75" s="92"/>
      <c r="LQ75" s="92"/>
      <c r="LR75" s="92"/>
      <c r="LS75" s="92"/>
      <c r="LT75" s="92"/>
      <c r="LU75" s="92"/>
      <c r="LV75" s="92"/>
      <c r="LW75" s="92"/>
      <c r="LX75" s="92"/>
      <c r="LY75" s="92"/>
      <c r="LZ75" s="92"/>
      <c r="MA75" s="92" t="str">
        <f>IF(Class1=MA$5,IF(MA$1&gt;0,$KT75,""),"")</f>
        <v/>
      </c>
      <c r="MB75" s="92"/>
      <c r="MC75" s="92"/>
      <c r="MD75" s="92"/>
      <c r="ME75" s="92"/>
      <c r="MF75" s="92"/>
      <c r="MG75" s="92"/>
      <c r="MH75" s="92" t="str">
        <f>IF(Class1=MH$5,IF(MH$1&gt;0,$KT75,""),"")</f>
        <v/>
      </c>
      <c r="MI75" s="92"/>
      <c r="MJ75" s="92"/>
      <c r="MK75" s="92"/>
      <c r="ML75" s="92"/>
      <c r="MM75" s="92"/>
      <c r="MN75" s="92" t="str">
        <f ca="1">IF(MN$1&gt;0,$KT75,"")</f>
        <v/>
      </c>
      <c r="MO75" s="92"/>
      <c r="MP75" s="92" t="str">
        <f t="shared" ca="1" si="183"/>
        <v/>
      </c>
      <c r="MQ75" s="92" t="str">
        <f t="shared" ca="1" si="183"/>
        <v/>
      </c>
      <c r="MR75" s="92"/>
      <c r="MS75" s="92" t="str">
        <f ca="1">IF(MS$1&gt;0,$KT75,"")</f>
        <v/>
      </c>
      <c r="MT75" s="92"/>
      <c r="MU75" s="92"/>
      <c r="MV75" s="92"/>
      <c r="MW75" s="92"/>
      <c r="MX75" s="92"/>
      <c r="MY75" s="92"/>
      <c r="MZ75" s="92"/>
      <c r="NA75" s="92"/>
      <c r="NB75" s="92"/>
      <c r="NC75" s="92"/>
      <c r="ND75" s="92"/>
      <c r="NE75" s="92"/>
      <c r="NF75" s="92"/>
      <c r="NG75" s="92"/>
      <c r="NH75" s="92"/>
      <c r="NI75" s="92"/>
      <c r="NJ75" s="92"/>
      <c r="NK75" s="92"/>
      <c r="NL75" s="92"/>
      <c r="NM75" s="92"/>
      <c r="NN75" s="92"/>
      <c r="NO75" s="92"/>
      <c r="NP75" s="92"/>
      <c r="NQ75" s="92"/>
      <c r="NR75" s="92"/>
      <c r="NS75" s="92"/>
      <c r="NT75" s="92"/>
      <c r="NU75" s="92"/>
      <c r="NV75" s="92"/>
      <c r="NW75" s="92"/>
      <c r="NX75" s="92"/>
      <c r="NY75" s="92"/>
      <c r="NZ75" s="92"/>
      <c r="OA75" s="92"/>
      <c r="OB75" s="92"/>
      <c r="OC75" s="92"/>
      <c r="OD75" s="92"/>
      <c r="OE75" s="92"/>
      <c r="OF75" s="92"/>
      <c r="OG75" s="92"/>
      <c r="OH75" s="92"/>
      <c r="OI75" s="92"/>
      <c r="OJ75" s="92"/>
      <c r="OK75" s="92"/>
      <c r="OL75" s="92"/>
      <c r="OM75" s="92"/>
      <c r="ON75" s="92"/>
      <c r="OO75" s="92" t="str">
        <f>IF(OO$1&gt;0,$KT75,"")</f>
        <v/>
      </c>
      <c r="OP75" s="92"/>
      <c r="OQ75" s="92"/>
      <c r="OR75" s="92"/>
      <c r="OS75" s="92"/>
      <c r="OT75" s="92"/>
      <c r="OU75" s="92"/>
      <c r="OV75" s="92"/>
      <c r="OW75" s="92"/>
      <c r="OX75" s="92"/>
      <c r="OY75" s="92"/>
      <c r="OZ75" s="92"/>
      <c r="PA75" s="92"/>
      <c r="PB75" s="92"/>
      <c r="PC75" s="92"/>
      <c r="PD75" s="92"/>
      <c r="PE75" s="92"/>
      <c r="PF75" s="92"/>
      <c r="PG75" s="92"/>
      <c r="PH75" s="92"/>
      <c r="PI75" s="92"/>
      <c r="PJ75" s="92"/>
      <c r="PK75" s="92"/>
      <c r="PL75" s="92"/>
      <c r="PM75" s="92"/>
      <c r="PN75" s="92"/>
      <c r="PO75" s="92"/>
      <c r="PP75" s="92"/>
      <c r="PQ75" s="92"/>
      <c r="PR75" s="92"/>
      <c r="PS75" s="92"/>
      <c r="PT75" s="92"/>
      <c r="PU75" s="59" t="str">
        <f ca="1">IF($PU$62="",IF(COUNTIF(KW75:PT75,"&gt;&lt;"),KT75,""),"")</f>
        <v/>
      </c>
      <c r="PV75" s="59" t="str">
        <f ca="1">IF(PU75="","",IF(COUNTIF(PU75:$PU$76,"&gt;&lt;")&gt;1,PU75&amp;", ", PU75))</f>
        <v/>
      </c>
      <c r="PW75" s="59"/>
      <c r="PX75" s="59"/>
      <c r="PY75" s="60"/>
      <c r="TJ75" s="18">
        <f t="shared" si="181"/>
        <v>73</v>
      </c>
      <c r="TK75" s="58" t="s">
        <v>1944</v>
      </c>
      <c r="TL75" s="58" t="s">
        <v>463</v>
      </c>
      <c r="TM75" s="18">
        <v>6</v>
      </c>
      <c r="TN75" s="59" t="str">
        <f t="shared" si="167"/>
        <v xml:space="preserve">Contingency </v>
      </c>
      <c r="TO75" s="18" t="str">
        <f>""</f>
        <v/>
      </c>
      <c r="TP75" s="18" t="str">
        <f t="shared" si="168"/>
        <v/>
      </c>
      <c r="TQ75" s="18" t="str">
        <f>IF(OR(TK75=Spellcasting!$AC$18,TK75=Spellcasting!$AC$19),"ᵐ","")</f>
        <v/>
      </c>
      <c r="TR75" s="18" t="str">
        <f>IF(OR(TK75=Spellcasting!$AC$20,TK75=Spellcasting!$AC$21),"ˢ","")</f>
        <v/>
      </c>
      <c r="TS75" s="18" t="str">
        <f>""</f>
        <v/>
      </c>
      <c r="TT75" s="18" t="s">
        <v>582</v>
      </c>
      <c r="TU75" s="18" t="s">
        <v>509</v>
      </c>
      <c r="TV75" s="18" t="s">
        <v>1260</v>
      </c>
      <c r="TW75" s="18" t="s">
        <v>495</v>
      </c>
      <c r="TX75" s="59" t="s">
        <v>1988</v>
      </c>
      <c r="TY75" s="18" t="s">
        <v>534</v>
      </c>
      <c r="TZ75" s="18" t="s">
        <v>535</v>
      </c>
      <c r="UA75" s="142" t="s">
        <v>3258</v>
      </c>
      <c r="UB75" s="319" t="s">
        <v>2041</v>
      </c>
      <c r="UL75" s="18" t="str">
        <f ca="1">IF(UL$1&gt;=$TM75,1,"0")</f>
        <v>0</v>
      </c>
      <c r="WD75" s="18" t="str">
        <f ca="1">IF(SUM($VZ$1:$WC$1)&gt;0,IF(AND(SUM($VZ75:$WC75)&gt;0,$TM75=WE$1),MAX(WD$2:WD74)+1,""),IF(AND(SUM($UC75:$VY75)&gt;0,$TM75=WE$1),MAX(WD$2:WD74)+1,""))</f>
        <v/>
      </c>
      <c r="WE75" s="59" t="str">
        <f t="shared" ca="1" si="169"/>
        <v/>
      </c>
      <c r="WF75" s="18" t="str">
        <f ca="1">IF(AND(SUM($UB75:$VY75)&gt;0,$TM75=WG$1),MAX(WF$2:WF74)+1,"")</f>
        <v/>
      </c>
      <c r="WG75" s="59" t="str">
        <f t="shared" ca="1" si="170"/>
        <v/>
      </c>
      <c r="WH75" s="18" t="str">
        <f ca="1">IF(AND(SUM($UB75:$VY75)&gt;0,$TM75=WI$1),MAX(WH$2:WH74)+1,"")</f>
        <v/>
      </c>
      <c r="WI75" s="59" t="str">
        <f t="shared" ca="1" si="171"/>
        <v/>
      </c>
      <c r="WJ75" s="18" t="str">
        <f ca="1">IF(AND(SUM($UB75:$VY75)&gt;0,$TM75=WK$1),MAX(WJ$2:WJ74)+1,"")</f>
        <v/>
      </c>
      <c r="WK75" s="59" t="str">
        <f t="shared" ca="1" si="172"/>
        <v/>
      </c>
      <c r="WL75" s="18" t="str">
        <f ca="1">IF(AND(SUM($UB75:$VY75)&gt;0,$TM75=WM$1),MAX(WL$2:WL74)+1,"")</f>
        <v/>
      </c>
      <c r="WM75" s="59" t="str">
        <f t="shared" ca="1" si="173"/>
        <v/>
      </c>
      <c r="WN75" s="18" t="str">
        <f ca="1">IF(AND(SUM($UB75:$VY75)&gt;0,$TM75=WO$1),MAX(WN$2:WN74)+1,"")</f>
        <v/>
      </c>
      <c r="WO75" s="59" t="str">
        <f t="shared" ca="1" si="174"/>
        <v/>
      </c>
      <c r="WP75" s="18" t="str">
        <f ca="1">IF(AND(SUM($UB75:$VY75)&gt;0,$TM75=WQ$1),MAX(WP$2:WP74)+1,"")</f>
        <v/>
      </c>
      <c r="WQ75" s="59" t="str">
        <f t="shared" ca="1" si="175"/>
        <v/>
      </c>
      <c r="WR75" s="18" t="str">
        <f ca="1">IF(AND(SUM($UB75:$VY75)&gt;0,$TM75=WS$1),MAX(WR$2:WR74)+1,"")</f>
        <v/>
      </c>
      <c r="WS75" s="59" t="str">
        <f t="shared" ca="1" si="176"/>
        <v/>
      </c>
      <c r="WT75" s="18" t="str">
        <f ca="1">IF(AND(SUM($UB75:$VY75)&gt;0,$TM75=WU$1),MAX(WT$2:WT74)+1,"")</f>
        <v/>
      </c>
      <c r="WU75" s="59" t="str">
        <f t="shared" ca="1" si="177"/>
        <v/>
      </c>
      <c r="WV75" s="18" t="str">
        <f ca="1">IF(AND(SUM($UB75:$VY75)&gt;0,$TM75=WW$1),MAX(WV$2:WV74)+1,"")</f>
        <v/>
      </c>
      <c r="WW75" s="59" t="str">
        <f t="shared" ca="1" si="178"/>
        <v/>
      </c>
      <c r="WX75" s="18" t="str">
        <f ca="1">IF(AND(SUM($UB75:$VY75)&gt;0,$TM75=WY$1),MAX(WX$2:WX74)+1,"")</f>
        <v/>
      </c>
      <c r="WY75" s="59" t="str">
        <f t="shared" ca="1" si="179"/>
        <v/>
      </c>
      <c r="WZ75" s="59"/>
      <c r="XC75" s="59" t="str">
        <f t="shared" ca="1" si="182"/>
        <v/>
      </c>
      <c r="XD75" s="59"/>
      <c r="XE75" s="59"/>
      <c r="XF75" s="59"/>
      <c r="XG75" s="59"/>
      <c r="XH75" s="59"/>
      <c r="XI75" s="59"/>
      <c r="XJ75" s="59"/>
      <c r="XK75" s="59"/>
      <c r="XL75" s="59"/>
      <c r="XM75" s="59"/>
    </row>
    <row r="76" spans="41:675" ht="9.9499999999999993" customHeight="1" x14ac:dyDescent="0.2">
      <c r="FX76" s="104"/>
      <c r="FY76" s="104"/>
      <c r="GE76" s="104"/>
      <c r="GF76" s="104"/>
      <c r="GG76" s="104"/>
      <c r="GH76" s="104"/>
      <c r="HK76" s="59"/>
      <c r="HL76" s="59"/>
      <c r="IX76" s="58" t="s">
        <v>1654</v>
      </c>
      <c r="IY76" s="58" t="s">
        <v>1655</v>
      </c>
      <c r="IZ76" s="58" t="s">
        <v>196</v>
      </c>
      <c r="JA76" s="58" t="s">
        <v>1656</v>
      </c>
      <c r="JB76" s="58" t="s">
        <v>1657</v>
      </c>
      <c r="JX76" s="302"/>
      <c r="KT76" s="88" t="s">
        <v>251</v>
      </c>
      <c r="KU76" s="80" t="str">
        <f t="shared" ca="1" si="157"/>
        <v>No</v>
      </c>
      <c r="KV76" s="89" t="s">
        <v>90</v>
      </c>
      <c r="KW76" s="92"/>
      <c r="KX76" s="92"/>
      <c r="KY76" s="92"/>
      <c r="KZ76" s="92"/>
      <c r="LA76" s="92"/>
      <c r="LB76" s="92"/>
      <c r="LC76" s="92"/>
      <c r="LD76" s="92"/>
      <c r="LE76" s="92"/>
      <c r="LF76" s="92"/>
      <c r="LG76" s="92"/>
      <c r="LH76" s="92"/>
      <c r="LI76" s="92"/>
      <c r="LJ76" s="92"/>
      <c r="LK76" s="92"/>
      <c r="LL76" s="92"/>
      <c r="LM76" s="92"/>
      <c r="LN76" s="92"/>
      <c r="LO76" s="92"/>
      <c r="LP76" s="92"/>
      <c r="LQ76" s="92"/>
      <c r="LR76" s="92"/>
      <c r="LS76" s="92"/>
      <c r="LT76" s="92"/>
      <c r="LU76" s="92"/>
      <c r="LV76" s="92"/>
      <c r="LW76" s="92"/>
      <c r="LX76" s="92"/>
      <c r="LY76" s="92"/>
      <c r="LZ76" s="92"/>
      <c r="MA76" s="92" t="str">
        <f>IF(Class1=MA$5,IF(MA$1&gt;0,$KT76,""),"")</f>
        <v/>
      </c>
      <c r="MB76" s="92"/>
      <c r="MC76" s="92"/>
      <c r="MD76" s="92"/>
      <c r="ME76" s="92"/>
      <c r="MF76" s="92"/>
      <c r="MG76" s="92"/>
      <c r="MH76" s="92" t="str">
        <f>IF(Class1=MH$5,IF(MH$1&gt;0,$KT76,""),"")</f>
        <v/>
      </c>
      <c r="MI76" s="92"/>
      <c r="MJ76" s="92"/>
      <c r="MK76" s="92"/>
      <c r="ML76" s="92"/>
      <c r="MM76" s="92"/>
      <c r="MN76" s="92" t="str">
        <f ca="1">IF(MN$1&gt;0,$KT76,"")</f>
        <v/>
      </c>
      <c r="MO76" s="92"/>
      <c r="MP76" s="92" t="str">
        <f t="shared" ca="1" si="183"/>
        <v/>
      </c>
      <c r="MQ76" s="92" t="str">
        <f t="shared" ca="1" si="183"/>
        <v/>
      </c>
      <c r="MR76" s="92"/>
      <c r="MS76" s="92" t="str">
        <f ca="1">IF(MS$1&gt;0,$KT76,"")</f>
        <v/>
      </c>
      <c r="MT76" s="92"/>
      <c r="MU76" s="92"/>
      <c r="MV76" s="92"/>
      <c r="MW76" s="92"/>
      <c r="MX76" s="92"/>
      <c r="MY76" s="92"/>
      <c r="MZ76" s="92"/>
      <c r="NA76" s="92"/>
      <c r="NB76" s="92"/>
      <c r="NC76" s="92"/>
      <c r="ND76" s="92"/>
      <c r="NE76" s="92"/>
      <c r="NF76" s="92"/>
      <c r="NG76" s="92"/>
      <c r="NH76" s="92"/>
      <c r="NI76" s="92"/>
      <c r="NJ76" s="92"/>
      <c r="NK76" s="92"/>
      <c r="NL76" s="92"/>
      <c r="NM76" s="92"/>
      <c r="NN76" s="92"/>
      <c r="NO76" s="92"/>
      <c r="NP76" s="92"/>
      <c r="NQ76" s="92"/>
      <c r="NR76" s="92"/>
      <c r="NS76" s="92"/>
      <c r="NT76" s="92"/>
      <c r="NU76" s="92"/>
      <c r="NV76" s="92"/>
      <c r="NW76" s="92"/>
      <c r="NX76" s="92"/>
      <c r="NY76" s="92"/>
      <c r="NZ76" s="92"/>
      <c r="OA76" s="92"/>
      <c r="OB76" s="92"/>
      <c r="OC76" s="92"/>
      <c r="OD76" s="92"/>
      <c r="OE76" s="92"/>
      <c r="OF76" s="92"/>
      <c r="OG76" s="92"/>
      <c r="OH76" s="92"/>
      <c r="OI76" s="92"/>
      <c r="OJ76" s="92"/>
      <c r="OK76" s="92"/>
      <c r="OL76" s="92"/>
      <c r="OM76" s="92"/>
      <c r="ON76" s="92"/>
      <c r="OO76" s="92" t="str">
        <f>IF(OO$1&gt;0,$KT76,"")</f>
        <v/>
      </c>
      <c r="OP76" s="92"/>
      <c r="OQ76" s="92"/>
      <c r="OR76" s="92"/>
      <c r="OS76" s="92"/>
      <c r="OT76" s="92"/>
      <c r="OU76" s="92"/>
      <c r="OV76" s="92"/>
      <c r="OW76" s="92"/>
      <c r="OX76" s="92"/>
      <c r="OY76" s="92"/>
      <c r="OZ76" s="92"/>
      <c r="PA76" s="92"/>
      <c r="PB76" s="92"/>
      <c r="PC76" s="92"/>
      <c r="PD76" s="92"/>
      <c r="PE76" s="92"/>
      <c r="PF76" s="92"/>
      <c r="PG76" s="92"/>
      <c r="PH76" s="92"/>
      <c r="PI76" s="92"/>
      <c r="PJ76" s="92"/>
      <c r="PK76" s="92"/>
      <c r="PL76" s="92"/>
      <c r="PM76" s="92"/>
      <c r="PN76" s="92"/>
      <c r="PO76" s="92"/>
      <c r="PP76" s="92"/>
      <c r="PQ76" s="92"/>
      <c r="PR76" s="92"/>
      <c r="PS76" s="92"/>
      <c r="PT76" s="92"/>
      <c r="PU76" s="59" t="str">
        <f ca="1">IF($PU$62="",IF(COUNTIF(KW76:PT76,"&gt;&lt;"),KT76,""),"")</f>
        <v/>
      </c>
      <c r="PV76" s="59" t="str">
        <f ca="1">IF(PU76="","",IF(COUNTIF(PU76:$PU$76,"&gt;&lt;")&gt;1,PU76&amp;", ", PU76))</f>
        <v/>
      </c>
      <c r="PW76" s="59"/>
      <c r="PX76" s="59"/>
      <c r="TJ76" s="18">
        <f t="shared" si="181"/>
        <v>74</v>
      </c>
      <c r="TK76" s="58" t="s">
        <v>1225</v>
      </c>
      <c r="TL76" s="58" t="s">
        <v>459</v>
      </c>
      <c r="TM76" s="18">
        <v>2</v>
      </c>
      <c r="TN76" s="59" t="str">
        <f t="shared" si="167"/>
        <v xml:space="preserve">Continual Flame </v>
      </c>
      <c r="TO76" s="18" t="str">
        <f>""</f>
        <v/>
      </c>
      <c r="TP76" s="18" t="str">
        <f t="shared" si="168"/>
        <v/>
      </c>
      <c r="TQ76" s="18" t="str">
        <f>IF(OR(TK76=Spellcasting!$AC$18,TK76=Spellcasting!$AC$19),"ᵐ","")</f>
        <v/>
      </c>
      <c r="TR76" s="18" t="str">
        <f>IF(OR(TK76=Spellcasting!$AC$20,TK76=Spellcasting!$AC$21),"ˢ","")</f>
        <v/>
      </c>
      <c r="TS76" s="18" t="str">
        <f>""</f>
        <v/>
      </c>
      <c r="TT76" s="18" t="s">
        <v>484</v>
      </c>
      <c r="TU76" s="18" t="s">
        <v>519</v>
      </c>
      <c r="TV76" s="18" t="s">
        <v>857</v>
      </c>
      <c r="TW76" s="18" t="s">
        <v>495</v>
      </c>
      <c r="TX76" s="59" t="s">
        <v>1268</v>
      </c>
      <c r="TY76" s="18" t="s">
        <v>534</v>
      </c>
      <c r="TZ76" s="18" t="s">
        <v>535</v>
      </c>
      <c r="UA76" s="59" t="s">
        <v>1269</v>
      </c>
      <c r="UB76" s="319" t="s">
        <v>3259</v>
      </c>
      <c r="UL76" s="18" t="str">
        <f ca="1">IF(UL$1&gt;=$TM76,1,"0")</f>
        <v>0</v>
      </c>
      <c r="VP76" s="18" t="str">
        <f>IF(VP$1&gt;=$TM76,1,"0")</f>
        <v>0</v>
      </c>
      <c r="WD76" s="18" t="str">
        <f ca="1">IF(SUM($VZ$1:$WC$1)&gt;0,IF(AND(SUM($VZ76:$WC76)&gt;0,$TM76=WE$1),MAX(WD$2:WD75)+1,""),IF(AND(SUM($UC76:$VY76)&gt;0,$TM76=WE$1),MAX(WD$2:WD75)+1,""))</f>
        <v/>
      </c>
      <c r="WE76" s="59" t="str">
        <f t="shared" ca="1" si="169"/>
        <v/>
      </c>
      <c r="WF76" s="18" t="str">
        <f ca="1">IF(AND(SUM($UB76:$VY76)&gt;0,$TM76=WG$1),MAX(WF$2:WF75)+1,"")</f>
        <v/>
      </c>
      <c r="WG76" s="59" t="str">
        <f t="shared" ca="1" si="170"/>
        <v/>
      </c>
      <c r="WH76" s="18" t="str">
        <f ca="1">IF(AND(SUM($UB76:$VY76)&gt;0,$TM76=WI$1),MAX(WH$2:WH75)+1,"")</f>
        <v/>
      </c>
      <c r="WI76" s="59" t="str">
        <f t="shared" ca="1" si="171"/>
        <v/>
      </c>
      <c r="WJ76" s="18" t="str">
        <f ca="1">IF(AND(SUM($UB76:$VY76)&gt;0,$TM76=WK$1),MAX(WJ$2:WJ75)+1,"")</f>
        <v/>
      </c>
      <c r="WK76" s="59" t="str">
        <f t="shared" ca="1" si="172"/>
        <v/>
      </c>
      <c r="WL76" s="18" t="str">
        <f ca="1">IF(AND(SUM($UB76:$VY76)&gt;0,$TM76=WM$1),MAX(WL$2:WL75)+1,"")</f>
        <v/>
      </c>
      <c r="WM76" s="59" t="str">
        <f t="shared" ca="1" si="173"/>
        <v/>
      </c>
      <c r="WN76" s="18" t="str">
        <f ca="1">IF(AND(SUM($UB76:$VY76)&gt;0,$TM76=WO$1),MAX(WN$2:WN75)+1,"")</f>
        <v/>
      </c>
      <c r="WO76" s="59" t="str">
        <f t="shared" ca="1" si="174"/>
        <v/>
      </c>
      <c r="WP76" s="18" t="str">
        <f ca="1">IF(AND(SUM($UB76:$VY76)&gt;0,$TM76=WQ$1),MAX(WP$2:WP75)+1,"")</f>
        <v/>
      </c>
      <c r="WQ76" s="59" t="str">
        <f t="shared" ca="1" si="175"/>
        <v/>
      </c>
      <c r="WR76" s="18" t="str">
        <f ca="1">IF(AND(SUM($UB76:$VY76)&gt;0,$TM76=WS$1),MAX(WR$2:WR75)+1,"")</f>
        <v/>
      </c>
      <c r="WS76" s="59" t="str">
        <f t="shared" ca="1" si="176"/>
        <v/>
      </c>
      <c r="WT76" s="18" t="str">
        <f ca="1">IF(AND(SUM($UB76:$VY76)&gt;0,$TM76=WU$1),MAX(WT$2:WT75)+1,"")</f>
        <v/>
      </c>
      <c r="WU76" s="59" t="str">
        <f t="shared" ca="1" si="177"/>
        <v/>
      </c>
      <c r="WV76" s="18" t="str">
        <f ca="1">IF(AND(SUM($UB76:$VY76)&gt;0,$TM76=WW$1),MAX(WV$2:WV75)+1,"")</f>
        <v/>
      </c>
      <c r="WW76" s="59" t="str">
        <f t="shared" ca="1" si="178"/>
        <v/>
      </c>
      <c r="WX76" s="18" t="str">
        <f ca="1">IF(AND(SUM($UB76:$VY76)&gt;0,$TM76=WY$1),MAX(WX$2:WX75)+1,"")</f>
        <v/>
      </c>
      <c r="WY76" s="59" t="str">
        <f t="shared" ca="1" si="179"/>
        <v/>
      </c>
      <c r="WZ76" s="59"/>
      <c r="XC76" s="59" t="str">
        <f t="shared" ca="1" si="182"/>
        <v/>
      </c>
      <c r="XD76" s="59"/>
      <c r="XE76" s="59"/>
      <c r="XF76" s="59"/>
      <c r="XG76" s="59"/>
      <c r="XH76" s="59"/>
      <c r="XI76" s="59"/>
      <c r="XJ76" s="59"/>
      <c r="XK76" s="59"/>
      <c r="XL76" s="59"/>
      <c r="XM76" s="59"/>
    </row>
    <row r="77" spans="41:675" ht="9.9499999999999993" customHeight="1" x14ac:dyDescent="0.2">
      <c r="FX77" s="104"/>
      <c r="FY77" s="104"/>
      <c r="HK77" s="59"/>
      <c r="HL77" s="59"/>
      <c r="IX77" s="58" t="s">
        <v>1658</v>
      </c>
      <c r="JM77" s="301" t="s">
        <v>1839</v>
      </c>
      <c r="JN77" s="301"/>
      <c r="JO77" s="301"/>
      <c r="JP77" s="301"/>
      <c r="JQ77" s="301"/>
      <c r="JR77" s="301"/>
      <c r="JS77" s="301"/>
      <c r="JT77" s="301"/>
      <c r="JU77" s="301"/>
      <c r="JV77" s="301"/>
      <c r="JW77" s="301"/>
      <c r="JX77" s="302"/>
      <c r="KT77" s="88" t="s">
        <v>1554</v>
      </c>
      <c r="KU77" s="80" t="str">
        <f t="shared" ca="1" si="157"/>
        <v>No</v>
      </c>
      <c r="KV77" s="89" t="s">
        <v>247</v>
      </c>
      <c r="KW77" s="92" t="str">
        <f t="shared" ref="KW77:LF77" si="184">IF(KW$1&gt;0,$KT77,"")</f>
        <v/>
      </c>
      <c r="KX77" s="92" t="str">
        <f t="shared" si="184"/>
        <v/>
      </c>
      <c r="KY77" s="92" t="str">
        <f t="shared" si="184"/>
        <v/>
      </c>
      <c r="KZ77" s="92" t="str">
        <f t="shared" si="184"/>
        <v/>
      </c>
      <c r="LA77" s="92" t="str">
        <f t="shared" si="184"/>
        <v/>
      </c>
      <c r="LB77" s="92" t="str">
        <f t="shared" si="184"/>
        <v/>
      </c>
      <c r="LC77" s="92" t="str">
        <f t="shared" si="184"/>
        <v/>
      </c>
      <c r="LD77" s="92" t="str">
        <f t="shared" si="184"/>
        <v/>
      </c>
      <c r="LE77" s="92" t="str">
        <f t="shared" si="184"/>
        <v/>
      </c>
      <c r="LF77" s="92" t="str">
        <f t="shared" si="184"/>
        <v/>
      </c>
      <c r="LG77" s="92"/>
      <c r="LH77" s="92"/>
      <c r="LI77" s="92"/>
      <c r="LJ77" s="92"/>
      <c r="LK77" s="92"/>
      <c r="LL77" s="92"/>
      <c r="LM77" s="92"/>
      <c r="LN77" s="92"/>
      <c r="LO77" s="92"/>
      <c r="LP77" s="92"/>
      <c r="LQ77" s="92"/>
      <c r="LR77" s="92"/>
      <c r="LS77" s="92"/>
      <c r="LT77" s="92"/>
      <c r="LU77" s="92"/>
      <c r="LV77" s="92"/>
      <c r="LW77" s="92"/>
      <c r="LX77" s="92"/>
      <c r="LY77" s="92"/>
      <c r="LZ77" s="92"/>
      <c r="MA77" s="92" t="str">
        <f>IF(Class1=MA$5,IF(MA$1&gt;0,$KT77,""),"")</f>
        <v/>
      </c>
      <c r="MB77" s="92"/>
      <c r="MC77" s="92"/>
      <c r="MD77" s="92"/>
      <c r="ME77" s="92"/>
      <c r="MF77" s="92"/>
      <c r="MG77" s="92"/>
      <c r="MH77" s="92" t="str">
        <f>IF(Class1=MH$5,IF(MH$1&gt;0,$KT77,""),"")</f>
        <v/>
      </c>
      <c r="MI77" s="92"/>
      <c r="MJ77" s="92"/>
      <c r="MK77" s="92"/>
      <c r="ML77" s="92"/>
      <c r="MM77" s="92"/>
      <c r="MN77" s="92" t="str">
        <f ca="1">IF(MN$1&gt;0,$KT77,"")</f>
        <v/>
      </c>
      <c r="MO77" s="92"/>
      <c r="MP77" s="92" t="str">
        <f t="shared" ca="1" si="183"/>
        <v/>
      </c>
      <c r="MQ77" s="92" t="str">
        <f t="shared" ca="1" si="183"/>
        <v/>
      </c>
      <c r="MR77" s="92"/>
      <c r="MS77" s="92" t="str">
        <f ca="1">IF(MS$1&gt;0,$KT77,"")</f>
        <v/>
      </c>
      <c r="MT77" s="92"/>
      <c r="MU77" s="92"/>
      <c r="MV77" s="92"/>
      <c r="MW77" s="92"/>
      <c r="MX77" s="92"/>
      <c r="MY77" s="92"/>
      <c r="MZ77" s="92"/>
      <c r="NA77" s="92"/>
      <c r="NB77" s="92"/>
      <c r="NC77" s="92"/>
      <c r="ND77" s="92"/>
      <c r="NE77" s="92"/>
      <c r="NF77" s="92"/>
      <c r="NG77" s="92"/>
      <c r="NH77" s="92"/>
      <c r="NI77" s="92"/>
      <c r="NJ77" s="92"/>
      <c r="NK77" s="92"/>
      <c r="NL77" s="92"/>
      <c r="NM77" s="92"/>
      <c r="NN77" s="92"/>
      <c r="NO77" s="92"/>
      <c r="NP77" s="92"/>
      <c r="NQ77" s="92"/>
      <c r="NR77" s="92"/>
      <c r="NS77" s="92"/>
      <c r="NT77" s="92"/>
      <c r="NU77" s="92"/>
      <c r="NV77" s="92"/>
      <c r="NW77" s="92"/>
      <c r="NX77" s="92"/>
      <c r="NY77" s="92"/>
      <c r="NZ77" s="92"/>
      <c r="OA77" s="92"/>
      <c r="OB77" s="92"/>
      <c r="OC77" s="92"/>
      <c r="OD77" s="92"/>
      <c r="OE77" s="92"/>
      <c r="OF77" s="92"/>
      <c r="OG77" s="92"/>
      <c r="OH77" s="92"/>
      <c r="OI77" s="92"/>
      <c r="OJ77" s="92"/>
      <c r="OK77" s="92"/>
      <c r="OL77" s="92"/>
      <c r="OM77" s="92"/>
      <c r="ON77" s="92"/>
      <c r="OO77" s="92" t="str">
        <f>IF(OO$1&gt;0,$KT77,"")</f>
        <v/>
      </c>
      <c r="OP77" s="92"/>
      <c r="OQ77" s="92"/>
      <c r="OR77" s="92"/>
      <c r="OS77" s="92"/>
      <c r="OT77" s="92"/>
      <c r="OU77" s="92"/>
      <c r="OV77" s="92"/>
      <c r="OW77" s="92"/>
      <c r="OX77" s="92"/>
      <c r="OY77" s="92"/>
      <c r="OZ77" s="92"/>
      <c r="PA77" s="92"/>
      <c r="PB77" s="92"/>
      <c r="PC77" s="92"/>
      <c r="PD77" s="92"/>
      <c r="PE77" s="92"/>
      <c r="PF77" s="92"/>
      <c r="PG77" s="92"/>
      <c r="PH77" s="92"/>
      <c r="PI77" s="92"/>
      <c r="PJ77" s="92"/>
      <c r="PK77" s="92"/>
      <c r="PL77" s="92"/>
      <c r="PM77" s="92"/>
      <c r="PN77" s="92"/>
      <c r="PO77" s="92"/>
      <c r="PP77" s="92"/>
      <c r="PQ77" s="92"/>
      <c r="PR77" s="92"/>
      <c r="PS77" s="92"/>
      <c r="PT77" s="92"/>
      <c r="PU77" s="59" t="str">
        <f ca="1">IF($PU$62="",IF(COUNTIF(KW77:PT77,"&gt;&lt;"),KT77,""),"")</f>
        <v/>
      </c>
      <c r="PV77" s="59" t="str">
        <f ca="1">IF(PU77="","",IF(COUNTIF(PU77:$PU$78,"&gt;&lt;")&gt;1,PU77&amp;", ", PU77))</f>
        <v/>
      </c>
      <c r="PW77" s="59"/>
      <c r="PX77" s="59"/>
      <c r="TJ77" s="18">
        <f t="shared" si="181"/>
        <v>75</v>
      </c>
      <c r="TK77" s="58" t="s">
        <v>1247</v>
      </c>
      <c r="TL77" s="58" t="s">
        <v>461</v>
      </c>
      <c r="TM77" s="18">
        <v>4</v>
      </c>
      <c r="TN77" s="59" t="str">
        <f t="shared" si="167"/>
        <v xml:space="preserve">Control Water </v>
      </c>
      <c r="TO77" s="18" t="str">
        <f>""</f>
        <v/>
      </c>
      <c r="TP77" s="18" t="str">
        <f t="shared" si="168"/>
        <v/>
      </c>
      <c r="TQ77" s="18" t="str">
        <f>IF(OR(TK77=Spellcasting!$AC$18,TK77=Spellcasting!$AC$19),"ᵐ","")</f>
        <v/>
      </c>
      <c r="TR77" s="18" t="str">
        <f>IF(OR(TK77=Spellcasting!$AC$20,TK77=Spellcasting!$AC$21),"ˢ","")</f>
        <v/>
      </c>
      <c r="TS77" s="18" t="str">
        <f>""</f>
        <v/>
      </c>
      <c r="TT77" s="18" t="s">
        <v>484</v>
      </c>
      <c r="TU77" s="18" t="s">
        <v>1989</v>
      </c>
      <c r="TV77" s="18" t="s">
        <v>515</v>
      </c>
      <c r="TW77" s="18" t="s">
        <v>495</v>
      </c>
      <c r="TX77" s="59" t="s">
        <v>1990</v>
      </c>
      <c r="TY77" s="18" t="s">
        <v>491</v>
      </c>
      <c r="TZ77" s="18" t="s">
        <v>492</v>
      </c>
      <c r="UA77" s="142" t="s">
        <v>2710</v>
      </c>
      <c r="UB77" s="319" t="s">
        <v>3260</v>
      </c>
      <c r="UH77" s="18" t="str">
        <f ca="1">IF(UH$1&gt;=$TM77,1,"0")</f>
        <v>0</v>
      </c>
      <c r="UI77" s="18" t="str">
        <f ca="1">IF(UI$1&gt;=$TM77,1,"0")</f>
        <v>0</v>
      </c>
      <c r="UL77" s="18" t="str">
        <f ca="1">IF(UL$1&gt;=$TM77,1,"0")</f>
        <v>0</v>
      </c>
      <c r="VC77" s="18" t="str">
        <f>IF(VC$1&gt;=$TM77,1,"0")</f>
        <v>0</v>
      </c>
      <c r="VH77" s="18" t="str">
        <f>IF(VH$1&gt;=$TM77,1,"0")</f>
        <v>0</v>
      </c>
      <c r="WD77" s="18" t="str">
        <f ca="1">IF(SUM($VZ$1:$WC$1)&gt;0,IF(AND(SUM($VZ77:$WC77)&gt;0,$TM77=WE$1),MAX(WD$2:WD76)+1,""),IF(AND(SUM($UC77:$VY77)&gt;0,$TM77=WE$1),MAX(WD$2:WD76)+1,""))</f>
        <v/>
      </c>
      <c r="WE77" s="59" t="str">
        <f t="shared" ca="1" si="169"/>
        <v/>
      </c>
      <c r="WF77" s="18" t="str">
        <f ca="1">IF(AND(SUM($UB77:$VY77)&gt;0,$TM77=WG$1),MAX(WF$2:WF76)+1,"")</f>
        <v/>
      </c>
      <c r="WG77" s="59" t="str">
        <f t="shared" ca="1" si="170"/>
        <v/>
      </c>
      <c r="WH77" s="18" t="str">
        <f ca="1">IF(AND(SUM($UB77:$VY77)&gt;0,$TM77=WI$1),MAX(WH$2:WH76)+1,"")</f>
        <v/>
      </c>
      <c r="WI77" s="59" t="str">
        <f t="shared" ca="1" si="171"/>
        <v/>
      </c>
      <c r="WJ77" s="18" t="str">
        <f ca="1">IF(AND(SUM($UB77:$VY77)&gt;0,$TM77=WK$1),MAX(WJ$2:WJ76)+1,"")</f>
        <v/>
      </c>
      <c r="WK77" s="59" t="str">
        <f t="shared" ca="1" si="172"/>
        <v/>
      </c>
      <c r="WL77" s="18" t="str">
        <f ca="1">IF(AND(SUM($UB77:$VY77)&gt;0,$TM77=WM$1),MAX(WL$2:WL76)+1,"")</f>
        <v/>
      </c>
      <c r="WM77" s="59" t="str">
        <f t="shared" ca="1" si="173"/>
        <v/>
      </c>
      <c r="WN77" s="18" t="str">
        <f ca="1">IF(AND(SUM($UB77:$VY77)&gt;0,$TM77=WO$1),MAX(WN$2:WN76)+1,"")</f>
        <v/>
      </c>
      <c r="WO77" s="59" t="str">
        <f t="shared" ca="1" si="174"/>
        <v/>
      </c>
      <c r="WP77" s="18" t="str">
        <f ca="1">IF(AND(SUM($UB77:$VY77)&gt;0,$TM77=WQ$1),MAX(WP$2:WP76)+1,"")</f>
        <v/>
      </c>
      <c r="WQ77" s="59" t="str">
        <f t="shared" ca="1" si="175"/>
        <v/>
      </c>
      <c r="WR77" s="18" t="str">
        <f ca="1">IF(AND(SUM($UB77:$VY77)&gt;0,$TM77=WS$1),MAX(WR$2:WR76)+1,"")</f>
        <v/>
      </c>
      <c r="WS77" s="59" t="str">
        <f t="shared" ca="1" si="176"/>
        <v/>
      </c>
      <c r="WT77" s="18" t="str">
        <f ca="1">IF(AND(SUM($UB77:$VY77)&gt;0,$TM77=WU$1),MAX(WT$2:WT76)+1,"")</f>
        <v/>
      </c>
      <c r="WU77" s="59" t="str">
        <f t="shared" ca="1" si="177"/>
        <v/>
      </c>
      <c r="WV77" s="18" t="str">
        <f ca="1">IF(AND(SUM($UB77:$VY77)&gt;0,$TM77=WW$1),MAX(WV$2:WV76)+1,"")</f>
        <v/>
      </c>
      <c r="WW77" s="59" t="str">
        <f t="shared" ca="1" si="178"/>
        <v/>
      </c>
      <c r="WX77" s="18" t="str">
        <f ca="1">IF(AND(SUM($UB77:$VY77)&gt;0,$TM77=WY$1),MAX(WX$2:WX76)+1,"")</f>
        <v/>
      </c>
      <c r="WY77" s="59" t="str">
        <f t="shared" ca="1" si="179"/>
        <v/>
      </c>
      <c r="WZ77" s="59"/>
      <c r="XC77" s="59" t="str">
        <f t="shared" ca="1" si="182"/>
        <v/>
      </c>
      <c r="XD77" s="59"/>
      <c r="XE77" s="59"/>
      <c r="XF77" s="59"/>
      <c r="XG77" s="59"/>
      <c r="XH77" s="59"/>
      <c r="XI77" s="59"/>
      <c r="XJ77" s="59"/>
      <c r="XK77" s="59"/>
      <c r="XL77" s="59"/>
      <c r="XM77" s="59"/>
    </row>
    <row r="78" spans="41:675" ht="9.9499999999999993" customHeight="1" x14ac:dyDescent="0.2">
      <c r="FX78" s="104"/>
      <c r="HK78" s="59"/>
      <c r="HL78" s="59"/>
      <c r="IX78" s="58" t="s">
        <v>1662</v>
      </c>
      <c r="IY78" s="58" t="s">
        <v>1556</v>
      </c>
      <c r="IZ78" s="58" t="s">
        <v>203</v>
      </c>
      <c r="JA78" s="58" t="s">
        <v>283</v>
      </c>
      <c r="JB78" s="58" t="s">
        <v>1663</v>
      </c>
      <c r="JM78" s="296" t="s">
        <v>7</v>
      </c>
      <c r="JN78" s="297">
        <v>1</v>
      </c>
      <c r="JO78" s="298">
        <v>2</v>
      </c>
      <c r="JP78" s="299">
        <v>3</v>
      </c>
      <c r="JQ78" s="300">
        <v>4</v>
      </c>
      <c r="JR78" s="300">
        <v>5</v>
      </c>
      <c r="JS78" s="300">
        <v>6</v>
      </c>
      <c r="JT78" s="300">
        <v>7</v>
      </c>
      <c r="JU78" s="300">
        <v>8</v>
      </c>
      <c r="JV78" s="300">
        <v>9</v>
      </c>
      <c r="JW78" s="301"/>
      <c r="JX78" s="302"/>
      <c r="KT78" s="90" t="s">
        <v>187</v>
      </c>
      <c r="KU78" s="102" t="str">
        <f t="shared" ca="1" si="157"/>
        <v>No</v>
      </c>
      <c r="KV78" s="91" t="s">
        <v>247</v>
      </c>
      <c r="KW78" s="92"/>
      <c r="KX78" s="92"/>
      <c r="KY78" s="92"/>
      <c r="KZ78" s="92"/>
      <c r="LA78" s="92"/>
      <c r="LB78" s="92"/>
      <c r="LC78" s="92"/>
      <c r="LD78" s="92"/>
      <c r="LE78" s="92"/>
      <c r="LF78" s="92"/>
      <c r="LG78" s="92"/>
      <c r="LH78" s="92"/>
      <c r="LI78" s="92"/>
      <c r="LJ78" s="92"/>
      <c r="LK78" s="92"/>
      <c r="LL78" s="92"/>
      <c r="LM78" s="92"/>
      <c r="LN78" s="92"/>
      <c r="LO78" s="92"/>
      <c r="LP78" s="92"/>
      <c r="LQ78" s="92"/>
      <c r="LR78" s="92"/>
      <c r="LS78" s="92"/>
      <c r="LT78" s="92"/>
      <c r="LU78" s="92"/>
      <c r="LV78" s="92"/>
      <c r="LW78" s="92"/>
      <c r="LX78" s="92"/>
      <c r="LY78" s="92"/>
      <c r="LZ78" s="92" t="str">
        <f t="shared" ref="LZ78:MK78" ca="1" si="185">IF(LZ$1&gt;0,$KT78,"")</f>
        <v/>
      </c>
      <c r="MA78" s="92" t="str">
        <f t="shared" ca="1" si="185"/>
        <v/>
      </c>
      <c r="MB78" s="92" t="str">
        <f t="shared" ca="1" si="185"/>
        <v/>
      </c>
      <c r="MC78" s="92" t="str">
        <f t="shared" ca="1" si="185"/>
        <v/>
      </c>
      <c r="MD78" s="92" t="str">
        <f t="shared" ca="1" si="185"/>
        <v/>
      </c>
      <c r="ME78" s="92" t="str">
        <f t="shared" ca="1" si="185"/>
        <v/>
      </c>
      <c r="MF78" s="92" t="str">
        <f t="shared" ca="1" si="185"/>
        <v/>
      </c>
      <c r="MG78" s="92" t="str">
        <f t="shared" ca="1" si="185"/>
        <v/>
      </c>
      <c r="MH78" s="92" t="str">
        <f t="shared" ca="1" si="185"/>
        <v/>
      </c>
      <c r="MI78" s="92" t="str">
        <f t="shared" ca="1" si="159"/>
        <v/>
      </c>
      <c r="MJ78" s="92" t="str">
        <f t="shared" ca="1" si="185"/>
        <v/>
      </c>
      <c r="MK78" s="92" t="str">
        <f t="shared" ca="1" si="185"/>
        <v/>
      </c>
      <c r="ML78" s="92"/>
      <c r="MM78" s="92"/>
      <c r="MN78" s="92"/>
      <c r="MO78" s="92"/>
      <c r="MP78" s="92"/>
      <c r="MQ78" s="92"/>
      <c r="MR78" s="92"/>
      <c r="MS78" s="92"/>
      <c r="MT78" s="92"/>
      <c r="MU78" s="92"/>
      <c r="MV78" s="92"/>
      <c r="MW78" s="92"/>
      <c r="MX78" s="92"/>
      <c r="MY78" s="92"/>
      <c r="MZ78" s="92"/>
      <c r="NA78" s="92"/>
      <c r="NB78" s="92"/>
      <c r="NC78" s="92"/>
      <c r="ND78" s="92"/>
      <c r="NE78" s="92"/>
      <c r="NF78" s="92"/>
      <c r="NG78" s="92"/>
      <c r="NH78" s="92"/>
      <c r="NI78" s="92"/>
      <c r="NJ78" s="92"/>
      <c r="NK78" s="92"/>
      <c r="NL78" s="92"/>
      <c r="NM78" s="92"/>
      <c r="NN78" s="92"/>
      <c r="NO78" s="92"/>
      <c r="NP78" s="92"/>
      <c r="NQ78" s="92"/>
      <c r="NR78" s="92"/>
      <c r="NS78" s="92"/>
      <c r="NT78" s="92"/>
      <c r="NU78" s="92"/>
      <c r="NV78" s="92"/>
      <c r="NW78" s="92"/>
      <c r="NX78" s="92"/>
      <c r="NY78" s="92"/>
      <c r="NZ78" s="92"/>
      <c r="OA78" s="92"/>
      <c r="OB78" s="92"/>
      <c r="OC78" s="92"/>
      <c r="OD78" s="92"/>
      <c r="OE78" s="92"/>
      <c r="OF78" s="92"/>
      <c r="OG78" s="92"/>
      <c r="OH78" s="92"/>
      <c r="OI78" s="92"/>
      <c r="OJ78" s="92"/>
      <c r="OK78" s="92"/>
      <c r="OL78" s="92"/>
      <c r="OM78" s="92"/>
      <c r="ON78" s="92"/>
      <c r="OO78" s="92"/>
      <c r="OP78" s="92"/>
      <c r="OQ78" s="92"/>
      <c r="OR78" s="92"/>
      <c r="OS78" s="92"/>
      <c r="OT78" s="92"/>
      <c r="OU78" s="92"/>
      <c r="OV78" s="92"/>
      <c r="OW78" s="92"/>
      <c r="OX78" s="92"/>
      <c r="OY78" s="92"/>
      <c r="OZ78" s="92"/>
      <c r="PA78" s="92"/>
      <c r="PB78" s="92"/>
      <c r="PC78" s="92"/>
      <c r="PD78" s="92"/>
      <c r="PE78" s="92"/>
      <c r="PF78" s="92"/>
      <c r="PG78" s="92"/>
      <c r="PH78" s="92"/>
      <c r="PI78" s="92"/>
      <c r="PJ78" s="92"/>
      <c r="PK78" s="92"/>
      <c r="PL78" s="92"/>
      <c r="PM78" s="92"/>
      <c r="PN78" s="92"/>
      <c r="PO78" s="92"/>
      <c r="PP78" s="92"/>
      <c r="PQ78" s="92"/>
      <c r="PR78" s="92"/>
      <c r="PS78" s="92"/>
      <c r="PT78" s="92"/>
      <c r="PU78" s="59" t="str">
        <f ca="1">IF(COUNTIF(PU60:PU76,"&gt;&lt;"),"",IF(COUNTIF(KW78:PT78,"&gt;&lt;"),KT78,""))</f>
        <v/>
      </c>
      <c r="PV78" s="59" t="str">
        <f ca="1">IF(PU78="","",IF(COUNTIF(PU78:$PU$78,"&gt;&lt;")&gt;1,PU78&amp;", ", PU78))</f>
        <v/>
      </c>
      <c r="PW78" s="59"/>
      <c r="PX78" s="59"/>
      <c r="TJ78" s="18">
        <f t="shared" si="181"/>
        <v>76</v>
      </c>
      <c r="TK78" s="58" t="s">
        <v>1959</v>
      </c>
      <c r="TL78" s="58" t="s">
        <v>465</v>
      </c>
      <c r="TM78" s="18">
        <v>8</v>
      </c>
      <c r="TN78" s="59" t="str">
        <f t="shared" si="167"/>
        <v xml:space="preserve">Control Weather </v>
      </c>
      <c r="TO78" s="18" t="str">
        <f>""</f>
        <v/>
      </c>
      <c r="TP78" s="18" t="str">
        <f t="shared" si="168"/>
        <v/>
      </c>
      <c r="TQ78" s="18" t="str">
        <f>IF(OR(TK78=Spellcasting!$AC$18,TK78=Spellcasting!$AC$19),"ᵐ","")</f>
        <v/>
      </c>
      <c r="TR78" s="18" t="str">
        <f>IF(OR(TK78=Spellcasting!$AC$20,TK78=Spellcasting!$AC$21),"ˢ","")</f>
        <v/>
      </c>
      <c r="TS78" s="18" t="str">
        <f>""</f>
        <v/>
      </c>
      <c r="TT78" s="18" t="s">
        <v>582</v>
      </c>
      <c r="TU78" s="18" t="s">
        <v>509</v>
      </c>
      <c r="TV78" s="18" t="s">
        <v>704</v>
      </c>
      <c r="TW78" s="18" t="s">
        <v>495</v>
      </c>
      <c r="TX78" s="59" t="s">
        <v>1991</v>
      </c>
      <c r="TY78" s="18" t="s">
        <v>491</v>
      </c>
      <c r="TZ78" s="18" t="s">
        <v>492</v>
      </c>
      <c r="UA78" s="142" t="s">
        <v>2114</v>
      </c>
      <c r="UB78" s="319" t="s">
        <v>3261</v>
      </c>
      <c r="UH78" s="18" t="str">
        <f ca="1">IF(UH$1&gt;=$TM78,1,"0")</f>
        <v>0</v>
      </c>
      <c r="UI78" s="18" t="str">
        <f ca="1">IF(UI$1&gt;=$TM78,1,"0")</f>
        <v>0</v>
      </c>
      <c r="UL78" s="18" t="str">
        <f ca="1">IF(UL$1&gt;=$TM78,1,"0")</f>
        <v>0</v>
      </c>
      <c r="WD78" s="18" t="str">
        <f ca="1">IF(SUM($VZ$1:$WC$1)&gt;0,IF(AND(SUM($VZ78:$WC78)&gt;0,$TM78=WE$1),MAX(WD$2:WD77)+1,""),IF(AND(SUM($UC78:$VY78)&gt;0,$TM78=WE$1),MAX(WD$2:WD77)+1,""))</f>
        <v/>
      </c>
      <c r="WE78" s="59" t="str">
        <f t="shared" ca="1" si="169"/>
        <v/>
      </c>
      <c r="WF78" s="18" t="str">
        <f ca="1">IF(AND(SUM($UB78:$VY78)&gt;0,$TM78=WG$1),MAX(WF$2:WF77)+1,"")</f>
        <v/>
      </c>
      <c r="WG78" s="59" t="str">
        <f t="shared" ca="1" si="170"/>
        <v/>
      </c>
      <c r="WH78" s="18" t="str">
        <f ca="1">IF(AND(SUM($UB78:$VY78)&gt;0,$TM78=WI$1),MAX(WH$2:WH77)+1,"")</f>
        <v/>
      </c>
      <c r="WI78" s="59" t="str">
        <f t="shared" ca="1" si="171"/>
        <v/>
      </c>
      <c r="WJ78" s="18" t="str">
        <f ca="1">IF(AND(SUM($UB78:$VY78)&gt;0,$TM78=WK$1),MAX(WJ$2:WJ77)+1,"")</f>
        <v/>
      </c>
      <c r="WK78" s="59" t="str">
        <f t="shared" ca="1" si="172"/>
        <v/>
      </c>
      <c r="WL78" s="18" t="str">
        <f ca="1">IF(AND(SUM($UB78:$VY78)&gt;0,$TM78=WM$1),MAX(WL$2:WL77)+1,"")</f>
        <v/>
      </c>
      <c r="WM78" s="59" t="str">
        <f t="shared" ca="1" si="173"/>
        <v/>
      </c>
      <c r="WN78" s="18" t="str">
        <f ca="1">IF(AND(SUM($UB78:$VY78)&gt;0,$TM78=WO$1),MAX(WN$2:WN77)+1,"")</f>
        <v/>
      </c>
      <c r="WO78" s="59" t="str">
        <f t="shared" ca="1" si="174"/>
        <v/>
      </c>
      <c r="WP78" s="18" t="str">
        <f ca="1">IF(AND(SUM($UB78:$VY78)&gt;0,$TM78=WQ$1),MAX(WP$2:WP77)+1,"")</f>
        <v/>
      </c>
      <c r="WQ78" s="59" t="str">
        <f t="shared" ca="1" si="175"/>
        <v/>
      </c>
      <c r="WR78" s="18" t="str">
        <f ca="1">IF(AND(SUM($UB78:$VY78)&gt;0,$TM78=WS$1),MAX(WR$2:WR77)+1,"")</f>
        <v/>
      </c>
      <c r="WS78" s="59" t="str">
        <f t="shared" ca="1" si="176"/>
        <v/>
      </c>
      <c r="WT78" s="18" t="str">
        <f ca="1">IF(AND(SUM($UB78:$VY78)&gt;0,$TM78=WU$1),MAX(WT$2:WT77)+1,"")</f>
        <v/>
      </c>
      <c r="WU78" s="59" t="str">
        <f t="shared" ca="1" si="177"/>
        <v/>
      </c>
      <c r="WV78" s="18" t="str">
        <f ca="1">IF(AND(SUM($UB78:$VY78)&gt;0,$TM78=WW$1),MAX(WV$2:WV77)+1,"")</f>
        <v/>
      </c>
      <c r="WW78" s="59" t="str">
        <f t="shared" ca="1" si="178"/>
        <v/>
      </c>
      <c r="WX78" s="18" t="str">
        <f ca="1">IF(AND(SUM($UB78:$VY78)&gt;0,$TM78=WY$1),MAX(WX$2:WX77)+1,"")</f>
        <v/>
      </c>
      <c r="WY78" s="59" t="str">
        <f t="shared" ca="1" si="179"/>
        <v/>
      </c>
      <c r="WZ78" s="59"/>
      <c r="XC78" s="59" t="str">
        <f t="shared" ca="1" si="182"/>
        <v/>
      </c>
      <c r="XL78" s="59"/>
      <c r="XM78" s="59"/>
    </row>
    <row r="79" spans="41:675" ht="9.9499999999999993" customHeight="1" x14ac:dyDescent="0.2">
      <c r="FX79" s="104"/>
      <c r="HK79" s="59"/>
      <c r="HL79" s="59"/>
      <c r="IX79" s="58" t="s">
        <v>1659</v>
      </c>
      <c r="IY79" s="58" t="s">
        <v>1660</v>
      </c>
      <c r="IZ79" s="58" t="s">
        <v>203</v>
      </c>
      <c r="JA79" s="58" t="s">
        <v>281</v>
      </c>
      <c r="JB79" s="58" t="s">
        <v>1661</v>
      </c>
      <c r="JM79" s="296">
        <v>1</v>
      </c>
      <c r="JN79" s="98" t="s">
        <v>140</v>
      </c>
      <c r="JO79" s="98" t="s">
        <v>140</v>
      </c>
      <c r="JP79" s="98" t="s">
        <v>140</v>
      </c>
      <c r="JQ79" s="98" t="s">
        <v>140</v>
      </c>
      <c r="JR79" s="98" t="s">
        <v>140</v>
      </c>
      <c r="JS79" s="98" t="s">
        <v>140</v>
      </c>
      <c r="JT79" s="98" t="s">
        <v>140</v>
      </c>
      <c r="JU79" s="98" t="s">
        <v>140</v>
      </c>
      <c r="JV79" s="98" t="s">
        <v>140</v>
      </c>
      <c r="JW79" s="98">
        <v>0</v>
      </c>
      <c r="JX79" s="302"/>
      <c r="KT79" s="92"/>
      <c r="KU79" s="92"/>
      <c r="KV79" s="92"/>
      <c r="KW79" s="92"/>
      <c r="KX79" s="92"/>
      <c r="KY79" s="92"/>
      <c r="KZ79" s="92"/>
      <c r="LA79" s="92"/>
      <c r="LB79" s="92"/>
      <c r="LC79" s="92"/>
      <c r="LD79" s="92"/>
      <c r="LE79" s="92"/>
      <c r="LF79" s="92"/>
      <c r="LG79" s="92"/>
      <c r="LH79" s="92"/>
      <c r="LI79" s="92"/>
      <c r="LJ79" s="92"/>
      <c r="LK79" s="92"/>
      <c r="LL79" s="92"/>
      <c r="LM79" s="92"/>
      <c r="LN79" s="92"/>
      <c r="LO79" s="92"/>
      <c r="LP79" s="92"/>
      <c r="LQ79" s="92"/>
      <c r="LR79" s="92"/>
      <c r="LS79" s="92"/>
      <c r="LT79" s="92"/>
      <c r="LU79" s="92"/>
      <c r="LV79" s="92"/>
      <c r="LW79" s="92"/>
      <c r="LX79" s="92"/>
      <c r="LY79" s="92"/>
      <c r="LZ79" s="92"/>
      <c r="MA79" s="92"/>
      <c r="MB79" s="92"/>
      <c r="MC79" s="92"/>
      <c r="MD79" s="92"/>
      <c r="ME79" s="92"/>
      <c r="MF79" s="92"/>
      <c r="MG79" s="92"/>
      <c r="MH79" s="92"/>
      <c r="MI79" s="92"/>
      <c r="MJ79" s="92"/>
      <c r="MK79" s="92"/>
      <c r="ML79" s="92"/>
      <c r="MM79" s="92"/>
      <c r="MN79" s="92"/>
      <c r="MO79" s="92"/>
      <c r="MP79" s="92"/>
      <c r="MQ79" s="92"/>
      <c r="MR79" s="92"/>
      <c r="MS79" s="92"/>
      <c r="MT79" s="92"/>
      <c r="MU79" s="92"/>
      <c r="MV79" s="92"/>
      <c r="MW79" s="92"/>
      <c r="MX79" s="92"/>
      <c r="MY79" s="92"/>
      <c r="MZ79" s="92"/>
      <c r="NA79" s="92"/>
      <c r="NB79" s="92"/>
      <c r="NC79" s="92"/>
      <c r="ND79" s="92"/>
      <c r="NE79" s="92"/>
      <c r="NF79" s="92"/>
      <c r="NG79" s="92"/>
      <c r="NH79" s="92"/>
      <c r="NI79" s="92"/>
      <c r="NJ79" s="92"/>
      <c r="NK79" s="92"/>
      <c r="NL79" s="92"/>
      <c r="NM79" s="92"/>
      <c r="NN79" s="92"/>
      <c r="NO79" s="92"/>
      <c r="NP79" s="92"/>
      <c r="NQ79" s="92"/>
      <c r="NR79" s="92"/>
      <c r="NS79" s="92"/>
      <c r="NT79" s="92"/>
      <c r="NU79" s="92"/>
      <c r="NV79" s="92"/>
      <c r="NW79" s="92"/>
      <c r="NX79" s="92"/>
      <c r="NY79" s="92"/>
      <c r="NZ79" s="92"/>
      <c r="OA79" s="92"/>
      <c r="OB79" s="92"/>
      <c r="OC79" s="92"/>
      <c r="OD79" s="92"/>
      <c r="OE79" s="92"/>
      <c r="OF79" s="92"/>
      <c r="OG79" s="92"/>
      <c r="OH79" s="92"/>
      <c r="OI79" s="92"/>
      <c r="OJ79" s="92"/>
      <c r="OK79" s="92"/>
      <c r="OL79" s="92"/>
      <c r="OM79" s="92"/>
      <c r="ON79" s="92"/>
      <c r="OO79" s="92"/>
      <c r="OP79" s="92"/>
      <c r="OQ79" s="92"/>
      <c r="OR79" s="92"/>
      <c r="OS79" s="92"/>
      <c r="OT79" s="92"/>
      <c r="OU79" s="92"/>
      <c r="OV79" s="92"/>
      <c r="OW79" s="92"/>
      <c r="OX79" s="92"/>
      <c r="OY79" s="92"/>
      <c r="OZ79" s="92"/>
      <c r="PA79" s="92"/>
      <c r="PB79" s="92"/>
      <c r="PC79" s="92"/>
      <c r="PD79" s="92"/>
      <c r="PE79" s="92"/>
      <c r="PF79" s="92"/>
      <c r="PG79" s="92"/>
      <c r="PH79" s="92"/>
      <c r="PI79" s="92"/>
      <c r="PJ79" s="92"/>
      <c r="PK79" s="92"/>
      <c r="PL79" s="92"/>
      <c r="PM79" s="92"/>
      <c r="PN79" s="92"/>
      <c r="PO79" s="92"/>
      <c r="PP79" s="92"/>
      <c r="PQ79" s="92"/>
      <c r="PR79" s="92"/>
      <c r="PS79" s="92"/>
      <c r="PT79" s="92"/>
      <c r="PU79" s="59"/>
      <c r="PV79" s="59"/>
      <c r="PW79" s="59"/>
      <c r="PX79" s="59"/>
      <c r="TJ79" s="18">
        <f t="shared" si="181"/>
        <v>77</v>
      </c>
      <c r="TK79" s="58" t="s">
        <v>562</v>
      </c>
      <c r="TL79" s="58" t="s">
        <v>459</v>
      </c>
      <c r="TM79" s="18">
        <v>2</v>
      </c>
      <c r="TN79" s="59" t="str">
        <f t="shared" si="167"/>
        <v xml:space="preserve">Cordon of Arrows ᴴ </v>
      </c>
      <c r="TO79" s="350" t="s">
        <v>2991</v>
      </c>
      <c r="TP79" s="18" t="str">
        <f t="shared" si="168"/>
        <v/>
      </c>
      <c r="TQ79" s="18" t="str">
        <f>IF(OR(TK79=Spellcasting!$AC$18,TK79=Spellcasting!$AC$19),"ᵐ","")</f>
        <v/>
      </c>
      <c r="TR79" s="18" t="str">
        <f>IF(OR(TK79=Spellcasting!$AC$20,TK79=Spellcasting!$AC$21),"ˢ","")</f>
        <v/>
      </c>
      <c r="TS79" s="18" t="str">
        <f>""</f>
        <v/>
      </c>
      <c r="TT79" s="18" t="s">
        <v>484</v>
      </c>
      <c r="TU79" s="18" t="s">
        <v>489</v>
      </c>
      <c r="TV79" s="18" t="s">
        <v>485</v>
      </c>
      <c r="TW79" s="18" t="s">
        <v>495</v>
      </c>
      <c r="TX79" s="59" t="s">
        <v>1320</v>
      </c>
      <c r="TY79" s="18" t="s">
        <v>491</v>
      </c>
      <c r="TZ79" s="18" t="s">
        <v>492</v>
      </c>
      <c r="UA79" s="142" t="s">
        <v>3157</v>
      </c>
      <c r="UB79" s="319" t="s">
        <v>3262</v>
      </c>
      <c r="UE79" s="18" t="str">
        <f ca="1">IF(UE$1&gt;=$TM79,1,"0")</f>
        <v>0</v>
      </c>
      <c r="WD79" s="18" t="str">
        <f ca="1">IF(SUM($VZ$1:$WC$1)&gt;0,IF(AND(SUM($VZ79:$WC79)&gt;0,$TM79=WE$1),MAX(WD$2:WD78)+1,""),IF(AND(SUM($UC79:$VY79)&gt;0,$TM79=WE$1),MAX(WD$2:WD78)+1,""))</f>
        <v/>
      </c>
      <c r="WE79" s="59" t="str">
        <f t="shared" ca="1" si="169"/>
        <v/>
      </c>
      <c r="WF79" s="18" t="str">
        <f ca="1">IF(AND(SUM($UB79:$VY79)&gt;0,$TM79=WG$1),MAX(WF$2:WF78)+1,"")</f>
        <v/>
      </c>
      <c r="WG79" s="59" t="str">
        <f t="shared" ca="1" si="170"/>
        <v/>
      </c>
      <c r="WH79" s="18" t="str">
        <f ca="1">IF(AND(SUM($UB79:$VY79)&gt;0,$TM79=WI$1),MAX(WH$2:WH78)+1,"")</f>
        <v/>
      </c>
      <c r="WI79" s="59" t="str">
        <f t="shared" ca="1" si="171"/>
        <v/>
      </c>
      <c r="WJ79" s="18" t="str">
        <f ca="1">IF(AND(SUM($UB79:$VY79)&gt;0,$TM79=WK$1),MAX(WJ$2:WJ78)+1,"")</f>
        <v/>
      </c>
      <c r="WK79" s="59" t="str">
        <f t="shared" ca="1" si="172"/>
        <v/>
      </c>
      <c r="WL79" s="18" t="str">
        <f ca="1">IF(AND(SUM($UB79:$VY79)&gt;0,$TM79=WM$1),MAX(WL$2:WL78)+1,"")</f>
        <v/>
      </c>
      <c r="WM79" s="59" t="str">
        <f t="shared" ca="1" si="173"/>
        <v/>
      </c>
      <c r="WN79" s="18" t="str">
        <f ca="1">IF(AND(SUM($UB79:$VY79)&gt;0,$TM79=WO$1),MAX(WN$2:WN78)+1,"")</f>
        <v/>
      </c>
      <c r="WO79" s="59" t="str">
        <f t="shared" ca="1" si="174"/>
        <v/>
      </c>
      <c r="WP79" s="18" t="str">
        <f ca="1">IF(AND(SUM($UB79:$VY79)&gt;0,$TM79=WQ$1),MAX(WP$2:WP78)+1,"")</f>
        <v/>
      </c>
      <c r="WQ79" s="59" t="str">
        <f t="shared" ca="1" si="175"/>
        <v/>
      </c>
      <c r="WR79" s="18" t="str">
        <f ca="1">IF(AND(SUM($UB79:$VY79)&gt;0,$TM79=WS$1),MAX(WR$2:WR78)+1,"")</f>
        <v/>
      </c>
      <c r="WS79" s="59" t="str">
        <f t="shared" ca="1" si="176"/>
        <v/>
      </c>
      <c r="WT79" s="18" t="str">
        <f ca="1">IF(AND(SUM($UB79:$VY79)&gt;0,$TM79=WU$1),MAX(WT$2:WT78)+1,"")</f>
        <v/>
      </c>
      <c r="WU79" s="59" t="str">
        <f t="shared" ca="1" si="177"/>
        <v/>
      </c>
      <c r="WV79" s="18" t="str">
        <f ca="1">IF(AND(SUM($UB79:$VY79)&gt;0,$TM79=WW$1),MAX(WV$2:WV78)+1,"")</f>
        <v/>
      </c>
      <c r="WW79" s="59" t="str">
        <f t="shared" ca="1" si="178"/>
        <v/>
      </c>
      <c r="WX79" s="18" t="str">
        <f ca="1">IF(AND(SUM($UB79:$VY79)&gt;0,$TM79=WY$1),MAX(WX$2:WX78)+1,"")</f>
        <v/>
      </c>
      <c r="WY79" s="59" t="str">
        <f t="shared" ca="1" si="179"/>
        <v/>
      </c>
      <c r="WZ79" s="59"/>
      <c r="XC79" s="59" t="str">
        <f t="shared" ca="1" si="182"/>
        <v/>
      </c>
      <c r="XL79" s="59"/>
      <c r="XM79" s="59"/>
    </row>
    <row r="80" spans="41:675" ht="9.9499999999999993" customHeight="1" x14ac:dyDescent="0.2">
      <c r="HK80" s="59"/>
      <c r="HL80" s="59"/>
      <c r="IX80" s="58" t="s">
        <v>1677</v>
      </c>
      <c r="IY80" s="58" t="s">
        <v>1678</v>
      </c>
      <c r="IZ80" s="58" t="s">
        <v>203</v>
      </c>
      <c r="JA80" s="58" t="s">
        <v>1656</v>
      </c>
      <c r="JB80" s="58" t="s">
        <v>1679</v>
      </c>
      <c r="JM80" s="296">
        <v>2</v>
      </c>
      <c r="JN80" s="18">
        <v>2</v>
      </c>
      <c r="JO80" s="98" t="s">
        <v>140</v>
      </c>
      <c r="JP80" s="98" t="s">
        <v>140</v>
      </c>
      <c r="JQ80" s="98" t="s">
        <v>140</v>
      </c>
      <c r="JR80" s="98" t="s">
        <v>140</v>
      </c>
      <c r="JS80" s="98" t="s">
        <v>140</v>
      </c>
      <c r="JT80" s="98" t="s">
        <v>140</v>
      </c>
      <c r="JU80" s="98" t="s">
        <v>140</v>
      </c>
      <c r="JV80" s="98" t="s">
        <v>140</v>
      </c>
      <c r="JW80" s="98">
        <v>1</v>
      </c>
      <c r="JX80" s="302"/>
      <c r="KT80" s="86" t="s">
        <v>346</v>
      </c>
      <c r="KU80" s="101" t="str">
        <f t="shared" ref="KU80:KU111" ca="1" si="186">IF(COUNTIF(KW80:PT80,"&gt;&lt;"),"Yes","No")</f>
        <v>No</v>
      </c>
      <c r="KV80" s="87" t="s">
        <v>332</v>
      </c>
      <c r="KW80" s="92"/>
      <c r="KX80" s="92"/>
      <c r="KY80" s="92"/>
      <c r="KZ80" s="92"/>
      <c r="LA80" s="92"/>
      <c r="LB80" s="92"/>
      <c r="LC80" s="92"/>
      <c r="LD80" s="92"/>
      <c r="LE80" s="92"/>
      <c r="LF80" s="92"/>
      <c r="LG80" s="92"/>
      <c r="LH80" s="92"/>
      <c r="LI80" s="92"/>
      <c r="LJ80" s="92"/>
      <c r="LK80" s="92"/>
      <c r="LL80" s="92"/>
      <c r="LM80" s="92"/>
      <c r="LN80" s="92"/>
      <c r="LO80" s="92"/>
      <c r="LP80" s="92"/>
      <c r="LQ80" s="92"/>
      <c r="LR80" s="92"/>
      <c r="LS80" s="92"/>
      <c r="LT80" s="92"/>
      <c r="LU80" s="92"/>
      <c r="LV80" s="92"/>
      <c r="LW80" s="92"/>
      <c r="LX80" s="92"/>
      <c r="LY80" s="92"/>
      <c r="LZ80" s="92" t="str">
        <f>IF(Class1=LZ$5,IF(LZ$1&gt;0,$KT80,""),"")</f>
        <v/>
      </c>
      <c r="MA80" s="92" t="str">
        <f t="shared" ref="MA80:MA114" ca="1" si="187">IF(MA$1&gt;0,$KT80,"")</f>
        <v/>
      </c>
      <c r="MB80" s="92" t="str">
        <f>IF(Class1=MB$5,IF(MB$1&gt;0,$KT80,""),"")</f>
        <v/>
      </c>
      <c r="MC80" s="92"/>
      <c r="MD80" s="92" t="str">
        <f t="shared" ref="MD80:MD87" ca="1" si="188">IF(MD$1&gt;0,$KT80,"")</f>
        <v/>
      </c>
      <c r="ME80" s="92" t="str">
        <f>IF(Class1=ME$5,IF(ME$1&gt;0,$KT80,""),"")</f>
        <v/>
      </c>
      <c r="MF80" s="92"/>
      <c r="MG80" s="92" t="str">
        <f>IF(Class1=MG$5,IF(MG$1&gt;0,$KT80,""),"")</f>
        <v/>
      </c>
      <c r="MH80" s="92" t="str">
        <f t="shared" ref="MH80:MH114" ca="1" si="189">IF(MH$1&gt;0,$KT80,"")</f>
        <v/>
      </c>
      <c r="MI80" s="92" t="str">
        <f t="shared" ref="MI80:MK95" ca="1" si="190">IF(MI$1&gt;0,$KT80,"")</f>
        <v/>
      </c>
      <c r="MJ80" s="92"/>
      <c r="MK80" s="92" t="str">
        <f t="shared" ca="1" si="190"/>
        <v/>
      </c>
      <c r="ML80" s="92"/>
      <c r="MM80" s="92"/>
      <c r="MN80" s="92"/>
      <c r="MO80" s="92"/>
      <c r="MP80" s="92"/>
      <c r="MQ80" s="92"/>
      <c r="MR80" s="92"/>
      <c r="MS80" s="92"/>
      <c r="MT80" s="92"/>
      <c r="MU80" s="92"/>
      <c r="MV80" s="92"/>
      <c r="MW80" s="92"/>
      <c r="MX80" s="92"/>
      <c r="MY80" s="92"/>
      <c r="MZ80" s="92"/>
      <c r="NA80" s="92"/>
      <c r="NB80" s="92"/>
      <c r="NC80" s="92"/>
      <c r="ND80" s="92"/>
      <c r="NE80" s="92"/>
      <c r="NF80" s="92"/>
      <c r="NG80" s="92"/>
      <c r="NH80" s="92"/>
      <c r="NI80" s="92"/>
      <c r="NJ80" s="92"/>
      <c r="NK80" s="92"/>
      <c r="NL80" s="92"/>
      <c r="NM80" s="92"/>
      <c r="NN80" s="92"/>
      <c r="NO80" s="92"/>
      <c r="NP80" s="92"/>
      <c r="NQ80" s="92"/>
      <c r="NR80" s="92"/>
      <c r="NS80" s="92"/>
      <c r="NT80" s="92"/>
      <c r="NU80" s="92"/>
      <c r="NV80" s="92"/>
      <c r="NW80" s="92"/>
      <c r="NX80" s="92"/>
      <c r="NY80" s="92"/>
      <c r="NZ80" s="92"/>
      <c r="OA80" s="92"/>
      <c r="OB80" s="92"/>
      <c r="OC80" s="92"/>
      <c r="OD80" s="92"/>
      <c r="OE80" s="92"/>
      <c r="OF80" s="92"/>
      <c r="OG80" s="92"/>
      <c r="OH80" s="92"/>
      <c r="OI80" s="92"/>
      <c r="OJ80" s="92"/>
      <c r="OK80" s="92"/>
      <c r="OL80" s="92"/>
      <c r="OM80" s="92"/>
      <c r="ON80" s="92"/>
      <c r="OO80" s="92"/>
      <c r="OP80" s="92"/>
      <c r="OQ80" s="92"/>
      <c r="OR80" s="92"/>
      <c r="OS80" s="92"/>
      <c r="OT80" s="92"/>
      <c r="OU80" s="92"/>
      <c r="OV80" s="92"/>
      <c r="OW80" s="92"/>
      <c r="OX80" s="92"/>
      <c r="OY80" s="92"/>
      <c r="OZ80" s="92"/>
      <c r="PA80" s="92"/>
      <c r="PB80" s="92"/>
      <c r="PC80" s="92"/>
      <c r="PD80" s="92"/>
      <c r="PE80" s="92"/>
      <c r="PF80" s="92"/>
      <c r="PG80" s="92"/>
      <c r="PH80" s="92"/>
      <c r="PI80" s="92"/>
      <c r="PJ80" s="92"/>
      <c r="PK80" s="92"/>
      <c r="PL80" s="92"/>
      <c r="PM80" s="92"/>
      <c r="PN80" s="92"/>
      <c r="PO80" s="92"/>
      <c r="PP80" s="92"/>
      <c r="PQ80" s="92"/>
      <c r="PR80" s="92"/>
      <c r="PS80" s="92"/>
      <c r="PT80" s="92"/>
      <c r="PU80" s="59" t="str">
        <f ca="1">IF(COUNTIF(KW80:PT80,"&gt;&lt;"),KT80,"")</f>
        <v/>
      </c>
      <c r="PV80" s="59" t="str">
        <f ca="1">IF(PU80="","",IF(COUNTIF(PU80:$PU$125,"&gt;&lt;")&gt;1,PU80&amp;", ", PU80))</f>
        <v/>
      </c>
      <c r="PW80" s="59"/>
      <c r="PX80" s="59"/>
      <c r="TJ80" s="18">
        <f t="shared" si="181"/>
        <v>78</v>
      </c>
      <c r="TK80" s="58" t="s">
        <v>874</v>
      </c>
      <c r="TL80" s="58" t="s">
        <v>460</v>
      </c>
      <c r="TM80" s="18">
        <v>3</v>
      </c>
      <c r="TN80" s="59" t="str">
        <f t="shared" si="167"/>
        <v xml:space="preserve">Counterspell ᴴ </v>
      </c>
      <c r="TO80" s="350" t="s">
        <v>2991</v>
      </c>
      <c r="TP80" s="18" t="str">
        <f t="shared" si="168"/>
        <v/>
      </c>
      <c r="TQ80" s="18" t="str">
        <f>IF(OR(TK80=Spellcasting!$AC$18,TK80=Spellcasting!$AC$19),"ᵐ","")</f>
        <v/>
      </c>
      <c r="TR80" s="18" t="str">
        <f>IF(OR(TK80=Spellcasting!$AC$20,TK80=Spellcasting!$AC$21),"ˢ","")</f>
        <v/>
      </c>
      <c r="TS80" s="18" t="str">
        <f>""</f>
        <v/>
      </c>
      <c r="TT80" s="18" t="s">
        <v>475</v>
      </c>
      <c r="TU80" s="18" t="s">
        <v>850</v>
      </c>
      <c r="TV80" s="18" t="s">
        <v>505</v>
      </c>
      <c r="TW80" s="18" t="s">
        <v>875</v>
      </c>
      <c r="TX80" s="59" t="str">
        <f>""</f>
        <v/>
      </c>
      <c r="TY80" s="249" t="s">
        <v>487</v>
      </c>
      <c r="TZ80" s="18" t="s">
        <v>488</v>
      </c>
      <c r="UA80" s="142" t="s">
        <v>3158</v>
      </c>
      <c r="UB80" s="319" t="s">
        <v>3263</v>
      </c>
      <c r="UF80" s="18" t="str">
        <f ca="1">IF(UF$1&gt;=$TM80,1,"0")</f>
        <v>0</v>
      </c>
      <c r="UG80" s="18" t="str">
        <f ca="1">IF(UG$1&gt;=$TM80,1,"0")</f>
        <v>0</v>
      </c>
      <c r="UL80" s="18" t="str">
        <f ca="1">IF(UL$1&gt;=$TM80,1,"0")</f>
        <v>0</v>
      </c>
      <c r="VP80" s="18" t="str">
        <f>IF(VP$1&gt;=$TM80,1,"0")</f>
        <v>0</v>
      </c>
      <c r="WD80" s="18" t="str">
        <f ca="1">IF(SUM($VZ$1:$WC$1)&gt;0,IF(AND(SUM($VZ80:$WC80)&gt;0,$TM80=WE$1),MAX(WD$2:WD79)+1,""),IF(AND(SUM($UC80:$VY80)&gt;0,$TM80=WE$1),MAX(WD$2:WD79)+1,""))</f>
        <v/>
      </c>
      <c r="WE80" s="59" t="str">
        <f t="shared" ca="1" si="169"/>
        <v/>
      </c>
      <c r="WF80" s="18" t="str">
        <f ca="1">IF(AND(SUM($UB80:$VY80)&gt;0,$TM80=WG$1),MAX(WF$2:WF79)+1,"")</f>
        <v/>
      </c>
      <c r="WG80" s="59" t="str">
        <f t="shared" ca="1" si="170"/>
        <v/>
      </c>
      <c r="WH80" s="18" t="str">
        <f ca="1">IF(AND(SUM($UB80:$VY80)&gt;0,$TM80=WI$1),MAX(WH$2:WH79)+1,"")</f>
        <v/>
      </c>
      <c r="WI80" s="59" t="str">
        <f t="shared" ca="1" si="171"/>
        <v/>
      </c>
      <c r="WJ80" s="18" t="str">
        <f ca="1">IF(AND(SUM($UB80:$VY80)&gt;0,$TM80=WK$1),MAX(WJ$2:WJ79)+1,"")</f>
        <v/>
      </c>
      <c r="WK80" s="59" t="str">
        <f t="shared" ca="1" si="172"/>
        <v/>
      </c>
      <c r="WL80" s="18" t="str">
        <f ca="1">IF(AND(SUM($UB80:$VY80)&gt;0,$TM80=WM$1),MAX(WL$2:WL79)+1,"")</f>
        <v/>
      </c>
      <c r="WM80" s="59" t="str">
        <f t="shared" ca="1" si="173"/>
        <v/>
      </c>
      <c r="WN80" s="18" t="str">
        <f ca="1">IF(AND(SUM($UB80:$VY80)&gt;0,$TM80=WO$1),MAX(WN$2:WN79)+1,"")</f>
        <v/>
      </c>
      <c r="WO80" s="59" t="str">
        <f t="shared" ca="1" si="174"/>
        <v/>
      </c>
      <c r="WP80" s="18" t="str">
        <f ca="1">IF(AND(SUM($UB80:$VY80)&gt;0,$TM80=WQ$1),MAX(WP$2:WP79)+1,"")</f>
        <v/>
      </c>
      <c r="WQ80" s="59" t="str">
        <f t="shared" ca="1" si="175"/>
        <v/>
      </c>
      <c r="WR80" s="18" t="str">
        <f ca="1">IF(AND(SUM($UB80:$VY80)&gt;0,$TM80=WS$1),MAX(WR$2:WR79)+1,"")</f>
        <v/>
      </c>
      <c r="WS80" s="59" t="str">
        <f t="shared" ca="1" si="176"/>
        <v/>
      </c>
      <c r="WT80" s="18" t="str">
        <f ca="1">IF(AND(SUM($UB80:$VY80)&gt;0,$TM80=WU$1),MAX(WT$2:WT79)+1,"")</f>
        <v/>
      </c>
      <c r="WU80" s="59" t="str">
        <f t="shared" ca="1" si="177"/>
        <v/>
      </c>
      <c r="WV80" s="18" t="str">
        <f ca="1">IF(AND(SUM($UB80:$VY80)&gt;0,$TM80=WW$1),MAX(WV$2:WV79)+1,"")</f>
        <v/>
      </c>
      <c r="WW80" s="59" t="str">
        <f t="shared" ca="1" si="178"/>
        <v/>
      </c>
      <c r="WX80" s="18" t="str">
        <f ca="1">IF(AND(SUM($UB80:$VY80)&gt;0,$TM80=WY$1),MAX(WX$2:WX79)+1,"")</f>
        <v/>
      </c>
      <c r="WY80" s="59" t="str">
        <f t="shared" ca="1" si="179"/>
        <v/>
      </c>
      <c r="WZ80" s="59"/>
      <c r="XC80" s="59" t="str">
        <f t="shared" ca="1" si="182"/>
        <v/>
      </c>
      <c r="XL80" s="59"/>
      <c r="XM80" s="59"/>
    </row>
    <row r="81" spans="219:637" ht="9.9499999999999993" customHeight="1" x14ac:dyDescent="0.2">
      <c r="HK81" s="59"/>
      <c r="HL81" s="59"/>
      <c r="IX81" s="58" t="s">
        <v>1664</v>
      </c>
      <c r="IY81" s="58" t="s">
        <v>1665</v>
      </c>
      <c r="IZ81" s="58" t="s">
        <v>203</v>
      </c>
      <c r="JA81" s="58" t="s">
        <v>281</v>
      </c>
      <c r="JB81" s="58" t="s">
        <v>1666</v>
      </c>
      <c r="JM81" s="296">
        <v>3</v>
      </c>
      <c r="JN81" s="18">
        <v>3</v>
      </c>
      <c r="JO81" s="98" t="s">
        <v>140</v>
      </c>
      <c r="JP81" s="98" t="s">
        <v>140</v>
      </c>
      <c r="JQ81" s="98" t="s">
        <v>140</v>
      </c>
      <c r="JR81" s="98" t="s">
        <v>140</v>
      </c>
      <c r="JS81" s="98" t="s">
        <v>140</v>
      </c>
      <c r="JT81" s="98" t="s">
        <v>140</v>
      </c>
      <c r="JU81" s="98" t="s">
        <v>140</v>
      </c>
      <c r="JV81" s="98" t="s">
        <v>140</v>
      </c>
      <c r="JW81" s="98">
        <v>1</v>
      </c>
      <c r="JX81" s="302"/>
      <c r="KT81" s="88" t="s">
        <v>347</v>
      </c>
      <c r="KU81" s="80" t="str">
        <f t="shared" ca="1" si="186"/>
        <v>No</v>
      </c>
      <c r="KV81" s="89" t="s">
        <v>332</v>
      </c>
      <c r="KW81" s="92"/>
      <c r="KX81" s="92"/>
      <c r="KY81" s="92"/>
      <c r="KZ81" s="92"/>
      <c r="LA81" s="92"/>
      <c r="LB81" s="92"/>
      <c r="LC81" s="92"/>
      <c r="LD81" s="92"/>
      <c r="LE81" s="92"/>
      <c r="LF81" s="92"/>
      <c r="LG81" s="92"/>
      <c r="LH81" s="92"/>
      <c r="LI81" s="92"/>
      <c r="LJ81" s="92"/>
      <c r="LK81" s="92"/>
      <c r="LL81" s="92"/>
      <c r="LM81" s="92"/>
      <c r="LN81" s="92"/>
      <c r="LO81" s="92"/>
      <c r="LP81" s="92"/>
      <c r="LQ81" s="92"/>
      <c r="LR81" s="92"/>
      <c r="LS81" s="92"/>
      <c r="LT81" s="92"/>
      <c r="LU81" s="92"/>
      <c r="LV81" s="92"/>
      <c r="LW81" s="92"/>
      <c r="LX81" s="92"/>
      <c r="LY81" s="92"/>
      <c r="LZ81" s="92"/>
      <c r="MA81" s="92" t="str">
        <f t="shared" ca="1" si="187"/>
        <v/>
      </c>
      <c r="MB81" s="92"/>
      <c r="MC81" s="92"/>
      <c r="MD81" s="92" t="str">
        <f t="shared" ca="1" si="188"/>
        <v/>
      </c>
      <c r="ME81" s="92"/>
      <c r="MF81" s="92"/>
      <c r="MG81" s="92"/>
      <c r="MH81" s="92" t="str">
        <f t="shared" ca="1" si="189"/>
        <v/>
      </c>
      <c r="MI81" s="92" t="str">
        <f t="shared" ca="1" si="190"/>
        <v/>
      </c>
      <c r="MJ81" s="92"/>
      <c r="MK81" s="92"/>
      <c r="ML81" s="92"/>
      <c r="MM81" s="92"/>
      <c r="MN81" s="92"/>
      <c r="MO81" s="92"/>
      <c r="MP81" s="92"/>
      <c r="MQ81" s="92" t="str">
        <f ca="1">IF(MQ$1&gt;0,$KT81,"")</f>
        <v/>
      </c>
      <c r="MR81" s="92"/>
      <c r="MS81" s="92" t="str">
        <f ca="1">IF(MS$1&gt;0,$KT81,"")</f>
        <v/>
      </c>
      <c r="MT81" s="92"/>
      <c r="MU81" s="92"/>
      <c r="MV81" s="92"/>
      <c r="MW81" s="92"/>
      <c r="MX81" s="92"/>
      <c r="MY81" s="92"/>
      <c r="MZ81" s="92"/>
      <c r="NA81" s="92"/>
      <c r="NB81" s="92"/>
      <c r="NC81" s="92"/>
      <c r="ND81" s="92"/>
      <c r="NE81" s="92"/>
      <c r="NF81" s="92"/>
      <c r="NG81" s="92"/>
      <c r="NH81" s="92"/>
      <c r="NI81" s="92"/>
      <c r="NJ81" s="92"/>
      <c r="NK81" s="92" t="str">
        <f ca="1">IF(NK$1&gt;2,$KT81,"")</f>
        <v/>
      </c>
      <c r="NL81" s="92"/>
      <c r="NM81" s="92"/>
      <c r="NN81" s="92"/>
      <c r="NO81" s="92"/>
      <c r="NP81" s="92"/>
      <c r="NQ81" s="92"/>
      <c r="NR81" s="92"/>
      <c r="NS81" s="92"/>
      <c r="NT81" s="92"/>
      <c r="NU81" s="92"/>
      <c r="NV81" s="92"/>
      <c r="NW81" s="92"/>
      <c r="NX81" s="92"/>
      <c r="NY81" s="92"/>
      <c r="NZ81" s="92"/>
      <c r="OA81" s="92"/>
      <c r="OB81" s="92"/>
      <c r="OC81" s="92"/>
      <c r="OD81" s="92"/>
      <c r="OE81" s="92"/>
      <c r="OF81" s="92"/>
      <c r="OG81" s="92"/>
      <c r="OH81" s="92"/>
      <c r="OI81" s="92"/>
      <c r="OJ81" s="92"/>
      <c r="OK81" s="92"/>
      <c r="OL81" s="92"/>
      <c r="OM81" s="92"/>
      <c r="ON81" s="92"/>
      <c r="OO81" s="92"/>
      <c r="OP81" s="92"/>
      <c r="OQ81" s="92"/>
      <c r="OR81" s="92"/>
      <c r="OS81" s="92"/>
      <c r="OT81" s="92"/>
      <c r="OU81" s="92"/>
      <c r="OV81" s="92"/>
      <c r="OW81" s="92"/>
      <c r="OX81" s="92"/>
      <c r="OY81" s="92"/>
      <c r="OZ81" s="92"/>
      <c r="PA81" s="92"/>
      <c r="PB81" s="92"/>
      <c r="PC81" s="92"/>
      <c r="PD81" s="92"/>
      <c r="PE81" s="92"/>
      <c r="PF81" s="92"/>
      <c r="PG81" s="92"/>
      <c r="PH81" s="92"/>
      <c r="PI81" s="92"/>
      <c r="PJ81" s="92"/>
      <c r="PK81" s="92"/>
      <c r="PL81" s="92"/>
      <c r="PM81" s="92"/>
      <c r="PN81" s="92"/>
      <c r="PO81" s="92"/>
      <c r="PP81" s="92"/>
      <c r="PQ81" s="92"/>
      <c r="PR81" s="92"/>
      <c r="PS81" s="92"/>
      <c r="PT81" s="92"/>
      <c r="PU81" s="59" t="str">
        <f ca="1">IF(COUNTIF(KW81:PT81,"&gt;&lt;"),KT81,"")</f>
        <v/>
      </c>
      <c r="PV81" s="59" t="str">
        <f ca="1">IF(PU81="","",IF(COUNTIF(PU81:$PU$125,"&gt;&lt;")&gt;1,PU81&amp;", ", PU81))</f>
        <v/>
      </c>
      <c r="PW81" s="59"/>
      <c r="PX81" s="59"/>
      <c r="TJ81" s="18">
        <f t="shared" si="181"/>
        <v>79</v>
      </c>
      <c r="TK81" s="58" t="s">
        <v>563</v>
      </c>
      <c r="TL81" s="58" t="s">
        <v>460</v>
      </c>
      <c r="TM81" s="18">
        <v>3</v>
      </c>
      <c r="TN81" s="59" t="str">
        <f t="shared" si="167"/>
        <v xml:space="preserve">Create Food and Water </v>
      </c>
      <c r="TO81" s="18" t="str">
        <f>""</f>
        <v/>
      </c>
      <c r="TP81" s="18" t="str">
        <f t="shared" si="168"/>
        <v/>
      </c>
      <c r="TQ81" s="18" t="str">
        <f>IF(OR(TK81=Spellcasting!$AC$18,TK81=Spellcasting!$AC$19),"ᵐ","")</f>
        <v/>
      </c>
      <c r="TR81" s="18" t="str">
        <f>IF(OR(TK81=Spellcasting!$AC$20,TK81=Spellcasting!$AC$21),"ˢ","")</f>
        <v/>
      </c>
      <c r="TS81" s="18" t="str">
        <f>""</f>
        <v/>
      </c>
      <c r="TT81" s="18" t="s">
        <v>484</v>
      </c>
      <c r="TU81" s="18" t="s">
        <v>851</v>
      </c>
      <c r="TV81" s="18" t="s">
        <v>505</v>
      </c>
      <c r="TW81" s="18" t="s">
        <v>486</v>
      </c>
      <c r="TX81" s="59" t="str">
        <f>""</f>
        <v/>
      </c>
      <c r="TY81" s="18" t="s">
        <v>516</v>
      </c>
      <c r="TZ81" s="18" t="s">
        <v>517</v>
      </c>
      <c r="UA81" s="59" t="s">
        <v>1445</v>
      </c>
      <c r="UB81" s="319" t="s">
        <v>1446</v>
      </c>
      <c r="UD81" s="18" t="str">
        <f ca="1">IF(UD$1&gt;=$TM81,1,"0")</f>
        <v>0</v>
      </c>
      <c r="UH81" s="18" t="str">
        <f ca="1">IF(UH$1&gt;=$TM81,1,"0")</f>
        <v>0</v>
      </c>
      <c r="VI81" s="18" t="str">
        <f>IF(VI$1&gt;=$TM81,1,"0")</f>
        <v>0</v>
      </c>
      <c r="WD81" s="18" t="str">
        <f ca="1">IF(SUM($VZ$1:$WC$1)&gt;0,IF(AND(SUM($VZ81:$WC81)&gt;0,$TM81=WE$1),MAX(WD$2:WD80)+1,""),IF(AND(SUM($UC81:$VY81)&gt;0,$TM81=WE$1),MAX(WD$2:WD80)+1,""))</f>
        <v/>
      </c>
      <c r="WE81" s="59" t="str">
        <f t="shared" ca="1" si="169"/>
        <v/>
      </c>
      <c r="WF81" s="18" t="str">
        <f ca="1">IF(AND(SUM($UB81:$VY81)&gt;0,$TM81=WG$1),MAX(WF$2:WF80)+1,"")</f>
        <v/>
      </c>
      <c r="WG81" s="59" t="str">
        <f t="shared" ca="1" si="170"/>
        <v/>
      </c>
      <c r="WH81" s="18" t="str">
        <f ca="1">IF(AND(SUM($UB81:$VY81)&gt;0,$TM81=WI$1),MAX(WH$2:WH80)+1,"")</f>
        <v/>
      </c>
      <c r="WI81" s="59" t="str">
        <f t="shared" ca="1" si="171"/>
        <v/>
      </c>
      <c r="WJ81" s="18" t="str">
        <f ca="1">IF(AND(SUM($UB81:$VY81)&gt;0,$TM81=WK$1),MAX(WJ$2:WJ80)+1,"")</f>
        <v/>
      </c>
      <c r="WK81" s="59" t="str">
        <f t="shared" ca="1" si="172"/>
        <v/>
      </c>
      <c r="WL81" s="18" t="str">
        <f ca="1">IF(AND(SUM($UB81:$VY81)&gt;0,$TM81=WM$1),MAX(WL$2:WL80)+1,"")</f>
        <v/>
      </c>
      <c r="WM81" s="59" t="str">
        <f t="shared" ca="1" si="173"/>
        <v/>
      </c>
      <c r="WN81" s="18" t="str">
        <f ca="1">IF(AND(SUM($UB81:$VY81)&gt;0,$TM81=WO$1),MAX(WN$2:WN80)+1,"")</f>
        <v/>
      </c>
      <c r="WO81" s="59" t="str">
        <f t="shared" ca="1" si="174"/>
        <v/>
      </c>
      <c r="WP81" s="18" t="str">
        <f ca="1">IF(AND(SUM($UB81:$VY81)&gt;0,$TM81=WQ$1),MAX(WP$2:WP80)+1,"")</f>
        <v/>
      </c>
      <c r="WQ81" s="59" t="str">
        <f t="shared" ca="1" si="175"/>
        <v/>
      </c>
      <c r="WR81" s="18" t="str">
        <f ca="1">IF(AND(SUM($UB81:$VY81)&gt;0,$TM81=WS$1),MAX(WR$2:WR80)+1,"")</f>
        <v/>
      </c>
      <c r="WS81" s="59" t="str">
        <f t="shared" ca="1" si="176"/>
        <v/>
      </c>
      <c r="WT81" s="18" t="str">
        <f ca="1">IF(AND(SUM($UB81:$VY81)&gt;0,$TM81=WU$1),MAX(WT$2:WT80)+1,"")</f>
        <v/>
      </c>
      <c r="WU81" s="59" t="str">
        <f t="shared" ca="1" si="177"/>
        <v/>
      </c>
      <c r="WV81" s="18" t="str">
        <f ca="1">IF(AND(SUM($UB81:$VY81)&gt;0,$TM81=WW$1),MAX(WV$2:WV80)+1,"")</f>
        <v/>
      </c>
      <c r="WW81" s="59" t="str">
        <f t="shared" ca="1" si="178"/>
        <v/>
      </c>
      <c r="WX81" s="18" t="str">
        <f ca="1">IF(AND(SUM($UB81:$VY81)&gt;0,$TM81=WY$1),MAX(WX$2:WX80)+1,"")</f>
        <v/>
      </c>
      <c r="WY81" s="59" t="str">
        <f t="shared" ca="1" si="179"/>
        <v/>
      </c>
      <c r="WZ81" s="59"/>
      <c r="XC81" s="59" t="str">
        <f t="shared" ca="1" si="182"/>
        <v/>
      </c>
      <c r="XL81" s="59"/>
      <c r="XM81" s="59"/>
    </row>
    <row r="82" spans="219:637" ht="9.9499999999999993" customHeight="1" x14ac:dyDescent="0.2">
      <c r="HK82" s="59"/>
      <c r="HL82" s="59"/>
      <c r="IX82" s="58" t="s">
        <v>1667</v>
      </c>
      <c r="IY82" s="58" t="s">
        <v>1668</v>
      </c>
      <c r="IZ82" s="58" t="s">
        <v>203</v>
      </c>
      <c r="JA82" s="58" t="s">
        <v>1669</v>
      </c>
      <c r="JB82" s="58" t="s">
        <v>1670</v>
      </c>
      <c r="JM82" s="296">
        <v>4</v>
      </c>
      <c r="JN82" s="18">
        <v>3</v>
      </c>
      <c r="JO82" s="98" t="s">
        <v>140</v>
      </c>
      <c r="JP82" s="98" t="s">
        <v>140</v>
      </c>
      <c r="JQ82" s="98" t="s">
        <v>140</v>
      </c>
      <c r="JR82" s="98" t="s">
        <v>140</v>
      </c>
      <c r="JS82" s="98" t="s">
        <v>140</v>
      </c>
      <c r="JT82" s="98" t="s">
        <v>140</v>
      </c>
      <c r="JU82" s="98" t="s">
        <v>140</v>
      </c>
      <c r="JV82" s="98" t="s">
        <v>140</v>
      </c>
      <c r="JW82" s="98">
        <v>1</v>
      </c>
      <c r="JX82" s="302"/>
      <c r="KT82" s="88" t="s">
        <v>167</v>
      </c>
      <c r="KU82" s="80" t="str">
        <f t="shared" ca="1" si="186"/>
        <v>No</v>
      </c>
      <c r="KV82" s="89" t="s">
        <v>332</v>
      </c>
      <c r="KW82" s="92"/>
      <c r="KX82" s="92"/>
      <c r="KY82" s="92"/>
      <c r="KZ82" s="92"/>
      <c r="LA82" s="92"/>
      <c r="LB82" s="92"/>
      <c r="LC82" s="92"/>
      <c r="LD82" s="92"/>
      <c r="LE82" s="92"/>
      <c r="LF82" s="92"/>
      <c r="LG82" s="92"/>
      <c r="LH82" s="92"/>
      <c r="LI82" s="92"/>
      <c r="LJ82" s="92"/>
      <c r="LK82" s="92"/>
      <c r="LL82" s="92"/>
      <c r="LM82" s="92"/>
      <c r="LN82" s="92"/>
      <c r="LO82" s="92"/>
      <c r="LP82" s="92"/>
      <c r="LQ82" s="92"/>
      <c r="LR82" s="92"/>
      <c r="LS82" s="92"/>
      <c r="LT82" s="92"/>
      <c r="LU82" s="92"/>
      <c r="LV82" s="92"/>
      <c r="LW82" s="92"/>
      <c r="LX82" s="92"/>
      <c r="LY82" s="92"/>
      <c r="LZ82" s="92" t="str">
        <f>IF(Class1=LZ$5,IF(LZ$1&gt;0,$KT82,""),"")</f>
        <v/>
      </c>
      <c r="MA82" s="92" t="str">
        <f t="shared" ca="1" si="187"/>
        <v/>
      </c>
      <c r="MB82" s="92" t="str">
        <f>IF(Class1=MB$5,IF(MB$1&gt;0,$KT82,""),"")</f>
        <v/>
      </c>
      <c r="MC82" s="92"/>
      <c r="MD82" s="92" t="str">
        <f t="shared" ca="1" si="188"/>
        <v/>
      </c>
      <c r="ME82" s="92"/>
      <c r="MF82" s="92"/>
      <c r="MG82" s="92"/>
      <c r="MH82" s="92" t="str">
        <f t="shared" ca="1" si="189"/>
        <v/>
      </c>
      <c r="MI82" s="92" t="str">
        <f t="shared" ca="1" si="190"/>
        <v/>
      </c>
      <c r="MJ82" s="92"/>
      <c r="MK82" s="92" t="str">
        <f t="shared" ca="1" si="190"/>
        <v/>
      </c>
      <c r="ML82" s="92"/>
      <c r="MM82" s="92"/>
      <c r="MN82" s="92"/>
      <c r="MO82" s="92"/>
      <c r="MP82" s="92"/>
      <c r="MQ82" s="92"/>
      <c r="MR82" s="92"/>
      <c r="MS82" s="92"/>
      <c r="MT82" s="92"/>
      <c r="MU82" s="92"/>
      <c r="MV82" s="92"/>
      <c r="MW82" s="92"/>
      <c r="MX82" s="92"/>
      <c r="MY82" s="92"/>
      <c r="MZ82" s="92"/>
      <c r="NA82" s="92"/>
      <c r="NB82" s="92"/>
      <c r="NC82" s="92"/>
      <c r="ND82" s="92"/>
      <c r="NE82" s="92"/>
      <c r="NF82" s="92"/>
      <c r="NG82" s="92"/>
      <c r="NH82" s="92"/>
      <c r="NI82" s="92"/>
      <c r="NJ82" s="92"/>
      <c r="NK82" s="92"/>
      <c r="NL82" s="92"/>
      <c r="NM82" s="92"/>
      <c r="NN82" s="92"/>
      <c r="NO82" s="92"/>
      <c r="NP82" s="92"/>
      <c r="NQ82" s="92"/>
      <c r="NR82" s="92"/>
      <c r="NS82" s="92"/>
      <c r="NT82" s="92"/>
      <c r="NU82" s="92"/>
      <c r="NV82" s="92"/>
      <c r="NW82" s="92"/>
      <c r="NX82" s="92"/>
      <c r="NY82" s="92"/>
      <c r="NZ82" s="92"/>
      <c r="OA82" s="92"/>
      <c r="OB82" s="92"/>
      <c r="OC82" s="92"/>
      <c r="OD82" s="92"/>
      <c r="OE82" s="92"/>
      <c r="OF82" s="92"/>
      <c r="OG82" s="92"/>
      <c r="OH82" s="92"/>
      <c r="OI82" s="92"/>
      <c r="OJ82" s="92"/>
      <c r="OK82" s="92"/>
      <c r="OL82" s="92"/>
      <c r="OM82" s="92"/>
      <c r="ON82" s="92"/>
      <c r="OO82" s="92"/>
      <c r="OP82" s="92"/>
      <c r="OQ82" s="92"/>
      <c r="OR82" s="92"/>
      <c r="OS82" s="92"/>
      <c r="OT82" s="92"/>
      <c r="OU82" s="92"/>
      <c r="OV82" s="92"/>
      <c r="OW82" s="92"/>
      <c r="OX82" s="92"/>
      <c r="OY82" s="92"/>
      <c r="OZ82" s="92"/>
      <c r="PA82" s="92"/>
      <c r="PB82" s="92"/>
      <c r="PC82" s="92"/>
      <c r="PD82" s="92"/>
      <c r="PE82" s="92"/>
      <c r="PF82" s="92"/>
      <c r="PG82" s="92"/>
      <c r="PH82" s="92"/>
      <c r="PI82" s="92"/>
      <c r="PJ82" s="92"/>
      <c r="PK82" s="92"/>
      <c r="PL82" s="92"/>
      <c r="PM82" s="92"/>
      <c r="PN82" s="92"/>
      <c r="PO82" s="92"/>
      <c r="PP82" s="92"/>
      <c r="PQ82" s="92"/>
      <c r="PR82" s="92"/>
      <c r="PS82" s="92"/>
      <c r="PT82" s="92"/>
      <c r="PU82" s="59" t="str">
        <f ca="1">IF($PU$80="",IF(COUNTIF(KW82:PT82,"&gt;&lt;"),KT82,""),"")</f>
        <v/>
      </c>
      <c r="PV82" s="59" t="str">
        <f ca="1">IF(PU82="","",IF(COUNTIF(PU82:$PU$125,"&gt;&lt;")&gt;1,PU82&amp;", ", PU82))</f>
        <v/>
      </c>
      <c r="PW82" s="59"/>
      <c r="PX82" s="59"/>
      <c r="TJ82" s="18">
        <f t="shared" si="181"/>
        <v>80</v>
      </c>
      <c r="TK82" s="58" t="s">
        <v>564</v>
      </c>
      <c r="TL82" s="58" t="s">
        <v>448</v>
      </c>
      <c r="TM82" s="18">
        <v>1</v>
      </c>
      <c r="TN82" s="59" t="str">
        <f t="shared" si="167"/>
        <v xml:space="preserve">Create or Destroy Water ᴴ </v>
      </c>
      <c r="TO82" s="350" t="s">
        <v>2991</v>
      </c>
      <c r="TP82" s="18" t="str">
        <f t="shared" si="168"/>
        <v/>
      </c>
      <c r="TQ82" s="18" t="str">
        <f>IF(OR(TK82=Spellcasting!$AC$18,TK82=Spellcasting!$AC$19),"ᵐ","")</f>
        <v/>
      </c>
      <c r="TR82" s="18" t="str">
        <f>IF(OR(TK82=Spellcasting!$AC$20,TK82=Spellcasting!$AC$21),"ˢ","")</f>
        <v/>
      </c>
      <c r="TS82" s="18" t="str">
        <f>""</f>
        <v/>
      </c>
      <c r="TT82" s="18" t="s">
        <v>484</v>
      </c>
      <c r="TU82" s="18" t="s">
        <v>851</v>
      </c>
      <c r="TV82" s="18" t="s">
        <v>505</v>
      </c>
      <c r="TW82" s="18" t="s">
        <v>495</v>
      </c>
      <c r="TX82" s="59" t="s">
        <v>1390</v>
      </c>
      <c r="TY82" s="18" t="s">
        <v>491</v>
      </c>
      <c r="TZ82" s="18" t="s">
        <v>492</v>
      </c>
      <c r="UA82" s="142" t="s">
        <v>3159</v>
      </c>
      <c r="UB82" s="319" t="s">
        <v>1391</v>
      </c>
      <c r="UH82" s="18" t="str">
        <f ca="1">IF(UH$1&gt;=$TM82,1,"0")</f>
        <v>0</v>
      </c>
      <c r="UI82" s="18" t="str">
        <f ca="1">IF(UI$1&gt;=$TM82,1,"0")</f>
        <v>0</v>
      </c>
      <c r="WD82" s="18" t="str">
        <f ca="1">IF(SUM($VZ$1:$WC$1)&gt;0,IF(AND(SUM($VZ82:$WC82)&gt;0,$TM82=WE$1),MAX(WD$2:WD81)+1,""),IF(AND(SUM($UC82:$VY82)&gt;0,$TM82=WE$1),MAX(WD$2:WD81)+1,""))</f>
        <v/>
      </c>
      <c r="WE82" s="59" t="str">
        <f t="shared" ca="1" si="169"/>
        <v/>
      </c>
      <c r="WF82" s="18" t="str">
        <f ca="1">IF(AND(SUM($UB82:$VY82)&gt;0,$TM82=WG$1),MAX(WF$2:WF81)+1,"")</f>
        <v/>
      </c>
      <c r="WG82" s="59" t="str">
        <f t="shared" ca="1" si="170"/>
        <v/>
      </c>
      <c r="WH82" s="18" t="str">
        <f ca="1">IF(AND(SUM($UB82:$VY82)&gt;0,$TM82=WI$1),MAX(WH$2:WH81)+1,"")</f>
        <v/>
      </c>
      <c r="WI82" s="59" t="str">
        <f t="shared" ca="1" si="171"/>
        <v/>
      </c>
      <c r="WJ82" s="18" t="str">
        <f ca="1">IF(AND(SUM($UB82:$VY82)&gt;0,$TM82=WK$1),MAX(WJ$2:WJ81)+1,"")</f>
        <v/>
      </c>
      <c r="WK82" s="59" t="str">
        <f t="shared" ca="1" si="172"/>
        <v/>
      </c>
      <c r="WL82" s="18" t="str">
        <f ca="1">IF(AND(SUM($UB82:$VY82)&gt;0,$TM82=WM$1),MAX(WL$2:WL81)+1,"")</f>
        <v/>
      </c>
      <c r="WM82" s="59" t="str">
        <f t="shared" ca="1" si="173"/>
        <v/>
      </c>
      <c r="WN82" s="18" t="str">
        <f ca="1">IF(AND(SUM($UB82:$VY82)&gt;0,$TM82=WO$1),MAX(WN$2:WN81)+1,"")</f>
        <v/>
      </c>
      <c r="WO82" s="59" t="str">
        <f t="shared" ca="1" si="174"/>
        <v/>
      </c>
      <c r="WP82" s="18" t="str">
        <f ca="1">IF(AND(SUM($UB82:$VY82)&gt;0,$TM82=WQ$1),MAX(WP$2:WP81)+1,"")</f>
        <v/>
      </c>
      <c r="WQ82" s="59" t="str">
        <f t="shared" ca="1" si="175"/>
        <v/>
      </c>
      <c r="WR82" s="18" t="str">
        <f ca="1">IF(AND(SUM($UB82:$VY82)&gt;0,$TM82=WS$1),MAX(WR$2:WR81)+1,"")</f>
        <v/>
      </c>
      <c r="WS82" s="59" t="str">
        <f t="shared" ca="1" si="176"/>
        <v/>
      </c>
      <c r="WT82" s="18" t="str">
        <f ca="1">IF(AND(SUM($UB82:$VY82)&gt;0,$TM82=WU$1),MAX(WT$2:WT81)+1,"")</f>
        <v/>
      </c>
      <c r="WU82" s="59" t="str">
        <f t="shared" ca="1" si="177"/>
        <v/>
      </c>
      <c r="WV82" s="18" t="str">
        <f ca="1">IF(AND(SUM($UB82:$VY82)&gt;0,$TM82=WW$1),MAX(WV$2:WV81)+1,"")</f>
        <v/>
      </c>
      <c r="WW82" s="59" t="str">
        <f t="shared" ca="1" si="178"/>
        <v/>
      </c>
      <c r="WX82" s="18" t="str">
        <f ca="1">IF(AND(SUM($UB82:$VY82)&gt;0,$TM82=WY$1),MAX(WX$2:WX81)+1,"")</f>
        <v/>
      </c>
      <c r="WY82" s="59" t="str">
        <f t="shared" ca="1" si="179"/>
        <v/>
      </c>
      <c r="WZ82" s="59"/>
      <c r="XC82" s="59" t="str">
        <f t="shared" ca="1" si="182"/>
        <v/>
      </c>
      <c r="XL82" s="59"/>
      <c r="XM82" s="59"/>
    </row>
    <row r="83" spans="219:637" ht="9.9499999999999993" customHeight="1" x14ac:dyDescent="0.2">
      <c r="HK83" s="59"/>
      <c r="HL83" s="59"/>
      <c r="IX83" s="58" t="s">
        <v>1671</v>
      </c>
      <c r="IY83" s="58" t="s">
        <v>1672</v>
      </c>
      <c r="IZ83" s="58" t="s">
        <v>203</v>
      </c>
      <c r="JA83" s="58" t="s">
        <v>283</v>
      </c>
      <c r="JB83" s="58" t="s">
        <v>1673</v>
      </c>
      <c r="JM83" s="296">
        <v>5</v>
      </c>
      <c r="JN83" s="18">
        <v>4</v>
      </c>
      <c r="JO83" s="98">
        <v>2</v>
      </c>
      <c r="JP83" s="98" t="s">
        <v>140</v>
      </c>
      <c r="JQ83" s="98" t="s">
        <v>140</v>
      </c>
      <c r="JR83" s="98" t="s">
        <v>140</v>
      </c>
      <c r="JS83" s="98" t="s">
        <v>140</v>
      </c>
      <c r="JT83" s="98" t="s">
        <v>140</v>
      </c>
      <c r="JU83" s="98" t="s">
        <v>140</v>
      </c>
      <c r="JV83" s="98" t="s">
        <v>140</v>
      </c>
      <c r="JW83" s="98">
        <v>2</v>
      </c>
      <c r="JX83" s="302"/>
      <c r="KT83" s="88" t="s">
        <v>168</v>
      </c>
      <c r="KU83" s="80" t="str">
        <f t="shared" ca="1" si="186"/>
        <v>No</v>
      </c>
      <c r="KV83" s="89" t="s">
        <v>332</v>
      </c>
      <c r="KW83" s="92"/>
      <c r="KX83" s="92"/>
      <c r="KY83" s="92"/>
      <c r="KZ83" s="92"/>
      <c r="LA83" s="92"/>
      <c r="LB83" s="92"/>
      <c r="LC83" s="92"/>
      <c r="LD83" s="92"/>
      <c r="LE83" s="92"/>
      <c r="LF83" s="92"/>
      <c r="LG83" s="92"/>
      <c r="LH83" s="92"/>
      <c r="LI83" s="92"/>
      <c r="LJ83" s="92"/>
      <c r="LK83" s="92"/>
      <c r="LL83" s="92"/>
      <c r="LM83" s="92"/>
      <c r="LN83" s="92"/>
      <c r="LO83" s="92"/>
      <c r="LP83" s="92"/>
      <c r="LQ83" s="92"/>
      <c r="LR83" s="92"/>
      <c r="LS83" s="92"/>
      <c r="LT83" s="92"/>
      <c r="LU83" s="92"/>
      <c r="LV83" s="92"/>
      <c r="LW83" s="92"/>
      <c r="LX83" s="92"/>
      <c r="LY83" s="92"/>
      <c r="LZ83" s="92" t="str">
        <f>IF(Class1=LZ$5,IF(LZ$1&gt;0,$KT83,""),"")</f>
        <v/>
      </c>
      <c r="MA83" s="92" t="str">
        <f t="shared" ca="1" si="187"/>
        <v/>
      </c>
      <c r="MB83" s="92" t="str">
        <f>IF(Class1=MB$5,IF(MB$1&gt;0,$KT83,""),"")</f>
        <v/>
      </c>
      <c r="MC83" s="92"/>
      <c r="MD83" s="92" t="str">
        <f t="shared" ca="1" si="188"/>
        <v/>
      </c>
      <c r="ME83" s="92"/>
      <c r="MF83" s="92"/>
      <c r="MG83" s="92"/>
      <c r="MH83" s="92" t="str">
        <f t="shared" ca="1" si="189"/>
        <v/>
      </c>
      <c r="MI83" s="92" t="str">
        <f t="shared" ca="1" si="190"/>
        <v/>
      </c>
      <c r="MJ83" s="92"/>
      <c r="MK83" s="92" t="str">
        <f t="shared" ca="1" si="190"/>
        <v/>
      </c>
      <c r="ML83" s="92"/>
      <c r="MM83" s="92"/>
      <c r="MN83" s="92"/>
      <c r="MO83" s="92"/>
      <c r="MP83" s="92"/>
      <c r="MQ83" s="92"/>
      <c r="MR83" s="92"/>
      <c r="MS83" s="92"/>
      <c r="MT83" s="92"/>
      <c r="MU83" s="92"/>
      <c r="MV83" s="92"/>
      <c r="MW83" s="92"/>
      <c r="MX83" s="92"/>
      <c r="MY83" s="92"/>
      <c r="MZ83" s="92"/>
      <c r="NA83" s="92"/>
      <c r="NB83" s="92"/>
      <c r="NC83" s="92"/>
      <c r="ND83" s="92"/>
      <c r="NE83" s="92"/>
      <c r="NF83" s="92"/>
      <c r="NG83" s="92"/>
      <c r="NH83" s="92"/>
      <c r="NI83" s="92"/>
      <c r="NJ83" s="92"/>
      <c r="NK83" s="92"/>
      <c r="NL83" s="92"/>
      <c r="NM83" s="92"/>
      <c r="NN83" s="92"/>
      <c r="NO83" s="92"/>
      <c r="NP83" s="92"/>
      <c r="NQ83" s="92"/>
      <c r="NR83" s="92"/>
      <c r="NS83" s="92"/>
      <c r="NT83" s="92"/>
      <c r="NU83" s="92"/>
      <c r="NV83" s="92"/>
      <c r="NW83" s="92"/>
      <c r="NX83" s="92"/>
      <c r="NY83" s="92"/>
      <c r="NZ83" s="92"/>
      <c r="OA83" s="92"/>
      <c r="OB83" s="92"/>
      <c r="OC83" s="92"/>
      <c r="OD83" s="92"/>
      <c r="OE83" s="92"/>
      <c r="OF83" s="92"/>
      <c r="OG83" s="92"/>
      <c r="OH83" s="92"/>
      <c r="OI83" s="92"/>
      <c r="OJ83" s="92"/>
      <c r="OK83" s="92"/>
      <c r="OL83" s="92"/>
      <c r="OM83" s="92"/>
      <c r="ON83" s="92"/>
      <c r="OO83" s="92"/>
      <c r="OP83" s="92"/>
      <c r="OQ83" s="92"/>
      <c r="OR83" s="92"/>
      <c r="OS83" s="92"/>
      <c r="OT83" s="92"/>
      <c r="OU83" s="92"/>
      <c r="OV83" s="92"/>
      <c r="OW83" s="92"/>
      <c r="OX83" s="92"/>
      <c r="OY83" s="92"/>
      <c r="OZ83" s="92"/>
      <c r="PA83" s="92"/>
      <c r="PB83" s="92"/>
      <c r="PC83" s="92"/>
      <c r="PD83" s="92"/>
      <c r="PE83" s="92"/>
      <c r="PF83" s="92"/>
      <c r="PG83" s="92"/>
      <c r="PH83" s="92"/>
      <c r="PI83" s="92"/>
      <c r="PJ83" s="92"/>
      <c r="PK83" s="92"/>
      <c r="PL83" s="92"/>
      <c r="PM83" s="92"/>
      <c r="PN83" s="92"/>
      <c r="PO83" s="92"/>
      <c r="PP83" s="92"/>
      <c r="PQ83" s="92"/>
      <c r="PR83" s="92"/>
      <c r="PS83" s="92"/>
      <c r="PT83" s="92"/>
      <c r="PU83" s="59" t="str">
        <f ca="1">IF($PU$80="",IF(COUNTIF(KW83:PT83,"&gt;&lt;"),KT83,""),"")</f>
        <v/>
      </c>
      <c r="PV83" s="59" t="str">
        <f ca="1">IF(PU83="","",IF(COUNTIF(PU83:$PU$125,"&gt;&lt;")&gt;1,PU83&amp;", ", PU83))</f>
        <v/>
      </c>
      <c r="PW83" s="59"/>
      <c r="PX83" s="59"/>
      <c r="TJ83" s="18">
        <f t="shared" si="181"/>
        <v>81</v>
      </c>
      <c r="TK83" s="58" t="s">
        <v>1945</v>
      </c>
      <c r="TL83" s="58" t="s">
        <v>463</v>
      </c>
      <c r="TM83" s="18">
        <v>6</v>
      </c>
      <c r="TN83" s="59" t="str">
        <f t="shared" si="167"/>
        <v xml:space="preserve">Create Undead ᴴ </v>
      </c>
      <c r="TO83" s="350" t="s">
        <v>2991</v>
      </c>
      <c r="TP83" s="18" t="str">
        <f t="shared" si="168"/>
        <v/>
      </c>
      <c r="TQ83" s="18" t="str">
        <f>IF(OR(TK83=Spellcasting!$AC$18,TK83=Spellcasting!$AC$19),"ᵐ","")</f>
        <v/>
      </c>
      <c r="TR83" s="18" t="str">
        <f>IF(OR(TK83=Spellcasting!$AC$20,TK83=Spellcasting!$AC$21),"ˢ","")</f>
        <v/>
      </c>
      <c r="TS83" s="18" t="str">
        <f>""</f>
        <v/>
      </c>
      <c r="TT83" s="18" t="s">
        <v>503</v>
      </c>
      <c r="TU83" s="18" t="s">
        <v>504</v>
      </c>
      <c r="TV83" s="18" t="s">
        <v>505</v>
      </c>
      <c r="TW83" s="18" t="s">
        <v>495</v>
      </c>
      <c r="TX83" s="59" t="s">
        <v>1992</v>
      </c>
      <c r="TY83" s="18" t="s">
        <v>506</v>
      </c>
      <c r="TZ83" s="18" t="s">
        <v>507</v>
      </c>
      <c r="UA83" s="142" t="s">
        <v>2233</v>
      </c>
      <c r="UB83" s="319" t="s">
        <v>2275</v>
      </c>
      <c r="UG83" s="18" t="str">
        <f ca="1">IF(UG$1&gt;=$TM83,1,"0")</f>
        <v>0</v>
      </c>
      <c r="UH83" s="18" t="str">
        <f ca="1">IF(UH$1&gt;=$TM83,1,"0")</f>
        <v>0</v>
      </c>
      <c r="UL83" s="18" t="str">
        <f ca="1">IF(UL$1&gt;=$TM83,1,"0")</f>
        <v>0</v>
      </c>
      <c r="WD83" s="18" t="str">
        <f ca="1">IF(SUM($VZ$1:$WC$1)&gt;0,IF(AND(SUM($VZ83:$WC83)&gt;0,$TM83=WE$1),MAX(WD$2:WD82)+1,""),IF(AND(SUM($UC83:$VY83)&gt;0,$TM83=WE$1),MAX(WD$2:WD82)+1,""))</f>
        <v/>
      </c>
      <c r="WE83" s="59" t="str">
        <f t="shared" ca="1" si="169"/>
        <v/>
      </c>
      <c r="WF83" s="18" t="str">
        <f ca="1">IF(AND(SUM($UB83:$VY83)&gt;0,$TM83=WG$1),MAX(WF$2:WF82)+1,"")</f>
        <v/>
      </c>
      <c r="WG83" s="59" t="str">
        <f t="shared" ca="1" si="170"/>
        <v/>
      </c>
      <c r="WH83" s="18" t="str">
        <f ca="1">IF(AND(SUM($UB83:$VY83)&gt;0,$TM83=WI$1),MAX(WH$2:WH82)+1,"")</f>
        <v/>
      </c>
      <c r="WI83" s="59" t="str">
        <f t="shared" ca="1" si="171"/>
        <v/>
      </c>
      <c r="WJ83" s="18" t="str">
        <f ca="1">IF(AND(SUM($UB83:$VY83)&gt;0,$TM83=WK$1),MAX(WJ$2:WJ82)+1,"")</f>
        <v/>
      </c>
      <c r="WK83" s="59" t="str">
        <f t="shared" ca="1" si="172"/>
        <v/>
      </c>
      <c r="WL83" s="18" t="str">
        <f ca="1">IF(AND(SUM($UB83:$VY83)&gt;0,$TM83=WM$1),MAX(WL$2:WL82)+1,"")</f>
        <v/>
      </c>
      <c r="WM83" s="59" t="str">
        <f t="shared" ca="1" si="173"/>
        <v/>
      </c>
      <c r="WN83" s="18" t="str">
        <f ca="1">IF(AND(SUM($UB83:$VY83)&gt;0,$TM83=WO$1),MAX(WN$2:WN82)+1,"")</f>
        <v/>
      </c>
      <c r="WO83" s="59" t="str">
        <f t="shared" ca="1" si="174"/>
        <v/>
      </c>
      <c r="WP83" s="18" t="str">
        <f ca="1">IF(AND(SUM($UB83:$VY83)&gt;0,$TM83=WQ$1),MAX(WP$2:WP82)+1,"")</f>
        <v/>
      </c>
      <c r="WQ83" s="59" t="str">
        <f t="shared" ca="1" si="175"/>
        <v/>
      </c>
      <c r="WR83" s="18" t="str">
        <f ca="1">IF(AND(SUM($UB83:$VY83)&gt;0,$TM83=WS$1),MAX(WR$2:WR82)+1,"")</f>
        <v/>
      </c>
      <c r="WS83" s="59" t="str">
        <f t="shared" ca="1" si="176"/>
        <v/>
      </c>
      <c r="WT83" s="18" t="str">
        <f ca="1">IF(AND(SUM($UB83:$VY83)&gt;0,$TM83=WU$1),MAX(WT$2:WT82)+1,"")</f>
        <v/>
      </c>
      <c r="WU83" s="59" t="str">
        <f t="shared" ca="1" si="177"/>
        <v/>
      </c>
      <c r="WV83" s="18" t="str">
        <f ca="1">IF(AND(SUM($UB83:$VY83)&gt;0,$TM83=WW$1),MAX(WV$2:WV82)+1,"")</f>
        <v/>
      </c>
      <c r="WW83" s="59" t="str">
        <f t="shared" ca="1" si="178"/>
        <v/>
      </c>
      <c r="WX83" s="18" t="str">
        <f ca="1">IF(AND(SUM($UB83:$VY83)&gt;0,$TM83=WY$1),MAX(WX$2:WX82)+1,"")</f>
        <v/>
      </c>
      <c r="WY83" s="59" t="str">
        <f t="shared" ca="1" si="179"/>
        <v/>
      </c>
      <c r="WZ83" s="59"/>
      <c r="XC83" s="59" t="str">
        <f t="shared" ca="1" si="182"/>
        <v/>
      </c>
      <c r="XL83" s="59"/>
      <c r="XM83" s="59"/>
    </row>
    <row r="84" spans="219:637" ht="9.9499999999999993" customHeight="1" x14ac:dyDescent="0.2">
      <c r="HK84" s="59"/>
      <c r="HL84" s="59"/>
      <c r="IX84" s="58" t="s">
        <v>1674</v>
      </c>
      <c r="IY84" s="58" t="s">
        <v>1675</v>
      </c>
      <c r="IZ84" s="58" t="s">
        <v>203</v>
      </c>
      <c r="JA84" s="58" t="s">
        <v>281</v>
      </c>
      <c r="JB84" s="58" t="s">
        <v>1676</v>
      </c>
      <c r="JM84" s="296">
        <v>6</v>
      </c>
      <c r="JN84" s="18">
        <v>4</v>
      </c>
      <c r="JO84" s="18">
        <v>2</v>
      </c>
      <c r="JP84" s="98" t="s">
        <v>140</v>
      </c>
      <c r="JQ84" s="98" t="s">
        <v>140</v>
      </c>
      <c r="JR84" s="98" t="s">
        <v>140</v>
      </c>
      <c r="JS84" s="98" t="s">
        <v>140</v>
      </c>
      <c r="JT84" s="98" t="s">
        <v>140</v>
      </c>
      <c r="JU84" s="98" t="s">
        <v>140</v>
      </c>
      <c r="JV84" s="98" t="s">
        <v>140</v>
      </c>
      <c r="JW84" s="98">
        <v>2</v>
      </c>
      <c r="JX84" s="302"/>
      <c r="KT84" s="88" t="s">
        <v>129</v>
      </c>
      <c r="KU84" s="80" t="str">
        <f t="shared" ca="1" si="186"/>
        <v>No</v>
      </c>
      <c r="KV84" s="89" t="s">
        <v>332</v>
      </c>
      <c r="KW84" s="92"/>
      <c r="KX84" s="92"/>
      <c r="KY84" s="92"/>
      <c r="KZ84" s="92"/>
      <c r="LA84" s="92"/>
      <c r="LB84" s="92"/>
      <c r="LC84" s="92"/>
      <c r="LD84" s="92"/>
      <c r="LE84" s="92"/>
      <c r="LF84" s="92"/>
      <c r="LG84" s="92"/>
      <c r="LH84" s="92"/>
      <c r="LI84" s="92"/>
      <c r="LJ84" s="92"/>
      <c r="LK84" s="92"/>
      <c r="LL84" s="92"/>
      <c r="LM84" s="92"/>
      <c r="LN84" s="92"/>
      <c r="LO84" s="92"/>
      <c r="LP84" s="92"/>
      <c r="LQ84" s="92"/>
      <c r="LR84" s="92"/>
      <c r="LS84" s="92"/>
      <c r="LT84" s="92"/>
      <c r="LU84" s="92"/>
      <c r="LV84" s="92"/>
      <c r="LW84" s="92"/>
      <c r="LX84" s="92"/>
      <c r="LY84" s="92"/>
      <c r="LZ84" s="92"/>
      <c r="MA84" s="92" t="str">
        <f t="shared" ca="1" si="187"/>
        <v/>
      </c>
      <c r="MB84" s="92"/>
      <c r="MC84" s="92"/>
      <c r="MD84" s="92" t="str">
        <f t="shared" ca="1" si="188"/>
        <v/>
      </c>
      <c r="ME84" s="92"/>
      <c r="MF84" s="92"/>
      <c r="MG84" s="92"/>
      <c r="MH84" s="92" t="str">
        <f t="shared" ca="1" si="189"/>
        <v/>
      </c>
      <c r="MI84" s="92" t="str">
        <f t="shared" ca="1" si="190"/>
        <v/>
      </c>
      <c r="MJ84" s="92"/>
      <c r="MK84" s="92"/>
      <c r="ML84" s="92"/>
      <c r="MM84" s="92"/>
      <c r="MN84" s="92"/>
      <c r="MO84" s="92"/>
      <c r="MP84" s="92"/>
      <c r="MQ84" s="92" t="str">
        <f ca="1">IF(MQ$1&gt;0,$KT84,"")</f>
        <v/>
      </c>
      <c r="MR84" s="92"/>
      <c r="MS84" s="92" t="str">
        <f ca="1">IF(MS$1&gt;0,$KT84,"")</f>
        <v/>
      </c>
      <c r="MT84" s="92"/>
      <c r="MU84" s="92"/>
      <c r="MV84" s="92"/>
      <c r="MW84" s="92"/>
      <c r="MX84" s="92"/>
      <c r="MY84" s="92"/>
      <c r="MZ84" s="92"/>
      <c r="NA84" s="92"/>
      <c r="NB84" s="92"/>
      <c r="NC84" s="92"/>
      <c r="ND84" s="92"/>
      <c r="NE84" s="92"/>
      <c r="NF84" s="92"/>
      <c r="NG84" s="92"/>
      <c r="NH84" s="92"/>
      <c r="NI84" s="92"/>
      <c r="NJ84" s="92"/>
      <c r="NK84" s="92" t="str">
        <f ca="1">IF(NK$1&gt;2,$KT84,"")</f>
        <v/>
      </c>
      <c r="NL84" s="92"/>
      <c r="NM84" s="92"/>
      <c r="NN84" s="92"/>
      <c r="NO84" s="92"/>
      <c r="NP84" s="92"/>
      <c r="NQ84" s="92"/>
      <c r="NR84" s="92"/>
      <c r="NS84" s="92"/>
      <c r="NT84" s="92"/>
      <c r="NU84" s="92"/>
      <c r="NV84" s="92"/>
      <c r="NW84" s="92"/>
      <c r="NX84" s="92"/>
      <c r="NY84" s="92"/>
      <c r="NZ84" s="92"/>
      <c r="OA84" s="92"/>
      <c r="OB84" s="92"/>
      <c r="OC84" s="92"/>
      <c r="OD84" s="92"/>
      <c r="OE84" s="92"/>
      <c r="OF84" s="92"/>
      <c r="OG84" s="92"/>
      <c r="OH84" s="92"/>
      <c r="OI84" s="92"/>
      <c r="OJ84" s="92"/>
      <c r="OK84" s="92"/>
      <c r="OL84" s="92"/>
      <c r="OM84" s="92"/>
      <c r="ON84" s="92"/>
      <c r="OO84" s="92"/>
      <c r="OP84" s="92"/>
      <c r="OQ84" s="92"/>
      <c r="OR84" s="92"/>
      <c r="OS84" s="92"/>
      <c r="OT84" s="92"/>
      <c r="OU84" s="92"/>
      <c r="OV84" s="92"/>
      <c r="OW84" s="92"/>
      <c r="OX84" s="92"/>
      <c r="OY84" s="92"/>
      <c r="OZ84" s="92"/>
      <c r="PA84" s="92"/>
      <c r="PB84" s="92"/>
      <c r="PC84" s="92"/>
      <c r="PD84" s="92"/>
      <c r="PE84" s="92"/>
      <c r="PF84" s="92"/>
      <c r="PG84" s="92"/>
      <c r="PH84" s="92"/>
      <c r="PI84" s="92"/>
      <c r="PJ84" s="92"/>
      <c r="PK84" s="92"/>
      <c r="PL84" s="92"/>
      <c r="PM84" s="92"/>
      <c r="PN84" s="92"/>
      <c r="PO84" s="92"/>
      <c r="PP84" s="92"/>
      <c r="PQ84" s="92"/>
      <c r="PR84" s="92"/>
      <c r="PS84" s="92"/>
      <c r="PT84" s="92"/>
      <c r="PU84" s="59" t="str">
        <f ca="1">IF($PU$81="",IF(COUNTIF(KW84:PT84,"&gt;&lt;"),KT84,""),"")</f>
        <v/>
      </c>
      <c r="PV84" s="59" t="str">
        <f ca="1">IF(PU84="","",IF(COUNTIF(PU84:$PU$125,"&gt;&lt;")&gt;1,PU84&amp;", ", PU84))</f>
        <v/>
      </c>
      <c r="PW84" s="59"/>
      <c r="PX84" s="59"/>
      <c r="TJ84" s="18">
        <f t="shared" si="181"/>
        <v>82</v>
      </c>
      <c r="TK84" s="58" t="s">
        <v>1936</v>
      </c>
      <c r="TL84" s="58" t="s">
        <v>462</v>
      </c>
      <c r="TM84" s="18">
        <v>5</v>
      </c>
      <c r="TN84" s="59" t="str">
        <f t="shared" si="167"/>
        <v xml:space="preserve">Creation ᴴ </v>
      </c>
      <c r="TO84" s="350" t="s">
        <v>2991</v>
      </c>
      <c r="TP84" s="18" t="str">
        <f t="shared" si="168"/>
        <v/>
      </c>
      <c r="TQ84" s="18" t="str">
        <f>IF(OR(TK84=Spellcasting!$AC$18,TK84=Spellcasting!$AC$19),"ᵐ","")</f>
        <v/>
      </c>
      <c r="TR84" s="18" t="str">
        <f>IF(OR(TK84=Spellcasting!$AC$20,TK84=Spellcasting!$AC$21),"ˢ","")</f>
        <v/>
      </c>
      <c r="TS84" s="18" t="str">
        <f>""</f>
        <v/>
      </c>
      <c r="TT84" s="18" t="s">
        <v>503</v>
      </c>
      <c r="TU84" s="18" t="s">
        <v>851</v>
      </c>
      <c r="TV84" s="18" t="s">
        <v>841</v>
      </c>
      <c r="TW84" s="18" t="s">
        <v>495</v>
      </c>
      <c r="TX84" s="59" t="s">
        <v>1993</v>
      </c>
      <c r="TY84" s="18" t="s">
        <v>523</v>
      </c>
      <c r="TZ84" s="18" t="s">
        <v>524</v>
      </c>
      <c r="UA84" s="142" t="s">
        <v>2116</v>
      </c>
      <c r="UB84" s="319" t="s">
        <v>2117</v>
      </c>
      <c r="UF84" s="18" t="str">
        <f ca="1">IF(UF$1&gt;=$TM84,1,"0")</f>
        <v>0</v>
      </c>
      <c r="UL84" s="18" t="str">
        <f ca="1">IF(UL$1&gt;=$TM84,1,"0")</f>
        <v>0</v>
      </c>
      <c r="WD84" s="18" t="str">
        <f ca="1">IF(SUM($VZ$1:$WC$1)&gt;0,IF(AND(SUM($VZ84:$WC84)&gt;0,$TM84=WE$1),MAX(WD$2:WD83)+1,""),IF(AND(SUM($UC84:$VY84)&gt;0,$TM84=WE$1),MAX(WD$2:WD83)+1,""))</f>
        <v/>
      </c>
      <c r="WE84" s="59" t="str">
        <f t="shared" ca="1" si="169"/>
        <v/>
      </c>
      <c r="WF84" s="18" t="str">
        <f ca="1">IF(AND(SUM($UB84:$VY84)&gt;0,$TM84=WG$1),MAX(WF$2:WF83)+1,"")</f>
        <v/>
      </c>
      <c r="WG84" s="59" t="str">
        <f t="shared" ca="1" si="170"/>
        <v/>
      </c>
      <c r="WH84" s="18" t="str">
        <f ca="1">IF(AND(SUM($UB84:$VY84)&gt;0,$TM84=WI$1),MAX(WH$2:WH83)+1,"")</f>
        <v/>
      </c>
      <c r="WI84" s="59" t="str">
        <f t="shared" ca="1" si="171"/>
        <v/>
      </c>
      <c r="WJ84" s="18" t="str">
        <f ca="1">IF(AND(SUM($UB84:$VY84)&gt;0,$TM84=WK$1),MAX(WJ$2:WJ83)+1,"")</f>
        <v/>
      </c>
      <c r="WK84" s="59" t="str">
        <f t="shared" ca="1" si="172"/>
        <v/>
      </c>
      <c r="WL84" s="18" t="str">
        <f ca="1">IF(AND(SUM($UB84:$VY84)&gt;0,$TM84=WM$1),MAX(WL$2:WL83)+1,"")</f>
        <v/>
      </c>
      <c r="WM84" s="59" t="str">
        <f t="shared" ca="1" si="173"/>
        <v/>
      </c>
      <c r="WN84" s="18" t="str">
        <f ca="1">IF(AND(SUM($UB84:$VY84)&gt;0,$TM84=WO$1),MAX(WN$2:WN83)+1,"")</f>
        <v/>
      </c>
      <c r="WO84" s="59" t="str">
        <f t="shared" ca="1" si="174"/>
        <v/>
      </c>
      <c r="WP84" s="18" t="str">
        <f ca="1">IF(AND(SUM($UB84:$VY84)&gt;0,$TM84=WQ$1),MAX(WP$2:WP83)+1,"")</f>
        <v/>
      </c>
      <c r="WQ84" s="59" t="str">
        <f t="shared" ca="1" si="175"/>
        <v/>
      </c>
      <c r="WR84" s="18" t="str">
        <f ca="1">IF(AND(SUM($UB84:$VY84)&gt;0,$TM84=WS$1),MAX(WR$2:WR83)+1,"")</f>
        <v/>
      </c>
      <c r="WS84" s="59" t="str">
        <f t="shared" ca="1" si="176"/>
        <v/>
      </c>
      <c r="WT84" s="18" t="str">
        <f ca="1">IF(AND(SUM($UB84:$VY84)&gt;0,$TM84=WU$1),MAX(WT$2:WT83)+1,"")</f>
        <v/>
      </c>
      <c r="WU84" s="59" t="str">
        <f t="shared" ca="1" si="177"/>
        <v/>
      </c>
      <c r="WV84" s="18" t="str">
        <f ca="1">IF(AND(SUM($UB84:$VY84)&gt;0,$TM84=WW$1),MAX(WV$2:WV83)+1,"")</f>
        <v/>
      </c>
      <c r="WW84" s="59" t="str">
        <f t="shared" ca="1" si="178"/>
        <v/>
      </c>
      <c r="WX84" s="18" t="str">
        <f ca="1">IF(AND(SUM($UB84:$VY84)&gt;0,$TM84=WY$1),MAX(WX$2:WX83)+1,"")</f>
        <v/>
      </c>
      <c r="WY84" s="59" t="str">
        <f t="shared" ca="1" si="179"/>
        <v/>
      </c>
      <c r="WZ84" s="59"/>
      <c r="XC84" s="59" t="str">
        <f t="shared" ca="1" si="182"/>
        <v/>
      </c>
      <c r="XL84" s="59"/>
      <c r="XM84" s="59"/>
    </row>
    <row r="85" spans="219:637" ht="9.9499999999999993" customHeight="1" x14ac:dyDescent="0.2">
      <c r="HK85" s="59"/>
      <c r="HL85" s="59"/>
      <c r="IX85" s="58" t="s">
        <v>1680</v>
      </c>
      <c r="JM85" s="296">
        <v>7</v>
      </c>
      <c r="JN85" s="18">
        <v>4</v>
      </c>
      <c r="JO85" s="18">
        <v>3</v>
      </c>
      <c r="JP85" s="98" t="s">
        <v>140</v>
      </c>
      <c r="JQ85" s="98" t="s">
        <v>140</v>
      </c>
      <c r="JR85" s="98" t="s">
        <v>140</v>
      </c>
      <c r="JS85" s="98" t="s">
        <v>140</v>
      </c>
      <c r="JT85" s="98" t="s">
        <v>140</v>
      </c>
      <c r="JU85" s="98" t="s">
        <v>140</v>
      </c>
      <c r="JV85" s="98" t="s">
        <v>140</v>
      </c>
      <c r="JW85" s="98">
        <v>2</v>
      </c>
      <c r="JX85" s="302"/>
      <c r="KT85" s="88" t="s">
        <v>87</v>
      </c>
      <c r="KU85" s="80" t="str">
        <f t="shared" ca="1" si="186"/>
        <v>No</v>
      </c>
      <c r="KV85" s="89" t="s">
        <v>332</v>
      </c>
      <c r="KW85" s="92"/>
      <c r="KX85" s="92"/>
      <c r="KY85" s="92"/>
      <c r="KZ85" s="92"/>
      <c r="LA85" s="92"/>
      <c r="LB85" s="92"/>
      <c r="LC85" s="92"/>
      <c r="LD85" s="92"/>
      <c r="LE85" s="92"/>
      <c r="LF85" s="92"/>
      <c r="LG85" s="92"/>
      <c r="LH85" s="92"/>
      <c r="LI85" s="92"/>
      <c r="LJ85" s="92"/>
      <c r="LK85" s="92"/>
      <c r="LL85" s="92"/>
      <c r="LM85" s="92"/>
      <c r="LN85" s="92"/>
      <c r="LO85" s="92"/>
      <c r="LP85" s="92"/>
      <c r="LQ85" s="92"/>
      <c r="LR85" s="92"/>
      <c r="LS85" s="92"/>
      <c r="LT85" s="92"/>
      <c r="LU85" s="92"/>
      <c r="LV85" s="92"/>
      <c r="LW85" s="92"/>
      <c r="LX85" s="92"/>
      <c r="LY85" s="92"/>
      <c r="LZ85" s="92"/>
      <c r="MA85" s="92" t="str">
        <f t="shared" ca="1" si="187"/>
        <v/>
      </c>
      <c r="MB85" s="92"/>
      <c r="MC85" s="92"/>
      <c r="MD85" s="92" t="str">
        <f t="shared" ca="1" si="188"/>
        <v/>
      </c>
      <c r="ME85" s="92"/>
      <c r="MF85" s="92"/>
      <c r="MG85" s="92"/>
      <c r="MH85" s="92" t="str">
        <f t="shared" ca="1" si="189"/>
        <v/>
      </c>
      <c r="MI85" s="92" t="str">
        <f t="shared" ca="1" si="190"/>
        <v/>
      </c>
      <c r="MJ85" s="92"/>
      <c r="MK85" s="92"/>
      <c r="ML85" s="92"/>
      <c r="MM85" s="92"/>
      <c r="MN85" s="92"/>
      <c r="MO85" s="92"/>
      <c r="MP85" s="92"/>
      <c r="MQ85" s="92" t="str">
        <f ca="1">IF(MQ$1&gt;0,$KT85,"")</f>
        <v/>
      </c>
      <c r="MR85" s="92"/>
      <c r="MS85" s="92" t="str">
        <f ca="1">IF(MS$1&gt;0,$KT85,"")</f>
        <v/>
      </c>
      <c r="MT85" s="92"/>
      <c r="MU85" s="92"/>
      <c r="MV85" s="92"/>
      <c r="MW85" s="92"/>
      <c r="MX85" s="92"/>
      <c r="MY85" s="92"/>
      <c r="MZ85" s="92"/>
      <c r="NA85" s="92"/>
      <c r="NB85" s="92"/>
      <c r="NC85" s="92"/>
      <c r="ND85" s="92"/>
      <c r="NE85" s="92"/>
      <c r="NF85" s="92"/>
      <c r="NG85" s="92"/>
      <c r="NH85" s="92"/>
      <c r="NI85" s="92"/>
      <c r="NJ85" s="92"/>
      <c r="NK85" s="92" t="str">
        <f ca="1">IF(NK$1&gt;2,$KT85,"")</f>
        <v/>
      </c>
      <c r="NL85" s="92"/>
      <c r="NM85" s="92"/>
      <c r="NN85" s="92"/>
      <c r="NO85" s="92"/>
      <c r="NP85" s="92"/>
      <c r="NQ85" s="92"/>
      <c r="NR85" s="92"/>
      <c r="NS85" s="92"/>
      <c r="NT85" s="92"/>
      <c r="NU85" s="92"/>
      <c r="NV85" s="92"/>
      <c r="NW85" s="92"/>
      <c r="NX85" s="92"/>
      <c r="NY85" s="92"/>
      <c r="NZ85" s="92"/>
      <c r="OA85" s="92"/>
      <c r="OB85" s="92" t="str">
        <f>IF(OB$1&gt;0,$KT85,"")</f>
        <v/>
      </c>
      <c r="OC85" s="92"/>
      <c r="OD85" s="92"/>
      <c r="OE85" s="92"/>
      <c r="OF85" s="92"/>
      <c r="OG85" s="92"/>
      <c r="OH85" s="92"/>
      <c r="OI85" s="92"/>
      <c r="OJ85" s="92"/>
      <c r="OK85" s="92"/>
      <c r="OL85" s="92"/>
      <c r="OM85" s="92"/>
      <c r="ON85" s="92"/>
      <c r="OO85" s="92"/>
      <c r="OP85" s="92"/>
      <c r="OQ85" s="92"/>
      <c r="OR85" s="92"/>
      <c r="OS85" s="92"/>
      <c r="OT85" s="92"/>
      <c r="OU85" s="92"/>
      <c r="OV85" s="92"/>
      <c r="OW85" s="92"/>
      <c r="OX85" s="92"/>
      <c r="OY85" s="92"/>
      <c r="OZ85" s="92"/>
      <c r="PA85" s="92"/>
      <c r="PB85" s="92"/>
      <c r="PC85" s="92"/>
      <c r="PD85" s="92"/>
      <c r="PE85" s="92"/>
      <c r="PF85" s="92"/>
      <c r="PG85" s="92"/>
      <c r="PH85" s="92"/>
      <c r="PI85" s="92"/>
      <c r="PJ85" s="92"/>
      <c r="PK85" s="92"/>
      <c r="PL85" s="92"/>
      <c r="PM85" s="92"/>
      <c r="PN85" s="92"/>
      <c r="PO85" s="92"/>
      <c r="PP85" s="92"/>
      <c r="PQ85" s="92"/>
      <c r="PR85" s="92"/>
      <c r="PS85" s="92"/>
      <c r="PT85" s="92"/>
      <c r="PU85" s="59" t="str">
        <f ca="1">IF($PU$81="",IF(COUNTIF(KW85:PT85,"&gt;&lt;"),KT85,""),"")</f>
        <v/>
      </c>
      <c r="PV85" s="59" t="str">
        <f ca="1">IF(PU85="","",IF(COUNTIF(PU85:$PU$125,"&gt;&lt;")&gt;1,PU85&amp;", ", PU85))</f>
        <v/>
      </c>
      <c r="PW85" s="59"/>
      <c r="PX85" s="59"/>
      <c r="TJ85" s="18">
        <f t="shared" si="181"/>
        <v>83</v>
      </c>
      <c r="TK85" s="58" t="s">
        <v>1226</v>
      </c>
      <c r="TL85" s="58" t="s">
        <v>459</v>
      </c>
      <c r="TM85" s="18">
        <v>2</v>
      </c>
      <c r="TN85" s="59" t="str">
        <f t="shared" si="167"/>
        <v xml:space="preserve">Crown of Madness </v>
      </c>
      <c r="TO85" s="18" t="str">
        <f>""</f>
        <v/>
      </c>
      <c r="TP85" s="18" t="str">
        <f t="shared" si="168"/>
        <v/>
      </c>
      <c r="TQ85" s="18" t="str">
        <f>IF(OR(TK85=Spellcasting!$AC$18,TK85=Spellcasting!$AC$19),"ᵐ","")</f>
        <v/>
      </c>
      <c r="TR85" s="18" t="str">
        <f>IF(OR(TK85=Spellcasting!$AC$20,TK85=Spellcasting!$AC$21),"ˢ","")</f>
        <v/>
      </c>
      <c r="TS85" s="18" t="str">
        <f>""</f>
        <v/>
      </c>
      <c r="TT85" s="18" t="s">
        <v>484</v>
      </c>
      <c r="TU85" s="18" t="s">
        <v>848</v>
      </c>
      <c r="TV85" s="18" t="s">
        <v>558</v>
      </c>
      <c r="TW85" s="18" t="s">
        <v>486</v>
      </c>
      <c r="TX85" s="59" t="str">
        <f>""</f>
        <v/>
      </c>
      <c r="TY85" s="18" t="s">
        <v>498</v>
      </c>
      <c r="TZ85" s="18" t="s">
        <v>499</v>
      </c>
      <c r="UA85" s="142" t="s">
        <v>1270</v>
      </c>
      <c r="UB85" s="319" t="s">
        <v>3019</v>
      </c>
      <c r="UC85" s="18" t="str">
        <f ca="1">IF(UC$1&gt;=$TM85,1,"0")</f>
        <v>0</v>
      </c>
      <c r="UF85" s="18" t="str">
        <f ca="1">IF(UF$1&gt;=$TM85,1,"0")</f>
        <v>0</v>
      </c>
      <c r="UG85" s="18" t="str">
        <f ca="1">IF(UG$1&gt;=$TM85,1,"0")</f>
        <v>0</v>
      </c>
      <c r="UL85" s="18" t="str">
        <f ca="1">IF(UL$1&gt;=$TM85,1,"0")</f>
        <v>0</v>
      </c>
      <c r="VQ85" s="18" t="str">
        <f>IF(VQ$1&gt;=$TM85,1,"0")</f>
        <v>0</v>
      </c>
      <c r="WD85" s="18" t="str">
        <f ca="1">IF(SUM($VZ$1:$WC$1)&gt;0,IF(AND(SUM($VZ85:$WC85)&gt;0,$TM85=WE$1),MAX(WD$2:WD84)+1,""),IF(AND(SUM($UC85:$VY85)&gt;0,$TM85=WE$1),MAX(WD$2:WD84)+1,""))</f>
        <v/>
      </c>
      <c r="WE85" s="59" t="str">
        <f t="shared" ca="1" si="169"/>
        <v/>
      </c>
      <c r="WF85" s="18" t="str">
        <f ca="1">IF(AND(SUM($UB85:$VY85)&gt;0,$TM85=WG$1),MAX(WF$2:WF84)+1,"")</f>
        <v/>
      </c>
      <c r="WG85" s="59" t="str">
        <f t="shared" ca="1" si="170"/>
        <v/>
      </c>
      <c r="WH85" s="18" t="str">
        <f ca="1">IF(AND(SUM($UB85:$VY85)&gt;0,$TM85=WI$1),MAX(WH$2:WH84)+1,"")</f>
        <v/>
      </c>
      <c r="WI85" s="59" t="str">
        <f t="shared" ca="1" si="171"/>
        <v/>
      </c>
      <c r="WJ85" s="18" t="str">
        <f ca="1">IF(AND(SUM($UB85:$VY85)&gt;0,$TM85=WK$1),MAX(WJ$2:WJ84)+1,"")</f>
        <v/>
      </c>
      <c r="WK85" s="59" t="str">
        <f t="shared" ca="1" si="172"/>
        <v/>
      </c>
      <c r="WL85" s="18" t="str">
        <f ca="1">IF(AND(SUM($UB85:$VY85)&gt;0,$TM85=WM$1),MAX(WL$2:WL84)+1,"")</f>
        <v/>
      </c>
      <c r="WM85" s="59" t="str">
        <f t="shared" ca="1" si="173"/>
        <v/>
      </c>
      <c r="WN85" s="18" t="str">
        <f ca="1">IF(AND(SUM($UB85:$VY85)&gt;0,$TM85=WO$1),MAX(WN$2:WN84)+1,"")</f>
        <v/>
      </c>
      <c r="WO85" s="59" t="str">
        <f t="shared" ca="1" si="174"/>
        <v/>
      </c>
      <c r="WP85" s="18" t="str">
        <f ca="1">IF(AND(SUM($UB85:$VY85)&gt;0,$TM85=WQ$1),MAX(WP$2:WP84)+1,"")</f>
        <v/>
      </c>
      <c r="WQ85" s="59" t="str">
        <f t="shared" ca="1" si="175"/>
        <v/>
      </c>
      <c r="WR85" s="18" t="str">
        <f ca="1">IF(AND(SUM($UB85:$VY85)&gt;0,$TM85=WS$1),MAX(WR$2:WR84)+1,"")</f>
        <v/>
      </c>
      <c r="WS85" s="59" t="str">
        <f t="shared" ca="1" si="176"/>
        <v/>
      </c>
      <c r="WT85" s="18" t="str">
        <f ca="1">IF(AND(SUM($UB85:$VY85)&gt;0,$TM85=WU$1),MAX(WT$2:WT84)+1,"")</f>
        <v/>
      </c>
      <c r="WU85" s="59" t="str">
        <f t="shared" ca="1" si="177"/>
        <v/>
      </c>
      <c r="WV85" s="18" t="str">
        <f ca="1">IF(AND(SUM($UB85:$VY85)&gt;0,$TM85=WW$1),MAX(WV$2:WV84)+1,"")</f>
        <v/>
      </c>
      <c r="WW85" s="59" t="str">
        <f t="shared" ca="1" si="178"/>
        <v/>
      </c>
      <c r="WX85" s="18" t="str">
        <f ca="1">IF(AND(SUM($UB85:$VY85)&gt;0,$TM85=WY$1),MAX(WX$2:WX84)+1,"")</f>
        <v/>
      </c>
      <c r="WY85" s="59" t="str">
        <f t="shared" ca="1" si="179"/>
        <v/>
      </c>
      <c r="WZ85" s="59"/>
      <c r="XC85" s="59" t="str">
        <f t="shared" ca="1" si="182"/>
        <v/>
      </c>
      <c r="XL85" s="59"/>
      <c r="XM85" s="59"/>
    </row>
    <row r="86" spans="219:637" ht="9.9499999999999993" customHeight="1" x14ac:dyDescent="0.2">
      <c r="HK86" s="59"/>
      <c r="HL86" s="59"/>
      <c r="IX86" s="58" t="s">
        <v>1683</v>
      </c>
      <c r="IY86" s="58" t="s">
        <v>1684</v>
      </c>
      <c r="IZ86" s="58" t="s">
        <v>200</v>
      </c>
      <c r="JA86" s="58" t="s">
        <v>890</v>
      </c>
      <c r="JB86" s="58" t="s">
        <v>2085</v>
      </c>
      <c r="JM86" s="296">
        <v>8</v>
      </c>
      <c r="JN86" s="18">
        <v>4</v>
      </c>
      <c r="JO86" s="18">
        <v>3</v>
      </c>
      <c r="JP86" s="98" t="s">
        <v>140</v>
      </c>
      <c r="JQ86" s="98" t="s">
        <v>140</v>
      </c>
      <c r="JR86" s="98" t="s">
        <v>140</v>
      </c>
      <c r="JS86" s="98" t="s">
        <v>140</v>
      </c>
      <c r="JT86" s="98" t="s">
        <v>140</v>
      </c>
      <c r="JU86" s="98" t="s">
        <v>140</v>
      </c>
      <c r="JV86" s="98" t="s">
        <v>140</v>
      </c>
      <c r="JW86" s="98">
        <v>2</v>
      </c>
      <c r="JX86" s="302"/>
      <c r="KT86" s="88" t="s">
        <v>153</v>
      </c>
      <c r="KU86" s="80" t="str">
        <f t="shared" ca="1" si="186"/>
        <v>No</v>
      </c>
      <c r="KV86" s="89" t="s">
        <v>167</v>
      </c>
      <c r="KW86" s="92"/>
      <c r="KX86" s="92"/>
      <c r="KY86" s="92"/>
      <c r="KZ86" s="92"/>
      <c r="LA86" s="92"/>
      <c r="LB86" s="92"/>
      <c r="LC86" s="92"/>
      <c r="LD86" s="92"/>
      <c r="LE86" s="92"/>
      <c r="LF86" s="92"/>
      <c r="LG86" s="92"/>
      <c r="LH86" s="92"/>
      <c r="LI86" s="92"/>
      <c r="LJ86" s="92"/>
      <c r="LK86" s="92"/>
      <c r="LL86" s="92"/>
      <c r="LM86" s="92"/>
      <c r="LN86" s="92"/>
      <c r="LO86" s="92"/>
      <c r="LP86" s="92"/>
      <c r="LQ86" s="92"/>
      <c r="LR86" s="92"/>
      <c r="LS86" s="92"/>
      <c r="LT86" s="92"/>
      <c r="LU86" s="92"/>
      <c r="LV86" s="92"/>
      <c r="LW86" s="92"/>
      <c r="LX86" s="92"/>
      <c r="LY86" s="92"/>
      <c r="LZ86" s="92" t="str">
        <f t="shared" ref="LZ86:LZ100" si="191">IF(Class1=LZ$5,IF(LZ$1&gt;0,$KT86,""),"")</f>
        <v/>
      </c>
      <c r="MA86" s="92" t="str">
        <f t="shared" ca="1" si="187"/>
        <v/>
      </c>
      <c r="MB86" s="92" t="str">
        <f t="shared" ref="MB86:MB100" si="192">IF(Class1=MB$5,IF(MB$1&gt;0,$KT86,""),"")</f>
        <v/>
      </c>
      <c r="MC86" s="92"/>
      <c r="MD86" s="92" t="str">
        <f t="shared" ca="1" si="188"/>
        <v/>
      </c>
      <c r="ME86" s="92" t="str">
        <f t="shared" ref="ME86:MG87" si="193">IF(Class1=ME$5,IF(ME$1&gt;0,$KT86,""),"")</f>
        <v/>
      </c>
      <c r="MF86" s="92" t="str">
        <f t="shared" si="193"/>
        <v/>
      </c>
      <c r="MG86" s="92" t="str">
        <f t="shared" si="193"/>
        <v/>
      </c>
      <c r="MH86" s="92" t="str">
        <f t="shared" ca="1" si="189"/>
        <v/>
      </c>
      <c r="MI86" s="92" t="str">
        <f t="shared" ca="1" si="190"/>
        <v/>
      </c>
      <c r="MJ86" s="92"/>
      <c r="MK86" s="92" t="str">
        <f t="shared" ca="1" si="190"/>
        <v/>
      </c>
      <c r="ML86" s="92"/>
      <c r="MM86" s="92"/>
      <c r="MN86" s="92"/>
      <c r="MO86" s="92"/>
      <c r="MP86" s="92"/>
      <c r="MQ86" s="92"/>
      <c r="MR86" s="92"/>
      <c r="MS86" s="92"/>
      <c r="MT86" s="92"/>
      <c r="MU86" s="92"/>
      <c r="MV86" s="92"/>
      <c r="MW86" s="92"/>
      <c r="MX86" s="92"/>
      <c r="MY86" s="92"/>
      <c r="MZ86" s="92"/>
      <c r="NA86" s="92"/>
      <c r="NB86" s="92"/>
      <c r="NC86" s="92"/>
      <c r="ND86" s="92"/>
      <c r="NE86" s="92"/>
      <c r="NF86" s="92"/>
      <c r="NG86" s="92"/>
      <c r="NH86" s="92"/>
      <c r="NI86" s="92"/>
      <c r="NJ86" s="92"/>
      <c r="NK86" s="92"/>
      <c r="NL86" s="92"/>
      <c r="NM86" s="92"/>
      <c r="NN86" s="92"/>
      <c r="NO86" s="92"/>
      <c r="NP86" s="92"/>
      <c r="NQ86" s="92"/>
      <c r="NR86" s="92"/>
      <c r="NS86" s="92"/>
      <c r="NT86" s="92"/>
      <c r="NU86" s="92"/>
      <c r="NV86" s="92"/>
      <c r="NW86" s="92"/>
      <c r="NX86" s="92"/>
      <c r="NY86" s="92"/>
      <c r="NZ86" s="92"/>
      <c r="OA86" s="92"/>
      <c r="OB86" s="92"/>
      <c r="OC86" s="92"/>
      <c r="OD86" s="92"/>
      <c r="OE86" s="92"/>
      <c r="OF86" s="92"/>
      <c r="OG86" s="92"/>
      <c r="OH86" s="92"/>
      <c r="OI86" s="92"/>
      <c r="OJ86" s="92"/>
      <c r="OK86" s="92"/>
      <c r="OL86" s="92"/>
      <c r="OM86" s="92"/>
      <c r="ON86" s="92"/>
      <c r="OO86" s="92"/>
      <c r="OP86" s="92"/>
      <c r="OQ86" s="92"/>
      <c r="OR86" s="92"/>
      <c r="OS86" s="92"/>
      <c r="OT86" s="92"/>
      <c r="OU86" s="92"/>
      <c r="OV86" s="92"/>
      <c r="OW86" s="92"/>
      <c r="OX86" s="92"/>
      <c r="OY86" s="92"/>
      <c r="OZ86" s="92"/>
      <c r="PA86" s="92"/>
      <c r="PB86" s="92"/>
      <c r="PC86" s="92"/>
      <c r="PD86" s="92"/>
      <c r="PE86" s="92"/>
      <c r="PF86" s="92"/>
      <c r="PG86" s="92"/>
      <c r="PH86" s="92"/>
      <c r="PI86" s="92"/>
      <c r="PJ86" s="92"/>
      <c r="PK86" s="92"/>
      <c r="PL86" s="92"/>
      <c r="PM86" s="92"/>
      <c r="PN86" s="92"/>
      <c r="PO86" s="92"/>
      <c r="PP86" s="92"/>
      <c r="PQ86" s="92"/>
      <c r="PR86" s="92"/>
      <c r="PS86" s="92"/>
      <c r="PT86" s="92"/>
      <c r="PU86" s="59" t="str">
        <f t="shared" ref="PU86:PU95" ca="1" si="194">IF(AND($PU$80="",$PU$82=""),IF(COUNTIF(KW86:PT86,"&gt;&lt;"),KT86,""),"")</f>
        <v/>
      </c>
      <c r="PV86" s="59" t="str">
        <f ca="1">IF(PU86="","",IF(COUNTIF(PU86:$PU$125,"&gt;&lt;")&gt;1,PU86&amp;", ", PU86))</f>
        <v/>
      </c>
      <c r="PW86" s="59"/>
      <c r="PX86" s="59"/>
      <c r="TJ86" s="18">
        <f t="shared" si="181"/>
        <v>84</v>
      </c>
      <c r="TK86" s="58" t="s">
        <v>1819</v>
      </c>
      <c r="TL86" s="58" t="s">
        <v>460</v>
      </c>
      <c r="TM86" s="18">
        <v>3</v>
      </c>
      <c r="TN86" s="59" t="str">
        <f t="shared" si="167"/>
        <v xml:space="preserve">Crusader's Mantle </v>
      </c>
      <c r="TO86" s="18" t="str">
        <f>""</f>
        <v/>
      </c>
      <c r="TP86" s="18" t="str">
        <f t="shared" si="168"/>
        <v/>
      </c>
      <c r="TQ86" s="18" t="str">
        <f>IF(OR(TK86=Spellcasting!$AC$18,TK86=Spellcasting!$AC$19),"ᵐ","")</f>
        <v/>
      </c>
      <c r="TR86" s="18" t="str">
        <f>IF(OR(TK86=Spellcasting!$AC$20,TK86=Spellcasting!$AC$21),"ˢ","")</f>
        <v/>
      </c>
      <c r="TS86" s="18" t="str">
        <f>""</f>
        <v/>
      </c>
      <c r="TT86" s="18" t="s">
        <v>484</v>
      </c>
      <c r="TU86" s="18" t="s">
        <v>509</v>
      </c>
      <c r="TV86" s="18" t="s">
        <v>558</v>
      </c>
      <c r="TW86" s="18" t="s">
        <v>541</v>
      </c>
      <c r="TX86" s="59" t="str">
        <f>""</f>
        <v/>
      </c>
      <c r="TY86" s="18" t="s">
        <v>534</v>
      </c>
      <c r="TZ86" s="18" t="s">
        <v>535</v>
      </c>
      <c r="UA86" s="59" t="s">
        <v>1447</v>
      </c>
      <c r="UB86" s="319" t="s">
        <v>2094</v>
      </c>
      <c r="UD86" s="18" t="str">
        <f ca="1">IF(UD$1&gt;=$TM86,1,"0")</f>
        <v>0</v>
      </c>
      <c r="VE86" s="18" t="str">
        <f>IF(VE$1&gt;=$TM86,1,"0")</f>
        <v>0</v>
      </c>
      <c r="WD86" s="18" t="str">
        <f ca="1">IF(SUM($VZ$1:$WC$1)&gt;0,IF(AND(SUM($VZ86:$WC86)&gt;0,$TM86=WE$1),MAX(WD$2:WD85)+1,""),IF(AND(SUM($UC86:$VY86)&gt;0,$TM86=WE$1),MAX(WD$2:WD85)+1,""))</f>
        <v/>
      </c>
      <c r="WE86" s="59" t="str">
        <f t="shared" ca="1" si="169"/>
        <v/>
      </c>
      <c r="WF86" s="18" t="str">
        <f ca="1">IF(AND(SUM($UB86:$VY86)&gt;0,$TM86=WG$1),MAX(WF$2:WF85)+1,"")</f>
        <v/>
      </c>
      <c r="WG86" s="59" t="str">
        <f t="shared" ca="1" si="170"/>
        <v/>
      </c>
      <c r="WH86" s="18" t="str">
        <f ca="1">IF(AND(SUM($UB86:$VY86)&gt;0,$TM86=WI$1),MAX(WH$2:WH85)+1,"")</f>
        <v/>
      </c>
      <c r="WI86" s="59" t="str">
        <f t="shared" ca="1" si="171"/>
        <v/>
      </c>
      <c r="WJ86" s="18" t="str">
        <f ca="1">IF(AND(SUM($UB86:$VY86)&gt;0,$TM86=WK$1),MAX(WJ$2:WJ85)+1,"")</f>
        <v/>
      </c>
      <c r="WK86" s="59" t="str">
        <f t="shared" ca="1" si="172"/>
        <v/>
      </c>
      <c r="WL86" s="18" t="str">
        <f ca="1">IF(AND(SUM($UB86:$VY86)&gt;0,$TM86=WM$1),MAX(WL$2:WL85)+1,"")</f>
        <v/>
      </c>
      <c r="WM86" s="59" t="str">
        <f t="shared" ca="1" si="173"/>
        <v/>
      </c>
      <c r="WN86" s="18" t="str">
        <f ca="1">IF(AND(SUM($UB86:$VY86)&gt;0,$TM86=WO$1),MAX(WN$2:WN85)+1,"")</f>
        <v/>
      </c>
      <c r="WO86" s="59" t="str">
        <f t="shared" ca="1" si="174"/>
        <v/>
      </c>
      <c r="WP86" s="18" t="str">
        <f ca="1">IF(AND(SUM($UB86:$VY86)&gt;0,$TM86=WQ$1),MAX(WP$2:WP85)+1,"")</f>
        <v/>
      </c>
      <c r="WQ86" s="59" t="str">
        <f t="shared" ca="1" si="175"/>
        <v/>
      </c>
      <c r="WR86" s="18" t="str">
        <f ca="1">IF(AND(SUM($UB86:$VY86)&gt;0,$TM86=WS$1),MAX(WR$2:WR85)+1,"")</f>
        <v/>
      </c>
      <c r="WS86" s="59" t="str">
        <f t="shared" ca="1" si="176"/>
        <v/>
      </c>
      <c r="WT86" s="18" t="str">
        <f ca="1">IF(AND(SUM($UB86:$VY86)&gt;0,$TM86=WU$1),MAX(WT$2:WT85)+1,"")</f>
        <v/>
      </c>
      <c r="WU86" s="59" t="str">
        <f t="shared" ca="1" si="177"/>
        <v/>
      </c>
      <c r="WV86" s="18" t="str">
        <f ca="1">IF(AND(SUM($UB86:$VY86)&gt;0,$TM86=WW$1),MAX(WV$2:WV85)+1,"")</f>
        <v/>
      </c>
      <c r="WW86" s="59" t="str">
        <f t="shared" ca="1" si="178"/>
        <v/>
      </c>
      <c r="WX86" s="18" t="str">
        <f ca="1">IF(AND(SUM($UB86:$VY86)&gt;0,$TM86=WY$1),MAX(WX$2:WX85)+1,"")</f>
        <v/>
      </c>
      <c r="WY86" s="59" t="str">
        <f t="shared" ca="1" si="179"/>
        <v/>
      </c>
      <c r="WZ86" s="59"/>
      <c r="XC86" s="59" t="str">
        <f t="shared" ca="1" si="182"/>
        <v/>
      </c>
      <c r="XL86" s="59"/>
      <c r="XM86" s="59"/>
    </row>
    <row r="87" spans="219:637" ht="9.9499999999999993" customHeight="1" x14ac:dyDescent="0.2">
      <c r="HK87" s="59"/>
      <c r="HL87" s="59"/>
      <c r="IX87" s="58" t="s">
        <v>1685</v>
      </c>
      <c r="IY87" s="58" t="s">
        <v>1686</v>
      </c>
      <c r="IZ87" s="58" t="s">
        <v>202</v>
      </c>
      <c r="JA87" s="58" t="s">
        <v>888</v>
      </c>
      <c r="JB87" s="58" t="s">
        <v>1687</v>
      </c>
      <c r="JM87" s="296">
        <v>9</v>
      </c>
      <c r="JN87" s="18">
        <v>4</v>
      </c>
      <c r="JO87" s="18">
        <v>3</v>
      </c>
      <c r="JP87" s="18">
        <v>2</v>
      </c>
      <c r="JQ87" s="98" t="s">
        <v>140</v>
      </c>
      <c r="JR87" s="98" t="s">
        <v>140</v>
      </c>
      <c r="JS87" s="98" t="s">
        <v>140</v>
      </c>
      <c r="JT87" s="98" t="s">
        <v>140</v>
      </c>
      <c r="JU87" s="98" t="s">
        <v>140</v>
      </c>
      <c r="JV87" s="98" t="s">
        <v>140</v>
      </c>
      <c r="JW87" s="98">
        <v>3</v>
      </c>
      <c r="JX87" s="302"/>
      <c r="KT87" s="88" t="s">
        <v>154</v>
      </c>
      <c r="KU87" s="80" t="str">
        <f t="shared" ca="1" si="186"/>
        <v>No</v>
      </c>
      <c r="KV87" s="89" t="s">
        <v>167</v>
      </c>
      <c r="KW87" s="92"/>
      <c r="KX87" s="92"/>
      <c r="KY87" s="92"/>
      <c r="KZ87" s="92"/>
      <c r="LA87" s="92"/>
      <c r="LB87" s="92"/>
      <c r="LC87" s="92"/>
      <c r="LD87" s="92"/>
      <c r="LE87" s="92"/>
      <c r="LF87" s="92"/>
      <c r="LG87" s="92"/>
      <c r="LH87" s="92"/>
      <c r="LI87" s="92"/>
      <c r="LJ87" s="92"/>
      <c r="LK87" s="92"/>
      <c r="LL87" s="92"/>
      <c r="LM87" s="92"/>
      <c r="LN87" s="92"/>
      <c r="LO87" s="92"/>
      <c r="LP87" s="92"/>
      <c r="LQ87" s="92"/>
      <c r="LR87" s="92"/>
      <c r="LS87" s="92"/>
      <c r="LT87" s="92"/>
      <c r="LU87" s="92"/>
      <c r="LV87" s="92"/>
      <c r="LW87" s="92"/>
      <c r="LX87" s="92"/>
      <c r="LY87" s="92"/>
      <c r="LZ87" s="92" t="str">
        <f t="shared" si="191"/>
        <v/>
      </c>
      <c r="MA87" s="92" t="str">
        <f t="shared" ca="1" si="187"/>
        <v/>
      </c>
      <c r="MB87" s="92" t="str">
        <f t="shared" si="192"/>
        <v/>
      </c>
      <c r="MC87" s="92" t="str">
        <f>IF(Class1=MC$5,IF(MC$1&gt;0,$KT87,""),"")</f>
        <v/>
      </c>
      <c r="MD87" s="92" t="str">
        <f t="shared" ca="1" si="188"/>
        <v/>
      </c>
      <c r="ME87" s="92" t="str">
        <f t="shared" si="193"/>
        <v/>
      </c>
      <c r="MF87" s="92" t="str">
        <f t="shared" si="193"/>
        <v/>
      </c>
      <c r="MG87" s="92" t="str">
        <f t="shared" si="193"/>
        <v/>
      </c>
      <c r="MH87" s="92" t="str">
        <f t="shared" ca="1" si="189"/>
        <v/>
      </c>
      <c r="MI87" s="92" t="str">
        <f t="shared" ca="1" si="190"/>
        <v/>
      </c>
      <c r="MJ87" s="92" t="str">
        <f>IF(Class1=MJ$5,IF(MJ$1&gt;0,$KT87,""),"")</f>
        <v/>
      </c>
      <c r="MK87" s="92" t="str">
        <f t="shared" ca="1" si="190"/>
        <v/>
      </c>
      <c r="ML87" s="92"/>
      <c r="MM87" s="92"/>
      <c r="MN87" s="92"/>
      <c r="MO87" s="92"/>
      <c r="MP87" s="92"/>
      <c r="MQ87" s="92"/>
      <c r="MR87" s="92"/>
      <c r="MS87" s="92"/>
      <c r="MT87" s="92"/>
      <c r="MU87" s="92"/>
      <c r="MV87" s="92"/>
      <c r="MW87" s="92"/>
      <c r="MX87" s="92"/>
      <c r="MY87" s="92"/>
      <c r="MZ87" s="92"/>
      <c r="NA87" s="92"/>
      <c r="NB87" s="92"/>
      <c r="NC87" s="92"/>
      <c r="ND87" s="92"/>
      <c r="NE87" s="92"/>
      <c r="NF87" s="92"/>
      <c r="NG87" s="92"/>
      <c r="NH87" s="92"/>
      <c r="NI87" s="92"/>
      <c r="NJ87" s="92"/>
      <c r="NK87" s="92"/>
      <c r="NL87" s="92"/>
      <c r="NM87" s="92"/>
      <c r="NN87" s="92"/>
      <c r="NO87" s="92"/>
      <c r="NP87" s="92"/>
      <c r="NQ87" s="92"/>
      <c r="NR87" s="92"/>
      <c r="NS87" s="92"/>
      <c r="NT87" s="92"/>
      <c r="NU87" s="92"/>
      <c r="NV87" s="92"/>
      <c r="NW87" s="92"/>
      <c r="NX87" s="92"/>
      <c r="NY87" s="92"/>
      <c r="NZ87" s="92"/>
      <c r="OA87" s="92"/>
      <c r="OB87" s="92"/>
      <c r="OC87" s="92"/>
      <c r="OD87" s="92"/>
      <c r="OE87" s="92"/>
      <c r="OF87" s="92"/>
      <c r="OG87" s="92"/>
      <c r="OH87" s="92"/>
      <c r="OI87" s="92"/>
      <c r="OJ87" s="92"/>
      <c r="OK87" s="92"/>
      <c r="OL87" s="92"/>
      <c r="OM87" s="92"/>
      <c r="ON87" s="92"/>
      <c r="OO87" s="92"/>
      <c r="OP87" s="92"/>
      <c r="OQ87" s="92"/>
      <c r="OR87" s="92"/>
      <c r="OS87" s="92"/>
      <c r="OT87" s="92"/>
      <c r="OU87" s="92"/>
      <c r="OV87" s="92"/>
      <c r="OW87" s="92"/>
      <c r="OX87" s="92"/>
      <c r="OY87" s="92"/>
      <c r="OZ87" s="92"/>
      <c r="PA87" s="92"/>
      <c r="PB87" s="92"/>
      <c r="PC87" s="92"/>
      <c r="PD87" s="92"/>
      <c r="PE87" s="92"/>
      <c r="PF87" s="92"/>
      <c r="PG87" s="92"/>
      <c r="PH87" s="92"/>
      <c r="PI87" s="92"/>
      <c r="PJ87" s="92"/>
      <c r="PK87" s="92"/>
      <c r="PL87" s="92"/>
      <c r="PM87" s="92"/>
      <c r="PN87" s="92"/>
      <c r="PO87" s="92"/>
      <c r="PP87" s="92"/>
      <c r="PQ87" s="92"/>
      <c r="PR87" s="92"/>
      <c r="PS87" s="92"/>
      <c r="PT87" s="92"/>
      <c r="PU87" s="59" t="str">
        <f t="shared" ca="1" si="194"/>
        <v/>
      </c>
      <c r="PV87" s="59" t="str">
        <f ca="1">IF(PU87="","",IF(COUNTIF(PU87:$PU$125,"&gt;&lt;")&gt;1,PU87&amp;", ", PU87))</f>
        <v/>
      </c>
      <c r="PW87" s="59"/>
      <c r="PX87" s="59"/>
      <c r="TJ87" s="18">
        <f t="shared" si="181"/>
        <v>85</v>
      </c>
      <c r="TK87" s="58" t="s">
        <v>565</v>
      </c>
      <c r="TL87" s="58" t="s">
        <v>448</v>
      </c>
      <c r="TM87" s="18">
        <v>1</v>
      </c>
      <c r="TN87" s="59" t="str">
        <f t="shared" si="167"/>
        <v xml:space="preserve">Cure Wounds ᴴ </v>
      </c>
      <c r="TO87" s="350" t="s">
        <v>2991</v>
      </c>
      <c r="TP87" s="18" t="str">
        <f t="shared" si="168"/>
        <v/>
      </c>
      <c r="TQ87" s="18" t="str">
        <f>IF(OR(TK87=Spellcasting!$AC$18,TK87=Spellcasting!$AC$19),"ᵐ","")</f>
        <v/>
      </c>
      <c r="TR87" s="18" t="str">
        <f>IF(OR(TK87=Spellcasting!$AC$20,TK87=Spellcasting!$AC$21),"ˢ","")</f>
        <v/>
      </c>
      <c r="TS87" s="18" t="str">
        <f>""</f>
        <v/>
      </c>
      <c r="TT87" s="18" t="s">
        <v>484</v>
      </c>
      <c r="TU87" s="18" t="s">
        <v>519</v>
      </c>
      <c r="TV87" s="18" t="s">
        <v>505</v>
      </c>
      <c r="TW87" s="18" t="s">
        <v>486</v>
      </c>
      <c r="TX87" s="59" t="str">
        <f>""</f>
        <v/>
      </c>
      <c r="TY87" s="18" t="s">
        <v>534</v>
      </c>
      <c r="TZ87" s="18" t="s">
        <v>535</v>
      </c>
      <c r="UA87" s="142" t="s">
        <v>3160</v>
      </c>
      <c r="UB87" s="319" t="s">
        <v>2276</v>
      </c>
      <c r="UC87" s="18" t="str">
        <f ca="1">IF(UC$1&gt;=$TM87,1,"0")</f>
        <v>0</v>
      </c>
      <c r="UD87" s="18" t="str">
        <f ca="1">IF(UD$1&gt;=$TM87,1,"0")</f>
        <v>0</v>
      </c>
      <c r="UE87" s="18" t="str">
        <f ca="1">IF(UE$1&gt;=$TM87,1,"0")</f>
        <v>0</v>
      </c>
      <c r="UH87" s="18" t="str">
        <f ca="1">IF(UH$1&gt;=$TM87,1,"0")</f>
        <v>0</v>
      </c>
      <c r="UI87" s="18" t="str">
        <f ca="1">IF(UI$1&gt;=$TM87,1,"0")</f>
        <v>0</v>
      </c>
      <c r="UZ87" s="18" t="str">
        <f>IF(UZ$1&gt;=$TM87,1,"0")</f>
        <v>0</v>
      </c>
      <c r="WD87" s="18" t="str">
        <f ca="1">IF(SUM($VZ$1:$WC$1)&gt;0,IF(AND(SUM($VZ87:$WC87)&gt;0,$TM87=WE$1),MAX(WD$2:WD86)+1,""),IF(AND(SUM($UC87:$VY87)&gt;0,$TM87=WE$1),MAX(WD$2:WD86)+1,""))</f>
        <v/>
      </c>
      <c r="WE87" s="59" t="str">
        <f t="shared" ca="1" si="169"/>
        <v/>
      </c>
      <c r="WF87" s="18" t="str">
        <f ca="1">IF(AND(SUM($UB87:$VY87)&gt;0,$TM87=WG$1),MAX(WF$2:WF86)+1,"")</f>
        <v/>
      </c>
      <c r="WG87" s="59" t="str">
        <f t="shared" ca="1" si="170"/>
        <v/>
      </c>
      <c r="WH87" s="18" t="str">
        <f ca="1">IF(AND(SUM($UB87:$VY87)&gt;0,$TM87=WI$1),MAX(WH$2:WH86)+1,"")</f>
        <v/>
      </c>
      <c r="WI87" s="59" t="str">
        <f t="shared" ca="1" si="171"/>
        <v/>
      </c>
      <c r="WJ87" s="18" t="str">
        <f ca="1">IF(AND(SUM($UB87:$VY87)&gt;0,$TM87=WK$1),MAX(WJ$2:WJ86)+1,"")</f>
        <v/>
      </c>
      <c r="WK87" s="59" t="str">
        <f t="shared" ca="1" si="172"/>
        <v/>
      </c>
      <c r="WL87" s="18" t="str">
        <f ca="1">IF(AND(SUM($UB87:$VY87)&gt;0,$TM87=WM$1),MAX(WL$2:WL86)+1,"")</f>
        <v/>
      </c>
      <c r="WM87" s="59" t="str">
        <f t="shared" ca="1" si="173"/>
        <v/>
      </c>
      <c r="WN87" s="18" t="str">
        <f ca="1">IF(AND(SUM($UB87:$VY87)&gt;0,$TM87=WO$1),MAX(WN$2:WN86)+1,"")</f>
        <v/>
      </c>
      <c r="WO87" s="59" t="str">
        <f t="shared" ca="1" si="174"/>
        <v/>
      </c>
      <c r="WP87" s="18" t="str">
        <f ca="1">IF(AND(SUM($UB87:$VY87)&gt;0,$TM87=WQ$1),MAX(WP$2:WP86)+1,"")</f>
        <v/>
      </c>
      <c r="WQ87" s="59" t="str">
        <f t="shared" ca="1" si="175"/>
        <v/>
      </c>
      <c r="WR87" s="18" t="str">
        <f ca="1">IF(AND(SUM($UB87:$VY87)&gt;0,$TM87=WS$1),MAX(WR$2:WR86)+1,"")</f>
        <v/>
      </c>
      <c r="WS87" s="59" t="str">
        <f t="shared" ca="1" si="176"/>
        <v/>
      </c>
      <c r="WT87" s="18" t="str">
        <f ca="1">IF(AND(SUM($UB87:$VY87)&gt;0,$TM87=WU$1),MAX(WT$2:WT86)+1,"")</f>
        <v/>
      </c>
      <c r="WU87" s="59" t="str">
        <f t="shared" ca="1" si="177"/>
        <v/>
      </c>
      <c r="WV87" s="18" t="str">
        <f ca="1">IF(AND(SUM($UB87:$VY87)&gt;0,$TM87=WW$1),MAX(WV$2:WV86)+1,"")</f>
        <v/>
      </c>
      <c r="WW87" s="59" t="str">
        <f t="shared" ca="1" si="178"/>
        <v/>
      </c>
      <c r="WX87" s="18" t="str">
        <f ca="1">IF(AND(SUM($UB87:$VY87)&gt;0,$TM87=WY$1),MAX(WX$2:WX86)+1,"")</f>
        <v/>
      </c>
      <c r="WY87" s="59" t="str">
        <f t="shared" ca="1" si="179"/>
        <v/>
      </c>
      <c r="WZ87" s="59"/>
      <c r="XC87" s="59" t="str">
        <f t="shared" ca="1" si="182"/>
        <v/>
      </c>
    </row>
    <row r="88" spans="219:637" ht="9.9499999999999993" customHeight="1" x14ac:dyDescent="0.2">
      <c r="HK88" s="59"/>
      <c r="HL88" s="59"/>
      <c r="IX88" s="58" t="s">
        <v>1688</v>
      </c>
      <c r="IY88" s="58" t="s">
        <v>1689</v>
      </c>
      <c r="IZ88" s="58" t="s">
        <v>201</v>
      </c>
      <c r="JA88" s="58" t="s">
        <v>890</v>
      </c>
      <c r="JB88" s="58" t="s">
        <v>1690</v>
      </c>
      <c r="JK88" s="58" t="s">
        <v>219</v>
      </c>
      <c r="JM88" s="296">
        <v>10</v>
      </c>
      <c r="JN88" s="18">
        <v>4</v>
      </c>
      <c r="JO88" s="18">
        <v>3</v>
      </c>
      <c r="JP88" s="18">
        <v>2</v>
      </c>
      <c r="JQ88" s="98" t="s">
        <v>140</v>
      </c>
      <c r="JR88" s="98" t="s">
        <v>140</v>
      </c>
      <c r="JS88" s="98" t="s">
        <v>140</v>
      </c>
      <c r="JT88" s="98" t="s">
        <v>140</v>
      </c>
      <c r="JU88" s="98" t="s">
        <v>140</v>
      </c>
      <c r="JV88" s="98" t="s">
        <v>140</v>
      </c>
      <c r="JW88" s="98">
        <v>3</v>
      </c>
      <c r="JX88" s="302"/>
      <c r="KT88" s="88" t="s">
        <v>155</v>
      </c>
      <c r="KU88" s="80" t="str">
        <f t="shared" ca="1" si="186"/>
        <v>No</v>
      </c>
      <c r="KV88" s="89" t="s">
        <v>167</v>
      </c>
      <c r="KW88" s="92"/>
      <c r="KX88" s="92"/>
      <c r="KY88" s="92"/>
      <c r="KZ88" s="92"/>
      <c r="LA88" s="92"/>
      <c r="LB88" s="92"/>
      <c r="LC88" s="92"/>
      <c r="LD88" s="92"/>
      <c r="LE88" s="92"/>
      <c r="LF88" s="92"/>
      <c r="LG88" s="92"/>
      <c r="LH88" s="92"/>
      <c r="LI88" s="92"/>
      <c r="LJ88" s="92"/>
      <c r="LK88" s="92"/>
      <c r="LL88" s="92"/>
      <c r="LM88" s="92"/>
      <c r="LN88" s="92"/>
      <c r="LO88" s="92"/>
      <c r="LP88" s="92"/>
      <c r="LQ88" s="92"/>
      <c r="LR88" s="92"/>
      <c r="LS88" s="92"/>
      <c r="LT88" s="92"/>
      <c r="LU88" s="92"/>
      <c r="LV88" s="92"/>
      <c r="LW88" s="92"/>
      <c r="LX88" s="92"/>
      <c r="LY88" s="92"/>
      <c r="LZ88" s="92" t="str">
        <f t="shared" si="191"/>
        <v/>
      </c>
      <c r="MA88" s="92" t="str">
        <f t="shared" ca="1" si="187"/>
        <v/>
      </c>
      <c r="MB88" s="92" t="str">
        <f t="shared" si="192"/>
        <v/>
      </c>
      <c r="MC88" s="92"/>
      <c r="MD88" s="92" t="str">
        <f t="shared" ref="MD88:MD100" ca="1" si="195">IF(MD$1&gt;0,$KT88,"")</f>
        <v/>
      </c>
      <c r="ME88" s="92" t="str">
        <f t="shared" ref="ME88:MG100" si="196">IF(Class1=ME$5,IF(ME$1&gt;0,$KT88,""),"")</f>
        <v/>
      </c>
      <c r="MF88" s="92"/>
      <c r="MG88" s="92" t="str">
        <f t="shared" si="196"/>
        <v/>
      </c>
      <c r="MH88" s="92" t="str">
        <f t="shared" ca="1" si="189"/>
        <v/>
      </c>
      <c r="MI88" s="92" t="str">
        <f t="shared" ca="1" si="190"/>
        <v/>
      </c>
      <c r="MJ88" s="92"/>
      <c r="MK88" s="92" t="str">
        <f t="shared" ca="1" si="190"/>
        <v/>
      </c>
      <c r="ML88" s="92"/>
      <c r="MM88" s="92"/>
      <c r="MN88" s="92"/>
      <c r="MO88" s="92"/>
      <c r="MP88" s="92"/>
      <c r="MQ88" s="92"/>
      <c r="MR88" s="92"/>
      <c r="MS88" s="92"/>
      <c r="MT88" s="92"/>
      <c r="MU88" s="92"/>
      <c r="MV88" s="92"/>
      <c r="MW88" s="92"/>
      <c r="MX88" s="92"/>
      <c r="MY88" s="92"/>
      <c r="MZ88" s="92"/>
      <c r="NA88" s="92"/>
      <c r="NB88" s="92"/>
      <c r="NC88" s="92"/>
      <c r="ND88" s="92"/>
      <c r="NE88" s="92"/>
      <c r="NF88" s="92"/>
      <c r="NG88" s="92"/>
      <c r="NH88" s="92"/>
      <c r="NI88" s="92"/>
      <c r="NJ88" s="92"/>
      <c r="NK88" s="92"/>
      <c r="NL88" s="92"/>
      <c r="NM88" s="92"/>
      <c r="NN88" s="92"/>
      <c r="NO88" s="92"/>
      <c r="NP88" s="92"/>
      <c r="NQ88" s="92"/>
      <c r="NR88" s="92"/>
      <c r="NS88" s="92"/>
      <c r="NT88" s="92"/>
      <c r="NU88" s="92"/>
      <c r="NV88" s="92"/>
      <c r="NW88" s="92"/>
      <c r="NX88" s="92"/>
      <c r="NY88" s="92"/>
      <c r="NZ88" s="92"/>
      <c r="OA88" s="92"/>
      <c r="OB88" s="92"/>
      <c r="OC88" s="92"/>
      <c r="OD88" s="92"/>
      <c r="OE88" s="92"/>
      <c r="OF88" s="92"/>
      <c r="OG88" s="92"/>
      <c r="OH88" s="92"/>
      <c r="OI88" s="92"/>
      <c r="OJ88" s="92"/>
      <c r="OK88" s="92"/>
      <c r="OL88" s="92"/>
      <c r="OM88" s="92"/>
      <c r="ON88" s="92"/>
      <c r="OO88" s="92"/>
      <c r="OP88" s="92"/>
      <c r="OQ88" s="92"/>
      <c r="OR88" s="92"/>
      <c r="OS88" s="92"/>
      <c r="OT88" s="92"/>
      <c r="OU88" s="92"/>
      <c r="OV88" s="92"/>
      <c r="OW88" s="92"/>
      <c r="OX88" s="92"/>
      <c r="OY88" s="92"/>
      <c r="OZ88" s="92"/>
      <c r="PA88" s="92"/>
      <c r="PB88" s="92"/>
      <c r="PC88" s="92"/>
      <c r="PD88" s="92"/>
      <c r="PE88" s="92"/>
      <c r="PF88" s="92"/>
      <c r="PG88" s="92"/>
      <c r="PH88" s="92"/>
      <c r="PI88" s="92"/>
      <c r="PJ88" s="92"/>
      <c r="PK88" s="92"/>
      <c r="PL88" s="92"/>
      <c r="PM88" s="92"/>
      <c r="PN88" s="92"/>
      <c r="PO88" s="92"/>
      <c r="PP88" s="92"/>
      <c r="PQ88" s="92"/>
      <c r="PR88" s="92"/>
      <c r="PS88" s="92"/>
      <c r="PT88" s="92"/>
      <c r="PU88" s="59" t="str">
        <f t="shared" ca="1" si="194"/>
        <v/>
      </c>
      <c r="PV88" s="59" t="str">
        <f ca="1">IF(PU88="","",IF(COUNTIF(PU88:$PU$125,"&gt;&lt;")&gt;1,PU88&amp;", ", PU88))</f>
        <v/>
      </c>
      <c r="PW88" s="59"/>
      <c r="PX88" s="59"/>
      <c r="TJ88" s="18">
        <f t="shared" si="181"/>
        <v>86</v>
      </c>
      <c r="TK88" s="58" t="s">
        <v>566</v>
      </c>
      <c r="TL88" s="58" t="s">
        <v>1840</v>
      </c>
      <c r="TM88" s="18">
        <v>0.5</v>
      </c>
      <c r="TN88" s="59" t="str">
        <f t="shared" si="167"/>
        <v xml:space="preserve">Dancing Lights </v>
      </c>
      <c r="TO88" s="18" t="str">
        <f>""</f>
        <v/>
      </c>
      <c r="TP88" s="18" t="str">
        <f t="shared" si="168"/>
        <v/>
      </c>
      <c r="TQ88" s="18" t="str">
        <f>IF(OR(TK88=Spellcasting!$AC$18,TK88=Spellcasting!$AC$19),"ᵐ","")</f>
        <v/>
      </c>
      <c r="TR88" s="18" t="str">
        <f>IF(OR(TK88=Spellcasting!$AC$20,TK88=Spellcasting!$AC$21),"ˢ","")</f>
        <v/>
      </c>
      <c r="TS88" s="18" t="str">
        <f>""</f>
        <v/>
      </c>
      <c r="TT88" s="18" t="s">
        <v>484</v>
      </c>
      <c r="TU88" s="18" t="s">
        <v>848</v>
      </c>
      <c r="TV88" s="18" t="s">
        <v>558</v>
      </c>
      <c r="TW88" s="18" t="s">
        <v>495</v>
      </c>
      <c r="TX88" s="59" t="s">
        <v>970</v>
      </c>
      <c r="TY88" s="18" t="s">
        <v>534</v>
      </c>
      <c r="TZ88" s="18" t="s">
        <v>535</v>
      </c>
      <c r="UA88" s="142" t="s">
        <v>969</v>
      </c>
      <c r="UB88" s="319" t="s">
        <v>2059</v>
      </c>
      <c r="UC88" s="18" t="str">
        <f ca="1">IF(UC$1&gt;=$TM88,1,"0")</f>
        <v>0</v>
      </c>
      <c r="UF88" s="18" t="str">
        <f ca="1">IF(UF$1&gt;=$TM88,1,"0")</f>
        <v>0</v>
      </c>
      <c r="UL88" s="18" t="str">
        <f ca="1">IF(UL$1&gt;=$TM88,1,"0")</f>
        <v>0</v>
      </c>
      <c r="VP88" s="18" t="str">
        <f>IF(VP$1&gt;=$TM88,1,"0")</f>
        <v>0</v>
      </c>
      <c r="VQ88" s="18" t="str">
        <f>IF(VQ$1&gt;=$TM88,1,"0")</f>
        <v>0</v>
      </c>
      <c r="WB88" s="18" t="str">
        <f>IF(WB$1&gt;=$TM88,1,"0")</f>
        <v>0</v>
      </c>
      <c r="WC88" s="18"/>
      <c r="WD88" s="18" t="str">
        <f ca="1">IF(SUM($VZ$1:$WC$1)&gt;0,IF(AND(SUM($VZ88:$WC88)&gt;0,$TM88=WE$1),MAX(WD$2:WD87)+1,""),IF(AND(SUM($UC88:$VY88)&gt;0,$TM88=WE$1),MAX(WD$2:WD87)+1,""))</f>
        <v/>
      </c>
      <c r="WE88" s="59" t="str">
        <f t="shared" ca="1" si="169"/>
        <v/>
      </c>
      <c r="WF88" s="18" t="str">
        <f ca="1">IF(AND(SUM($UB88:$VY88)&gt;0,$TM88=WG$1),MAX(WF$2:WF87)+1,"")</f>
        <v/>
      </c>
      <c r="WG88" s="59" t="str">
        <f t="shared" ca="1" si="170"/>
        <v/>
      </c>
      <c r="WH88" s="18" t="str">
        <f ca="1">IF(AND(SUM($UB88:$VY88)&gt;0,$TM88=WI$1),MAX(WH$2:WH87)+1,"")</f>
        <v/>
      </c>
      <c r="WI88" s="59" t="str">
        <f t="shared" ca="1" si="171"/>
        <v/>
      </c>
      <c r="WJ88" s="18" t="str">
        <f ca="1">IF(AND(SUM($UB88:$VY88)&gt;0,$TM88=WK$1),MAX(WJ$2:WJ87)+1,"")</f>
        <v/>
      </c>
      <c r="WK88" s="59" t="str">
        <f t="shared" ca="1" si="172"/>
        <v/>
      </c>
      <c r="WL88" s="18" t="str">
        <f ca="1">IF(AND(SUM($UB88:$VY88)&gt;0,$TM88=WM$1),MAX(WL$2:WL87)+1,"")</f>
        <v/>
      </c>
      <c r="WM88" s="59" t="str">
        <f t="shared" ca="1" si="173"/>
        <v/>
      </c>
      <c r="WN88" s="18" t="str">
        <f ca="1">IF(AND(SUM($UB88:$VY88)&gt;0,$TM88=WO$1),MAX(WN$2:WN87)+1,"")</f>
        <v/>
      </c>
      <c r="WO88" s="59" t="str">
        <f t="shared" ca="1" si="174"/>
        <v/>
      </c>
      <c r="WP88" s="18" t="str">
        <f ca="1">IF(AND(SUM($UB88:$VY88)&gt;0,$TM88=WQ$1),MAX(WP$2:WP87)+1,"")</f>
        <v/>
      </c>
      <c r="WQ88" s="59" t="str">
        <f t="shared" ca="1" si="175"/>
        <v/>
      </c>
      <c r="WR88" s="18" t="str">
        <f ca="1">IF(AND(SUM($UB88:$VY88)&gt;0,$TM88=WS$1),MAX(WR$2:WR87)+1,"")</f>
        <v/>
      </c>
      <c r="WS88" s="59" t="str">
        <f t="shared" ca="1" si="176"/>
        <v/>
      </c>
      <c r="WT88" s="18" t="str">
        <f ca="1">IF(AND(SUM($UB88:$VY88)&gt;0,$TM88=WU$1),MAX(WT$2:WT87)+1,"")</f>
        <v/>
      </c>
      <c r="WU88" s="59" t="str">
        <f t="shared" ca="1" si="177"/>
        <v/>
      </c>
      <c r="WV88" s="18" t="str">
        <f ca="1">IF(AND(SUM($UB88:$VY88)&gt;0,$TM88=WW$1),MAX(WV$2:WV87)+1,"")</f>
        <v/>
      </c>
      <c r="WW88" s="59" t="str">
        <f t="shared" ca="1" si="178"/>
        <v/>
      </c>
      <c r="WX88" s="18" t="str">
        <f ca="1">IF(AND(SUM($UB88:$VY88)&gt;0,$TM88=WY$1),MAX(WX$2:WX87)+1,"")</f>
        <v/>
      </c>
      <c r="WY88" s="59" t="str">
        <f t="shared" ca="1" si="179"/>
        <v/>
      </c>
      <c r="WZ88" s="59"/>
      <c r="XC88" s="59" t="str">
        <f t="shared" ca="1" si="182"/>
        <v/>
      </c>
    </row>
    <row r="89" spans="219:637" ht="9.9499999999999993" customHeight="1" x14ac:dyDescent="0.2">
      <c r="HK89" s="59"/>
      <c r="HL89" s="59"/>
      <c r="IX89" s="58" t="s">
        <v>1697</v>
      </c>
      <c r="IY89" s="58" t="s">
        <v>1698</v>
      </c>
      <c r="IZ89" s="58" t="s">
        <v>200</v>
      </c>
      <c r="JA89" s="58" t="s">
        <v>1656</v>
      </c>
      <c r="JB89" s="58" t="s">
        <v>1699</v>
      </c>
      <c r="JM89" s="296">
        <v>11</v>
      </c>
      <c r="JN89" s="18">
        <v>4</v>
      </c>
      <c r="JO89" s="18">
        <v>3</v>
      </c>
      <c r="JP89" s="18">
        <v>3</v>
      </c>
      <c r="JQ89" s="98" t="s">
        <v>140</v>
      </c>
      <c r="JR89" s="98" t="s">
        <v>140</v>
      </c>
      <c r="JS89" s="98" t="s">
        <v>140</v>
      </c>
      <c r="JT89" s="98" t="s">
        <v>140</v>
      </c>
      <c r="JU89" s="98" t="s">
        <v>140</v>
      </c>
      <c r="JV89" s="98" t="s">
        <v>140</v>
      </c>
      <c r="JW89" s="98">
        <v>3</v>
      </c>
      <c r="JX89" s="302"/>
      <c r="KT89" s="88" t="s">
        <v>156</v>
      </c>
      <c r="KU89" s="80" t="str">
        <f t="shared" ca="1" si="186"/>
        <v>No</v>
      </c>
      <c r="KV89" s="89" t="s">
        <v>167</v>
      </c>
      <c r="KW89" s="92" t="str">
        <f>IF(KW$1&gt;0,$KT89,"")</f>
        <v/>
      </c>
      <c r="KX89" s="92"/>
      <c r="KY89" s="92"/>
      <c r="KZ89" s="92"/>
      <c r="LA89" s="92"/>
      <c r="LB89" s="92"/>
      <c r="LC89" s="92"/>
      <c r="LD89" s="92"/>
      <c r="LE89" s="92"/>
      <c r="LF89" s="92"/>
      <c r="LG89" s="92"/>
      <c r="LH89" s="92"/>
      <c r="LI89" s="92"/>
      <c r="LJ89" s="92"/>
      <c r="LK89" s="92"/>
      <c r="LL89" s="92"/>
      <c r="LM89" s="92"/>
      <c r="LN89" s="92"/>
      <c r="LO89" s="92"/>
      <c r="LP89" s="92"/>
      <c r="LQ89" s="92"/>
      <c r="LR89" s="92"/>
      <c r="LS89" s="92"/>
      <c r="LT89" s="92"/>
      <c r="LU89" s="92"/>
      <c r="LV89" s="92"/>
      <c r="LW89" s="92"/>
      <c r="LX89" s="92"/>
      <c r="LY89" s="92"/>
      <c r="LZ89" s="92" t="str">
        <f t="shared" si="191"/>
        <v/>
      </c>
      <c r="MA89" s="92" t="str">
        <f t="shared" ca="1" si="187"/>
        <v/>
      </c>
      <c r="MB89" s="92" t="str">
        <f t="shared" si="192"/>
        <v/>
      </c>
      <c r="MC89" s="92"/>
      <c r="MD89" s="92" t="str">
        <f t="shared" ca="1" si="195"/>
        <v/>
      </c>
      <c r="ME89" s="92" t="str">
        <f t="shared" si="196"/>
        <v/>
      </c>
      <c r="MF89" s="92"/>
      <c r="MG89" s="92" t="str">
        <f t="shared" si="196"/>
        <v/>
      </c>
      <c r="MH89" s="92" t="str">
        <f t="shared" ca="1" si="189"/>
        <v/>
      </c>
      <c r="MI89" s="92" t="str">
        <f t="shared" ca="1" si="190"/>
        <v/>
      </c>
      <c r="MJ89" s="92"/>
      <c r="MK89" s="92" t="str">
        <f t="shared" ca="1" si="190"/>
        <v/>
      </c>
      <c r="ML89" s="92"/>
      <c r="MM89" s="92"/>
      <c r="MN89" s="92"/>
      <c r="MO89" s="92"/>
      <c r="MP89" s="92"/>
      <c r="MQ89" s="92"/>
      <c r="MR89" s="92"/>
      <c r="MS89" s="92"/>
      <c r="MT89" s="92"/>
      <c r="MU89" s="92"/>
      <c r="MV89" s="92"/>
      <c r="MW89" s="92"/>
      <c r="MX89" s="92"/>
      <c r="MY89" s="92"/>
      <c r="MZ89" s="92"/>
      <c r="NA89" s="92"/>
      <c r="NB89" s="92"/>
      <c r="NC89" s="92"/>
      <c r="ND89" s="92"/>
      <c r="NE89" s="92"/>
      <c r="NF89" s="92"/>
      <c r="NG89" s="92"/>
      <c r="NH89" s="92"/>
      <c r="NI89" s="92"/>
      <c r="NJ89" s="92"/>
      <c r="NK89" s="92"/>
      <c r="NL89" s="92"/>
      <c r="NM89" s="92"/>
      <c r="NN89" s="92"/>
      <c r="NO89" s="92"/>
      <c r="NP89" s="92"/>
      <c r="NQ89" s="92"/>
      <c r="NR89" s="92"/>
      <c r="NS89" s="92"/>
      <c r="NT89" s="92"/>
      <c r="NU89" s="92"/>
      <c r="NV89" s="92"/>
      <c r="NW89" s="92"/>
      <c r="NX89" s="92"/>
      <c r="NY89" s="92"/>
      <c r="NZ89" s="92"/>
      <c r="OA89" s="92"/>
      <c r="OB89" s="92"/>
      <c r="OC89" s="92"/>
      <c r="OD89" s="92"/>
      <c r="OE89" s="92"/>
      <c r="OF89" s="92"/>
      <c r="OG89" s="92"/>
      <c r="OH89" s="92"/>
      <c r="OI89" s="92"/>
      <c r="OJ89" s="92"/>
      <c r="OK89" s="92"/>
      <c r="OL89" s="92"/>
      <c r="OM89" s="92"/>
      <c r="ON89" s="92"/>
      <c r="OO89" s="92"/>
      <c r="OP89" s="92"/>
      <c r="OQ89" s="92"/>
      <c r="OR89" s="92"/>
      <c r="OS89" s="92"/>
      <c r="OT89" s="92"/>
      <c r="OU89" s="92"/>
      <c r="OV89" s="92"/>
      <c r="OW89" s="92"/>
      <c r="OX89" s="92"/>
      <c r="OY89" s="92"/>
      <c r="OZ89" s="92"/>
      <c r="PA89" s="92"/>
      <c r="PB89" s="92"/>
      <c r="PC89" s="92"/>
      <c r="PD89" s="92"/>
      <c r="PE89" s="92"/>
      <c r="PF89" s="92"/>
      <c r="PG89" s="92"/>
      <c r="PH89" s="92"/>
      <c r="PI89" s="92"/>
      <c r="PJ89" s="92"/>
      <c r="PK89" s="92"/>
      <c r="PL89" s="92"/>
      <c r="PM89" s="92"/>
      <c r="PN89" s="92"/>
      <c r="PO89" s="92"/>
      <c r="PP89" s="92"/>
      <c r="PQ89" s="92"/>
      <c r="PR89" s="92"/>
      <c r="PS89" s="92"/>
      <c r="PT89" s="92"/>
      <c r="PU89" s="59" t="str">
        <f t="shared" ca="1" si="194"/>
        <v/>
      </c>
      <c r="PV89" s="59" t="str">
        <f ca="1">IF(PU89="","",IF(COUNTIF(PU89:$PU$125,"&gt;&lt;")&gt;1,PU89&amp;", ", PU89))</f>
        <v/>
      </c>
      <c r="PW89" s="59"/>
      <c r="PX89" s="59"/>
      <c r="TJ89" s="18">
        <f t="shared" si="181"/>
        <v>87</v>
      </c>
      <c r="TK89" s="58" t="s">
        <v>567</v>
      </c>
      <c r="TL89" s="58" t="s">
        <v>459</v>
      </c>
      <c r="TM89" s="18">
        <v>2</v>
      </c>
      <c r="TN89" s="59" t="str">
        <f t="shared" si="167"/>
        <v xml:space="preserve">Darkness </v>
      </c>
      <c r="TO89" s="18" t="str">
        <f>""</f>
        <v/>
      </c>
      <c r="TP89" s="18" t="str">
        <f t="shared" si="168"/>
        <v/>
      </c>
      <c r="TQ89" s="18" t="str">
        <f>IF(OR(TK89=Spellcasting!$AC$18,TK89=Spellcasting!$AC$19),"ᵐ","")</f>
        <v/>
      </c>
      <c r="TR89" s="18" t="str">
        <f>IF(OR(TK89=Spellcasting!$AC$20,TK89=Spellcasting!$AC$21),"ˢ","")</f>
        <v/>
      </c>
      <c r="TS89" s="18" t="str">
        <f>""</f>
        <v/>
      </c>
      <c r="TT89" s="18" t="s">
        <v>484</v>
      </c>
      <c r="TU89" s="18" t="s">
        <v>850</v>
      </c>
      <c r="TV89" s="18" t="s">
        <v>515</v>
      </c>
      <c r="TW89" s="18" t="s">
        <v>686</v>
      </c>
      <c r="TX89" s="59" t="s">
        <v>971</v>
      </c>
      <c r="TY89" s="18" t="s">
        <v>534</v>
      </c>
      <c r="TZ89" s="18" t="s">
        <v>535</v>
      </c>
      <c r="UA89" s="142" t="s">
        <v>1856</v>
      </c>
      <c r="UB89" s="538" t="s">
        <v>2058</v>
      </c>
      <c r="UF89" s="18" t="str">
        <f ca="1">IF(UF$1&gt;=$TM89,1,"0")</f>
        <v>0</v>
      </c>
      <c r="UG89" s="18" t="str">
        <f ca="1">IF(UG$1&gt;=$TM89,1,"0")</f>
        <v>0</v>
      </c>
      <c r="UL89" s="18" t="str">
        <f ca="1">IF(UL$1&gt;=$TM89,1,"0")</f>
        <v>0</v>
      </c>
      <c r="VM89" s="18" t="str">
        <f>IF(VM$1&gt;=$TM89,1,"0")</f>
        <v>0</v>
      </c>
      <c r="VP89" s="18" t="str">
        <f>IF(VP$1&gt;=$TM89,1,"0")</f>
        <v>0</v>
      </c>
      <c r="VZ89" s="179"/>
      <c r="WA89" s="179"/>
      <c r="WB89" s="179"/>
      <c r="WC89" s="179"/>
      <c r="WD89" s="18" t="str">
        <f ca="1">IF(SUM($VZ$1:$WC$1)&gt;0,IF(AND(SUM($VZ89:$WC89)&gt;0,$TM89=WE$1),MAX(WD$2:WD88)+1,""),IF(AND(SUM($UC89:$VY89)&gt;0,$TM89=WE$1),MAX(WD$2:WD88)+1,""))</f>
        <v/>
      </c>
      <c r="WE89" s="59" t="str">
        <f t="shared" ca="1" si="169"/>
        <v/>
      </c>
      <c r="WF89" s="18" t="str">
        <f ca="1">IF(AND(SUM($UB89:$VY89)&gt;0,$TM89=WG$1),MAX(WF$2:WF88)+1,"")</f>
        <v/>
      </c>
      <c r="WG89" s="59" t="str">
        <f t="shared" ca="1" si="170"/>
        <v/>
      </c>
      <c r="WH89" s="18" t="str">
        <f ca="1">IF(AND(SUM($UB89:$VY89)&gt;0,$TM89=WI$1),MAX(WH$2:WH88)+1,"")</f>
        <v/>
      </c>
      <c r="WI89" s="59" t="str">
        <f t="shared" ca="1" si="171"/>
        <v/>
      </c>
      <c r="WJ89" s="18" t="str">
        <f ca="1">IF(AND(SUM($UB89:$VY89)&gt;0,$TM89=WK$1),MAX(WJ$2:WJ88)+1,"")</f>
        <v/>
      </c>
      <c r="WK89" s="59" t="str">
        <f t="shared" ca="1" si="172"/>
        <v/>
      </c>
      <c r="WL89" s="18" t="str">
        <f ca="1">IF(AND(SUM($UB89:$VY89)&gt;0,$TM89=WM$1),MAX(WL$2:WL88)+1,"")</f>
        <v/>
      </c>
      <c r="WM89" s="59" t="str">
        <f t="shared" ca="1" si="173"/>
        <v/>
      </c>
      <c r="WN89" s="18" t="str">
        <f ca="1">IF(AND(SUM($UB89:$VY89)&gt;0,$TM89=WO$1),MAX(WN$2:WN88)+1,"")</f>
        <v/>
      </c>
      <c r="WO89" s="59" t="str">
        <f t="shared" ca="1" si="174"/>
        <v/>
      </c>
      <c r="WP89" s="18" t="str">
        <f ca="1">IF(AND(SUM($UB89:$VY89)&gt;0,$TM89=WQ$1),MAX(WP$2:WP88)+1,"")</f>
        <v/>
      </c>
      <c r="WQ89" s="59" t="str">
        <f t="shared" ca="1" si="175"/>
        <v/>
      </c>
      <c r="WR89" s="18" t="str">
        <f ca="1">IF(AND(SUM($UB89:$VY89)&gt;0,$TM89=WS$1),MAX(WR$2:WR88)+1,"")</f>
        <v/>
      </c>
      <c r="WS89" s="59" t="str">
        <f t="shared" ca="1" si="176"/>
        <v/>
      </c>
      <c r="WT89" s="18" t="str">
        <f ca="1">IF(AND(SUM($UB89:$VY89)&gt;0,$TM89=WU$1),MAX(WT$2:WT88)+1,"")</f>
        <v/>
      </c>
      <c r="WU89" s="59" t="str">
        <f t="shared" ca="1" si="177"/>
        <v/>
      </c>
      <c r="WV89" s="18" t="str">
        <f ca="1">IF(AND(SUM($UB89:$VY89)&gt;0,$TM89=WW$1),MAX(WV$2:WV88)+1,"")</f>
        <v/>
      </c>
      <c r="WW89" s="59" t="str">
        <f t="shared" ca="1" si="178"/>
        <v/>
      </c>
      <c r="WX89" s="18" t="str">
        <f ca="1">IF(AND(SUM($UB89:$VY89)&gt;0,$TM89=WY$1),MAX(WX$2:WX88)+1,"")</f>
        <v/>
      </c>
      <c r="WY89" s="59" t="str">
        <f t="shared" ca="1" si="179"/>
        <v/>
      </c>
      <c r="WZ89" s="59"/>
      <c r="XC89" s="59" t="str">
        <f t="shared" ca="1" si="182"/>
        <v/>
      </c>
    </row>
    <row r="90" spans="219:637" ht="9.9499999999999993" customHeight="1" x14ac:dyDescent="0.2">
      <c r="HK90" s="59"/>
      <c r="HL90" s="59"/>
      <c r="IX90" s="58" t="s">
        <v>1691</v>
      </c>
      <c r="IY90" s="58" t="s">
        <v>1692</v>
      </c>
      <c r="IZ90" s="58" t="s">
        <v>200</v>
      </c>
      <c r="JA90" s="58" t="s">
        <v>284</v>
      </c>
      <c r="JB90" s="58" t="s">
        <v>1693</v>
      </c>
      <c r="JM90" s="296">
        <v>12</v>
      </c>
      <c r="JN90" s="18">
        <v>4</v>
      </c>
      <c r="JO90" s="18">
        <v>3</v>
      </c>
      <c r="JP90" s="18">
        <v>3</v>
      </c>
      <c r="JQ90" s="98" t="s">
        <v>140</v>
      </c>
      <c r="JR90" s="98" t="s">
        <v>140</v>
      </c>
      <c r="JS90" s="98" t="s">
        <v>140</v>
      </c>
      <c r="JT90" s="98" t="s">
        <v>140</v>
      </c>
      <c r="JU90" s="98" t="s">
        <v>140</v>
      </c>
      <c r="JV90" s="98" t="s">
        <v>140</v>
      </c>
      <c r="JW90" s="98">
        <v>3</v>
      </c>
      <c r="JX90" s="302"/>
      <c r="KT90" s="88" t="s">
        <v>157</v>
      </c>
      <c r="KU90" s="80" t="str">
        <f t="shared" ca="1" si="186"/>
        <v>No</v>
      </c>
      <c r="KV90" s="89" t="s">
        <v>167</v>
      </c>
      <c r="KW90" s="92"/>
      <c r="KX90" s="92"/>
      <c r="KY90" s="92"/>
      <c r="KZ90" s="92"/>
      <c r="LA90" s="92"/>
      <c r="LB90" s="92"/>
      <c r="LC90" s="92"/>
      <c r="LD90" s="92"/>
      <c r="LE90" s="92"/>
      <c r="LF90" s="92"/>
      <c r="LG90" s="92"/>
      <c r="LH90" s="92"/>
      <c r="LI90" s="92"/>
      <c r="LJ90" s="92"/>
      <c r="LK90" s="92"/>
      <c r="LL90" s="92"/>
      <c r="LM90" s="92"/>
      <c r="LN90" s="92"/>
      <c r="LO90" s="92"/>
      <c r="LP90" s="92"/>
      <c r="LQ90" s="92"/>
      <c r="LR90" s="92"/>
      <c r="LS90" s="92"/>
      <c r="LT90" s="92"/>
      <c r="LU90" s="92"/>
      <c r="LV90" s="92"/>
      <c r="LW90" s="92"/>
      <c r="LX90" s="92"/>
      <c r="LY90" s="92"/>
      <c r="LZ90" s="92" t="str">
        <f t="shared" si="191"/>
        <v/>
      </c>
      <c r="MA90" s="92" t="str">
        <f t="shared" ca="1" si="187"/>
        <v/>
      </c>
      <c r="MB90" s="92" t="str">
        <f t="shared" si="192"/>
        <v/>
      </c>
      <c r="MC90" s="92"/>
      <c r="MD90" s="92" t="str">
        <f t="shared" ca="1" si="195"/>
        <v/>
      </c>
      <c r="ME90" s="92" t="str">
        <f t="shared" si="196"/>
        <v/>
      </c>
      <c r="MF90" s="92"/>
      <c r="MG90" s="92" t="str">
        <f t="shared" si="196"/>
        <v/>
      </c>
      <c r="MH90" s="92" t="str">
        <f t="shared" ca="1" si="189"/>
        <v/>
      </c>
      <c r="MI90" s="92" t="str">
        <f t="shared" ca="1" si="190"/>
        <v/>
      </c>
      <c r="MJ90" s="92"/>
      <c r="MK90" s="92" t="str">
        <f t="shared" ca="1" si="190"/>
        <v/>
      </c>
      <c r="ML90" s="92"/>
      <c r="MM90" s="92"/>
      <c r="MN90" s="92"/>
      <c r="MO90" s="92"/>
      <c r="MP90" s="92"/>
      <c r="MQ90" s="92"/>
      <c r="MR90" s="92"/>
      <c r="MS90" s="92"/>
      <c r="MT90" s="92"/>
      <c r="MU90" s="92"/>
      <c r="MV90" s="92"/>
      <c r="MW90" s="92"/>
      <c r="MX90" s="92"/>
      <c r="MY90" s="92"/>
      <c r="MZ90" s="92"/>
      <c r="NA90" s="92"/>
      <c r="NB90" s="92"/>
      <c r="NC90" s="92"/>
      <c r="ND90" s="92"/>
      <c r="NE90" s="92"/>
      <c r="NF90" s="92"/>
      <c r="NG90" s="92"/>
      <c r="NH90" s="92"/>
      <c r="NI90" s="92"/>
      <c r="NJ90" s="92"/>
      <c r="NK90" s="92"/>
      <c r="NL90" s="92"/>
      <c r="NM90" s="92"/>
      <c r="NN90" s="92"/>
      <c r="NO90" s="92"/>
      <c r="NP90" s="92"/>
      <c r="NQ90" s="92"/>
      <c r="NR90" s="92"/>
      <c r="NS90" s="92"/>
      <c r="NT90" s="92"/>
      <c r="NU90" s="92"/>
      <c r="NV90" s="92"/>
      <c r="NW90" s="92"/>
      <c r="NX90" s="92"/>
      <c r="NY90" s="92"/>
      <c r="NZ90" s="92"/>
      <c r="OA90" s="92"/>
      <c r="OB90" s="92"/>
      <c r="OC90" s="92"/>
      <c r="OD90" s="92"/>
      <c r="OE90" s="92"/>
      <c r="OF90" s="92"/>
      <c r="OG90" s="92"/>
      <c r="OH90" s="92"/>
      <c r="OI90" s="92"/>
      <c r="OJ90" s="92"/>
      <c r="OK90" s="92"/>
      <c r="OL90" s="92"/>
      <c r="OM90" s="92"/>
      <c r="ON90" s="92"/>
      <c r="OO90" s="92"/>
      <c r="OP90" s="92"/>
      <c r="OQ90" s="92"/>
      <c r="OR90" s="92"/>
      <c r="OS90" s="92"/>
      <c r="OT90" s="92"/>
      <c r="OU90" s="92"/>
      <c r="OV90" s="92"/>
      <c r="OW90" s="92"/>
      <c r="OX90" s="92"/>
      <c r="OY90" s="92"/>
      <c r="OZ90" s="92"/>
      <c r="PA90" s="92"/>
      <c r="PB90" s="92"/>
      <c r="PC90" s="92"/>
      <c r="PD90" s="92"/>
      <c r="PE90" s="92"/>
      <c r="PF90" s="92"/>
      <c r="PG90" s="92"/>
      <c r="PH90" s="92"/>
      <c r="PI90" s="92"/>
      <c r="PJ90" s="92"/>
      <c r="PK90" s="92"/>
      <c r="PL90" s="92"/>
      <c r="PM90" s="92"/>
      <c r="PN90" s="92"/>
      <c r="PO90" s="92"/>
      <c r="PP90" s="92"/>
      <c r="PQ90" s="92"/>
      <c r="PR90" s="92"/>
      <c r="PS90" s="92"/>
      <c r="PT90" s="92"/>
      <c r="PU90" s="59" t="str">
        <f t="shared" ca="1" si="194"/>
        <v/>
      </c>
      <c r="PV90" s="59" t="str">
        <f ca="1">IF(PU90="","",IF(COUNTIF(PU90:$PU$125,"&gt;&lt;")&gt;1,PU90&amp;", ", PU90))</f>
        <v/>
      </c>
      <c r="PW90" s="59"/>
      <c r="PX90" s="59"/>
      <c r="TJ90" s="18">
        <f t="shared" si="181"/>
        <v>88</v>
      </c>
      <c r="TK90" s="58" t="s">
        <v>568</v>
      </c>
      <c r="TL90" s="58" t="s">
        <v>459</v>
      </c>
      <c r="TM90" s="18">
        <v>2</v>
      </c>
      <c r="TN90" s="59" t="str">
        <f t="shared" si="167"/>
        <v xml:space="preserve">Darkvision </v>
      </c>
      <c r="TO90" s="18" t="str">
        <f>""</f>
        <v/>
      </c>
      <c r="TP90" s="18" t="str">
        <f t="shared" si="168"/>
        <v/>
      </c>
      <c r="TQ90" s="18" t="str">
        <f>IF(OR(TK90=Spellcasting!$AC$18,TK90=Spellcasting!$AC$19),"ᵐ","")</f>
        <v/>
      </c>
      <c r="TR90" s="18" t="str">
        <f>IF(OR(TK90=Spellcasting!$AC$20,TK90=Spellcasting!$AC$21),"ˢ","")</f>
        <v/>
      </c>
      <c r="TS90" s="18" t="str">
        <f>""</f>
        <v/>
      </c>
      <c r="TT90" s="18" t="s">
        <v>484</v>
      </c>
      <c r="TU90" s="18" t="s">
        <v>519</v>
      </c>
      <c r="TV90" s="18" t="s">
        <v>485</v>
      </c>
      <c r="TW90" s="18" t="s">
        <v>495</v>
      </c>
      <c r="TX90" s="59" t="s">
        <v>1321</v>
      </c>
      <c r="TY90" s="18" t="s">
        <v>491</v>
      </c>
      <c r="TZ90" s="18" t="s">
        <v>492</v>
      </c>
      <c r="UA90" s="142" t="s">
        <v>1322</v>
      </c>
      <c r="UB90" s="319" t="s">
        <v>1323</v>
      </c>
      <c r="UE90" s="18" t="str">
        <f ca="1">IF(UE$1&gt;=$TM90,1,"0")</f>
        <v>0</v>
      </c>
      <c r="UF90" s="18" t="str">
        <f ca="1">IF(UF$1&gt;=$TM90,1,"0")</f>
        <v>0</v>
      </c>
      <c r="UI90" s="18" t="str">
        <f ca="1">IF(UI$1&gt;=$TM90,1,"0")</f>
        <v>0</v>
      </c>
      <c r="UL90" s="18" t="str">
        <f ca="1">IF(UL$1&gt;=$TM90,1,"0")</f>
        <v>0</v>
      </c>
      <c r="WD90" s="18" t="str">
        <f ca="1">IF(SUM($VZ$1:$WC$1)&gt;0,IF(AND(SUM($VZ90:$WC90)&gt;0,$TM90=WE$1),MAX(WD$2:WD89)+1,""),IF(AND(SUM($UC90:$VY90)&gt;0,$TM90=WE$1),MAX(WD$2:WD89)+1,""))</f>
        <v/>
      </c>
      <c r="WE90" s="59" t="str">
        <f t="shared" ca="1" si="169"/>
        <v/>
      </c>
      <c r="WF90" s="18" t="str">
        <f ca="1">IF(AND(SUM($UB90:$VY90)&gt;0,$TM90=WG$1),MAX(WF$2:WF89)+1,"")</f>
        <v/>
      </c>
      <c r="WG90" s="59" t="str">
        <f t="shared" ca="1" si="170"/>
        <v/>
      </c>
      <c r="WH90" s="18" t="str">
        <f ca="1">IF(AND(SUM($UB90:$VY90)&gt;0,$TM90=WI$1),MAX(WH$2:WH89)+1,"")</f>
        <v/>
      </c>
      <c r="WI90" s="59" t="str">
        <f t="shared" ca="1" si="171"/>
        <v/>
      </c>
      <c r="WJ90" s="18" t="str">
        <f ca="1">IF(AND(SUM($UB90:$VY90)&gt;0,$TM90=WK$1),MAX(WJ$2:WJ89)+1,"")</f>
        <v/>
      </c>
      <c r="WK90" s="59" t="str">
        <f t="shared" ca="1" si="172"/>
        <v/>
      </c>
      <c r="WL90" s="18" t="str">
        <f ca="1">IF(AND(SUM($UB90:$VY90)&gt;0,$TM90=WM$1),MAX(WL$2:WL89)+1,"")</f>
        <v/>
      </c>
      <c r="WM90" s="59" t="str">
        <f t="shared" ca="1" si="173"/>
        <v/>
      </c>
      <c r="WN90" s="18" t="str">
        <f ca="1">IF(AND(SUM($UB90:$VY90)&gt;0,$TM90=WO$1),MAX(WN$2:WN89)+1,"")</f>
        <v/>
      </c>
      <c r="WO90" s="59" t="str">
        <f t="shared" ca="1" si="174"/>
        <v/>
      </c>
      <c r="WP90" s="18" t="str">
        <f ca="1">IF(AND(SUM($UB90:$VY90)&gt;0,$TM90=WQ$1),MAX(WP$2:WP89)+1,"")</f>
        <v/>
      </c>
      <c r="WQ90" s="59" t="str">
        <f t="shared" ca="1" si="175"/>
        <v/>
      </c>
      <c r="WR90" s="18" t="str">
        <f ca="1">IF(AND(SUM($UB90:$VY90)&gt;0,$TM90=WS$1),MAX(WR$2:WR89)+1,"")</f>
        <v/>
      </c>
      <c r="WS90" s="59" t="str">
        <f t="shared" ca="1" si="176"/>
        <v/>
      </c>
      <c r="WT90" s="18" t="str">
        <f ca="1">IF(AND(SUM($UB90:$VY90)&gt;0,$TM90=WU$1),MAX(WT$2:WT89)+1,"")</f>
        <v/>
      </c>
      <c r="WU90" s="59" t="str">
        <f t="shared" ca="1" si="177"/>
        <v/>
      </c>
      <c r="WV90" s="18" t="str">
        <f ca="1">IF(AND(SUM($UB90:$VY90)&gt;0,$TM90=WW$1),MAX(WV$2:WV89)+1,"")</f>
        <v/>
      </c>
      <c r="WW90" s="59" t="str">
        <f t="shared" ca="1" si="178"/>
        <v/>
      </c>
      <c r="WX90" s="18" t="str">
        <f ca="1">IF(AND(SUM($UB90:$VY90)&gt;0,$TM90=WY$1),MAX(WX$2:WX89)+1,"")</f>
        <v/>
      </c>
      <c r="WY90" s="59" t="str">
        <f t="shared" ca="1" si="179"/>
        <v/>
      </c>
      <c r="WZ90" s="59"/>
      <c r="XC90" s="59" t="str">
        <f t="shared" ca="1" si="182"/>
        <v/>
      </c>
    </row>
    <row r="91" spans="219:637" ht="9.9499999999999993" customHeight="1" x14ac:dyDescent="0.2">
      <c r="HK91" s="59"/>
      <c r="HL91" s="59"/>
      <c r="IX91" s="58" t="s">
        <v>1681</v>
      </c>
      <c r="IY91" s="58" t="s">
        <v>1682</v>
      </c>
      <c r="IZ91" s="58" t="s">
        <v>200</v>
      </c>
      <c r="JA91" s="58" t="s">
        <v>890</v>
      </c>
      <c r="JB91" s="58" t="s">
        <v>2084</v>
      </c>
      <c r="JM91" s="296">
        <v>13</v>
      </c>
      <c r="JN91" s="18">
        <v>4</v>
      </c>
      <c r="JO91" s="18">
        <v>3</v>
      </c>
      <c r="JP91" s="18">
        <v>3</v>
      </c>
      <c r="JQ91" s="18">
        <v>1</v>
      </c>
      <c r="JR91" s="98" t="s">
        <v>140</v>
      </c>
      <c r="JS91" s="98" t="s">
        <v>140</v>
      </c>
      <c r="JT91" s="98" t="s">
        <v>140</v>
      </c>
      <c r="JU91" s="98" t="s">
        <v>140</v>
      </c>
      <c r="JV91" s="98" t="s">
        <v>140</v>
      </c>
      <c r="JW91" s="98">
        <v>4</v>
      </c>
      <c r="JX91" s="302"/>
      <c r="KT91" s="88" t="s">
        <v>158</v>
      </c>
      <c r="KU91" s="80" t="str">
        <f t="shared" ca="1" si="186"/>
        <v>No</v>
      </c>
      <c r="KV91" s="89" t="s">
        <v>167</v>
      </c>
      <c r="KW91" s="92"/>
      <c r="KX91" s="92"/>
      <c r="KY91" s="92"/>
      <c r="KZ91" s="92"/>
      <c r="LA91" s="92"/>
      <c r="LB91" s="92"/>
      <c r="LC91" s="92"/>
      <c r="LD91" s="92"/>
      <c r="LE91" s="92"/>
      <c r="LF91" s="92"/>
      <c r="LG91" s="92"/>
      <c r="LH91" s="92"/>
      <c r="LI91" s="92"/>
      <c r="LJ91" s="92"/>
      <c r="LK91" s="92"/>
      <c r="LL91" s="92"/>
      <c r="LM91" s="92"/>
      <c r="LN91" s="92"/>
      <c r="LO91" s="92"/>
      <c r="LP91" s="92"/>
      <c r="LQ91" s="92"/>
      <c r="LR91" s="92"/>
      <c r="LS91" s="92"/>
      <c r="LT91" s="92"/>
      <c r="LU91" s="92"/>
      <c r="LV91" s="92"/>
      <c r="LW91" s="92"/>
      <c r="LX91" s="92"/>
      <c r="LY91" s="92"/>
      <c r="LZ91" s="92" t="str">
        <f t="shared" si="191"/>
        <v/>
      </c>
      <c r="MA91" s="92" t="str">
        <f t="shared" ca="1" si="187"/>
        <v/>
      </c>
      <c r="MB91" s="92" t="str">
        <f t="shared" si="192"/>
        <v/>
      </c>
      <c r="MC91" s="92"/>
      <c r="MD91" s="92" t="str">
        <f t="shared" ca="1" si="195"/>
        <v/>
      </c>
      <c r="ME91" s="92" t="str">
        <f t="shared" si="196"/>
        <v/>
      </c>
      <c r="MF91" s="92" t="str">
        <f>IF(Class1=MF$5,IF(MF$1&gt;0,$KT91,""),"")</f>
        <v/>
      </c>
      <c r="MG91" s="92" t="str">
        <f t="shared" si="196"/>
        <v/>
      </c>
      <c r="MH91" s="92" t="str">
        <f t="shared" ca="1" si="189"/>
        <v/>
      </c>
      <c r="MI91" s="92" t="str">
        <f t="shared" ca="1" si="190"/>
        <v/>
      </c>
      <c r="MJ91" s="92"/>
      <c r="MK91" s="92" t="str">
        <f t="shared" ca="1" si="190"/>
        <v/>
      </c>
      <c r="ML91" s="92"/>
      <c r="MM91" s="92"/>
      <c r="MN91" s="92"/>
      <c r="MO91" s="92"/>
      <c r="MP91" s="92"/>
      <c r="MQ91" s="92"/>
      <c r="MR91" s="92"/>
      <c r="MS91" s="92"/>
      <c r="MT91" s="92"/>
      <c r="MU91" s="92"/>
      <c r="MV91" s="92"/>
      <c r="MW91" s="92"/>
      <c r="MX91" s="92"/>
      <c r="MY91" s="92"/>
      <c r="MZ91" s="92"/>
      <c r="NA91" s="92"/>
      <c r="NB91" s="92"/>
      <c r="NC91" s="92"/>
      <c r="ND91" s="92"/>
      <c r="NE91" s="92"/>
      <c r="NF91" s="92"/>
      <c r="NG91" s="92"/>
      <c r="NH91" s="92"/>
      <c r="NI91" s="92"/>
      <c r="NJ91" s="92"/>
      <c r="NK91" s="92"/>
      <c r="NL91" s="92"/>
      <c r="NM91" s="92"/>
      <c r="NN91" s="92"/>
      <c r="NO91" s="92"/>
      <c r="NP91" s="92"/>
      <c r="NQ91" s="92"/>
      <c r="NR91" s="92"/>
      <c r="NS91" s="92"/>
      <c r="NT91" s="92"/>
      <c r="NU91" s="92"/>
      <c r="NV91" s="92"/>
      <c r="NW91" s="92"/>
      <c r="NX91" s="92"/>
      <c r="NY91" s="92"/>
      <c r="NZ91" s="92"/>
      <c r="OA91" s="92"/>
      <c r="OB91" s="92"/>
      <c r="OC91" s="92"/>
      <c r="OD91" s="92"/>
      <c r="OE91" s="92"/>
      <c r="OF91" s="92"/>
      <c r="OG91" s="92"/>
      <c r="OH91" s="92"/>
      <c r="OI91" s="92"/>
      <c r="OJ91" s="92"/>
      <c r="OK91" s="92"/>
      <c r="OL91" s="92"/>
      <c r="OM91" s="92"/>
      <c r="ON91" s="92"/>
      <c r="OO91" s="92"/>
      <c r="OP91" s="92"/>
      <c r="OQ91" s="92"/>
      <c r="OR91" s="92"/>
      <c r="OS91" s="92"/>
      <c r="OT91" s="92"/>
      <c r="OU91" s="92"/>
      <c r="OV91" s="92"/>
      <c r="OW91" s="92"/>
      <c r="OX91" s="92"/>
      <c r="OY91" s="92"/>
      <c r="OZ91" s="92"/>
      <c r="PA91" s="92"/>
      <c r="PB91" s="92"/>
      <c r="PC91" s="92"/>
      <c r="PD91" s="92"/>
      <c r="PE91" s="92"/>
      <c r="PF91" s="92"/>
      <c r="PG91" s="92"/>
      <c r="PH91" s="92"/>
      <c r="PI91" s="92"/>
      <c r="PJ91" s="92"/>
      <c r="PK91" s="92"/>
      <c r="PL91" s="92"/>
      <c r="PM91" s="92"/>
      <c r="PN91" s="92"/>
      <c r="PO91" s="92"/>
      <c r="PP91" s="92"/>
      <c r="PQ91" s="92"/>
      <c r="PR91" s="92"/>
      <c r="PS91" s="92"/>
      <c r="PT91" s="92"/>
      <c r="PU91" s="59" t="str">
        <f t="shared" ca="1" si="194"/>
        <v/>
      </c>
      <c r="PV91" s="59" t="str">
        <f ca="1">IF(PU91="","",IF(COUNTIF(PU91:$PU$125,"&gt;&lt;")&gt;1,PU91&amp;", ", PU91))</f>
        <v/>
      </c>
      <c r="PW91" s="59"/>
      <c r="PX91" s="59"/>
      <c r="TJ91" s="18">
        <f t="shared" si="181"/>
        <v>89</v>
      </c>
      <c r="TK91" s="58" t="s">
        <v>569</v>
      </c>
      <c r="TL91" s="58" t="s">
        <v>460</v>
      </c>
      <c r="TM91" s="18">
        <v>3</v>
      </c>
      <c r="TN91" s="59" t="str">
        <f t="shared" si="167"/>
        <v xml:space="preserve">Daylight </v>
      </c>
      <c r="TO91" s="18" t="str">
        <f>""</f>
        <v/>
      </c>
      <c r="TP91" s="18" t="str">
        <f t="shared" si="168"/>
        <v/>
      </c>
      <c r="TQ91" s="18" t="str">
        <f>IF(OR(TK91=Spellcasting!$AC$18,TK91=Spellcasting!$AC$19),"ᵐ","")</f>
        <v/>
      </c>
      <c r="TR91" s="18" t="str">
        <f>IF(OR(TK91=Spellcasting!$AC$20,TK91=Spellcasting!$AC$21),"ˢ","")</f>
        <v/>
      </c>
      <c r="TS91" s="18" t="str">
        <f>""</f>
        <v/>
      </c>
      <c r="TT91" s="18" t="s">
        <v>484</v>
      </c>
      <c r="TU91" s="18" t="s">
        <v>850</v>
      </c>
      <c r="TV91" s="18" t="s">
        <v>521</v>
      </c>
      <c r="TW91" s="18" t="s">
        <v>486</v>
      </c>
      <c r="TX91" s="59" t="str">
        <f>""</f>
        <v/>
      </c>
      <c r="TY91" s="18" t="s">
        <v>534</v>
      </c>
      <c r="TZ91" s="18" t="s">
        <v>535</v>
      </c>
      <c r="UA91" s="142" t="s">
        <v>1857</v>
      </c>
      <c r="UB91" s="319" t="s">
        <v>2092</v>
      </c>
      <c r="UD91" s="18" t="str">
        <f ca="1">IF(UD$1&gt;=$TM91,1,"0")</f>
        <v>0</v>
      </c>
      <c r="UE91" s="18" t="str">
        <f ca="1">IF(UE$1&gt;=$TM91,1,"0")</f>
        <v>0</v>
      </c>
      <c r="UF91" s="18" t="str">
        <f ca="1">IF(UF$1&gt;=$TM91,1,"0")</f>
        <v>0</v>
      </c>
      <c r="UH91" s="18" t="str">
        <f ca="1">IF(UH$1&gt;=$TM91,1,"0")</f>
        <v>0</v>
      </c>
      <c r="UI91" s="18" t="str">
        <f ca="1">IF(UI$1&gt;=$TM91,1,"0")</f>
        <v>0</v>
      </c>
      <c r="VA91" s="18" t="str">
        <f>IF(VA$1&gt;=$TM91,1,"0")</f>
        <v>0</v>
      </c>
      <c r="VK91" s="18" t="str">
        <f>IF(VK$1&gt;=$TM91,1,"0")</f>
        <v>0</v>
      </c>
      <c r="WD91" s="18" t="str">
        <f ca="1">IF(SUM($VZ$1:$WC$1)&gt;0,IF(AND(SUM($VZ91:$WC91)&gt;0,$TM91=WE$1),MAX(WD$2:WD90)+1,""),IF(AND(SUM($UC91:$VY91)&gt;0,$TM91=WE$1),MAX(WD$2:WD90)+1,""))</f>
        <v/>
      </c>
      <c r="WE91" s="59" t="str">
        <f t="shared" ca="1" si="169"/>
        <v/>
      </c>
      <c r="WF91" s="18" t="str">
        <f ca="1">IF(AND(SUM($UB91:$VY91)&gt;0,$TM91=WG$1),MAX(WF$2:WF90)+1,"")</f>
        <v/>
      </c>
      <c r="WG91" s="59" t="str">
        <f t="shared" ca="1" si="170"/>
        <v/>
      </c>
      <c r="WH91" s="18" t="str">
        <f ca="1">IF(AND(SUM($UB91:$VY91)&gt;0,$TM91=WI$1),MAX(WH$2:WH90)+1,"")</f>
        <v/>
      </c>
      <c r="WI91" s="59" t="str">
        <f t="shared" ca="1" si="171"/>
        <v/>
      </c>
      <c r="WJ91" s="18" t="str">
        <f ca="1">IF(AND(SUM($UB91:$VY91)&gt;0,$TM91=WK$1),MAX(WJ$2:WJ90)+1,"")</f>
        <v/>
      </c>
      <c r="WK91" s="59" t="str">
        <f t="shared" ca="1" si="172"/>
        <v/>
      </c>
      <c r="WL91" s="18" t="str">
        <f ca="1">IF(AND(SUM($UB91:$VY91)&gt;0,$TM91=WM$1),MAX(WL$2:WL90)+1,"")</f>
        <v/>
      </c>
      <c r="WM91" s="59" t="str">
        <f t="shared" ca="1" si="173"/>
        <v/>
      </c>
      <c r="WN91" s="18" t="str">
        <f ca="1">IF(AND(SUM($UB91:$VY91)&gt;0,$TM91=WO$1),MAX(WN$2:WN90)+1,"")</f>
        <v/>
      </c>
      <c r="WO91" s="59" t="str">
        <f t="shared" ca="1" si="174"/>
        <v/>
      </c>
      <c r="WP91" s="18" t="str">
        <f ca="1">IF(AND(SUM($UB91:$VY91)&gt;0,$TM91=WQ$1),MAX(WP$2:WP90)+1,"")</f>
        <v/>
      </c>
      <c r="WQ91" s="59" t="str">
        <f t="shared" ca="1" si="175"/>
        <v/>
      </c>
      <c r="WR91" s="18" t="str">
        <f ca="1">IF(AND(SUM($UB91:$VY91)&gt;0,$TM91=WS$1),MAX(WR$2:WR90)+1,"")</f>
        <v/>
      </c>
      <c r="WS91" s="59" t="str">
        <f t="shared" ca="1" si="176"/>
        <v/>
      </c>
      <c r="WT91" s="18" t="str">
        <f ca="1">IF(AND(SUM($UB91:$VY91)&gt;0,$TM91=WU$1),MAX(WT$2:WT90)+1,"")</f>
        <v/>
      </c>
      <c r="WU91" s="59" t="str">
        <f t="shared" ca="1" si="177"/>
        <v/>
      </c>
      <c r="WV91" s="18" t="str">
        <f ca="1">IF(AND(SUM($UB91:$VY91)&gt;0,$TM91=WW$1),MAX(WV$2:WV90)+1,"")</f>
        <v/>
      </c>
      <c r="WW91" s="59" t="str">
        <f t="shared" ca="1" si="178"/>
        <v/>
      </c>
      <c r="WX91" s="18" t="str">
        <f ca="1">IF(AND(SUM($UB91:$VY91)&gt;0,$TM91=WY$1),MAX(WX$2:WX90)+1,"")</f>
        <v/>
      </c>
      <c r="WY91" s="59" t="str">
        <f t="shared" ca="1" si="179"/>
        <v/>
      </c>
      <c r="WZ91" s="59"/>
      <c r="XC91" s="59" t="str">
        <f t="shared" ca="1" si="182"/>
        <v/>
      </c>
    </row>
    <row r="92" spans="219:637" ht="9.9499999999999993" customHeight="1" x14ac:dyDescent="0.2">
      <c r="HK92" s="59"/>
      <c r="HL92" s="59"/>
      <c r="IX92" s="58" t="s">
        <v>1694</v>
      </c>
      <c r="IY92" s="58" t="s">
        <v>1695</v>
      </c>
      <c r="IZ92" s="58" t="s">
        <v>202</v>
      </c>
      <c r="JA92" s="58" t="s">
        <v>922</v>
      </c>
      <c r="JB92" s="58" t="s">
        <v>1696</v>
      </c>
      <c r="JM92" s="296">
        <v>14</v>
      </c>
      <c r="JN92" s="18">
        <v>4</v>
      </c>
      <c r="JO92" s="18">
        <v>3</v>
      </c>
      <c r="JP92" s="18">
        <v>3</v>
      </c>
      <c r="JQ92" s="18">
        <v>1</v>
      </c>
      <c r="JR92" s="98" t="s">
        <v>140</v>
      </c>
      <c r="JS92" s="98" t="s">
        <v>140</v>
      </c>
      <c r="JT92" s="98" t="s">
        <v>140</v>
      </c>
      <c r="JU92" s="98" t="s">
        <v>140</v>
      </c>
      <c r="JV92" s="98" t="s">
        <v>140</v>
      </c>
      <c r="JW92" s="98">
        <v>4</v>
      </c>
      <c r="KT92" s="88" t="s">
        <v>159</v>
      </c>
      <c r="KU92" s="80" t="str">
        <f t="shared" ca="1" si="186"/>
        <v>No</v>
      </c>
      <c r="KV92" s="89" t="s">
        <v>167</v>
      </c>
      <c r="KW92" s="92"/>
      <c r="KX92" s="92"/>
      <c r="KY92" s="92"/>
      <c r="KZ92" s="92"/>
      <c r="LA92" s="92"/>
      <c r="LB92" s="92"/>
      <c r="LC92" s="92"/>
      <c r="LD92" s="92"/>
      <c r="LE92" s="92"/>
      <c r="LF92" s="92"/>
      <c r="LG92" s="92"/>
      <c r="LH92" s="92"/>
      <c r="LI92" s="92"/>
      <c r="LJ92" s="92"/>
      <c r="LK92" s="92"/>
      <c r="LL92" s="92"/>
      <c r="LM92" s="92"/>
      <c r="LN92" s="92"/>
      <c r="LO92" s="92"/>
      <c r="LP92" s="92"/>
      <c r="LQ92" s="92"/>
      <c r="LR92" s="92"/>
      <c r="LS92" s="92"/>
      <c r="LT92" s="92"/>
      <c r="LU92" s="92"/>
      <c r="LV92" s="92"/>
      <c r="LW92" s="92"/>
      <c r="LX92" s="92"/>
      <c r="LY92" s="92"/>
      <c r="LZ92" s="92" t="str">
        <f t="shared" si="191"/>
        <v/>
      </c>
      <c r="MA92" s="92" t="str">
        <f t="shared" ca="1" si="187"/>
        <v/>
      </c>
      <c r="MB92" s="92" t="str">
        <f t="shared" si="192"/>
        <v/>
      </c>
      <c r="MC92" s="92" t="str">
        <f>IF(Class1=MC$5,IF(MC$1&gt;0,$KT92,""),"")</f>
        <v/>
      </c>
      <c r="MD92" s="92" t="str">
        <f t="shared" ca="1" si="195"/>
        <v/>
      </c>
      <c r="ME92" s="92" t="str">
        <f t="shared" si="196"/>
        <v/>
      </c>
      <c r="MF92" s="92" t="str">
        <f>IF(Class1=MF$5,IF(MF$1&gt;0,$KT92,""),"")</f>
        <v/>
      </c>
      <c r="MG92" s="92" t="str">
        <f t="shared" si="196"/>
        <v/>
      </c>
      <c r="MH92" s="92" t="str">
        <f t="shared" ca="1" si="189"/>
        <v/>
      </c>
      <c r="MI92" s="92" t="str">
        <f t="shared" ca="1" si="190"/>
        <v/>
      </c>
      <c r="MJ92" s="92" t="str">
        <f>IF(Class1=MJ$5,IF(MJ$1&gt;0,$KT92,""),"")</f>
        <v/>
      </c>
      <c r="MK92" s="92" t="str">
        <f t="shared" ca="1" si="190"/>
        <v/>
      </c>
      <c r="ML92" s="92"/>
      <c r="MM92" s="92"/>
      <c r="MN92" s="92"/>
      <c r="MO92" s="92"/>
      <c r="MP92" s="92"/>
      <c r="MQ92" s="92"/>
      <c r="MR92" s="92"/>
      <c r="MS92" s="92"/>
      <c r="MT92" s="92"/>
      <c r="MU92" s="92"/>
      <c r="MV92" s="92"/>
      <c r="MW92" s="92"/>
      <c r="MX92" s="92"/>
      <c r="MY92" s="92"/>
      <c r="MZ92" s="92"/>
      <c r="NA92" s="92"/>
      <c r="NB92" s="92"/>
      <c r="NC92" s="92"/>
      <c r="ND92" s="92"/>
      <c r="NE92" s="92"/>
      <c r="NF92" s="92"/>
      <c r="NG92" s="92"/>
      <c r="NH92" s="92"/>
      <c r="NI92" s="92"/>
      <c r="NJ92" s="92"/>
      <c r="NK92" s="92"/>
      <c r="NL92" s="92"/>
      <c r="NM92" s="92"/>
      <c r="NN92" s="92"/>
      <c r="NO92" s="92"/>
      <c r="NP92" s="92"/>
      <c r="NQ92" s="92"/>
      <c r="NR92" s="92"/>
      <c r="NS92" s="92"/>
      <c r="NT92" s="92"/>
      <c r="NU92" s="92"/>
      <c r="NV92" s="92"/>
      <c r="NW92" s="92"/>
      <c r="NX92" s="92"/>
      <c r="NY92" s="92"/>
      <c r="NZ92" s="92"/>
      <c r="OA92" s="92"/>
      <c r="OB92" s="92"/>
      <c r="OC92" s="92"/>
      <c r="OD92" s="92"/>
      <c r="OE92" s="92"/>
      <c r="OF92" s="92"/>
      <c r="OG92" s="92"/>
      <c r="OH92" s="92"/>
      <c r="OI92" s="92"/>
      <c r="OJ92" s="92"/>
      <c r="OK92" s="92"/>
      <c r="OL92" s="92"/>
      <c r="OM92" s="92"/>
      <c r="ON92" s="92"/>
      <c r="OO92" s="92"/>
      <c r="OP92" s="92"/>
      <c r="OQ92" s="92"/>
      <c r="OR92" s="92"/>
      <c r="OS92" s="92"/>
      <c r="OT92" s="92"/>
      <c r="OU92" s="92"/>
      <c r="OV92" s="92"/>
      <c r="OW92" s="92"/>
      <c r="OX92" s="92"/>
      <c r="OY92" s="92"/>
      <c r="OZ92" s="92"/>
      <c r="PA92" s="92"/>
      <c r="PB92" s="92"/>
      <c r="PC92" s="92"/>
      <c r="PD92" s="92"/>
      <c r="PE92" s="92"/>
      <c r="PF92" s="92"/>
      <c r="PG92" s="92"/>
      <c r="PH92" s="92"/>
      <c r="PI92" s="92"/>
      <c r="PJ92" s="92"/>
      <c r="PK92" s="92"/>
      <c r="PL92" s="92"/>
      <c r="PM92" s="92"/>
      <c r="PN92" s="92"/>
      <c r="PO92" s="92"/>
      <c r="PP92" s="92"/>
      <c r="PQ92" s="92"/>
      <c r="PR92" s="92"/>
      <c r="PS92" s="92"/>
      <c r="PT92" s="92"/>
      <c r="PU92" s="59" t="str">
        <f t="shared" ca="1" si="194"/>
        <v/>
      </c>
      <c r="PV92" s="59" t="str">
        <f ca="1">IF(PU92="","",IF(COUNTIF(PU92:$PU$125,"&gt;&lt;")&gt;1,PU92&amp;", ", PU92))</f>
        <v/>
      </c>
      <c r="PW92" s="59"/>
      <c r="PX92" s="59"/>
      <c r="TJ92" s="18">
        <f t="shared" si="181"/>
        <v>90</v>
      </c>
      <c r="TK92" s="58" t="s">
        <v>570</v>
      </c>
      <c r="TL92" s="58" t="s">
        <v>461</v>
      </c>
      <c r="TM92" s="18">
        <v>4</v>
      </c>
      <c r="TN92" s="59" t="str">
        <f t="shared" si="167"/>
        <v xml:space="preserve">Death Ward </v>
      </c>
      <c r="TO92" s="18" t="str">
        <f>""</f>
        <v/>
      </c>
      <c r="TP92" s="18" t="str">
        <f t="shared" si="168"/>
        <v/>
      </c>
      <c r="TQ92" s="18" t="str">
        <f>IF(OR(TK92=Spellcasting!$AC$18,TK92=Spellcasting!$AC$19),"ᵐ","")</f>
        <v/>
      </c>
      <c r="TR92" s="18" t="str">
        <f>IF(OR(TK92=Spellcasting!$AC$20,TK92=Spellcasting!$AC$21),"ˢ","")</f>
        <v/>
      </c>
      <c r="TS92" s="18" t="str">
        <f>""</f>
        <v/>
      </c>
      <c r="TT92" s="18" t="s">
        <v>484</v>
      </c>
      <c r="TU92" s="18" t="s">
        <v>519</v>
      </c>
      <c r="TV92" s="18" t="s">
        <v>485</v>
      </c>
      <c r="TW92" s="18" t="s">
        <v>486</v>
      </c>
      <c r="TX92" s="59" t="str">
        <f>""</f>
        <v/>
      </c>
      <c r="TY92" s="18" t="s">
        <v>487</v>
      </c>
      <c r="TZ92" s="18" t="s">
        <v>488</v>
      </c>
      <c r="UA92" s="142" t="s">
        <v>2118</v>
      </c>
      <c r="UB92" s="319" t="s">
        <v>2119</v>
      </c>
      <c r="UD92" s="18" t="str">
        <f ca="1">IF(UD$1&gt;=$TM92,1,"0")</f>
        <v>0</v>
      </c>
      <c r="UH92" s="18" t="str">
        <f ca="1">IF(UH$1&gt;=$TM92,1,"0")</f>
        <v>0</v>
      </c>
      <c r="UZ92" s="18" t="str">
        <f>IF(UZ$1&gt;=$TM92,1,"0")</f>
        <v>0</v>
      </c>
      <c r="WD92" s="18" t="str">
        <f ca="1">IF(SUM($VZ$1:$WC$1)&gt;0,IF(AND(SUM($VZ92:$WC92)&gt;0,$TM92=WE$1),MAX(WD$2:WD91)+1,""),IF(AND(SUM($UC92:$VY92)&gt;0,$TM92=WE$1),MAX(WD$2:WD91)+1,""))</f>
        <v/>
      </c>
      <c r="WE92" s="59" t="str">
        <f t="shared" ca="1" si="169"/>
        <v/>
      </c>
      <c r="WF92" s="18" t="str">
        <f ca="1">IF(AND(SUM($UB92:$VY92)&gt;0,$TM92=WG$1),MAX(WF$2:WF91)+1,"")</f>
        <v/>
      </c>
      <c r="WG92" s="59" t="str">
        <f t="shared" ca="1" si="170"/>
        <v/>
      </c>
      <c r="WH92" s="18" t="str">
        <f ca="1">IF(AND(SUM($UB92:$VY92)&gt;0,$TM92=WI$1),MAX(WH$2:WH91)+1,"")</f>
        <v/>
      </c>
      <c r="WI92" s="59" t="str">
        <f t="shared" ca="1" si="171"/>
        <v/>
      </c>
      <c r="WJ92" s="18" t="str">
        <f ca="1">IF(AND(SUM($UB92:$VY92)&gt;0,$TM92=WK$1),MAX(WJ$2:WJ91)+1,"")</f>
        <v/>
      </c>
      <c r="WK92" s="59" t="str">
        <f t="shared" ca="1" si="172"/>
        <v/>
      </c>
      <c r="WL92" s="18" t="str">
        <f ca="1">IF(AND(SUM($UB92:$VY92)&gt;0,$TM92=WM$1),MAX(WL$2:WL91)+1,"")</f>
        <v/>
      </c>
      <c r="WM92" s="59" t="str">
        <f t="shared" ca="1" si="173"/>
        <v/>
      </c>
      <c r="WN92" s="18" t="str">
        <f ca="1">IF(AND(SUM($UB92:$VY92)&gt;0,$TM92=WO$1),MAX(WN$2:WN91)+1,"")</f>
        <v/>
      </c>
      <c r="WO92" s="59" t="str">
        <f t="shared" ca="1" si="174"/>
        <v/>
      </c>
      <c r="WP92" s="18" t="str">
        <f ca="1">IF(AND(SUM($UB92:$VY92)&gt;0,$TM92=WQ$1),MAX(WP$2:WP91)+1,"")</f>
        <v/>
      </c>
      <c r="WQ92" s="59" t="str">
        <f t="shared" ca="1" si="175"/>
        <v/>
      </c>
      <c r="WR92" s="18" t="str">
        <f ca="1">IF(AND(SUM($UB92:$VY92)&gt;0,$TM92=WS$1),MAX(WR$2:WR91)+1,"")</f>
        <v/>
      </c>
      <c r="WS92" s="59" t="str">
        <f t="shared" ca="1" si="176"/>
        <v/>
      </c>
      <c r="WT92" s="18" t="str">
        <f ca="1">IF(AND(SUM($UB92:$VY92)&gt;0,$TM92=WU$1),MAX(WT$2:WT91)+1,"")</f>
        <v/>
      </c>
      <c r="WU92" s="59" t="str">
        <f t="shared" ca="1" si="177"/>
        <v/>
      </c>
      <c r="WV92" s="18" t="str">
        <f ca="1">IF(AND(SUM($UB92:$VY92)&gt;0,$TM92=WW$1),MAX(WV$2:WV91)+1,"")</f>
        <v/>
      </c>
      <c r="WW92" s="59" t="str">
        <f t="shared" ca="1" si="178"/>
        <v/>
      </c>
      <c r="WX92" s="18" t="str">
        <f ca="1">IF(AND(SUM($UB92:$VY92)&gt;0,$TM92=WY$1),MAX(WX$2:WX91)+1,"")</f>
        <v/>
      </c>
      <c r="WY92" s="59" t="str">
        <f t="shared" ca="1" si="179"/>
        <v/>
      </c>
      <c r="WZ92" s="59"/>
      <c r="XC92" s="59" t="str">
        <f t="shared" ref="XC92:XC114" ca="1" si="197">IF(ISERROR(VLOOKUP($WZ92,$WH$1:$WI$5013,2,FALSE)),"",VLOOKUP($WZ92,$WH$1:$WI$5013,2,FALSE))</f>
        <v/>
      </c>
    </row>
    <row r="93" spans="219:637" ht="9.9499999999999993" customHeight="1" x14ac:dyDescent="0.2">
      <c r="HK93" s="59"/>
      <c r="HL93" s="59"/>
      <c r="IX93" s="209" t="s">
        <v>3598</v>
      </c>
      <c r="JM93" s="296">
        <v>15</v>
      </c>
      <c r="JN93" s="18">
        <v>4</v>
      </c>
      <c r="JO93" s="18">
        <v>3</v>
      </c>
      <c r="JP93" s="18">
        <v>3</v>
      </c>
      <c r="JQ93" s="18">
        <v>2</v>
      </c>
      <c r="JR93" s="98" t="s">
        <v>140</v>
      </c>
      <c r="JS93" s="98" t="s">
        <v>140</v>
      </c>
      <c r="JT93" s="98" t="s">
        <v>140</v>
      </c>
      <c r="JU93" s="98" t="s">
        <v>140</v>
      </c>
      <c r="JV93" s="98" t="s">
        <v>140</v>
      </c>
      <c r="JW93" s="98">
        <v>4</v>
      </c>
      <c r="KT93" s="88" t="s">
        <v>160</v>
      </c>
      <c r="KU93" s="80" t="str">
        <f t="shared" ca="1" si="186"/>
        <v>No</v>
      </c>
      <c r="KV93" s="89" t="s">
        <v>167</v>
      </c>
      <c r="KW93" s="92"/>
      <c r="KX93" s="92"/>
      <c r="KY93" s="92"/>
      <c r="KZ93" s="92"/>
      <c r="LA93" s="92"/>
      <c r="LB93" s="92"/>
      <c r="LC93" s="92"/>
      <c r="LD93" s="92"/>
      <c r="LE93" s="92"/>
      <c r="LF93" s="92"/>
      <c r="LG93" s="92"/>
      <c r="LH93" s="92"/>
      <c r="LI93" s="92"/>
      <c r="LJ93" s="92"/>
      <c r="LK93" s="92"/>
      <c r="LL93" s="92"/>
      <c r="LM93" s="92"/>
      <c r="LN93" s="92"/>
      <c r="LO93" s="92"/>
      <c r="LP93" s="92"/>
      <c r="LQ93" s="92"/>
      <c r="LR93" s="92"/>
      <c r="LS93" s="92"/>
      <c r="LT93" s="92"/>
      <c r="LU93" s="92"/>
      <c r="LV93" s="92"/>
      <c r="LW93" s="92"/>
      <c r="LX93" s="92"/>
      <c r="LY93" s="92"/>
      <c r="LZ93" s="92" t="str">
        <f t="shared" si="191"/>
        <v/>
      </c>
      <c r="MA93" s="92" t="str">
        <f t="shared" ca="1" si="187"/>
        <v/>
      </c>
      <c r="MB93" s="92" t="str">
        <f t="shared" si="192"/>
        <v/>
      </c>
      <c r="MC93" s="92"/>
      <c r="MD93" s="92" t="str">
        <f t="shared" ca="1" si="195"/>
        <v/>
      </c>
      <c r="ME93" s="92" t="str">
        <f t="shared" si="196"/>
        <v/>
      </c>
      <c r="MF93" s="92" t="str">
        <f>IF(Class1=MF$5,IF(MF$1&gt;0,$KT93,""),"")</f>
        <v/>
      </c>
      <c r="MG93" s="92" t="str">
        <f t="shared" si="196"/>
        <v/>
      </c>
      <c r="MH93" s="92" t="str">
        <f t="shared" ca="1" si="189"/>
        <v/>
      </c>
      <c r="MI93" s="92" t="str">
        <f t="shared" ca="1" si="190"/>
        <v/>
      </c>
      <c r="MJ93" s="92"/>
      <c r="MK93" s="92" t="str">
        <f t="shared" ca="1" si="190"/>
        <v/>
      </c>
      <c r="ML93" s="92"/>
      <c r="MM93" s="92"/>
      <c r="MN93" s="92"/>
      <c r="MO93" s="92"/>
      <c r="MP93" s="92"/>
      <c r="MQ93" s="92"/>
      <c r="MR93" s="92"/>
      <c r="MS93" s="92"/>
      <c r="MT93" s="92"/>
      <c r="MU93" s="92"/>
      <c r="MV93" s="92"/>
      <c r="MW93" s="92"/>
      <c r="MX93" s="92"/>
      <c r="MY93" s="92"/>
      <c r="MZ93" s="92"/>
      <c r="NA93" s="92"/>
      <c r="NB93" s="92"/>
      <c r="NC93" s="92"/>
      <c r="ND93" s="92"/>
      <c r="NE93" s="92"/>
      <c r="NF93" s="92"/>
      <c r="NG93" s="92"/>
      <c r="NH93" s="92"/>
      <c r="NI93" s="92"/>
      <c r="NJ93" s="92"/>
      <c r="NK93" s="92"/>
      <c r="NL93" s="92"/>
      <c r="NM93" s="92"/>
      <c r="NN93" s="92"/>
      <c r="NO93" s="92"/>
      <c r="NP93" s="92"/>
      <c r="NQ93" s="92"/>
      <c r="NR93" s="92"/>
      <c r="NS93" s="92"/>
      <c r="NT93" s="92"/>
      <c r="NU93" s="92"/>
      <c r="NV93" s="92"/>
      <c r="NW93" s="92"/>
      <c r="NX93" s="92"/>
      <c r="NY93" s="92"/>
      <c r="NZ93" s="92"/>
      <c r="OA93" s="92"/>
      <c r="OB93" s="92"/>
      <c r="OC93" s="92"/>
      <c r="OD93" s="92"/>
      <c r="OE93" s="92"/>
      <c r="OF93" s="92"/>
      <c r="OG93" s="92"/>
      <c r="OH93" s="92"/>
      <c r="OI93" s="92"/>
      <c r="OJ93" s="92"/>
      <c r="OK93" s="92"/>
      <c r="OL93" s="92"/>
      <c r="OM93" s="92"/>
      <c r="ON93" s="92"/>
      <c r="OO93" s="92"/>
      <c r="OP93" s="92"/>
      <c r="OQ93" s="92"/>
      <c r="OR93" s="92"/>
      <c r="OS93" s="92"/>
      <c r="OT93" s="92"/>
      <c r="OU93" s="92"/>
      <c r="OV93" s="92"/>
      <c r="OW93" s="92"/>
      <c r="OX93" s="92"/>
      <c r="OY93" s="92"/>
      <c r="OZ93" s="92"/>
      <c r="PA93" s="92"/>
      <c r="PB93" s="92"/>
      <c r="PC93" s="92"/>
      <c r="PD93" s="92"/>
      <c r="PE93" s="92"/>
      <c r="PF93" s="92"/>
      <c r="PG93" s="92"/>
      <c r="PH93" s="92"/>
      <c r="PI93" s="92"/>
      <c r="PJ93" s="92"/>
      <c r="PK93" s="92"/>
      <c r="PL93" s="92"/>
      <c r="PM93" s="92"/>
      <c r="PN93" s="92"/>
      <c r="PO93" s="92"/>
      <c r="PP93" s="92"/>
      <c r="PQ93" s="92"/>
      <c r="PR93" s="92"/>
      <c r="PS93" s="92"/>
      <c r="PT93" s="92"/>
      <c r="PU93" s="59" t="str">
        <f t="shared" ca="1" si="194"/>
        <v/>
      </c>
      <c r="PV93" s="59" t="str">
        <f ca="1">IF(PU93="","",IF(COUNTIF(PU93:$PU$125,"&gt;&lt;")&gt;1,PU93&amp;", ", PU93))</f>
        <v/>
      </c>
      <c r="PW93" s="59"/>
      <c r="PX93" s="59"/>
      <c r="TJ93" s="18">
        <f t="shared" si="181"/>
        <v>91</v>
      </c>
      <c r="TK93" s="58" t="s">
        <v>972</v>
      </c>
      <c r="TL93" s="58" t="s">
        <v>464</v>
      </c>
      <c r="TM93" s="18">
        <v>7</v>
      </c>
      <c r="TN93" s="59" t="str">
        <f t="shared" si="167"/>
        <v xml:space="preserve">Delayed Blast Fireball ᴴ </v>
      </c>
      <c r="TO93" s="350" t="s">
        <v>2991</v>
      </c>
      <c r="TP93" s="18" t="str">
        <f t="shared" si="168"/>
        <v/>
      </c>
      <c r="TQ93" s="18" t="str">
        <f>IF(OR(TK93=Spellcasting!$AC$18,TK93=Spellcasting!$AC$19),"ᵐ","")</f>
        <v/>
      </c>
      <c r="TR93" s="18" t="str">
        <f>IF(OR(TK93=Spellcasting!$AC$20,TK93=Spellcasting!$AC$21),"ˢ","")</f>
        <v/>
      </c>
      <c r="TS93" s="18" t="str">
        <f>""</f>
        <v/>
      </c>
      <c r="TT93" s="18" t="s">
        <v>484</v>
      </c>
      <c r="TU93" s="18" t="s">
        <v>660</v>
      </c>
      <c r="TV93" s="18" t="s">
        <v>558</v>
      </c>
      <c r="TW93" s="18" t="s">
        <v>495</v>
      </c>
      <c r="TX93" s="59" t="s">
        <v>973</v>
      </c>
      <c r="TY93" s="18" t="s">
        <v>534</v>
      </c>
      <c r="TZ93" s="18" t="s">
        <v>535</v>
      </c>
      <c r="UA93" s="142" t="s">
        <v>3161</v>
      </c>
      <c r="UB93" s="319" t="str">
        <f ca="1">"20ft rad, 12d6"&amp;IF(WizardEvocationLevel&gt;=10,"+"&amp;INTMod,IF(AD6=TRUE,"+"&amp;CHAMod,""))&amp;"  fire +1d6 per rnd, dex save ½"</f>
        <v>20ft rad, 12d6  fire +1d6 per rnd, dex save ½</v>
      </c>
      <c r="UF93" s="18" t="str">
        <f ca="1">IF(UF$1&gt;=$TM93,1,"0")</f>
        <v>0</v>
      </c>
      <c r="UL93" s="18" t="str">
        <f ca="1">IF(UL$1&gt;=$TM93,1,"0")</f>
        <v>0</v>
      </c>
      <c r="WD93" s="18" t="str">
        <f ca="1">IF(SUM($VZ$1:$WC$1)&gt;0,IF(AND(SUM($VZ93:$WC93)&gt;0,$TM93=WE$1),MAX(WD$2:WD92)+1,""),IF(AND(SUM($UC93:$VY93)&gt;0,$TM93=WE$1),MAX(WD$2:WD92)+1,""))</f>
        <v/>
      </c>
      <c r="WE93" s="59" t="str">
        <f t="shared" ca="1" si="169"/>
        <v/>
      </c>
      <c r="WF93" s="18" t="str">
        <f ca="1">IF(AND(SUM($UB93:$VY93)&gt;0,$TM93=WG$1),MAX(WF$2:WF92)+1,"")</f>
        <v/>
      </c>
      <c r="WG93" s="59" t="str">
        <f t="shared" ca="1" si="170"/>
        <v/>
      </c>
      <c r="WH93" s="18" t="str">
        <f ca="1">IF(AND(SUM($UB93:$VY93)&gt;0,$TM93=WI$1),MAX(WH$2:WH92)+1,"")</f>
        <v/>
      </c>
      <c r="WI93" s="59" t="str">
        <f t="shared" ca="1" si="171"/>
        <v/>
      </c>
      <c r="WJ93" s="18" t="str">
        <f ca="1">IF(AND(SUM($UB93:$VY93)&gt;0,$TM93=WK$1),MAX(WJ$2:WJ92)+1,"")</f>
        <v/>
      </c>
      <c r="WK93" s="59" t="str">
        <f t="shared" ca="1" si="172"/>
        <v/>
      </c>
      <c r="WL93" s="18" t="str">
        <f ca="1">IF(AND(SUM($UB93:$VY93)&gt;0,$TM93=WM$1),MAX(WL$2:WL92)+1,"")</f>
        <v/>
      </c>
      <c r="WM93" s="59" t="str">
        <f t="shared" ca="1" si="173"/>
        <v/>
      </c>
      <c r="WN93" s="18" t="str">
        <f ca="1">IF(AND(SUM($UB93:$VY93)&gt;0,$TM93=WO$1),MAX(WN$2:WN92)+1,"")</f>
        <v/>
      </c>
      <c r="WO93" s="59" t="str">
        <f t="shared" ca="1" si="174"/>
        <v/>
      </c>
      <c r="WP93" s="18" t="str">
        <f ca="1">IF(AND(SUM($UB93:$VY93)&gt;0,$TM93=WQ$1),MAX(WP$2:WP92)+1,"")</f>
        <v/>
      </c>
      <c r="WQ93" s="59" t="str">
        <f t="shared" ca="1" si="175"/>
        <v/>
      </c>
      <c r="WR93" s="18" t="str">
        <f ca="1">IF(AND(SUM($UB93:$VY93)&gt;0,$TM93=WS$1),MAX(WR$2:WR92)+1,"")</f>
        <v/>
      </c>
      <c r="WS93" s="59" t="str">
        <f t="shared" ca="1" si="176"/>
        <v/>
      </c>
      <c r="WT93" s="18" t="str">
        <f ca="1">IF(AND(SUM($UB93:$VY93)&gt;0,$TM93=WU$1),MAX(WT$2:WT92)+1,"")</f>
        <v/>
      </c>
      <c r="WU93" s="59" t="str">
        <f t="shared" ca="1" si="177"/>
        <v/>
      </c>
      <c r="WV93" s="18" t="str">
        <f ca="1">IF(AND(SUM($UB93:$VY93)&gt;0,$TM93=WW$1),MAX(WV$2:WV92)+1,"")</f>
        <v/>
      </c>
      <c r="WW93" s="59" t="str">
        <f t="shared" ca="1" si="178"/>
        <v/>
      </c>
      <c r="WX93" s="18" t="str">
        <f ca="1">IF(AND(SUM($UB93:$VY93)&gt;0,$TM93=WY$1),MAX(WX$2:WX92)+1,"")</f>
        <v/>
      </c>
      <c r="WY93" s="59" t="str">
        <f t="shared" ca="1" si="179"/>
        <v/>
      </c>
      <c r="WZ93" s="59"/>
      <c r="XC93" s="59" t="str">
        <f t="shared" ca="1" si="197"/>
        <v/>
      </c>
    </row>
    <row r="94" spans="219:637" ht="9.9499999999999993" customHeight="1" x14ac:dyDescent="0.2">
      <c r="HK94" s="59"/>
      <c r="HL94" s="59"/>
      <c r="IX94" s="209" t="s">
        <v>3574</v>
      </c>
      <c r="JM94" s="296">
        <v>16</v>
      </c>
      <c r="JN94" s="18">
        <v>4</v>
      </c>
      <c r="JO94" s="18">
        <v>3</v>
      </c>
      <c r="JP94" s="18">
        <v>3</v>
      </c>
      <c r="JQ94" s="18">
        <v>2</v>
      </c>
      <c r="JR94" s="98" t="s">
        <v>140</v>
      </c>
      <c r="JS94" s="98" t="s">
        <v>140</v>
      </c>
      <c r="JT94" s="98" t="s">
        <v>140</v>
      </c>
      <c r="JU94" s="98" t="s">
        <v>140</v>
      </c>
      <c r="JV94" s="98" t="s">
        <v>140</v>
      </c>
      <c r="JW94" s="98">
        <v>4</v>
      </c>
      <c r="JX94" s="18"/>
      <c r="KT94" s="88" t="s">
        <v>161</v>
      </c>
      <c r="KU94" s="80" t="str">
        <f t="shared" ca="1" si="186"/>
        <v>No</v>
      </c>
      <c r="KV94" s="89" t="s">
        <v>167</v>
      </c>
      <c r="KW94" s="92"/>
      <c r="KX94" s="92"/>
      <c r="KY94" s="92"/>
      <c r="KZ94" s="92"/>
      <c r="LA94" s="92"/>
      <c r="LB94" s="92"/>
      <c r="LC94" s="92"/>
      <c r="LD94" s="92"/>
      <c r="LE94" s="92"/>
      <c r="LF94" s="92"/>
      <c r="LG94" s="92"/>
      <c r="LH94" s="92"/>
      <c r="LI94" s="92"/>
      <c r="LJ94" s="92"/>
      <c r="LK94" s="92"/>
      <c r="LL94" s="92"/>
      <c r="LM94" s="92"/>
      <c r="LN94" s="92"/>
      <c r="LO94" s="92"/>
      <c r="LP94" s="92"/>
      <c r="LQ94" s="92"/>
      <c r="LR94" s="92"/>
      <c r="LS94" s="92"/>
      <c r="LT94" s="92"/>
      <c r="LU94" s="92"/>
      <c r="LV94" s="92"/>
      <c r="LW94" s="92"/>
      <c r="LX94" s="92"/>
      <c r="LY94" s="92"/>
      <c r="LZ94" s="92" t="str">
        <f t="shared" si="191"/>
        <v/>
      </c>
      <c r="MA94" s="92" t="str">
        <f t="shared" ca="1" si="187"/>
        <v/>
      </c>
      <c r="MB94" s="92" t="str">
        <f t="shared" si="192"/>
        <v/>
      </c>
      <c r="MC94" s="92"/>
      <c r="MD94" s="92" t="str">
        <f t="shared" ca="1" si="195"/>
        <v/>
      </c>
      <c r="ME94" s="92" t="str">
        <f t="shared" si="196"/>
        <v/>
      </c>
      <c r="MF94" s="92" t="str">
        <f>IF(Class1=MF$5,IF(MF$1&gt;0,$KT94,""),"")</f>
        <v/>
      </c>
      <c r="MG94" s="92" t="str">
        <f t="shared" si="196"/>
        <v/>
      </c>
      <c r="MH94" s="92" t="str">
        <f t="shared" ca="1" si="189"/>
        <v/>
      </c>
      <c r="MI94" s="92" t="str">
        <f t="shared" ca="1" si="190"/>
        <v/>
      </c>
      <c r="MJ94" s="92"/>
      <c r="MK94" s="92" t="str">
        <f t="shared" ca="1" si="190"/>
        <v/>
      </c>
      <c r="ML94" s="92"/>
      <c r="MM94" s="92"/>
      <c r="MN94" s="92"/>
      <c r="MO94" s="92"/>
      <c r="MP94" s="92"/>
      <c r="MQ94" s="92"/>
      <c r="MR94" s="92"/>
      <c r="MS94" s="92"/>
      <c r="MT94" s="92"/>
      <c r="MU94" s="92"/>
      <c r="MV94" s="92"/>
      <c r="MW94" s="92"/>
      <c r="MX94" s="92"/>
      <c r="MY94" s="92"/>
      <c r="MZ94" s="92"/>
      <c r="NA94" s="92"/>
      <c r="NB94" s="92"/>
      <c r="NC94" s="92"/>
      <c r="ND94" s="92"/>
      <c r="NE94" s="92"/>
      <c r="NF94" s="92"/>
      <c r="NG94" s="92"/>
      <c r="NH94" s="92"/>
      <c r="NI94" s="92"/>
      <c r="NJ94" s="92"/>
      <c r="NK94" s="92"/>
      <c r="NL94" s="92"/>
      <c r="NM94" s="92"/>
      <c r="NN94" s="92"/>
      <c r="NO94" s="92"/>
      <c r="NP94" s="92"/>
      <c r="NQ94" s="92"/>
      <c r="NR94" s="92"/>
      <c r="NS94" s="92"/>
      <c r="NT94" s="92"/>
      <c r="NU94" s="92"/>
      <c r="NV94" s="92"/>
      <c r="NW94" s="92"/>
      <c r="NX94" s="92"/>
      <c r="NY94" s="92"/>
      <c r="NZ94" s="92"/>
      <c r="OA94" s="92"/>
      <c r="OB94" s="92"/>
      <c r="OC94" s="92"/>
      <c r="OD94" s="92"/>
      <c r="OE94" s="92"/>
      <c r="OF94" s="92"/>
      <c r="OG94" s="92"/>
      <c r="OH94" s="92"/>
      <c r="OI94" s="92"/>
      <c r="OJ94" s="92"/>
      <c r="OK94" s="92"/>
      <c r="OL94" s="92"/>
      <c r="OM94" s="92"/>
      <c r="ON94" s="92"/>
      <c r="OO94" s="92"/>
      <c r="OP94" s="92"/>
      <c r="OQ94" s="92"/>
      <c r="OR94" s="92"/>
      <c r="OS94" s="92"/>
      <c r="OT94" s="92"/>
      <c r="OU94" s="92"/>
      <c r="OV94" s="92"/>
      <c r="OW94" s="92"/>
      <c r="OX94" s="92"/>
      <c r="OY94" s="92"/>
      <c r="OZ94" s="92"/>
      <c r="PA94" s="92"/>
      <c r="PB94" s="92"/>
      <c r="PC94" s="92"/>
      <c r="PD94" s="92"/>
      <c r="PE94" s="92"/>
      <c r="PF94" s="92"/>
      <c r="PG94" s="92"/>
      <c r="PH94" s="92"/>
      <c r="PI94" s="92"/>
      <c r="PJ94" s="92"/>
      <c r="PK94" s="92"/>
      <c r="PL94" s="92"/>
      <c r="PM94" s="92"/>
      <c r="PN94" s="92"/>
      <c r="PO94" s="92"/>
      <c r="PP94" s="92"/>
      <c r="PQ94" s="92"/>
      <c r="PR94" s="92"/>
      <c r="PS94" s="92"/>
      <c r="PT94" s="92"/>
      <c r="PU94" s="59" t="str">
        <f t="shared" ca="1" si="194"/>
        <v/>
      </c>
      <c r="PV94" s="59" t="str">
        <f ca="1">IF(PU94="","",IF(COUNTIF(PU94:$PU$125,"&gt;&lt;")&gt;1,PU94&amp;", ", PU94))</f>
        <v/>
      </c>
      <c r="PW94" s="59"/>
      <c r="PX94" s="59"/>
      <c r="TJ94" s="18">
        <f t="shared" si="181"/>
        <v>92</v>
      </c>
      <c r="TK94" s="58" t="s">
        <v>1960</v>
      </c>
      <c r="TL94" s="58" t="s">
        <v>465</v>
      </c>
      <c r="TM94" s="18">
        <v>8</v>
      </c>
      <c r="TN94" s="59" t="str">
        <f t="shared" si="167"/>
        <v xml:space="preserve">Demiplane </v>
      </c>
      <c r="TO94" s="18" t="str">
        <f>""</f>
        <v/>
      </c>
      <c r="TP94" s="18" t="str">
        <f t="shared" si="168"/>
        <v/>
      </c>
      <c r="TQ94" s="18" t="str">
        <f>IF(OR(TK94=Spellcasting!$AC$18,TK94=Spellcasting!$AC$19),"ᵐ","")</f>
        <v/>
      </c>
      <c r="TR94" s="18" t="str">
        <f>IF(OR(TK94=Spellcasting!$AC$20,TK94=Spellcasting!$AC$21),"ˢ","")</f>
        <v/>
      </c>
      <c r="TS94" s="18" t="str">
        <f>""</f>
        <v/>
      </c>
      <c r="TT94" s="18" t="s">
        <v>484</v>
      </c>
      <c r="TU94" s="18" t="s">
        <v>850</v>
      </c>
      <c r="TV94" s="18" t="s">
        <v>521</v>
      </c>
      <c r="TW94" s="18" t="s">
        <v>875</v>
      </c>
      <c r="TX94" s="59" t="str">
        <f>""</f>
        <v/>
      </c>
      <c r="TY94" s="18" t="s">
        <v>516</v>
      </c>
      <c r="TZ94" s="18" t="s">
        <v>517</v>
      </c>
      <c r="UA94" s="142" t="s">
        <v>2251</v>
      </c>
      <c r="UB94" s="319" t="s">
        <v>2120</v>
      </c>
      <c r="UG94" s="18" t="str">
        <f ca="1">IF(UG$1&gt;=$TM94,1,"0")</f>
        <v>0</v>
      </c>
      <c r="UL94" s="18" t="str">
        <f ca="1">IF(UL$1&gt;=$TM94,1,"0")</f>
        <v>0</v>
      </c>
      <c r="WD94" s="18" t="str">
        <f ca="1">IF(SUM($VZ$1:$WC$1)&gt;0,IF(AND(SUM($VZ94:$WC94)&gt;0,$TM94=WE$1),MAX(WD$2:WD93)+1,""),IF(AND(SUM($UC94:$VY94)&gt;0,$TM94=WE$1),MAX(WD$2:WD93)+1,""))</f>
        <v/>
      </c>
      <c r="WE94" s="59" t="str">
        <f t="shared" ca="1" si="169"/>
        <v/>
      </c>
      <c r="WF94" s="18" t="str">
        <f ca="1">IF(AND(SUM($UB94:$VY94)&gt;0,$TM94=WG$1),MAX(WF$2:WF93)+1,"")</f>
        <v/>
      </c>
      <c r="WG94" s="59" t="str">
        <f t="shared" ca="1" si="170"/>
        <v/>
      </c>
      <c r="WH94" s="18" t="str">
        <f ca="1">IF(AND(SUM($UB94:$VY94)&gt;0,$TM94=WI$1),MAX(WH$2:WH93)+1,"")</f>
        <v/>
      </c>
      <c r="WI94" s="59" t="str">
        <f t="shared" ca="1" si="171"/>
        <v/>
      </c>
      <c r="WJ94" s="18" t="str">
        <f ca="1">IF(AND(SUM($UB94:$VY94)&gt;0,$TM94=WK$1),MAX(WJ$2:WJ93)+1,"")</f>
        <v/>
      </c>
      <c r="WK94" s="59" t="str">
        <f t="shared" ca="1" si="172"/>
        <v/>
      </c>
      <c r="WL94" s="18" t="str">
        <f ca="1">IF(AND(SUM($UB94:$VY94)&gt;0,$TM94=WM$1),MAX(WL$2:WL93)+1,"")</f>
        <v/>
      </c>
      <c r="WM94" s="59" t="str">
        <f t="shared" ca="1" si="173"/>
        <v/>
      </c>
      <c r="WN94" s="18" t="str">
        <f ca="1">IF(AND(SUM($UB94:$VY94)&gt;0,$TM94=WO$1),MAX(WN$2:WN93)+1,"")</f>
        <v/>
      </c>
      <c r="WO94" s="59" t="str">
        <f t="shared" ca="1" si="174"/>
        <v/>
      </c>
      <c r="WP94" s="18" t="str">
        <f ca="1">IF(AND(SUM($UB94:$VY94)&gt;0,$TM94=WQ$1),MAX(WP$2:WP93)+1,"")</f>
        <v/>
      </c>
      <c r="WQ94" s="59" t="str">
        <f t="shared" ca="1" si="175"/>
        <v/>
      </c>
      <c r="WR94" s="18" t="str">
        <f ca="1">IF(AND(SUM($UB94:$VY94)&gt;0,$TM94=WS$1),MAX(WR$2:WR93)+1,"")</f>
        <v/>
      </c>
      <c r="WS94" s="59" t="str">
        <f t="shared" ca="1" si="176"/>
        <v/>
      </c>
      <c r="WT94" s="18" t="str">
        <f ca="1">IF(AND(SUM($UB94:$VY94)&gt;0,$TM94=WU$1),MAX(WT$2:WT93)+1,"")</f>
        <v/>
      </c>
      <c r="WU94" s="59" t="str">
        <f t="shared" ca="1" si="177"/>
        <v/>
      </c>
      <c r="WV94" s="18" t="str">
        <f ca="1">IF(AND(SUM($UB94:$VY94)&gt;0,$TM94=WW$1),MAX(WV$2:WV93)+1,"")</f>
        <v/>
      </c>
      <c r="WW94" s="59" t="str">
        <f t="shared" ca="1" si="178"/>
        <v/>
      </c>
      <c r="WX94" s="18" t="str">
        <f ca="1">IF(AND(SUM($UB94:$VY94)&gt;0,$TM94=WY$1),MAX(WX$2:WX93)+1,"")</f>
        <v/>
      </c>
      <c r="WY94" s="59" t="str">
        <f t="shared" ca="1" si="179"/>
        <v/>
      </c>
      <c r="WZ94" s="59"/>
      <c r="XC94" s="59" t="str">
        <f t="shared" ca="1" si="197"/>
        <v/>
      </c>
    </row>
    <row r="95" spans="219:637" ht="9.9499999999999993" customHeight="1" x14ac:dyDescent="0.2">
      <c r="HK95" s="59"/>
      <c r="HL95" s="59"/>
      <c r="IX95" s="58" t="s">
        <v>3523</v>
      </c>
      <c r="IY95" s="58" t="s">
        <v>3524</v>
      </c>
      <c r="IZ95" s="58" t="s">
        <v>879</v>
      </c>
      <c r="JA95" s="58" t="s">
        <v>880</v>
      </c>
      <c r="JB95" s="58" t="s">
        <v>882</v>
      </c>
      <c r="JM95" s="296">
        <v>17</v>
      </c>
      <c r="JN95" s="18">
        <v>4</v>
      </c>
      <c r="JO95" s="18">
        <v>3</v>
      </c>
      <c r="JP95" s="18">
        <v>3</v>
      </c>
      <c r="JQ95" s="18">
        <v>3</v>
      </c>
      <c r="JR95" s="18">
        <v>1</v>
      </c>
      <c r="JS95" s="98" t="s">
        <v>140</v>
      </c>
      <c r="JT95" s="98" t="s">
        <v>140</v>
      </c>
      <c r="JU95" s="98" t="s">
        <v>140</v>
      </c>
      <c r="JV95" s="98" t="s">
        <v>140</v>
      </c>
      <c r="JW95" s="18">
        <v>5</v>
      </c>
      <c r="JX95" s="302"/>
      <c r="KT95" s="88" t="s">
        <v>162</v>
      </c>
      <c r="KU95" s="80" t="str">
        <f t="shared" ca="1" si="186"/>
        <v>No</v>
      </c>
      <c r="KV95" s="89" t="s">
        <v>167</v>
      </c>
      <c r="KW95" s="92"/>
      <c r="KX95" s="92"/>
      <c r="KY95" s="92"/>
      <c r="KZ95" s="92"/>
      <c r="LA95" s="92"/>
      <c r="LB95" s="92"/>
      <c r="LC95" s="92"/>
      <c r="LD95" s="92"/>
      <c r="LE95" s="92"/>
      <c r="LF95" s="92"/>
      <c r="LG95" s="92"/>
      <c r="LH95" s="92"/>
      <c r="LI95" s="92"/>
      <c r="LJ95" s="92"/>
      <c r="LK95" s="92"/>
      <c r="LL95" s="92"/>
      <c r="LM95" s="92"/>
      <c r="LN95" s="92"/>
      <c r="LO95" s="92"/>
      <c r="LP95" s="92"/>
      <c r="LQ95" s="92"/>
      <c r="LR95" s="92"/>
      <c r="LS95" s="92"/>
      <c r="LT95" s="92"/>
      <c r="LU95" s="92"/>
      <c r="LV95" s="92"/>
      <c r="LW95" s="92"/>
      <c r="LX95" s="92"/>
      <c r="LY95" s="92"/>
      <c r="LZ95" s="92" t="str">
        <f t="shared" si="191"/>
        <v/>
      </c>
      <c r="MA95" s="92" t="str">
        <f t="shared" ca="1" si="187"/>
        <v/>
      </c>
      <c r="MB95" s="92" t="str">
        <f t="shared" si="192"/>
        <v/>
      </c>
      <c r="MC95" s="92"/>
      <c r="MD95" s="92" t="str">
        <f t="shared" ca="1" si="195"/>
        <v/>
      </c>
      <c r="ME95" s="92" t="str">
        <f t="shared" si="196"/>
        <v/>
      </c>
      <c r="MF95" s="92"/>
      <c r="MG95" s="92" t="str">
        <f t="shared" si="196"/>
        <v/>
      </c>
      <c r="MH95" s="92" t="str">
        <f t="shared" ca="1" si="189"/>
        <v/>
      </c>
      <c r="MI95" s="92" t="str">
        <f t="shared" ca="1" si="190"/>
        <v/>
      </c>
      <c r="MJ95" s="92"/>
      <c r="MK95" s="92" t="str">
        <f t="shared" ca="1" si="190"/>
        <v/>
      </c>
      <c r="ML95" s="92"/>
      <c r="MM95" s="92"/>
      <c r="MN95" s="92"/>
      <c r="MO95" s="92"/>
      <c r="MP95" s="92"/>
      <c r="MQ95" s="92"/>
      <c r="MR95" s="92"/>
      <c r="MS95" s="92"/>
      <c r="MT95" s="92"/>
      <c r="MU95" s="92"/>
      <c r="MV95" s="92"/>
      <c r="MW95" s="92"/>
      <c r="MX95" s="92"/>
      <c r="MY95" s="92"/>
      <c r="MZ95" s="92"/>
      <c r="NA95" s="92"/>
      <c r="NB95" s="92"/>
      <c r="NC95" s="92"/>
      <c r="ND95" s="92"/>
      <c r="NE95" s="92"/>
      <c r="NF95" s="92"/>
      <c r="NG95" s="92"/>
      <c r="NH95" s="92"/>
      <c r="NI95" s="92"/>
      <c r="NJ95" s="92"/>
      <c r="NK95" s="92"/>
      <c r="NL95" s="92"/>
      <c r="NM95" s="92"/>
      <c r="NN95" s="92"/>
      <c r="NO95" s="92"/>
      <c r="NP95" s="92"/>
      <c r="NQ95" s="92"/>
      <c r="NR95" s="92"/>
      <c r="NS95" s="92"/>
      <c r="NT95" s="92"/>
      <c r="NU95" s="92"/>
      <c r="NV95" s="92"/>
      <c r="NW95" s="92"/>
      <c r="NX95" s="92"/>
      <c r="NY95" s="92"/>
      <c r="NZ95" s="92"/>
      <c r="OA95" s="92"/>
      <c r="OB95" s="92"/>
      <c r="OC95" s="92"/>
      <c r="OD95" s="92"/>
      <c r="OE95" s="92"/>
      <c r="OF95" s="92"/>
      <c r="OG95" s="92"/>
      <c r="OH95" s="92"/>
      <c r="OI95" s="92"/>
      <c r="OJ95" s="92"/>
      <c r="OK95" s="92"/>
      <c r="OL95" s="92"/>
      <c r="OM95" s="92"/>
      <c r="ON95" s="92"/>
      <c r="OO95" s="92"/>
      <c r="OP95" s="92"/>
      <c r="OQ95" s="92"/>
      <c r="OR95" s="92"/>
      <c r="OS95" s="92"/>
      <c r="OT95" s="92"/>
      <c r="OU95" s="92"/>
      <c r="OV95" s="92"/>
      <c r="OW95" s="92"/>
      <c r="OX95" s="92"/>
      <c r="OY95" s="92"/>
      <c r="OZ95" s="92"/>
      <c r="PA95" s="92"/>
      <c r="PB95" s="92"/>
      <c r="PC95" s="92"/>
      <c r="PD95" s="92"/>
      <c r="PE95" s="92"/>
      <c r="PF95" s="92"/>
      <c r="PG95" s="92"/>
      <c r="PH95" s="92"/>
      <c r="PI95" s="92"/>
      <c r="PJ95" s="92"/>
      <c r="PK95" s="92"/>
      <c r="PL95" s="92"/>
      <c r="PM95" s="92"/>
      <c r="PN95" s="92"/>
      <c r="PO95" s="92"/>
      <c r="PP95" s="92"/>
      <c r="PQ95" s="92"/>
      <c r="PR95" s="92"/>
      <c r="PS95" s="92"/>
      <c r="PT95" s="92"/>
      <c r="PU95" s="59" t="str">
        <f t="shared" ca="1" si="194"/>
        <v/>
      </c>
      <c r="PV95" s="59" t="str">
        <f ca="1">IF(PU95="","",IF(COUNTIF(PU95:$PU$125,"&gt;&lt;")&gt;1,PU95&amp;", ", PU95))</f>
        <v/>
      </c>
      <c r="PW95" s="59"/>
      <c r="PX95" s="59"/>
      <c r="TJ95" s="18">
        <f t="shared" si="181"/>
        <v>93</v>
      </c>
      <c r="TK95" s="58" t="s">
        <v>2078</v>
      </c>
      <c r="TL95" s="58" t="s">
        <v>462</v>
      </c>
      <c r="TM95" s="18">
        <v>5</v>
      </c>
      <c r="TN95" s="59" t="str">
        <f t="shared" si="167"/>
        <v xml:space="preserve">Destructive Wave </v>
      </c>
      <c r="TO95" s="18" t="str">
        <f>""</f>
        <v/>
      </c>
      <c r="TP95" s="18" t="str">
        <f t="shared" si="168"/>
        <v/>
      </c>
      <c r="TQ95" s="18" t="str">
        <f>IF(OR(TK95=Spellcasting!$AC$18,TK95=Spellcasting!$AC$19),"ᵐ","")</f>
        <v/>
      </c>
      <c r="TR95" s="18" t="str">
        <f>IF(OR(TK95=Spellcasting!$AC$20,TK95=Spellcasting!$AC$21),"ˢ","")</f>
        <v/>
      </c>
      <c r="TS95" s="18" t="str">
        <f>""</f>
        <v/>
      </c>
      <c r="TT95" s="18" t="s">
        <v>484</v>
      </c>
      <c r="TU95" s="18" t="s">
        <v>509</v>
      </c>
      <c r="TV95" s="18" t="s">
        <v>505</v>
      </c>
      <c r="TW95" s="18" t="s">
        <v>541</v>
      </c>
      <c r="TX95" s="59" t="str">
        <f>""</f>
        <v/>
      </c>
      <c r="TY95" s="18" t="s">
        <v>534</v>
      </c>
      <c r="TZ95" s="18" t="s">
        <v>535</v>
      </c>
      <c r="UA95" s="59" t="s">
        <v>2121</v>
      </c>
      <c r="UB95" s="319" t="s">
        <v>2998</v>
      </c>
      <c r="UD95" s="18" t="str">
        <f ca="1">IF(UD$1&gt;=$TM95,1,"0")</f>
        <v>0</v>
      </c>
      <c r="VC95" s="18" t="str">
        <f>IF(VC$1&gt;=$TM95,1,"0")</f>
        <v>0</v>
      </c>
      <c r="WD95" s="18" t="str">
        <f ca="1">IF(SUM($VZ$1:$WC$1)&gt;0,IF(AND(SUM($VZ95:$WC95)&gt;0,$TM95=WE$1),MAX(WD$2:WD94)+1,""),IF(AND(SUM($UC95:$VY95)&gt;0,$TM95=WE$1),MAX(WD$2:WD94)+1,""))</f>
        <v/>
      </c>
      <c r="WE95" s="59" t="str">
        <f t="shared" ca="1" si="169"/>
        <v/>
      </c>
      <c r="WF95" s="18" t="str">
        <f ca="1">IF(AND(SUM($UB95:$VY95)&gt;0,$TM95=WG$1),MAX(WF$2:WF94)+1,"")</f>
        <v/>
      </c>
      <c r="WG95" s="59" t="str">
        <f t="shared" ca="1" si="170"/>
        <v/>
      </c>
      <c r="WH95" s="18" t="str">
        <f ca="1">IF(AND(SUM($UB95:$VY95)&gt;0,$TM95=WI$1),MAX(WH$2:WH94)+1,"")</f>
        <v/>
      </c>
      <c r="WI95" s="59" t="str">
        <f t="shared" ca="1" si="171"/>
        <v/>
      </c>
      <c r="WJ95" s="18" t="str">
        <f ca="1">IF(AND(SUM($UB95:$VY95)&gt;0,$TM95=WK$1),MAX(WJ$2:WJ94)+1,"")</f>
        <v/>
      </c>
      <c r="WK95" s="59" t="str">
        <f t="shared" ca="1" si="172"/>
        <v/>
      </c>
      <c r="WL95" s="18" t="str">
        <f ca="1">IF(AND(SUM($UB95:$VY95)&gt;0,$TM95=WM$1),MAX(WL$2:WL94)+1,"")</f>
        <v/>
      </c>
      <c r="WM95" s="59" t="str">
        <f t="shared" ca="1" si="173"/>
        <v/>
      </c>
      <c r="WN95" s="18" t="str">
        <f ca="1">IF(AND(SUM($UB95:$VY95)&gt;0,$TM95=WO$1),MAX(WN$2:WN94)+1,"")</f>
        <v/>
      </c>
      <c r="WO95" s="59" t="str">
        <f t="shared" ca="1" si="174"/>
        <v/>
      </c>
      <c r="WP95" s="18" t="str">
        <f ca="1">IF(AND(SUM($UB95:$VY95)&gt;0,$TM95=WQ$1),MAX(WP$2:WP94)+1,"")</f>
        <v/>
      </c>
      <c r="WQ95" s="59" t="str">
        <f t="shared" ca="1" si="175"/>
        <v/>
      </c>
      <c r="WR95" s="18" t="str">
        <f ca="1">IF(AND(SUM($UB95:$VY95)&gt;0,$TM95=WS$1),MAX(WR$2:WR94)+1,"")</f>
        <v/>
      </c>
      <c r="WS95" s="59" t="str">
        <f t="shared" ca="1" si="176"/>
        <v/>
      </c>
      <c r="WT95" s="18" t="str">
        <f ca="1">IF(AND(SUM($UB95:$VY95)&gt;0,$TM95=WU$1),MAX(WT$2:WT94)+1,"")</f>
        <v/>
      </c>
      <c r="WU95" s="59" t="str">
        <f t="shared" ca="1" si="177"/>
        <v/>
      </c>
      <c r="WV95" s="18" t="str">
        <f ca="1">IF(AND(SUM($UB95:$VY95)&gt;0,$TM95=WW$1),MAX(WV$2:WV94)+1,"")</f>
        <v/>
      </c>
      <c r="WW95" s="59" t="str">
        <f t="shared" ca="1" si="178"/>
        <v/>
      </c>
      <c r="WX95" s="18" t="str">
        <f ca="1">IF(AND(SUM($UB95:$VY95)&gt;0,$TM95=WY$1),MAX(WX$2:WX94)+1,"")</f>
        <v/>
      </c>
      <c r="WY95" s="59" t="str">
        <f t="shared" ca="1" si="179"/>
        <v/>
      </c>
      <c r="WZ95" s="59"/>
      <c r="XC95" s="59" t="str">
        <f t="shared" ca="1" si="197"/>
        <v/>
      </c>
    </row>
    <row r="96" spans="219:637" ht="9.9499999999999993" customHeight="1" x14ac:dyDescent="0.2">
      <c r="HK96" s="59"/>
      <c r="HL96" s="59"/>
      <c r="IX96" s="58" t="s">
        <v>3577</v>
      </c>
      <c r="IY96" s="58" t="s">
        <v>3525</v>
      </c>
      <c r="IZ96" s="58" t="s">
        <v>194</v>
      </c>
      <c r="JA96" s="58" t="s">
        <v>895</v>
      </c>
      <c r="JB96" s="58" t="s">
        <v>3527</v>
      </c>
      <c r="JM96" s="296">
        <v>18</v>
      </c>
      <c r="JN96" s="18">
        <v>4</v>
      </c>
      <c r="JO96" s="18">
        <v>3</v>
      </c>
      <c r="JP96" s="18">
        <v>3</v>
      </c>
      <c r="JQ96" s="18">
        <v>3</v>
      </c>
      <c r="JR96" s="18">
        <v>1</v>
      </c>
      <c r="JS96" s="98" t="s">
        <v>140</v>
      </c>
      <c r="JT96" s="98" t="s">
        <v>140</v>
      </c>
      <c r="JU96" s="98" t="s">
        <v>140</v>
      </c>
      <c r="JV96" s="98" t="s">
        <v>140</v>
      </c>
      <c r="JW96" s="18">
        <v>5</v>
      </c>
      <c r="JX96" s="302"/>
      <c r="KT96" s="88" t="s">
        <v>350</v>
      </c>
      <c r="KU96" s="80" t="str">
        <f t="shared" ca="1" si="186"/>
        <v>No</v>
      </c>
      <c r="KV96" s="89" t="s">
        <v>168</v>
      </c>
      <c r="KW96" s="92"/>
      <c r="KX96" s="92"/>
      <c r="KY96" s="92"/>
      <c r="KZ96" s="92"/>
      <c r="LA96" s="92"/>
      <c r="LB96" s="92"/>
      <c r="LC96" s="92"/>
      <c r="LD96" s="92"/>
      <c r="LE96" s="92"/>
      <c r="LF96" s="92"/>
      <c r="LG96" s="92"/>
      <c r="LH96" s="92"/>
      <c r="LI96" s="92"/>
      <c r="LJ96" s="92"/>
      <c r="LK96" s="92"/>
      <c r="LL96" s="92"/>
      <c r="LM96" s="92"/>
      <c r="LN96" s="92"/>
      <c r="LO96" s="92"/>
      <c r="LP96" s="92"/>
      <c r="LQ96" s="92"/>
      <c r="LR96" s="92"/>
      <c r="LS96" s="92"/>
      <c r="LT96" s="92"/>
      <c r="LU96" s="92"/>
      <c r="LV96" s="92"/>
      <c r="LW96" s="92"/>
      <c r="LX96" s="92"/>
      <c r="LY96" s="92"/>
      <c r="LZ96" s="92" t="str">
        <f t="shared" si="191"/>
        <v/>
      </c>
      <c r="MA96" s="92" t="str">
        <f t="shared" ca="1" si="187"/>
        <v/>
      </c>
      <c r="MB96" s="92" t="str">
        <f t="shared" si="192"/>
        <v/>
      </c>
      <c r="MC96" s="92" t="str">
        <f>IF(Class1=MC$5,IF(MC$1&gt;0,$KT96,""),"")</f>
        <v/>
      </c>
      <c r="MD96" s="92" t="str">
        <f t="shared" ca="1" si="195"/>
        <v/>
      </c>
      <c r="ME96" s="92" t="str">
        <f t="shared" si="196"/>
        <v/>
      </c>
      <c r="MF96" s="92"/>
      <c r="MG96" s="92" t="str">
        <f t="shared" si="196"/>
        <v/>
      </c>
      <c r="MH96" s="92" t="str">
        <f t="shared" ca="1" si="189"/>
        <v/>
      </c>
      <c r="MI96" s="92" t="str">
        <f t="shared" ref="MI96:MI114" ca="1" si="198">IF(MI$1&gt;0,$KT96,"")</f>
        <v/>
      </c>
      <c r="MJ96" s="92" t="str">
        <f>IF(Class1=MJ$5,IF(MJ$1&gt;0,$KT96,""),"")</f>
        <v/>
      </c>
      <c r="MK96" s="92" t="str">
        <f t="shared" ref="MK96:MK100" ca="1" si="199">IF(MK$1&gt;0,$KT96,"")</f>
        <v/>
      </c>
      <c r="ML96" s="92"/>
      <c r="MM96" s="92"/>
      <c r="MN96" s="92"/>
      <c r="MO96" s="92"/>
      <c r="MP96" s="92"/>
      <c r="MQ96" s="92"/>
      <c r="MR96" s="92"/>
      <c r="MS96" s="92"/>
      <c r="MT96" s="92"/>
      <c r="MU96" s="92"/>
      <c r="MV96" s="92"/>
      <c r="MW96" s="92"/>
      <c r="MX96" s="92"/>
      <c r="MY96" s="92"/>
      <c r="MZ96" s="92"/>
      <c r="NA96" s="92"/>
      <c r="NB96" s="92"/>
      <c r="NC96" s="92"/>
      <c r="ND96" s="92"/>
      <c r="NE96" s="92"/>
      <c r="NF96" s="92"/>
      <c r="NG96" s="92"/>
      <c r="NH96" s="92"/>
      <c r="NI96" s="92"/>
      <c r="NJ96" s="92"/>
      <c r="NK96" s="92"/>
      <c r="NL96" s="92"/>
      <c r="NM96" s="92"/>
      <c r="NN96" s="92"/>
      <c r="NO96" s="92"/>
      <c r="NP96" s="92"/>
      <c r="NQ96" s="92"/>
      <c r="NR96" s="92"/>
      <c r="NS96" s="92"/>
      <c r="NT96" s="92"/>
      <c r="NU96" s="92"/>
      <c r="NV96" s="92"/>
      <c r="NW96" s="92"/>
      <c r="NX96" s="92"/>
      <c r="NY96" s="92"/>
      <c r="NZ96" s="92"/>
      <c r="OA96" s="92"/>
      <c r="OB96" s="92"/>
      <c r="OC96" s="92"/>
      <c r="OD96" s="92"/>
      <c r="OE96" s="92"/>
      <c r="OF96" s="92"/>
      <c r="OG96" s="92"/>
      <c r="OH96" s="92"/>
      <c r="OI96" s="92"/>
      <c r="OJ96" s="92"/>
      <c r="OK96" s="92"/>
      <c r="OL96" s="92"/>
      <c r="OM96" s="92"/>
      <c r="ON96" s="92"/>
      <c r="OO96" s="92"/>
      <c r="OP96" s="92"/>
      <c r="OQ96" s="92"/>
      <c r="OR96" s="92"/>
      <c r="OS96" s="92"/>
      <c r="OT96" s="92"/>
      <c r="OU96" s="92"/>
      <c r="OV96" s="92"/>
      <c r="OW96" s="92"/>
      <c r="OX96" s="92"/>
      <c r="OY96" s="92"/>
      <c r="OZ96" s="92"/>
      <c r="PA96" s="92"/>
      <c r="PB96" s="92"/>
      <c r="PC96" s="92"/>
      <c r="PD96" s="92"/>
      <c r="PE96" s="92"/>
      <c r="PF96" s="92"/>
      <c r="PG96" s="92"/>
      <c r="PH96" s="92"/>
      <c r="PI96" s="92"/>
      <c r="PJ96" s="92"/>
      <c r="PK96" s="92"/>
      <c r="PL96" s="92"/>
      <c r="PM96" s="92"/>
      <c r="PN96" s="92"/>
      <c r="PO96" s="92"/>
      <c r="PP96" s="92"/>
      <c r="PQ96" s="92"/>
      <c r="PR96" s="92"/>
      <c r="PS96" s="92"/>
      <c r="PT96" s="92"/>
      <c r="PU96" s="59" t="str">
        <f ca="1">IF(AND($PU$80="",$PU$83=""),IF(COUNTIF(KW96:PT96,"&gt;&lt;"),KT96,""),"")</f>
        <v/>
      </c>
      <c r="PV96" s="59" t="str">
        <f ca="1">IF(PU96="","",IF(COUNTIF(PU96:$PU$125,"&gt;&lt;")&gt;1,PU96&amp;", ", PU96))</f>
        <v/>
      </c>
      <c r="PW96" s="59"/>
      <c r="PX96" s="59"/>
      <c r="TJ96" s="18">
        <f t="shared" si="181"/>
        <v>94</v>
      </c>
      <c r="TK96" s="58" t="s">
        <v>1969</v>
      </c>
      <c r="TL96" s="58" t="s">
        <v>448</v>
      </c>
      <c r="TM96" s="18">
        <v>1</v>
      </c>
      <c r="TN96" s="59" t="str">
        <f t="shared" si="167"/>
        <v xml:space="preserve">Detect Evil and Good </v>
      </c>
      <c r="TO96" s="18" t="str">
        <f>""</f>
        <v/>
      </c>
      <c r="TP96" s="18" t="str">
        <f t="shared" si="168"/>
        <v/>
      </c>
      <c r="TQ96" s="18" t="str">
        <f>IF(OR(TK96=Spellcasting!$AC$18,TK96=Spellcasting!$AC$19),"ᵐ","")</f>
        <v/>
      </c>
      <c r="TR96" s="18" t="str">
        <f>IF(OR(TK96=Spellcasting!$AC$20,TK96=Spellcasting!$AC$21),"ˢ","")</f>
        <v/>
      </c>
      <c r="TS96" s="18" t="str">
        <f>""</f>
        <v/>
      </c>
      <c r="TT96" s="18" t="s">
        <v>484</v>
      </c>
      <c r="TU96" s="18" t="s">
        <v>509</v>
      </c>
      <c r="TV96" s="18" t="s">
        <v>515</v>
      </c>
      <c r="TW96" s="18" t="s">
        <v>486</v>
      </c>
      <c r="TX96" s="59" t="str">
        <f>""</f>
        <v/>
      </c>
      <c r="TY96" s="18" t="s">
        <v>511</v>
      </c>
      <c r="TZ96" s="18" t="s">
        <v>512</v>
      </c>
      <c r="UA96" s="142" t="s">
        <v>2252</v>
      </c>
      <c r="UB96" s="319" t="s">
        <v>3044</v>
      </c>
      <c r="UD96" s="18" t="str">
        <f ca="1">IF(UD$1&gt;=$TM96,1,"0")</f>
        <v>0</v>
      </c>
      <c r="UH96" s="18" t="str">
        <f ca="1">IF(UH$1&gt;=$TM96,1,"0")</f>
        <v>0</v>
      </c>
      <c r="WD96" s="18" t="str">
        <f ca="1">IF(SUM($VZ$1:$WC$1)&gt;0,IF(AND(SUM($VZ96:$WC96)&gt;0,$TM96=WE$1),MAX(WD$2:WD95)+1,""),IF(AND(SUM($UC96:$VY96)&gt;0,$TM96=WE$1),MAX(WD$2:WD95)+1,""))</f>
        <v/>
      </c>
      <c r="WE96" s="59" t="str">
        <f t="shared" ca="1" si="169"/>
        <v/>
      </c>
      <c r="WF96" s="18" t="str">
        <f ca="1">IF(AND(SUM($UB96:$VY96)&gt;0,$TM96=WG$1),MAX(WF$2:WF95)+1,"")</f>
        <v/>
      </c>
      <c r="WG96" s="59" t="str">
        <f t="shared" ca="1" si="170"/>
        <v/>
      </c>
      <c r="WH96" s="18" t="str">
        <f ca="1">IF(AND(SUM($UB96:$VY96)&gt;0,$TM96=WI$1),MAX(WH$2:WH95)+1,"")</f>
        <v/>
      </c>
      <c r="WI96" s="59" t="str">
        <f t="shared" ca="1" si="171"/>
        <v/>
      </c>
      <c r="WJ96" s="18" t="str">
        <f ca="1">IF(AND(SUM($UB96:$VY96)&gt;0,$TM96=WK$1),MAX(WJ$2:WJ95)+1,"")</f>
        <v/>
      </c>
      <c r="WK96" s="59" t="str">
        <f t="shared" ca="1" si="172"/>
        <v/>
      </c>
      <c r="WL96" s="18" t="str">
        <f ca="1">IF(AND(SUM($UB96:$VY96)&gt;0,$TM96=WM$1),MAX(WL$2:WL95)+1,"")</f>
        <v/>
      </c>
      <c r="WM96" s="59" t="str">
        <f t="shared" ca="1" si="173"/>
        <v/>
      </c>
      <c r="WN96" s="18" t="str">
        <f ca="1">IF(AND(SUM($UB96:$VY96)&gt;0,$TM96=WO$1),MAX(WN$2:WN95)+1,"")</f>
        <v/>
      </c>
      <c r="WO96" s="59" t="str">
        <f t="shared" ca="1" si="174"/>
        <v/>
      </c>
      <c r="WP96" s="18" t="str">
        <f ca="1">IF(AND(SUM($UB96:$VY96)&gt;0,$TM96=WQ$1),MAX(WP$2:WP95)+1,"")</f>
        <v/>
      </c>
      <c r="WQ96" s="59" t="str">
        <f t="shared" ca="1" si="175"/>
        <v/>
      </c>
      <c r="WR96" s="18" t="str">
        <f ca="1">IF(AND(SUM($UB96:$VY96)&gt;0,$TM96=WS$1),MAX(WR$2:WR95)+1,"")</f>
        <v/>
      </c>
      <c r="WS96" s="59" t="str">
        <f t="shared" ca="1" si="176"/>
        <v/>
      </c>
      <c r="WT96" s="18" t="str">
        <f ca="1">IF(AND(SUM($UB96:$VY96)&gt;0,$TM96=WU$1),MAX(WT$2:WT95)+1,"")</f>
        <v/>
      </c>
      <c r="WU96" s="59" t="str">
        <f t="shared" ca="1" si="177"/>
        <v/>
      </c>
      <c r="WV96" s="18" t="str">
        <f ca="1">IF(AND(SUM($UB96:$VY96)&gt;0,$TM96=WW$1),MAX(WV$2:WV95)+1,"")</f>
        <v/>
      </c>
      <c r="WW96" s="59" t="str">
        <f t="shared" ca="1" si="178"/>
        <v/>
      </c>
      <c r="WX96" s="18" t="str">
        <f ca="1">IF(AND(SUM($UB96:$VY96)&gt;0,$TM96=WY$1),MAX(WX$2:WX95)+1,"")</f>
        <v/>
      </c>
      <c r="WY96" s="59" t="str">
        <f t="shared" ca="1" si="179"/>
        <v/>
      </c>
      <c r="WZ96" s="59"/>
      <c r="XC96" s="59" t="str">
        <f t="shared" ca="1" si="197"/>
        <v/>
      </c>
    </row>
    <row r="97" spans="219:627" ht="9.9499999999999993" customHeight="1" x14ac:dyDescent="0.2">
      <c r="HK97" s="59"/>
      <c r="HL97" s="59"/>
      <c r="IX97" s="58" t="s">
        <v>3578</v>
      </c>
      <c r="IY97" s="58" t="s">
        <v>3528</v>
      </c>
      <c r="IZ97" s="58" t="s">
        <v>198</v>
      </c>
      <c r="JA97" s="58" t="s">
        <v>281</v>
      </c>
      <c r="JB97" s="58" t="s">
        <v>3529</v>
      </c>
      <c r="JM97" s="296">
        <v>19</v>
      </c>
      <c r="JN97" s="18">
        <v>4</v>
      </c>
      <c r="JO97" s="18">
        <v>3</v>
      </c>
      <c r="JP97" s="18">
        <v>3</v>
      </c>
      <c r="JQ97" s="18">
        <v>3</v>
      </c>
      <c r="JR97" s="18">
        <v>2</v>
      </c>
      <c r="JS97" s="98" t="s">
        <v>140</v>
      </c>
      <c r="JT97" s="98" t="s">
        <v>140</v>
      </c>
      <c r="JU97" s="98" t="s">
        <v>140</v>
      </c>
      <c r="JV97" s="98" t="s">
        <v>140</v>
      </c>
      <c r="JW97" s="18">
        <v>5</v>
      </c>
      <c r="JX97" s="302"/>
      <c r="KT97" s="88" t="s">
        <v>163</v>
      </c>
      <c r="KU97" s="80" t="str">
        <f t="shared" ca="1" si="186"/>
        <v>No</v>
      </c>
      <c r="KV97" s="89" t="s">
        <v>168</v>
      </c>
      <c r="KW97" s="92"/>
      <c r="KX97" s="92"/>
      <c r="KY97" s="92"/>
      <c r="KZ97" s="92"/>
      <c r="LA97" s="92"/>
      <c r="LB97" s="92"/>
      <c r="LC97" s="92"/>
      <c r="LD97" s="92"/>
      <c r="LE97" s="92"/>
      <c r="LF97" s="92"/>
      <c r="LG97" s="92"/>
      <c r="LH97" s="92"/>
      <c r="LI97" s="92"/>
      <c r="LJ97" s="92"/>
      <c r="LK97" s="92"/>
      <c r="LL97" s="92"/>
      <c r="LM97" s="92"/>
      <c r="LN97" s="92"/>
      <c r="LO97" s="92"/>
      <c r="LP97" s="92"/>
      <c r="LQ97" s="92"/>
      <c r="LR97" s="92"/>
      <c r="LS97" s="92"/>
      <c r="LT97" s="92"/>
      <c r="LU97" s="92"/>
      <c r="LV97" s="92"/>
      <c r="LW97" s="92"/>
      <c r="LX97" s="92"/>
      <c r="LY97" s="92"/>
      <c r="LZ97" s="92" t="str">
        <f t="shared" si="191"/>
        <v/>
      </c>
      <c r="MA97" s="92" t="str">
        <f t="shared" ca="1" si="187"/>
        <v/>
      </c>
      <c r="MB97" s="92" t="str">
        <f t="shared" si="192"/>
        <v/>
      </c>
      <c r="MC97" s="92" t="str">
        <f>IF(Class1=MC$5,IF(MC$1&gt;0,$KT97,""),"")</f>
        <v/>
      </c>
      <c r="MD97" s="92" t="str">
        <f t="shared" ca="1" si="195"/>
        <v/>
      </c>
      <c r="ME97" s="92" t="str">
        <f t="shared" si="196"/>
        <v/>
      </c>
      <c r="MF97" s="92" t="str">
        <f>IF(Class1=MF$5,IF(MF$1&gt;0,$KT97,""),"")</f>
        <v/>
      </c>
      <c r="MG97" s="92" t="str">
        <f t="shared" si="196"/>
        <v/>
      </c>
      <c r="MH97" s="92" t="str">
        <f t="shared" ca="1" si="189"/>
        <v/>
      </c>
      <c r="MI97" s="92" t="str">
        <f t="shared" ca="1" si="198"/>
        <v/>
      </c>
      <c r="MJ97" s="92" t="str">
        <f>IF(Class1=MJ$5,IF(MJ$1&gt;0,$KT97,""),"")</f>
        <v/>
      </c>
      <c r="MK97" s="92" t="str">
        <f t="shared" ca="1" si="199"/>
        <v/>
      </c>
      <c r="ML97" s="92"/>
      <c r="MM97" s="92"/>
      <c r="MN97" s="92"/>
      <c r="MO97" s="92"/>
      <c r="MP97" s="92"/>
      <c r="MQ97" s="92"/>
      <c r="MR97" s="92"/>
      <c r="MS97" s="92"/>
      <c r="MT97" s="92"/>
      <c r="MU97" s="92"/>
      <c r="MV97" s="92"/>
      <c r="MW97" s="92"/>
      <c r="MX97" s="92"/>
      <c r="MY97" s="92"/>
      <c r="MZ97" s="92"/>
      <c r="NA97" s="92"/>
      <c r="NB97" s="92"/>
      <c r="NC97" s="92"/>
      <c r="ND97" s="92"/>
      <c r="NE97" s="92"/>
      <c r="NF97" s="92"/>
      <c r="NG97" s="92"/>
      <c r="NH97" s="92"/>
      <c r="NI97" s="92"/>
      <c r="NJ97" s="92"/>
      <c r="NK97" s="92"/>
      <c r="NL97" s="92"/>
      <c r="NM97" s="92"/>
      <c r="NN97" s="92"/>
      <c r="NO97" s="92"/>
      <c r="NP97" s="92"/>
      <c r="NQ97" s="92"/>
      <c r="NR97" s="92"/>
      <c r="NS97" s="92"/>
      <c r="NT97" s="92"/>
      <c r="NU97" s="92"/>
      <c r="NV97" s="92"/>
      <c r="NW97" s="92"/>
      <c r="NX97" s="92"/>
      <c r="NY97" s="92"/>
      <c r="NZ97" s="92"/>
      <c r="OA97" s="92"/>
      <c r="OB97" s="92"/>
      <c r="OC97" s="92"/>
      <c r="OD97" s="92"/>
      <c r="OE97" s="92"/>
      <c r="OF97" s="92"/>
      <c r="OG97" s="92"/>
      <c r="OH97" s="92"/>
      <c r="OI97" s="92"/>
      <c r="OJ97" s="92"/>
      <c r="OK97" s="92"/>
      <c r="OL97" s="92"/>
      <c r="OM97" s="92"/>
      <c r="ON97" s="92"/>
      <c r="OO97" s="92"/>
      <c r="OP97" s="92"/>
      <c r="OQ97" s="92"/>
      <c r="OR97" s="92"/>
      <c r="OS97" s="92"/>
      <c r="OT97" s="92"/>
      <c r="OU97" s="92"/>
      <c r="OV97" s="92"/>
      <c r="OW97" s="92"/>
      <c r="OX97" s="92"/>
      <c r="OY97" s="92"/>
      <c r="OZ97" s="92"/>
      <c r="PA97" s="92"/>
      <c r="PB97" s="92"/>
      <c r="PC97" s="92"/>
      <c r="PD97" s="92"/>
      <c r="PE97" s="92"/>
      <c r="PF97" s="92"/>
      <c r="PG97" s="92"/>
      <c r="PH97" s="92"/>
      <c r="PI97" s="92"/>
      <c r="PJ97" s="92"/>
      <c r="PK97" s="92"/>
      <c r="PL97" s="92"/>
      <c r="PM97" s="92"/>
      <c r="PN97" s="92"/>
      <c r="PO97" s="92"/>
      <c r="PP97" s="92"/>
      <c r="PQ97" s="92"/>
      <c r="PR97" s="92"/>
      <c r="PS97" s="92"/>
      <c r="PT97" s="92"/>
      <c r="PU97" s="59" t="str">
        <f ca="1">IF(AND($PU$80="",$PU$83=""),IF(COUNTIF(KW97:PT97,"&gt;&lt;"),KT97,""),"")</f>
        <v/>
      </c>
      <c r="PV97" s="59" t="str">
        <f ca="1">IF(PU97="","",IF(COUNTIF(PU97:$PU$125,"&gt;&lt;")&gt;1,PU97&amp;", ", PU97))</f>
        <v/>
      </c>
      <c r="PW97" s="59"/>
      <c r="PX97" s="59"/>
      <c r="TJ97" s="18">
        <f t="shared" si="181"/>
        <v>95</v>
      </c>
      <c r="TK97" s="58" t="s">
        <v>571</v>
      </c>
      <c r="TL97" s="58" t="s">
        <v>448</v>
      </c>
      <c r="TM97" s="18">
        <v>1</v>
      </c>
      <c r="TN97" s="59" t="str">
        <f t="shared" si="167"/>
        <v xml:space="preserve">Detect Magic </v>
      </c>
      <c r="TO97" s="18" t="str">
        <f>""</f>
        <v/>
      </c>
      <c r="TP97" s="18" t="str">
        <f t="shared" si="168"/>
        <v/>
      </c>
      <c r="TQ97" s="18" t="str">
        <f>IF(OR(TK97=Spellcasting!$AC$18,TK97=Spellcasting!$AC$19),"ᵐ","")</f>
        <v/>
      </c>
      <c r="TR97" s="18" t="str">
        <f>IF(OR(TK97=Spellcasting!$AC$20,TK97=Spellcasting!$AC$21),"ˢ","")</f>
        <v/>
      </c>
      <c r="TS97" s="18" t="s">
        <v>477</v>
      </c>
      <c r="TT97" s="18" t="s">
        <v>501</v>
      </c>
      <c r="TU97" s="18" t="s">
        <v>509</v>
      </c>
      <c r="TV97" s="18" t="s">
        <v>515</v>
      </c>
      <c r="TW97" s="18" t="s">
        <v>486</v>
      </c>
      <c r="TX97" s="59" t="str">
        <f>""</f>
        <v/>
      </c>
      <c r="TY97" s="18" t="s">
        <v>511</v>
      </c>
      <c r="TZ97" s="18" t="s">
        <v>512</v>
      </c>
      <c r="UA97" s="142" t="s">
        <v>974</v>
      </c>
      <c r="UB97" s="319" t="s">
        <v>3043</v>
      </c>
      <c r="UC97" s="18" t="str">
        <f ca="1">IF(UC$1&gt;=$TM97,1,"0")</f>
        <v>0</v>
      </c>
      <c r="UD97" s="18" t="str">
        <f ca="1">IF(UD$1&gt;=$TM97,1,"0")</f>
        <v>0</v>
      </c>
      <c r="UE97" s="18" t="str">
        <f ca="1">IF(UE$1&gt;=$TM97,1,"0")</f>
        <v>0</v>
      </c>
      <c r="UF97" s="18" t="str">
        <f ca="1">IF(UF$1&gt;=$TM97,1,"0")</f>
        <v>0</v>
      </c>
      <c r="UH97" s="18" t="str">
        <f ca="1">IF(UH$1&gt;=$TM97,1,"0")</f>
        <v>0</v>
      </c>
      <c r="UI97" s="18" t="str">
        <f ca="1">IF(UI$1&gt;=$TM97,1,"0")</f>
        <v>0</v>
      </c>
      <c r="UL97" s="18" t="str">
        <f ca="1">IF(UL$1&gt;=$TM97,1,"0")</f>
        <v>0</v>
      </c>
      <c r="WD97" s="18" t="str">
        <f ca="1">IF(SUM($VZ$1:$WC$1)&gt;0,IF(AND(SUM($VZ97:$WC97)&gt;0,$TM97=WE$1),MAX(WD$2:WD96)+1,""),IF(AND(SUM($UC97:$VY97)&gt;0,$TM97=WE$1),MAX(WD$2:WD96)+1,""))</f>
        <v/>
      </c>
      <c r="WE97" s="59" t="str">
        <f t="shared" ca="1" si="169"/>
        <v/>
      </c>
      <c r="WF97" s="18" t="str">
        <f ca="1">IF(AND(SUM($UB97:$VY97)&gt;0,$TM97=WG$1),MAX(WF$2:WF96)+1,"")</f>
        <v/>
      </c>
      <c r="WG97" s="59" t="str">
        <f t="shared" ca="1" si="170"/>
        <v/>
      </c>
      <c r="WH97" s="18" t="str">
        <f ca="1">IF(AND(SUM($UB97:$VY97)&gt;0,$TM97=WI$1),MAX(WH$2:WH96)+1,"")</f>
        <v/>
      </c>
      <c r="WI97" s="59" t="str">
        <f t="shared" ca="1" si="171"/>
        <v/>
      </c>
      <c r="WJ97" s="18" t="str">
        <f ca="1">IF(AND(SUM($UB97:$VY97)&gt;0,$TM97=WK$1),MAX(WJ$2:WJ96)+1,"")</f>
        <v/>
      </c>
      <c r="WK97" s="59" t="str">
        <f t="shared" ca="1" si="172"/>
        <v/>
      </c>
      <c r="WL97" s="18" t="str">
        <f ca="1">IF(AND(SUM($UB97:$VY97)&gt;0,$TM97=WM$1),MAX(WL$2:WL96)+1,"")</f>
        <v/>
      </c>
      <c r="WM97" s="59" t="str">
        <f t="shared" ca="1" si="173"/>
        <v/>
      </c>
      <c r="WN97" s="18" t="str">
        <f ca="1">IF(AND(SUM($UB97:$VY97)&gt;0,$TM97=WO$1),MAX(WN$2:WN96)+1,"")</f>
        <v/>
      </c>
      <c r="WO97" s="59" t="str">
        <f t="shared" ca="1" si="174"/>
        <v/>
      </c>
      <c r="WP97" s="18" t="str">
        <f ca="1">IF(AND(SUM($UB97:$VY97)&gt;0,$TM97=WQ$1),MAX(WP$2:WP96)+1,"")</f>
        <v/>
      </c>
      <c r="WQ97" s="59" t="str">
        <f t="shared" ca="1" si="175"/>
        <v/>
      </c>
      <c r="WR97" s="18" t="str">
        <f ca="1">IF(AND(SUM($UB97:$VY97)&gt;0,$TM97=WS$1),MAX(WR$2:WR96)+1,"")</f>
        <v/>
      </c>
      <c r="WS97" s="59" t="str">
        <f t="shared" ca="1" si="176"/>
        <v/>
      </c>
      <c r="WT97" s="18" t="str">
        <f ca="1">IF(AND(SUM($UB97:$VY97)&gt;0,$TM97=WU$1),MAX(WT$2:WT96)+1,"")</f>
        <v/>
      </c>
      <c r="WU97" s="59" t="str">
        <f t="shared" ca="1" si="177"/>
        <v/>
      </c>
      <c r="WV97" s="18" t="str">
        <f ca="1">IF(AND(SUM($UB97:$VY97)&gt;0,$TM97=WW$1),MAX(WV$2:WV96)+1,"")</f>
        <v/>
      </c>
      <c r="WW97" s="59" t="str">
        <f t="shared" ca="1" si="178"/>
        <v/>
      </c>
      <c r="WX97" s="18" t="str">
        <f ca="1">IF(AND(SUM($UB97:$VY97)&gt;0,$TM97=WY$1),MAX(WX$2:WX96)+1,"")</f>
        <v/>
      </c>
      <c r="WY97" s="59" t="str">
        <f t="shared" ca="1" si="179"/>
        <v/>
      </c>
      <c r="WZ97" s="59"/>
      <c r="XC97" s="59" t="str">
        <f t="shared" ca="1" si="197"/>
        <v/>
      </c>
    </row>
    <row r="98" spans="219:627" ht="9.9499999999999993" customHeight="1" x14ac:dyDescent="0.2">
      <c r="HK98" s="59"/>
      <c r="HL98" s="59"/>
      <c r="IX98" s="58" t="s">
        <v>3579</v>
      </c>
      <c r="IY98" s="58" t="s">
        <v>3530</v>
      </c>
      <c r="IZ98" s="58" t="s">
        <v>203</v>
      </c>
      <c r="JA98" s="58" t="s">
        <v>895</v>
      </c>
      <c r="JB98" s="58" t="s">
        <v>3531</v>
      </c>
      <c r="JM98" s="296">
        <v>20</v>
      </c>
      <c r="JN98" s="18">
        <v>4</v>
      </c>
      <c r="JO98" s="18">
        <v>3</v>
      </c>
      <c r="JP98" s="18">
        <v>3</v>
      </c>
      <c r="JQ98" s="18">
        <v>3</v>
      </c>
      <c r="JR98" s="18">
        <v>2</v>
      </c>
      <c r="JS98" s="98" t="s">
        <v>140</v>
      </c>
      <c r="JT98" s="98" t="s">
        <v>140</v>
      </c>
      <c r="JU98" s="98" t="s">
        <v>140</v>
      </c>
      <c r="JV98" s="98" t="s">
        <v>140</v>
      </c>
      <c r="JW98" s="18">
        <v>5</v>
      </c>
      <c r="JX98" s="302"/>
      <c r="KT98" s="88" t="s">
        <v>164</v>
      </c>
      <c r="KU98" s="80" t="str">
        <f t="shared" ca="1" si="186"/>
        <v>No</v>
      </c>
      <c r="KV98" s="89" t="s">
        <v>168</v>
      </c>
      <c r="KW98" s="92"/>
      <c r="KX98" s="92"/>
      <c r="KY98" s="92"/>
      <c r="KZ98" s="92"/>
      <c r="LA98" s="92"/>
      <c r="LB98" s="92"/>
      <c r="LC98" s="92"/>
      <c r="LD98" s="92"/>
      <c r="LE98" s="92"/>
      <c r="LF98" s="92"/>
      <c r="LG98" s="92"/>
      <c r="LH98" s="92"/>
      <c r="LI98" s="92"/>
      <c r="LJ98" s="92"/>
      <c r="LK98" s="92"/>
      <c r="LL98" s="92"/>
      <c r="LM98" s="92"/>
      <c r="LN98" s="92"/>
      <c r="LO98" s="92"/>
      <c r="LP98" s="92"/>
      <c r="LQ98" s="92"/>
      <c r="LR98" s="92"/>
      <c r="LS98" s="92"/>
      <c r="LT98" s="92"/>
      <c r="LU98" s="92"/>
      <c r="LV98" s="92"/>
      <c r="LW98" s="92"/>
      <c r="LX98" s="92"/>
      <c r="LY98" s="92"/>
      <c r="LZ98" s="92" t="str">
        <f t="shared" si="191"/>
        <v/>
      </c>
      <c r="MA98" s="92" t="str">
        <f t="shared" ca="1" si="187"/>
        <v/>
      </c>
      <c r="MB98" s="92" t="str">
        <f t="shared" si="192"/>
        <v/>
      </c>
      <c r="MC98" s="92"/>
      <c r="MD98" s="92" t="str">
        <f t="shared" ca="1" si="195"/>
        <v/>
      </c>
      <c r="ME98" s="92" t="str">
        <f t="shared" si="196"/>
        <v/>
      </c>
      <c r="MF98" s="92" t="str">
        <f>IF(Class1=MF$5,IF(MF$1&gt;0,$KT98,""),"")</f>
        <v/>
      </c>
      <c r="MG98" s="92" t="str">
        <f t="shared" si="196"/>
        <v/>
      </c>
      <c r="MH98" s="92" t="str">
        <f t="shared" ca="1" si="189"/>
        <v/>
      </c>
      <c r="MI98" s="92" t="str">
        <f t="shared" ca="1" si="198"/>
        <v/>
      </c>
      <c r="MJ98" s="92"/>
      <c r="MK98" s="92" t="str">
        <f t="shared" ca="1" si="199"/>
        <v/>
      </c>
      <c r="ML98" s="92"/>
      <c r="MM98" s="92"/>
      <c r="MN98" s="92"/>
      <c r="MO98" s="92"/>
      <c r="MP98" s="92"/>
      <c r="MQ98" s="92"/>
      <c r="MR98" s="92"/>
      <c r="MS98" s="92"/>
      <c r="MT98" s="92"/>
      <c r="MU98" s="92"/>
      <c r="MV98" s="92"/>
      <c r="MW98" s="92"/>
      <c r="MX98" s="92"/>
      <c r="MY98" s="92"/>
      <c r="MZ98" s="92"/>
      <c r="NA98" s="92"/>
      <c r="NB98" s="92"/>
      <c r="NC98" s="92"/>
      <c r="ND98" s="92"/>
      <c r="NE98" s="92"/>
      <c r="NF98" s="92"/>
      <c r="NG98" s="92"/>
      <c r="NH98" s="92"/>
      <c r="NI98" s="92"/>
      <c r="NJ98" s="92"/>
      <c r="NK98" s="92"/>
      <c r="NL98" s="92"/>
      <c r="NM98" s="92"/>
      <c r="NN98" s="92"/>
      <c r="NO98" s="92"/>
      <c r="NP98" s="92"/>
      <c r="NQ98" s="92"/>
      <c r="NR98" s="92"/>
      <c r="NS98" s="92"/>
      <c r="NT98" s="92"/>
      <c r="NU98" s="92"/>
      <c r="NV98" s="92"/>
      <c r="NW98" s="92"/>
      <c r="NX98" s="92"/>
      <c r="NY98" s="92"/>
      <c r="NZ98" s="92"/>
      <c r="OA98" s="92"/>
      <c r="OB98" s="92"/>
      <c r="OC98" s="92"/>
      <c r="OD98" s="92"/>
      <c r="OE98" s="92"/>
      <c r="OF98" s="92"/>
      <c r="OG98" s="92"/>
      <c r="OH98" s="92"/>
      <c r="OI98" s="92"/>
      <c r="OJ98" s="92"/>
      <c r="OK98" s="92"/>
      <c r="OL98" s="92"/>
      <c r="OM98" s="92"/>
      <c r="ON98" s="92"/>
      <c r="OO98" s="92"/>
      <c r="OP98" s="92"/>
      <c r="OQ98" s="92"/>
      <c r="OR98" s="92"/>
      <c r="OS98" s="92"/>
      <c r="OT98" s="92"/>
      <c r="OU98" s="92"/>
      <c r="OV98" s="92"/>
      <c r="OW98" s="92"/>
      <c r="OX98" s="92"/>
      <c r="OY98" s="92"/>
      <c r="OZ98" s="92"/>
      <c r="PA98" s="92"/>
      <c r="PB98" s="92"/>
      <c r="PC98" s="92"/>
      <c r="PD98" s="92"/>
      <c r="PE98" s="92"/>
      <c r="PF98" s="92"/>
      <c r="PG98" s="92"/>
      <c r="PH98" s="92"/>
      <c r="PI98" s="92"/>
      <c r="PJ98" s="92"/>
      <c r="PK98" s="92"/>
      <c r="PL98" s="92"/>
      <c r="PM98" s="92"/>
      <c r="PN98" s="92"/>
      <c r="PO98" s="92"/>
      <c r="PP98" s="92"/>
      <c r="PQ98" s="92"/>
      <c r="PR98" s="92"/>
      <c r="PS98" s="92"/>
      <c r="PT98" s="92"/>
      <c r="PU98" s="59" t="str">
        <f ca="1">IF(AND($PU$80="",$PU$83=""),IF(COUNTIF(KW98:PT98,"&gt;&lt;"),KT98,""),"")</f>
        <v/>
      </c>
      <c r="PV98" s="59" t="str">
        <f ca="1">IF(PU98="","",IF(COUNTIF(PU98:$PU$125,"&gt;&lt;")&gt;1,PU98&amp;", ", PU98))</f>
        <v/>
      </c>
      <c r="PW98" s="59"/>
      <c r="PX98" s="59"/>
      <c r="TJ98" s="18">
        <f t="shared" si="181"/>
        <v>96</v>
      </c>
      <c r="TK98" s="58" t="s">
        <v>1970</v>
      </c>
      <c r="TL98" s="58" t="s">
        <v>448</v>
      </c>
      <c r="TM98" s="18">
        <v>1</v>
      </c>
      <c r="TN98" s="59" t="str">
        <f t="shared" si="167"/>
        <v xml:space="preserve">Detect Poison and Disease </v>
      </c>
      <c r="TO98" s="18" t="str">
        <f>""</f>
        <v/>
      </c>
      <c r="TP98" s="18" t="str">
        <f t="shared" si="168"/>
        <v/>
      </c>
      <c r="TQ98" s="18" t="str">
        <f>IF(OR(TK98=Spellcasting!$AC$18,TK98=Spellcasting!$AC$19),"ᵐ","")</f>
        <v/>
      </c>
      <c r="TR98" s="18" t="str">
        <f>IF(OR(TK98=Spellcasting!$AC$20,TK98=Spellcasting!$AC$21),"ˢ","")</f>
        <v/>
      </c>
      <c r="TS98" s="18" t="s">
        <v>477</v>
      </c>
      <c r="TT98" s="18" t="s">
        <v>501</v>
      </c>
      <c r="TU98" s="18" t="s">
        <v>509</v>
      </c>
      <c r="TV98" s="18" t="s">
        <v>515</v>
      </c>
      <c r="TW98" s="18" t="s">
        <v>495</v>
      </c>
      <c r="TX98" s="59" t="s">
        <v>1392</v>
      </c>
      <c r="TY98" s="18" t="s">
        <v>511</v>
      </c>
      <c r="TZ98" s="18" t="s">
        <v>512</v>
      </c>
      <c r="UA98" s="142" t="s">
        <v>2253</v>
      </c>
      <c r="UB98" s="319" t="s">
        <v>3045</v>
      </c>
      <c r="UD98" s="18" t="str">
        <f ca="1">IF(UD$1&gt;=$TM98,1,"0")</f>
        <v>0</v>
      </c>
      <c r="UE98" s="18" t="str">
        <f ca="1">IF(UE$1&gt;=$TM98,1,"0")</f>
        <v>0</v>
      </c>
      <c r="UH98" s="18" t="str">
        <f ca="1">IF(UH$1&gt;=$TM98,1,"0")</f>
        <v>0</v>
      </c>
      <c r="UI98" s="18" t="str">
        <f ca="1">IF(UI$1&gt;=$TM98,1,"0")</f>
        <v>0</v>
      </c>
      <c r="WD98" s="18" t="str">
        <f ca="1">IF(SUM($VZ$1:$WC$1)&gt;0,IF(AND(SUM($VZ98:$WC98)&gt;0,$TM98=WE$1),MAX(WD$2:WD97)+1,""),IF(AND(SUM($UC98:$VY98)&gt;0,$TM98=WE$1),MAX(WD$2:WD97)+1,""))</f>
        <v/>
      </c>
      <c r="WE98" s="59" t="str">
        <f t="shared" ca="1" si="169"/>
        <v/>
      </c>
      <c r="WF98" s="18" t="str">
        <f ca="1">IF(AND(SUM($UB98:$VY98)&gt;0,$TM98=WG$1),MAX(WF$2:WF97)+1,"")</f>
        <v/>
      </c>
      <c r="WG98" s="59" t="str">
        <f t="shared" ca="1" si="170"/>
        <v/>
      </c>
      <c r="WH98" s="18" t="str">
        <f ca="1">IF(AND(SUM($UB98:$VY98)&gt;0,$TM98=WI$1),MAX(WH$2:WH97)+1,"")</f>
        <v/>
      </c>
      <c r="WI98" s="59" t="str">
        <f t="shared" ca="1" si="171"/>
        <v/>
      </c>
      <c r="WJ98" s="18" t="str">
        <f ca="1">IF(AND(SUM($UB98:$VY98)&gt;0,$TM98=WK$1),MAX(WJ$2:WJ97)+1,"")</f>
        <v/>
      </c>
      <c r="WK98" s="59" t="str">
        <f t="shared" ca="1" si="172"/>
        <v/>
      </c>
      <c r="WL98" s="18" t="str">
        <f ca="1">IF(AND(SUM($UB98:$VY98)&gt;0,$TM98=WM$1),MAX(WL$2:WL97)+1,"")</f>
        <v/>
      </c>
      <c r="WM98" s="59" t="str">
        <f t="shared" ca="1" si="173"/>
        <v/>
      </c>
      <c r="WN98" s="18" t="str">
        <f ca="1">IF(AND(SUM($UB98:$VY98)&gt;0,$TM98=WO$1),MAX(WN$2:WN97)+1,"")</f>
        <v/>
      </c>
      <c r="WO98" s="59" t="str">
        <f t="shared" ca="1" si="174"/>
        <v/>
      </c>
      <c r="WP98" s="18" t="str">
        <f ca="1">IF(AND(SUM($UB98:$VY98)&gt;0,$TM98=WQ$1),MAX(WP$2:WP97)+1,"")</f>
        <v/>
      </c>
      <c r="WQ98" s="59" t="str">
        <f t="shared" ca="1" si="175"/>
        <v/>
      </c>
      <c r="WR98" s="18" t="str">
        <f ca="1">IF(AND(SUM($UB98:$VY98)&gt;0,$TM98=WS$1),MAX(WR$2:WR97)+1,"")</f>
        <v/>
      </c>
      <c r="WS98" s="59" t="str">
        <f t="shared" ca="1" si="176"/>
        <v/>
      </c>
      <c r="WT98" s="18" t="str">
        <f ca="1">IF(AND(SUM($UB98:$VY98)&gt;0,$TM98=WU$1),MAX(WT$2:WT97)+1,"")</f>
        <v/>
      </c>
      <c r="WU98" s="59" t="str">
        <f t="shared" ca="1" si="177"/>
        <v/>
      </c>
      <c r="WV98" s="18" t="str">
        <f ca="1">IF(AND(SUM($UB98:$VY98)&gt;0,$TM98=WW$1),MAX(WV$2:WV97)+1,"")</f>
        <v/>
      </c>
      <c r="WW98" s="59" t="str">
        <f t="shared" ca="1" si="178"/>
        <v/>
      </c>
      <c r="WX98" s="18" t="str">
        <f ca="1">IF(AND(SUM($UB98:$VY98)&gt;0,$TM98=WY$1),MAX(WX$2:WX97)+1,"")</f>
        <v/>
      </c>
      <c r="WY98" s="59" t="str">
        <f t="shared" ca="1" si="179"/>
        <v/>
      </c>
      <c r="WZ98" s="59"/>
      <c r="XC98" s="59" t="str">
        <f t="shared" ca="1" si="197"/>
        <v/>
      </c>
    </row>
    <row r="99" spans="219:627" ht="9.9499999999999993" customHeight="1" x14ac:dyDescent="0.2">
      <c r="HK99" s="59"/>
      <c r="HL99" s="59"/>
      <c r="IX99" s="58" t="s">
        <v>3580</v>
      </c>
      <c r="IY99" s="58" t="s">
        <v>3532</v>
      </c>
      <c r="IZ99" s="58" t="s">
        <v>196</v>
      </c>
      <c r="JA99" s="58" t="s">
        <v>282</v>
      </c>
      <c r="JB99" s="58" t="s">
        <v>3534</v>
      </c>
      <c r="JW99" s="18"/>
      <c r="JX99" s="302"/>
      <c r="KT99" s="88" t="s">
        <v>165</v>
      </c>
      <c r="KU99" s="80" t="str">
        <f t="shared" ca="1" si="186"/>
        <v>No</v>
      </c>
      <c r="KV99" s="89" t="s">
        <v>168</v>
      </c>
      <c r="KW99" s="92"/>
      <c r="KX99" s="92"/>
      <c r="KY99" s="92"/>
      <c r="KZ99" s="92"/>
      <c r="LA99" s="92"/>
      <c r="LB99" s="92"/>
      <c r="LC99" s="92"/>
      <c r="LD99" s="92"/>
      <c r="LE99" s="92"/>
      <c r="LF99" s="92"/>
      <c r="LG99" s="92"/>
      <c r="LH99" s="92"/>
      <c r="LI99" s="92"/>
      <c r="LJ99" s="92" t="str">
        <f>IF(LJ$1&gt;0,$KT99,"")</f>
        <v/>
      </c>
      <c r="LK99" s="92" t="str">
        <f>IF(LK$1&gt;0,$KT99,"")</f>
        <v/>
      </c>
      <c r="LL99" s="92"/>
      <c r="LM99" s="92" t="str">
        <f>IF(LM$1&gt;0,$KT99,"")</f>
        <v/>
      </c>
      <c r="LN99" s="92"/>
      <c r="LO99" s="92"/>
      <c r="LP99" s="92"/>
      <c r="LQ99" s="92"/>
      <c r="LR99" s="92"/>
      <c r="LS99" s="92"/>
      <c r="LT99" s="92"/>
      <c r="LU99" s="92"/>
      <c r="LV99" s="92"/>
      <c r="LW99" s="92"/>
      <c r="LX99" s="92"/>
      <c r="LY99" s="92"/>
      <c r="LZ99" s="92" t="str">
        <f t="shared" si="191"/>
        <v/>
      </c>
      <c r="MA99" s="92" t="str">
        <f t="shared" ca="1" si="187"/>
        <v/>
      </c>
      <c r="MB99" s="92" t="str">
        <f t="shared" si="192"/>
        <v/>
      </c>
      <c r="MC99" s="92"/>
      <c r="MD99" s="92" t="str">
        <f t="shared" ca="1" si="195"/>
        <v/>
      </c>
      <c r="ME99" s="92" t="str">
        <f t="shared" si="196"/>
        <v/>
      </c>
      <c r="MF99" s="92"/>
      <c r="MG99" s="92" t="str">
        <f t="shared" si="196"/>
        <v/>
      </c>
      <c r="MH99" s="92" t="str">
        <f t="shared" ca="1" si="189"/>
        <v/>
      </c>
      <c r="MI99" s="92" t="str">
        <f t="shared" ca="1" si="198"/>
        <v/>
      </c>
      <c r="MJ99" s="92"/>
      <c r="MK99" s="92" t="str">
        <f t="shared" ca="1" si="199"/>
        <v/>
      </c>
      <c r="ML99" s="92"/>
      <c r="MM99" s="92"/>
      <c r="MN99" s="92"/>
      <c r="MO99" s="92"/>
      <c r="MP99" s="92"/>
      <c r="MQ99" s="92"/>
      <c r="MR99" s="92"/>
      <c r="MS99" s="92"/>
      <c r="MT99" s="92"/>
      <c r="MU99" s="92"/>
      <c r="MV99" s="92"/>
      <c r="MW99" s="92"/>
      <c r="MX99" s="92"/>
      <c r="MY99" s="92"/>
      <c r="MZ99" s="92"/>
      <c r="NA99" s="92"/>
      <c r="NB99" s="92"/>
      <c r="NC99" s="92"/>
      <c r="ND99" s="92"/>
      <c r="NE99" s="92"/>
      <c r="NF99" s="92"/>
      <c r="NG99" s="92"/>
      <c r="NH99" s="92"/>
      <c r="NI99" s="92"/>
      <c r="NJ99" s="92"/>
      <c r="NK99" s="92"/>
      <c r="NL99" s="92"/>
      <c r="NM99" s="92"/>
      <c r="NN99" s="92"/>
      <c r="NO99" s="92"/>
      <c r="NP99" s="92"/>
      <c r="NQ99" s="92"/>
      <c r="NR99" s="92"/>
      <c r="NS99" s="92"/>
      <c r="NT99" s="92"/>
      <c r="NU99" s="92"/>
      <c r="NV99" s="92"/>
      <c r="NW99" s="92"/>
      <c r="NX99" s="92"/>
      <c r="NY99" s="92"/>
      <c r="NZ99" s="92"/>
      <c r="OA99" s="92"/>
      <c r="OB99" s="92"/>
      <c r="OC99" s="92"/>
      <c r="OD99" s="92"/>
      <c r="OE99" s="92"/>
      <c r="OF99" s="92"/>
      <c r="OG99" s="92"/>
      <c r="OH99" s="92"/>
      <c r="OI99" s="92"/>
      <c r="OJ99" s="92"/>
      <c r="OK99" s="92"/>
      <c r="OL99" s="92"/>
      <c r="OM99" s="92"/>
      <c r="ON99" s="92"/>
      <c r="OO99" s="92"/>
      <c r="OP99" s="92"/>
      <c r="OQ99" s="92"/>
      <c r="OR99" s="92"/>
      <c r="OS99" s="92"/>
      <c r="OT99" s="92"/>
      <c r="OU99" s="92"/>
      <c r="OV99" s="92"/>
      <c r="OW99" s="92"/>
      <c r="OX99" s="92"/>
      <c r="OY99" s="92"/>
      <c r="OZ99" s="92"/>
      <c r="PA99" s="92"/>
      <c r="PB99" s="92"/>
      <c r="PC99" s="92"/>
      <c r="PD99" s="92"/>
      <c r="PE99" s="92"/>
      <c r="PF99" s="92"/>
      <c r="PG99" s="92"/>
      <c r="PH99" s="92"/>
      <c r="PI99" s="92"/>
      <c r="PJ99" s="92"/>
      <c r="PK99" s="92"/>
      <c r="PL99" s="92"/>
      <c r="PM99" s="92"/>
      <c r="PN99" s="92"/>
      <c r="PO99" s="92"/>
      <c r="PP99" s="92"/>
      <c r="PQ99" s="92"/>
      <c r="PR99" s="92"/>
      <c r="PS99" s="92"/>
      <c r="PT99" s="92"/>
      <c r="PU99" s="59" t="str">
        <f ca="1">IF(AND($PU$80="",$PU$83=""),IF(COUNTIF(KW99:PT99,"&gt;&lt;"),KT99,""),"")</f>
        <v/>
      </c>
      <c r="PV99" s="59" t="str">
        <f ca="1">IF(PU99="","",IF(COUNTIF(PU99:$PU$125,"&gt;&lt;")&gt;1,PU99&amp;", ", PU99))</f>
        <v/>
      </c>
      <c r="PW99" s="59"/>
      <c r="PX99" s="59"/>
      <c r="TJ99" s="18">
        <f t="shared" si="181"/>
        <v>97</v>
      </c>
      <c r="TK99" s="58" t="s">
        <v>1227</v>
      </c>
      <c r="TL99" s="58" t="s">
        <v>459</v>
      </c>
      <c r="TM99" s="18">
        <v>2</v>
      </c>
      <c r="TN99" s="59" t="str">
        <f t="shared" si="167"/>
        <v xml:space="preserve">Detect Thoughts </v>
      </c>
      <c r="TO99" s="18" t="str">
        <f>""</f>
        <v/>
      </c>
      <c r="TP99" s="18" t="str">
        <f t="shared" si="168"/>
        <v/>
      </c>
      <c r="TQ99" s="18" t="str">
        <f>IF(OR(TK99=Spellcasting!$AC$18,TK99=Spellcasting!$AC$19),"ᵐ","")</f>
        <v/>
      </c>
      <c r="TR99" s="18" t="str">
        <f>IF(OR(TK99=Spellcasting!$AC$20,TK99=Spellcasting!$AC$21),"ˢ","")</f>
        <v/>
      </c>
      <c r="TS99" s="18" t="str">
        <f>""</f>
        <v/>
      </c>
      <c r="TT99" s="18" t="s">
        <v>484</v>
      </c>
      <c r="TU99" s="18" t="s">
        <v>509</v>
      </c>
      <c r="TV99" s="18" t="s">
        <v>521</v>
      </c>
      <c r="TW99" s="18" t="s">
        <v>495</v>
      </c>
      <c r="TX99" s="59" t="s">
        <v>1271</v>
      </c>
      <c r="TY99" s="18" t="s">
        <v>511</v>
      </c>
      <c r="TZ99" s="18" t="s">
        <v>512</v>
      </c>
      <c r="UA99" s="142" t="s">
        <v>1272</v>
      </c>
      <c r="UB99" s="319" t="s">
        <v>3046</v>
      </c>
      <c r="UC99" s="18" t="str">
        <f ca="1">IF(UC$1&gt;=$TM99,1,"0")</f>
        <v>0</v>
      </c>
      <c r="UF99" s="18" t="str">
        <f ca="1">IF(UF$1&gt;=$TM99,1,"0")</f>
        <v>0</v>
      </c>
      <c r="UL99" s="18" t="str">
        <f ca="1">IF(UL$1&gt;=$TM99,1,"0")</f>
        <v>0</v>
      </c>
      <c r="UX99" s="18" t="str">
        <f>IF(UX$1&gt;=$TM99,1,"0")</f>
        <v>0</v>
      </c>
      <c r="WD99" s="18" t="str">
        <f ca="1">IF(SUM($VZ$1:$WC$1)&gt;0,IF(AND(SUM($VZ99:$WC99)&gt;0,$TM99=WE$1),MAX(WD$2:WD98)+1,""),IF(AND(SUM($UC99:$VY99)&gt;0,$TM99=WE$1),MAX(WD$2:WD98)+1,""))</f>
        <v/>
      </c>
      <c r="WE99" s="59" t="str">
        <f t="shared" ca="1" si="169"/>
        <v/>
      </c>
      <c r="WF99" s="18" t="str">
        <f ca="1">IF(AND(SUM($UB99:$VY99)&gt;0,$TM99=WG$1),MAX(WF$2:WF98)+1,"")</f>
        <v/>
      </c>
      <c r="WG99" s="59" t="str">
        <f t="shared" ca="1" si="170"/>
        <v/>
      </c>
      <c r="WH99" s="18" t="str">
        <f ca="1">IF(AND(SUM($UB99:$VY99)&gt;0,$TM99=WI$1),MAX(WH$2:WH98)+1,"")</f>
        <v/>
      </c>
      <c r="WI99" s="59" t="str">
        <f t="shared" ca="1" si="171"/>
        <v/>
      </c>
      <c r="WJ99" s="18" t="str">
        <f ca="1">IF(AND(SUM($UB99:$VY99)&gt;0,$TM99=WK$1),MAX(WJ$2:WJ98)+1,"")</f>
        <v/>
      </c>
      <c r="WK99" s="59" t="str">
        <f t="shared" ca="1" si="172"/>
        <v/>
      </c>
      <c r="WL99" s="18" t="str">
        <f ca="1">IF(AND(SUM($UB99:$VY99)&gt;0,$TM99=WM$1),MAX(WL$2:WL98)+1,"")</f>
        <v/>
      </c>
      <c r="WM99" s="59" t="str">
        <f t="shared" ca="1" si="173"/>
        <v/>
      </c>
      <c r="WN99" s="18" t="str">
        <f ca="1">IF(AND(SUM($UB99:$VY99)&gt;0,$TM99=WO$1),MAX(WN$2:WN98)+1,"")</f>
        <v/>
      </c>
      <c r="WO99" s="59" t="str">
        <f t="shared" ca="1" si="174"/>
        <v/>
      </c>
      <c r="WP99" s="18" t="str">
        <f ca="1">IF(AND(SUM($UB99:$VY99)&gt;0,$TM99=WQ$1),MAX(WP$2:WP98)+1,"")</f>
        <v/>
      </c>
      <c r="WQ99" s="59" t="str">
        <f t="shared" ca="1" si="175"/>
        <v/>
      </c>
      <c r="WR99" s="18" t="str">
        <f ca="1">IF(AND(SUM($UB99:$VY99)&gt;0,$TM99=WS$1),MAX(WR$2:WR98)+1,"")</f>
        <v/>
      </c>
      <c r="WS99" s="59" t="str">
        <f t="shared" ca="1" si="176"/>
        <v/>
      </c>
      <c r="WT99" s="18" t="str">
        <f ca="1">IF(AND(SUM($UB99:$VY99)&gt;0,$TM99=WU$1),MAX(WT$2:WT98)+1,"")</f>
        <v/>
      </c>
      <c r="WU99" s="59" t="str">
        <f t="shared" ca="1" si="177"/>
        <v/>
      </c>
      <c r="WV99" s="18" t="str">
        <f ca="1">IF(AND(SUM($UB99:$VY99)&gt;0,$TM99=WW$1),MAX(WV$2:WV98)+1,"")</f>
        <v/>
      </c>
      <c r="WW99" s="59" t="str">
        <f t="shared" ca="1" si="178"/>
        <v/>
      </c>
      <c r="WX99" s="18" t="str">
        <f ca="1">IF(AND(SUM($UB99:$VY99)&gt;0,$TM99=WY$1),MAX(WX$2:WX98)+1,"")</f>
        <v/>
      </c>
      <c r="WY99" s="59" t="str">
        <f t="shared" ca="1" si="179"/>
        <v/>
      </c>
      <c r="WZ99" s="59"/>
      <c r="XC99" s="59" t="str">
        <f t="shared" ca="1" si="197"/>
        <v/>
      </c>
    </row>
    <row r="100" spans="219:627" ht="9.9499999999999993" customHeight="1" x14ac:dyDescent="0.2">
      <c r="HK100" s="59"/>
      <c r="HL100" s="59"/>
      <c r="IX100" s="58" t="s">
        <v>3581</v>
      </c>
      <c r="IY100" s="58" t="s">
        <v>3535</v>
      </c>
      <c r="IZ100" s="58" t="s">
        <v>196</v>
      </c>
      <c r="JA100" s="58" t="s">
        <v>3536</v>
      </c>
      <c r="JB100" s="58" t="s">
        <v>3537</v>
      </c>
      <c r="JM100" s="301" t="s">
        <v>3206</v>
      </c>
      <c r="JN100" s="301"/>
      <c r="JO100" s="301"/>
      <c r="JP100" s="301"/>
      <c r="JQ100" s="301"/>
      <c r="JR100" s="301"/>
      <c r="JS100" s="301"/>
      <c r="JT100" s="301"/>
      <c r="JU100" s="301"/>
      <c r="JV100" s="301"/>
      <c r="JW100" s="301"/>
      <c r="JX100" s="302"/>
      <c r="KT100" s="88" t="s">
        <v>169</v>
      </c>
      <c r="KU100" s="80" t="str">
        <f t="shared" ca="1" si="186"/>
        <v>No</v>
      </c>
      <c r="KV100" s="89" t="s">
        <v>168</v>
      </c>
      <c r="KW100" s="92"/>
      <c r="KX100" s="92"/>
      <c r="KY100" s="92"/>
      <c r="KZ100" s="92"/>
      <c r="LA100" s="92"/>
      <c r="LB100" s="92"/>
      <c r="LC100" s="92"/>
      <c r="LD100" s="92"/>
      <c r="LE100" s="92"/>
      <c r="LF100" s="92"/>
      <c r="LG100" s="92"/>
      <c r="LH100" s="92"/>
      <c r="LI100" s="92"/>
      <c r="LJ100" s="92"/>
      <c r="LK100" s="92"/>
      <c r="LL100" s="92"/>
      <c r="LM100" s="92"/>
      <c r="LN100" s="92"/>
      <c r="LO100" s="92"/>
      <c r="LP100" s="92"/>
      <c r="LQ100" s="92"/>
      <c r="LR100" s="92"/>
      <c r="LS100" s="92"/>
      <c r="LT100" s="92"/>
      <c r="LU100" s="92"/>
      <c r="LV100" s="92"/>
      <c r="LW100" s="92"/>
      <c r="LX100" s="92"/>
      <c r="LY100" s="92"/>
      <c r="LZ100" s="92" t="str">
        <f t="shared" si="191"/>
        <v/>
      </c>
      <c r="MA100" s="92" t="str">
        <f t="shared" ca="1" si="187"/>
        <v/>
      </c>
      <c r="MB100" s="92" t="str">
        <f t="shared" si="192"/>
        <v/>
      </c>
      <c r="MC100" s="92" t="str">
        <f>IF(Class1=MC$5,IF(MC$1&gt;0,$KT100,""),"")</f>
        <v/>
      </c>
      <c r="MD100" s="92" t="str">
        <f t="shared" ca="1" si="195"/>
        <v/>
      </c>
      <c r="ME100" s="92" t="str">
        <f t="shared" si="196"/>
        <v/>
      </c>
      <c r="MF100" s="92" t="str">
        <f>IF(Class1=MF$5,IF(MF$1&gt;0,$KT100,""),"")</f>
        <v/>
      </c>
      <c r="MG100" s="92" t="str">
        <f t="shared" si="196"/>
        <v/>
      </c>
      <c r="MH100" s="92" t="str">
        <f t="shared" ca="1" si="189"/>
        <v/>
      </c>
      <c r="MI100" s="92" t="str">
        <f t="shared" ca="1" si="198"/>
        <v/>
      </c>
      <c r="MJ100" s="92" t="str">
        <f>IF(Class1=MJ$5,IF(MJ$1&gt;0,$KT100,""),"")</f>
        <v/>
      </c>
      <c r="MK100" s="92" t="str">
        <f t="shared" ca="1" si="199"/>
        <v/>
      </c>
      <c r="ML100" s="92"/>
      <c r="MM100" s="92"/>
      <c r="MN100" s="92"/>
      <c r="MO100" s="92"/>
      <c r="MP100" s="92"/>
      <c r="MQ100" s="92"/>
      <c r="MR100" s="92"/>
      <c r="MS100" s="92"/>
      <c r="MT100" s="92"/>
      <c r="MU100" s="92"/>
      <c r="MV100" s="92"/>
      <c r="MW100" s="92"/>
      <c r="MX100" s="92"/>
      <c r="MY100" s="92"/>
      <c r="MZ100" s="92"/>
      <c r="NA100" s="92"/>
      <c r="NB100" s="92"/>
      <c r="NC100" s="92"/>
      <c r="ND100" s="92"/>
      <c r="NE100" s="92"/>
      <c r="NF100" s="92"/>
      <c r="NG100" s="92"/>
      <c r="NH100" s="92"/>
      <c r="NI100" s="92"/>
      <c r="NJ100" s="92"/>
      <c r="NK100" s="92"/>
      <c r="NL100" s="92"/>
      <c r="NM100" s="92"/>
      <c r="NN100" s="92"/>
      <c r="NO100" s="92"/>
      <c r="NP100" s="92"/>
      <c r="NQ100" s="92"/>
      <c r="NR100" s="92"/>
      <c r="NS100" s="92"/>
      <c r="NT100" s="92"/>
      <c r="NU100" s="92"/>
      <c r="NV100" s="92"/>
      <c r="NW100" s="92"/>
      <c r="NX100" s="92"/>
      <c r="NY100" s="92"/>
      <c r="NZ100" s="92"/>
      <c r="OA100" s="92"/>
      <c r="OB100" s="92"/>
      <c r="OC100" s="92"/>
      <c r="OD100" s="92"/>
      <c r="OE100" s="92"/>
      <c r="OF100" s="92"/>
      <c r="OG100" s="92"/>
      <c r="OH100" s="92"/>
      <c r="OI100" s="92"/>
      <c r="OJ100" s="92"/>
      <c r="OK100" s="92"/>
      <c r="OL100" s="92"/>
      <c r="OM100" s="92"/>
      <c r="ON100" s="92"/>
      <c r="OO100" s="92"/>
      <c r="OP100" s="92"/>
      <c r="OQ100" s="92"/>
      <c r="OR100" s="92"/>
      <c r="OS100" s="92"/>
      <c r="OT100" s="92"/>
      <c r="OU100" s="92"/>
      <c r="OV100" s="92"/>
      <c r="OW100" s="92"/>
      <c r="OX100" s="92"/>
      <c r="OY100" s="92"/>
      <c r="OZ100" s="92"/>
      <c r="PA100" s="92"/>
      <c r="PB100" s="92"/>
      <c r="PC100" s="92"/>
      <c r="PD100" s="92"/>
      <c r="PE100" s="92"/>
      <c r="PF100" s="92"/>
      <c r="PG100" s="92"/>
      <c r="PH100" s="92"/>
      <c r="PI100" s="92"/>
      <c r="PJ100" s="92"/>
      <c r="PK100" s="92"/>
      <c r="PL100" s="92"/>
      <c r="PM100" s="92"/>
      <c r="PN100" s="92"/>
      <c r="PO100" s="92"/>
      <c r="PP100" s="92"/>
      <c r="PQ100" s="92"/>
      <c r="PR100" s="92"/>
      <c r="PS100" s="92"/>
      <c r="PT100" s="92"/>
      <c r="PU100" s="59" t="str">
        <f ca="1">IF(AND($PU$80="",$PU$83=""),IF(COUNTIF(KW100:PT100,"&gt;&lt;"),KT100,""),"")</f>
        <v/>
      </c>
      <c r="PV100" s="59" t="str">
        <f ca="1">IF(PU100="","",IF(COUNTIF(PU100:$PU$125,"&gt;&lt;")&gt;1,PU100&amp;", ", PU100))</f>
        <v/>
      </c>
      <c r="PW100" s="59"/>
      <c r="PX100" s="59"/>
      <c r="TJ100" s="18">
        <f t="shared" si="181"/>
        <v>98</v>
      </c>
      <c r="TK100" s="58" t="s">
        <v>572</v>
      </c>
      <c r="TL100" s="58" t="s">
        <v>461</v>
      </c>
      <c r="TM100" s="18">
        <v>4</v>
      </c>
      <c r="TN100" s="59" t="str">
        <f t="shared" si="167"/>
        <v xml:space="preserve">Dimension Door </v>
      </c>
      <c r="TO100" s="18" t="str">
        <f>""</f>
        <v/>
      </c>
      <c r="TP100" s="18" t="str">
        <f t="shared" si="168"/>
        <v/>
      </c>
      <c r="TQ100" s="18" t="str">
        <f>IF(OR(TK100=Spellcasting!$AC$18,TK100=Spellcasting!$AC$19),"ᵐ","")</f>
        <v/>
      </c>
      <c r="TR100" s="18" t="str">
        <f>IF(OR(TK100=Spellcasting!$AC$20,TK100=Spellcasting!$AC$21),"ˢ","")</f>
        <v/>
      </c>
      <c r="TS100" s="18" t="str">
        <f>""</f>
        <v/>
      </c>
      <c r="TT100" s="18" t="s">
        <v>484</v>
      </c>
      <c r="TU100" s="18" t="s">
        <v>514</v>
      </c>
      <c r="TV100" s="18" t="s">
        <v>505</v>
      </c>
      <c r="TW100" s="18" t="s">
        <v>541</v>
      </c>
      <c r="TX100" s="59" t="str">
        <f>""</f>
        <v/>
      </c>
      <c r="TY100" s="18" t="s">
        <v>516</v>
      </c>
      <c r="TZ100" s="18" t="s">
        <v>517</v>
      </c>
      <c r="UA100" s="142" t="s">
        <v>975</v>
      </c>
      <c r="UB100" s="319" t="s">
        <v>3207</v>
      </c>
      <c r="UC100" s="18" t="str">
        <f ca="1">IF(UC$1&gt;=$TM100,1,"0")</f>
        <v>0</v>
      </c>
      <c r="UF100" s="18" t="str">
        <f ca="1">IF(UF$1&gt;=$TM100,1,"0")</f>
        <v>0</v>
      </c>
      <c r="UG100" s="18" t="str">
        <f ca="1">IF(UG$1&gt;=$TM100,1,"0")</f>
        <v>0</v>
      </c>
      <c r="UL100" s="18" t="str">
        <f ca="1">IF(UL$1&gt;=$TM100,1,"0")</f>
        <v>0</v>
      </c>
      <c r="UQ100" s="18" t="str">
        <f>IF(UQ$1&gt;=$TM100,1,"0")</f>
        <v>0</v>
      </c>
      <c r="VD100" s="18" t="str">
        <f>IF(VD$1&gt;=$TM100,1,"0")</f>
        <v>0</v>
      </c>
      <c r="WD100" s="18" t="str">
        <f ca="1">IF(SUM($VZ$1:$WC$1)&gt;0,IF(AND(SUM($VZ100:$WC100)&gt;0,$TM100=WE$1),MAX(WD$2:WD99)+1,""),IF(AND(SUM($UC100:$VY100)&gt;0,$TM100=WE$1),MAX(WD$2:WD99)+1,""))</f>
        <v/>
      </c>
      <c r="WE100" s="59" t="str">
        <f t="shared" ca="1" si="169"/>
        <v/>
      </c>
      <c r="WF100" s="18" t="str">
        <f ca="1">IF(AND(SUM($UB100:$VY100)&gt;0,$TM100=WG$1),MAX(WF$2:WF99)+1,"")</f>
        <v/>
      </c>
      <c r="WG100" s="59" t="str">
        <f t="shared" ca="1" si="170"/>
        <v/>
      </c>
      <c r="WH100" s="18" t="str">
        <f ca="1">IF(AND(SUM($UB100:$VY100)&gt;0,$TM100=WI$1),MAX(WH$2:WH99)+1,"")</f>
        <v/>
      </c>
      <c r="WI100" s="59" t="str">
        <f t="shared" ca="1" si="171"/>
        <v/>
      </c>
      <c r="WJ100" s="18" t="str">
        <f ca="1">IF(AND(SUM($UB100:$VY100)&gt;0,$TM100=WK$1),MAX(WJ$2:WJ99)+1,"")</f>
        <v/>
      </c>
      <c r="WK100" s="59" t="str">
        <f t="shared" ca="1" si="172"/>
        <v/>
      </c>
      <c r="WL100" s="18" t="str">
        <f ca="1">IF(AND(SUM($UB100:$VY100)&gt;0,$TM100=WM$1),MAX(WL$2:WL99)+1,"")</f>
        <v/>
      </c>
      <c r="WM100" s="59" t="str">
        <f t="shared" ca="1" si="173"/>
        <v/>
      </c>
      <c r="WN100" s="18" t="str">
        <f ca="1">IF(AND(SUM($UB100:$VY100)&gt;0,$TM100=WO$1),MAX(WN$2:WN99)+1,"")</f>
        <v/>
      </c>
      <c r="WO100" s="59" t="str">
        <f t="shared" ca="1" si="174"/>
        <v/>
      </c>
      <c r="WP100" s="18" t="str">
        <f ca="1">IF(AND(SUM($UB100:$VY100)&gt;0,$TM100=WQ$1),MAX(WP$2:WP99)+1,"")</f>
        <v/>
      </c>
      <c r="WQ100" s="59" t="str">
        <f t="shared" ca="1" si="175"/>
        <v/>
      </c>
      <c r="WR100" s="18" t="str">
        <f ca="1">IF(AND(SUM($UB100:$VY100)&gt;0,$TM100=WS$1),MAX(WR$2:WR99)+1,"")</f>
        <v/>
      </c>
      <c r="WS100" s="59" t="str">
        <f t="shared" ca="1" si="176"/>
        <v/>
      </c>
      <c r="WT100" s="18" t="str">
        <f ca="1">IF(AND(SUM($UB100:$VY100)&gt;0,$TM100=WU$1),MAX(WT$2:WT99)+1,"")</f>
        <v/>
      </c>
      <c r="WU100" s="59" t="str">
        <f t="shared" ca="1" si="177"/>
        <v/>
      </c>
      <c r="WV100" s="18" t="str">
        <f ca="1">IF(AND(SUM($UB100:$VY100)&gt;0,$TM100=WW$1),MAX(WV$2:WV99)+1,"")</f>
        <v/>
      </c>
      <c r="WW100" s="59" t="str">
        <f t="shared" ca="1" si="178"/>
        <v/>
      </c>
      <c r="WX100" s="18" t="str">
        <f ca="1">IF(AND(SUM($UB100:$VY100)&gt;0,$TM100=WY$1),MAX(WX$2:WX99)+1,"")</f>
        <v/>
      </c>
      <c r="WY100" s="59" t="str">
        <f t="shared" ca="1" si="179"/>
        <v/>
      </c>
      <c r="WZ100" s="59"/>
      <c r="XC100" s="59" t="str">
        <f t="shared" ca="1" si="197"/>
        <v/>
      </c>
    </row>
    <row r="101" spans="219:627" ht="9.9499999999999993" customHeight="1" x14ac:dyDescent="0.2">
      <c r="HK101" s="59"/>
      <c r="HL101" s="59"/>
      <c r="IX101" s="58" t="s">
        <v>3582</v>
      </c>
      <c r="IY101" s="58" t="s">
        <v>3538</v>
      </c>
      <c r="IZ101" s="58" t="s">
        <v>197</v>
      </c>
      <c r="JA101" s="58" t="s">
        <v>284</v>
      </c>
      <c r="JB101" s="58" t="s">
        <v>3540</v>
      </c>
      <c r="JM101" s="296" t="s">
        <v>7</v>
      </c>
      <c r="JN101" s="297">
        <v>1</v>
      </c>
      <c r="JO101" s="298">
        <v>2</v>
      </c>
      <c r="JP101" s="299">
        <v>3</v>
      </c>
      <c r="JQ101" s="300">
        <v>4</v>
      </c>
      <c r="JR101" s="300">
        <v>5</v>
      </c>
      <c r="JS101" s="300">
        <v>6</v>
      </c>
      <c r="JT101" s="300">
        <v>7</v>
      </c>
      <c r="JU101" s="300">
        <v>8</v>
      </c>
      <c r="JV101" s="300">
        <v>9</v>
      </c>
      <c r="JW101" s="296"/>
      <c r="JX101" s="302" t="s">
        <v>3291</v>
      </c>
      <c r="KT101" s="88" t="s">
        <v>112</v>
      </c>
      <c r="KU101" s="80" t="str">
        <f t="shared" ca="1" si="186"/>
        <v>No</v>
      </c>
      <c r="KV101" s="89" t="s">
        <v>129</v>
      </c>
      <c r="KW101" s="92" t="str">
        <f>IF(KW$1&gt;0,$KT101,"")</f>
        <v/>
      </c>
      <c r="KX101" s="92"/>
      <c r="KY101" s="92"/>
      <c r="KZ101" s="92"/>
      <c r="LA101" s="92"/>
      <c r="LB101" s="92"/>
      <c r="LC101" s="92"/>
      <c r="LD101" s="92"/>
      <c r="LE101" s="92"/>
      <c r="LF101" s="92"/>
      <c r="LG101" s="92"/>
      <c r="LH101" s="92"/>
      <c r="LI101" s="92"/>
      <c r="LJ101" s="92"/>
      <c r="LK101" s="92"/>
      <c r="LL101" s="92"/>
      <c r="LM101" s="92"/>
      <c r="LN101" s="92"/>
      <c r="LO101" s="92"/>
      <c r="LP101" s="92"/>
      <c r="LQ101" s="92"/>
      <c r="LR101" s="92"/>
      <c r="LS101" s="92"/>
      <c r="LT101" s="92"/>
      <c r="LU101" s="92"/>
      <c r="LV101" s="92"/>
      <c r="LW101" s="92"/>
      <c r="LX101" s="92"/>
      <c r="LY101" s="92"/>
      <c r="LZ101" s="92"/>
      <c r="MA101" s="92" t="str">
        <f t="shared" ca="1" si="187"/>
        <v/>
      </c>
      <c r="MB101" s="92"/>
      <c r="MC101" s="92"/>
      <c r="MD101" s="92" t="str">
        <f t="shared" ref="MD101:MD114" ca="1" si="200">IF(MD$1&gt;0,$KT101,"")</f>
        <v/>
      </c>
      <c r="ME101" s="92"/>
      <c r="MF101" s="92"/>
      <c r="MG101" s="92"/>
      <c r="MH101" s="92" t="str">
        <f t="shared" ca="1" si="189"/>
        <v/>
      </c>
      <c r="MI101" s="92" t="str">
        <f t="shared" ca="1" si="198"/>
        <v/>
      </c>
      <c r="MJ101" s="92"/>
      <c r="MK101" s="92"/>
      <c r="ML101" s="92"/>
      <c r="MM101" s="92"/>
      <c r="MN101" s="92"/>
      <c r="MO101" s="92"/>
      <c r="MP101" s="92"/>
      <c r="MQ101" s="92" t="str">
        <f t="shared" ref="MQ101:MS114" ca="1" si="201">IF(MQ$1&gt;0,$KT101,"")</f>
        <v/>
      </c>
      <c r="MR101" s="92"/>
      <c r="MS101" s="92" t="str">
        <f t="shared" ca="1" si="201"/>
        <v/>
      </c>
      <c r="MT101" s="92"/>
      <c r="MU101" s="92"/>
      <c r="MV101" s="92"/>
      <c r="MW101" s="92"/>
      <c r="MX101" s="92"/>
      <c r="MY101" s="92"/>
      <c r="MZ101" s="92"/>
      <c r="NA101" s="92"/>
      <c r="NB101" s="92"/>
      <c r="NC101" s="92"/>
      <c r="ND101" s="92"/>
      <c r="NE101" s="92"/>
      <c r="NF101" s="92"/>
      <c r="NG101" s="92"/>
      <c r="NH101" s="92"/>
      <c r="NI101" s="92"/>
      <c r="NJ101" s="92"/>
      <c r="NK101" s="92" t="str">
        <f t="shared" ref="NK101:NK114" ca="1" si="202">IF(NK$1&gt;2,$KT101,"")</f>
        <v/>
      </c>
      <c r="NL101" s="92"/>
      <c r="NM101" s="92"/>
      <c r="NN101" s="92"/>
      <c r="NO101" s="92"/>
      <c r="NP101" s="92"/>
      <c r="NQ101" s="92"/>
      <c r="NR101" s="92"/>
      <c r="NS101" s="92"/>
      <c r="NT101" s="92"/>
      <c r="NU101" s="92"/>
      <c r="NV101" s="92"/>
      <c r="NW101" s="92"/>
      <c r="NX101" s="92"/>
      <c r="NY101" s="92"/>
      <c r="NZ101" s="92"/>
      <c r="OA101" s="92"/>
      <c r="OB101" s="92"/>
      <c r="OC101" s="92"/>
      <c r="OD101" s="92"/>
      <c r="OE101" s="92"/>
      <c r="OF101" s="92"/>
      <c r="OG101" s="92"/>
      <c r="OH101" s="92"/>
      <c r="OI101" s="92"/>
      <c r="OJ101" s="92"/>
      <c r="OK101" s="92"/>
      <c r="OL101" s="92"/>
      <c r="OM101" s="92"/>
      <c r="ON101" s="92"/>
      <c r="OO101" s="92"/>
      <c r="OP101" s="92"/>
      <c r="OQ101" s="92"/>
      <c r="OR101" s="92"/>
      <c r="OS101" s="92"/>
      <c r="OT101" s="92"/>
      <c r="OU101" s="92"/>
      <c r="OV101" s="92"/>
      <c r="OW101" s="92"/>
      <c r="OX101" s="92"/>
      <c r="OY101" s="92"/>
      <c r="OZ101" s="92"/>
      <c r="PA101" s="92"/>
      <c r="PB101" s="92"/>
      <c r="PC101" s="92"/>
      <c r="PD101" s="92"/>
      <c r="PE101" s="92"/>
      <c r="PF101" s="92"/>
      <c r="PG101" s="92"/>
      <c r="PH101" s="92"/>
      <c r="PI101" s="92"/>
      <c r="PJ101" s="92"/>
      <c r="PK101" s="92"/>
      <c r="PL101" s="92"/>
      <c r="PM101" s="92"/>
      <c r="PN101" s="92"/>
      <c r="PO101" s="92"/>
      <c r="PP101" s="92"/>
      <c r="PQ101" s="92"/>
      <c r="PR101" s="92"/>
      <c r="PS101" s="92"/>
      <c r="PT101" s="92"/>
      <c r="PU101" s="59" t="str">
        <f t="shared" ref="PU101:PU119" ca="1" si="203">IF(AND($PU$81="",$PU$84=""),IF(COUNTIF(KW101:PT101,"&gt;&lt;"),KT101,""),"")</f>
        <v/>
      </c>
      <c r="PV101" s="59" t="str">
        <f ca="1">IF(PU101="","",IF(COUNTIF(PU101:$PU$125,"&gt;&lt;")&gt;1,PU101&amp;", ", PU101))</f>
        <v/>
      </c>
      <c r="PW101" s="59"/>
      <c r="PX101" s="59"/>
      <c r="TJ101" s="18">
        <f t="shared" si="181"/>
        <v>99</v>
      </c>
      <c r="TK101" s="58" t="s">
        <v>573</v>
      </c>
      <c r="TL101" s="58" t="s">
        <v>448</v>
      </c>
      <c r="TM101" s="18">
        <v>1</v>
      </c>
      <c r="TN101" s="59" t="str">
        <f t="shared" si="167"/>
        <v xml:space="preserve">Disguise Self </v>
      </c>
      <c r="TO101" s="18" t="str">
        <f>""</f>
        <v/>
      </c>
      <c r="TP101" s="18" t="str">
        <f t="shared" si="168"/>
        <v/>
      </c>
      <c r="TQ101" s="18" t="str">
        <f>IF(OR(TK101=Spellcasting!$AC$18,TK101=Spellcasting!$AC$19),"ᵐ","")</f>
        <v/>
      </c>
      <c r="TR101" s="18" t="str">
        <f>IF(OR(TK101=Spellcasting!$AC$20,TK101=Spellcasting!$AC$21),"ˢ","")</f>
        <v/>
      </c>
      <c r="TS101" s="18" t="str">
        <f>""</f>
        <v/>
      </c>
      <c r="TT101" s="18" t="s">
        <v>484</v>
      </c>
      <c r="TU101" s="18" t="s">
        <v>509</v>
      </c>
      <c r="TV101" s="18" t="s">
        <v>521</v>
      </c>
      <c r="TW101" s="18" t="s">
        <v>486</v>
      </c>
      <c r="TX101" s="59" t="str">
        <f>""</f>
        <v/>
      </c>
      <c r="TY101" s="18" t="s">
        <v>523</v>
      </c>
      <c r="TZ101" s="18" t="s">
        <v>524</v>
      </c>
      <c r="UA101" s="142" t="s">
        <v>976</v>
      </c>
      <c r="UB101" s="319" t="s">
        <v>3208</v>
      </c>
      <c r="UF101" s="18" t="str">
        <f ca="1">IF(UF$1&gt;=$TM101,1,"0")</f>
        <v>0</v>
      </c>
      <c r="UL101" s="18" t="str">
        <f ca="1">IF(UL$1&gt;=$TM101,1,"0")</f>
        <v>0</v>
      </c>
      <c r="VD101" s="18" t="str">
        <f>IF(VD$1&gt;=$TM101,1,"0")</f>
        <v>0</v>
      </c>
      <c r="VQ101" s="18" t="str">
        <f>IF(VQ$1&gt;=$TM101,1,"0")</f>
        <v>0</v>
      </c>
      <c r="WD101" s="18" t="str">
        <f ca="1">IF(SUM($VZ$1:$WC$1)&gt;0,IF(AND(SUM($VZ101:$WC101)&gt;0,$TM101=WE$1),MAX(WD$2:WD100)+1,""),IF(AND(SUM($UC101:$VY101)&gt;0,$TM101=WE$1),MAX(WD$2:WD100)+1,""))</f>
        <v/>
      </c>
      <c r="WE101" s="59" t="str">
        <f t="shared" ca="1" si="169"/>
        <v/>
      </c>
      <c r="WF101" s="18" t="str">
        <f ca="1">IF(AND(SUM($UB101:$VY101)&gt;0,$TM101=WG$1),MAX(WF$2:WF100)+1,"")</f>
        <v/>
      </c>
      <c r="WG101" s="59" t="str">
        <f t="shared" ca="1" si="170"/>
        <v/>
      </c>
      <c r="WH101" s="18" t="str">
        <f ca="1">IF(AND(SUM($UB101:$VY101)&gt;0,$TM101=WI$1),MAX(WH$2:WH100)+1,"")</f>
        <v/>
      </c>
      <c r="WI101" s="59" t="str">
        <f t="shared" ca="1" si="171"/>
        <v/>
      </c>
      <c r="WJ101" s="18" t="str">
        <f ca="1">IF(AND(SUM($UB101:$VY101)&gt;0,$TM101=WK$1),MAX(WJ$2:WJ100)+1,"")</f>
        <v/>
      </c>
      <c r="WK101" s="59" t="str">
        <f t="shared" ca="1" si="172"/>
        <v/>
      </c>
      <c r="WL101" s="18" t="str">
        <f ca="1">IF(AND(SUM($UB101:$VY101)&gt;0,$TM101=WM$1),MAX(WL$2:WL100)+1,"")</f>
        <v/>
      </c>
      <c r="WM101" s="59" t="str">
        <f t="shared" ca="1" si="173"/>
        <v/>
      </c>
      <c r="WN101" s="18" t="str">
        <f ca="1">IF(AND(SUM($UB101:$VY101)&gt;0,$TM101=WO$1),MAX(WN$2:WN100)+1,"")</f>
        <v/>
      </c>
      <c r="WO101" s="59" t="str">
        <f t="shared" ca="1" si="174"/>
        <v/>
      </c>
      <c r="WP101" s="18" t="str">
        <f ca="1">IF(AND(SUM($UB101:$VY101)&gt;0,$TM101=WQ$1),MAX(WP$2:WP100)+1,"")</f>
        <v/>
      </c>
      <c r="WQ101" s="59" t="str">
        <f t="shared" ca="1" si="175"/>
        <v/>
      </c>
      <c r="WR101" s="18" t="str">
        <f ca="1">IF(AND(SUM($UB101:$VY101)&gt;0,$TM101=WS$1),MAX(WR$2:WR100)+1,"")</f>
        <v/>
      </c>
      <c r="WS101" s="59" t="str">
        <f t="shared" ca="1" si="176"/>
        <v/>
      </c>
      <c r="WT101" s="18" t="str">
        <f ca="1">IF(AND(SUM($UB101:$VY101)&gt;0,$TM101=WU$1),MAX(WT$2:WT100)+1,"")</f>
        <v/>
      </c>
      <c r="WU101" s="59" t="str">
        <f t="shared" ca="1" si="177"/>
        <v/>
      </c>
      <c r="WV101" s="18" t="str">
        <f ca="1">IF(AND(SUM($UB101:$VY101)&gt;0,$TM101=WW$1),MAX(WV$2:WV100)+1,"")</f>
        <v/>
      </c>
      <c r="WW101" s="59" t="str">
        <f t="shared" ca="1" si="178"/>
        <v/>
      </c>
      <c r="WX101" s="18" t="str">
        <f ca="1">IF(AND(SUM($UB101:$VY101)&gt;0,$TM101=WY$1),MAX(WX$2:WX100)+1,"")</f>
        <v/>
      </c>
      <c r="WY101" s="59" t="str">
        <f t="shared" ca="1" si="179"/>
        <v/>
      </c>
      <c r="WZ101" s="59"/>
      <c r="XC101" s="59" t="str">
        <f t="shared" ca="1" si="197"/>
        <v/>
      </c>
    </row>
    <row r="102" spans="219:627" ht="9.9499999999999993" customHeight="1" x14ac:dyDescent="0.2">
      <c r="HK102" s="59"/>
      <c r="HL102" s="59"/>
      <c r="IX102" s="58" t="s">
        <v>3583</v>
      </c>
      <c r="IY102" s="58" t="s">
        <v>3541</v>
      </c>
      <c r="IZ102" s="58" t="s">
        <v>203</v>
      </c>
      <c r="JA102" s="58" t="s">
        <v>888</v>
      </c>
      <c r="JB102" s="58" t="s">
        <v>3542</v>
      </c>
      <c r="JM102" s="296">
        <v>1</v>
      </c>
      <c r="JN102" s="98">
        <v>1</v>
      </c>
      <c r="JO102" s="98" t="s">
        <v>140</v>
      </c>
      <c r="JP102" s="98" t="s">
        <v>140</v>
      </c>
      <c r="JQ102" s="98" t="s">
        <v>140</v>
      </c>
      <c r="JR102" s="98" t="s">
        <v>140</v>
      </c>
      <c r="JS102" s="98" t="s">
        <v>140</v>
      </c>
      <c r="JT102" s="98" t="s">
        <v>140</v>
      </c>
      <c r="JU102" s="98" t="s">
        <v>140</v>
      </c>
      <c r="JV102" s="98" t="s">
        <v>140</v>
      </c>
      <c r="JW102" s="80">
        <v>1</v>
      </c>
      <c r="JX102" s="302">
        <v>0</v>
      </c>
      <c r="KT102" s="88" t="s">
        <v>113</v>
      </c>
      <c r="KU102" s="80" t="str">
        <f t="shared" ca="1" si="186"/>
        <v>No</v>
      </c>
      <c r="KV102" s="89" t="s">
        <v>129</v>
      </c>
      <c r="KW102" s="92"/>
      <c r="KX102" s="92"/>
      <c r="KY102" s="92"/>
      <c r="KZ102" s="92"/>
      <c r="LA102" s="92"/>
      <c r="LB102" s="92"/>
      <c r="LC102" s="92"/>
      <c r="LD102" s="92"/>
      <c r="LE102" s="92"/>
      <c r="LF102" s="92"/>
      <c r="LG102" s="92"/>
      <c r="LH102" s="92"/>
      <c r="LI102" s="92"/>
      <c r="LJ102" s="92"/>
      <c r="LK102" s="92"/>
      <c r="LL102" s="92"/>
      <c r="LM102" s="92"/>
      <c r="LN102" s="92"/>
      <c r="LO102" s="92"/>
      <c r="LP102" s="92"/>
      <c r="LQ102" s="92"/>
      <c r="LR102" s="92"/>
      <c r="LS102" s="92"/>
      <c r="LT102" s="92"/>
      <c r="LU102" s="92"/>
      <c r="LV102" s="92"/>
      <c r="LW102" s="92"/>
      <c r="LX102" s="92"/>
      <c r="LY102" s="92"/>
      <c r="LZ102" s="92"/>
      <c r="MA102" s="92" t="str">
        <f t="shared" ca="1" si="187"/>
        <v/>
      </c>
      <c r="MB102" s="92"/>
      <c r="MC102" s="92"/>
      <c r="MD102" s="92" t="str">
        <f t="shared" ca="1" si="200"/>
        <v/>
      </c>
      <c r="ME102" s="92"/>
      <c r="MF102" s="92"/>
      <c r="MG102" s="92"/>
      <c r="MH102" s="92" t="str">
        <f t="shared" ca="1" si="189"/>
        <v/>
      </c>
      <c r="MI102" s="92" t="str">
        <f t="shared" ca="1" si="198"/>
        <v/>
      </c>
      <c r="MJ102" s="92"/>
      <c r="MK102" s="92"/>
      <c r="ML102" s="92"/>
      <c r="MM102" s="92"/>
      <c r="MN102" s="92"/>
      <c r="MO102" s="92"/>
      <c r="MP102" s="92"/>
      <c r="MQ102" s="92" t="str">
        <f t="shared" ca="1" si="201"/>
        <v/>
      </c>
      <c r="MR102" s="92"/>
      <c r="MS102" s="92" t="str">
        <f t="shared" ca="1" si="201"/>
        <v/>
      </c>
      <c r="MT102" s="92"/>
      <c r="MU102" s="92"/>
      <c r="MV102" s="92"/>
      <c r="MW102" s="92"/>
      <c r="MX102" s="92"/>
      <c r="MY102" s="92"/>
      <c r="MZ102" s="92"/>
      <c r="NA102" s="92"/>
      <c r="NB102" s="92"/>
      <c r="NC102" s="92"/>
      <c r="ND102" s="92"/>
      <c r="NE102" s="92"/>
      <c r="NF102" s="92"/>
      <c r="NG102" s="92"/>
      <c r="NH102" s="92"/>
      <c r="NI102" s="92"/>
      <c r="NJ102" s="92"/>
      <c r="NK102" s="92" t="str">
        <f t="shared" ca="1" si="202"/>
        <v/>
      </c>
      <c r="NL102" s="92"/>
      <c r="NM102" s="92"/>
      <c r="NN102" s="92"/>
      <c r="NO102" s="92"/>
      <c r="NP102" s="92"/>
      <c r="NQ102" s="92"/>
      <c r="NR102" s="92"/>
      <c r="NS102" s="92"/>
      <c r="NT102" s="92"/>
      <c r="NU102" s="92"/>
      <c r="NV102" s="92"/>
      <c r="NW102" s="92"/>
      <c r="NX102" s="92"/>
      <c r="NY102" s="92"/>
      <c r="NZ102" s="92"/>
      <c r="OA102" s="92"/>
      <c r="OB102" s="92"/>
      <c r="OC102" s="92"/>
      <c r="OD102" s="92"/>
      <c r="OE102" s="92"/>
      <c r="OF102" s="92"/>
      <c r="OG102" s="92"/>
      <c r="OH102" s="92"/>
      <c r="OI102" s="92"/>
      <c r="OJ102" s="92"/>
      <c r="OK102" s="92"/>
      <c r="OL102" s="92"/>
      <c r="OM102" s="92"/>
      <c r="ON102" s="92"/>
      <c r="OO102" s="92"/>
      <c r="OP102" s="92"/>
      <c r="OQ102" s="92"/>
      <c r="OR102" s="92"/>
      <c r="OS102" s="92"/>
      <c r="OT102" s="92"/>
      <c r="OU102" s="92"/>
      <c r="OV102" s="92"/>
      <c r="OW102" s="92"/>
      <c r="OX102" s="92"/>
      <c r="OY102" s="92"/>
      <c r="OZ102" s="92"/>
      <c r="PA102" s="92"/>
      <c r="PB102" s="92"/>
      <c r="PC102" s="92"/>
      <c r="PD102" s="92"/>
      <c r="PE102" s="92"/>
      <c r="PF102" s="92"/>
      <c r="PG102" s="92"/>
      <c r="PH102" s="92"/>
      <c r="PI102" s="92"/>
      <c r="PJ102" s="92"/>
      <c r="PK102" s="92"/>
      <c r="PL102" s="92"/>
      <c r="PM102" s="92"/>
      <c r="PN102" s="92"/>
      <c r="PO102" s="92"/>
      <c r="PP102" s="92"/>
      <c r="PQ102" s="92"/>
      <c r="PR102" s="92"/>
      <c r="PS102" s="92"/>
      <c r="PT102" s="92"/>
      <c r="PU102" s="59" t="str">
        <f t="shared" ca="1" si="203"/>
        <v/>
      </c>
      <c r="PV102" s="59" t="str">
        <f ca="1">IF(PU102="","",IF(COUNTIF(PU102:$PU$125,"&gt;&lt;")&gt;1,PU102&amp;", ", PU102))</f>
        <v/>
      </c>
      <c r="PW102" s="59"/>
      <c r="PX102" s="99"/>
      <c r="TJ102" s="18">
        <f t="shared" si="181"/>
        <v>100</v>
      </c>
      <c r="TK102" s="58" t="s">
        <v>574</v>
      </c>
      <c r="TL102" s="58" t="s">
        <v>463</v>
      </c>
      <c r="TM102" s="18">
        <v>6</v>
      </c>
      <c r="TN102" s="59" t="str">
        <f t="shared" si="167"/>
        <v xml:space="preserve">Disintegrate ᴴ </v>
      </c>
      <c r="TO102" s="350" t="s">
        <v>2991</v>
      </c>
      <c r="TP102" s="18" t="str">
        <f t="shared" si="168"/>
        <v/>
      </c>
      <c r="TQ102" s="18" t="str">
        <f>IF(OR(TK102=Spellcasting!$AC$18,TK102=Spellcasting!$AC$19),"ᵐ","")</f>
        <v/>
      </c>
      <c r="TR102" s="18" t="str">
        <f>IF(OR(TK102=Spellcasting!$AC$20,TK102=Spellcasting!$AC$21),"ˢ","")</f>
        <v/>
      </c>
      <c r="TS102" s="18" t="str">
        <f>""</f>
        <v/>
      </c>
      <c r="TT102" s="18" t="s">
        <v>484</v>
      </c>
      <c r="TU102" s="18" t="s">
        <v>850</v>
      </c>
      <c r="TV102" s="18" t="s">
        <v>505</v>
      </c>
      <c r="TW102" s="18" t="s">
        <v>495</v>
      </c>
      <c r="TX102" s="59" t="s">
        <v>977</v>
      </c>
      <c r="TY102" s="18" t="s">
        <v>491</v>
      </c>
      <c r="TZ102" s="18" t="s">
        <v>492</v>
      </c>
      <c r="UA102" s="142" t="s">
        <v>3209</v>
      </c>
      <c r="UB102" s="319" t="s">
        <v>3020</v>
      </c>
      <c r="UF102" s="18" t="str">
        <f ca="1">IF(UF$1&gt;=$TM102,1,"0")</f>
        <v>0</v>
      </c>
      <c r="UL102" s="18" t="str">
        <f ca="1">IF(UL$1&gt;=$TM102,1,"0")</f>
        <v>0</v>
      </c>
      <c r="WD102" s="18" t="str">
        <f ca="1">IF(SUM($VZ$1:$WC$1)&gt;0,IF(AND(SUM($VZ102:$WC102)&gt;0,$TM102=WE$1),MAX(WD$2:WD101)+1,""),IF(AND(SUM($UC102:$VY102)&gt;0,$TM102=WE$1),MAX(WD$2:WD101)+1,""))</f>
        <v/>
      </c>
      <c r="WE102" s="59" t="str">
        <f t="shared" ca="1" si="169"/>
        <v/>
      </c>
      <c r="WF102" s="18" t="str">
        <f ca="1">IF(AND(SUM($UB102:$VY102)&gt;0,$TM102=WG$1),MAX(WF$2:WF101)+1,"")</f>
        <v/>
      </c>
      <c r="WG102" s="59" t="str">
        <f t="shared" ca="1" si="170"/>
        <v/>
      </c>
      <c r="WH102" s="18" t="str">
        <f ca="1">IF(AND(SUM($UB102:$VY102)&gt;0,$TM102=WI$1),MAX(WH$2:WH101)+1,"")</f>
        <v/>
      </c>
      <c r="WI102" s="59" t="str">
        <f t="shared" ca="1" si="171"/>
        <v/>
      </c>
      <c r="WJ102" s="18" t="str">
        <f ca="1">IF(AND(SUM($UB102:$VY102)&gt;0,$TM102=WK$1),MAX(WJ$2:WJ101)+1,"")</f>
        <v/>
      </c>
      <c r="WK102" s="59" t="str">
        <f t="shared" ca="1" si="172"/>
        <v/>
      </c>
      <c r="WL102" s="18" t="str">
        <f ca="1">IF(AND(SUM($UB102:$VY102)&gt;0,$TM102=WM$1),MAX(WL$2:WL101)+1,"")</f>
        <v/>
      </c>
      <c r="WM102" s="59" t="str">
        <f t="shared" ca="1" si="173"/>
        <v/>
      </c>
      <c r="WN102" s="18" t="str">
        <f ca="1">IF(AND(SUM($UB102:$VY102)&gt;0,$TM102=WO$1),MAX(WN$2:WN101)+1,"")</f>
        <v/>
      </c>
      <c r="WO102" s="59" t="str">
        <f t="shared" ca="1" si="174"/>
        <v/>
      </c>
      <c r="WP102" s="18" t="str">
        <f ca="1">IF(AND(SUM($UB102:$VY102)&gt;0,$TM102=WQ$1),MAX(WP$2:WP101)+1,"")</f>
        <v/>
      </c>
      <c r="WQ102" s="59" t="str">
        <f t="shared" ca="1" si="175"/>
        <v/>
      </c>
      <c r="WR102" s="18" t="str">
        <f ca="1">IF(AND(SUM($UB102:$VY102)&gt;0,$TM102=WS$1),MAX(WR$2:WR101)+1,"")</f>
        <v/>
      </c>
      <c r="WS102" s="59" t="str">
        <f t="shared" ca="1" si="176"/>
        <v/>
      </c>
      <c r="WT102" s="18" t="str">
        <f ca="1">IF(AND(SUM($UB102:$VY102)&gt;0,$TM102=WU$1),MAX(WT$2:WT101)+1,"")</f>
        <v/>
      </c>
      <c r="WU102" s="59" t="str">
        <f t="shared" ca="1" si="177"/>
        <v/>
      </c>
      <c r="WV102" s="18" t="str">
        <f ca="1">IF(AND(SUM($UB102:$VY102)&gt;0,$TM102=WW$1),MAX(WV$2:WV101)+1,"")</f>
        <v/>
      </c>
      <c r="WW102" s="59" t="str">
        <f t="shared" ca="1" si="178"/>
        <v/>
      </c>
      <c r="WX102" s="18" t="str">
        <f ca="1">IF(AND(SUM($UB102:$VY102)&gt;0,$TM102=WY$1),MAX(WX$2:WX101)+1,"")</f>
        <v/>
      </c>
      <c r="WY102" s="59" t="str">
        <f t="shared" ca="1" si="179"/>
        <v/>
      </c>
      <c r="WZ102" s="59"/>
      <c r="XC102" s="59" t="str">
        <f t="shared" ca="1" si="197"/>
        <v/>
      </c>
    </row>
    <row r="103" spans="219:627" ht="9.9499999999999993" customHeight="1" x14ac:dyDescent="0.2">
      <c r="HK103" s="59"/>
      <c r="HL103" s="59"/>
      <c r="IX103" s="58" t="s">
        <v>3584</v>
      </c>
      <c r="IY103" s="58" t="s">
        <v>3543</v>
      </c>
      <c r="IZ103" s="58" t="s">
        <v>194</v>
      </c>
      <c r="JA103" s="58" t="s">
        <v>3544</v>
      </c>
      <c r="JB103" s="58" t="s">
        <v>3545</v>
      </c>
      <c r="JM103" s="296">
        <v>2</v>
      </c>
      <c r="JN103" s="18">
        <v>2</v>
      </c>
      <c r="JO103" s="98" t="s">
        <v>140</v>
      </c>
      <c r="JP103" s="98" t="s">
        <v>140</v>
      </c>
      <c r="JQ103" s="98" t="s">
        <v>140</v>
      </c>
      <c r="JR103" s="98" t="s">
        <v>140</v>
      </c>
      <c r="JS103" s="98" t="s">
        <v>140</v>
      </c>
      <c r="JT103" s="98" t="s">
        <v>140</v>
      </c>
      <c r="JU103" s="98" t="s">
        <v>140</v>
      </c>
      <c r="JV103" s="98" t="s">
        <v>140</v>
      </c>
      <c r="JW103" s="80">
        <v>1</v>
      </c>
      <c r="JX103" s="302">
        <v>2</v>
      </c>
      <c r="KT103" s="88" t="s">
        <v>114</v>
      </c>
      <c r="KU103" s="80" t="str">
        <f t="shared" ca="1" si="186"/>
        <v>No</v>
      </c>
      <c r="KV103" s="89" t="s">
        <v>129</v>
      </c>
      <c r="KW103" s="92"/>
      <c r="KX103" s="92"/>
      <c r="KY103" s="92"/>
      <c r="KZ103" s="92"/>
      <c r="LA103" s="92"/>
      <c r="LB103" s="92"/>
      <c r="LC103" s="92"/>
      <c r="LD103" s="92"/>
      <c r="LE103" s="92"/>
      <c r="LF103" s="92"/>
      <c r="LG103" s="92"/>
      <c r="LH103" s="92"/>
      <c r="LI103" s="92"/>
      <c r="LJ103" s="92"/>
      <c r="LK103" s="92"/>
      <c r="LL103" s="92"/>
      <c r="LM103" s="92"/>
      <c r="LN103" s="92"/>
      <c r="LO103" s="92"/>
      <c r="LP103" s="92"/>
      <c r="LQ103" s="92"/>
      <c r="LR103" s="92"/>
      <c r="LS103" s="92"/>
      <c r="LT103" s="92"/>
      <c r="LU103" s="92"/>
      <c r="LV103" s="92"/>
      <c r="LW103" s="92"/>
      <c r="LX103" s="92"/>
      <c r="LY103" s="92"/>
      <c r="LZ103" s="92"/>
      <c r="MA103" s="92" t="str">
        <f t="shared" ca="1" si="187"/>
        <v/>
      </c>
      <c r="MB103" s="92"/>
      <c r="MC103" s="92"/>
      <c r="MD103" s="92" t="str">
        <f t="shared" ca="1" si="200"/>
        <v/>
      </c>
      <c r="ME103" s="92"/>
      <c r="MF103" s="92"/>
      <c r="MG103" s="92"/>
      <c r="MH103" s="92" t="str">
        <f t="shared" ca="1" si="189"/>
        <v/>
      </c>
      <c r="MI103" s="92" t="str">
        <f t="shared" ca="1" si="198"/>
        <v/>
      </c>
      <c r="MJ103" s="92"/>
      <c r="MK103" s="92"/>
      <c r="ML103" s="92"/>
      <c r="MM103" s="92"/>
      <c r="MN103" s="92"/>
      <c r="MO103" s="92"/>
      <c r="MP103" s="92"/>
      <c r="MQ103" s="92" t="str">
        <f t="shared" ca="1" si="201"/>
        <v/>
      </c>
      <c r="MR103" s="92"/>
      <c r="MS103" s="92" t="str">
        <f t="shared" ca="1" si="201"/>
        <v/>
      </c>
      <c r="MT103" s="92"/>
      <c r="MU103" s="92"/>
      <c r="MV103" s="92"/>
      <c r="MW103" s="92"/>
      <c r="MX103" s="92"/>
      <c r="MY103" s="92"/>
      <c r="MZ103" s="92"/>
      <c r="NA103" s="92"/>
      <c r="NB103" s="92"/>
      <c r="NC103" s="92"/>
      <c r="ND103" s="92"/>
      <c r="NE103" s="92"/>
      <c r="NF103" s="92"/>
      <c r="NG103" s="92"/>
      <c r="NH103" s="92"/>
      <c r="NI103" s="92"/>
      <c r="NJ103" s="92"/>
      <c r="NK103" s="92" t="str">
        <f t="shared" ca="1" si="202"/>
        <v/>
      </c>
      <c r="NL103" s="92"/>
      <c r="NM103" s="92"/>
      <c r="NN103" s="92"/>
      <c r="NO103" s="92"/>
      <c r="NP103" s="92"/>
      <c r="NQ103" s="92"/>
      <c r="NR103" s="92"/>
      <c r="NS103" s="92"/>
      <c r="NT103" s="92"/>
      <c r="NU103" s="92"/>
      <c r="NV103" s="92"/>
      <c r="NW103" s="92"/>
      <c r="NX103" s="92"/>
      <c r="NY103" s="92"/>
      <c r="NZ103" s="92"/>
      <c r="OA103" s="92"/>
      <c r="OB103" s="92"/>
      <c r="OC103" s="92"/>
      <c r="OD103" s="92"/>
      <c r="OE103" s="92"/>
      <c r="OF103" s="92"/>
      <c r="OG103" s="92"/>
      <c r="OH103" s="92"/>
      <c r="OI103" s="92"/>
      <c r="OJ103" s="92"/>
      <c r="OK103" s="92"/>
      <c r="OL103" s="92"/>
      <c r="OM103" s="92"/>
      <c r="ON103" s="92"/>
      <c r="OO103" s="92"/>
      <c r="OP103" s="92"/>
      <c r="OQ103" s="92"/>
      <c r="OR103" s="92"/>
      <c r="OS103" s="92"/>
      <c r="OT103" s="92"/>
      <c r="OU103" s="92"/>
      <c r="OV103" s="92"/>
      <c r="OW103" s="92"/>
      <c r="OX103" s="92"/>
      <c r="OY103" s="92"/>
      <c r="OZ103" s="92"/>
      <c r="PA103" s="92"/>
      <c r="PB103" s="92"/>
      <c r="PC103" s="92"/>
      <c r="PD103" s="92"/>
      <c r="PE103" s="92"/>
      <c r="PF103" s="92"/>
      <c r="PG103" s="92"/>
      <c r="PH103" s="92"/>
      <c r="PI103" s="92"/>
      <c r="PJ103" s="92"/>
      <c r="PK103" s="92"/>
      <c r="PL103" s="92"/>
      <c r="PM103" s="92"/>
      <c r="PN103" s="92"/>
      <c r="PO103" s="92"/>
      <c r="PP103" s="92"/>
      <c r="PQ103" s="92"/>
      <c r="PR103" s="92"/>
      <c r="PS103" s="92"/>
      <c r="PT103" s="92"/>
      <c r="PU103" s="59" t="str">
        <f t="shared" ca="1" si="203"/>
        <v/>
      </c>
      <c r="PV103" s="59" t="str">
        <f ca="1">IF(PU103="","",IF(COUNTIF(PU103:$PU$125,"&gt;&lt;")&gt;1,PU103&amp;", ", PU103))</f>
        <v/>
      </c>
      <c r="PW103" s="59"/>
      <c r="PX103" s="99"/>
      <c r="TJ103" s="18">
        <f t="shared" si="181"/>
        <v>101</v>
      </c>
      <c r="TK103" s="58" t="s">
        <v>1979</v>
      </c>
      <c r="TL103" s="58" t="s">
        <v>462</v>
      </c>
      <c r="TM103" s="18">
        <v>5</v>
      </c>
      <c r="TN103" s="59" t="str">
        <f t="shared" si="167"/>
        <v xml:space="preserve">Dispel Evil and Good </v>
      </c>
      <c r="TO103" s="18" t="str">
        <f>""</f>
        <v/>
      </c>
      <c r="TP103" s="18" t="str">
        <f t="shared" si="168"/>
        <v/>
      </c>
      <c r="TQ103" s="18" t="str">
        <f>IF(OR(TK103=Spellcasting!$AC$18,TK103=Spellcasting!$AC$19),"ᵐ","")</f>
        <v/>
      </c>
      <c r="TR103" s="18" t="str">
        <f>IF(OR(TK103=Spellcasting!$AC$20,TK103=Spellcasting!$AC$21),"ˢ","")</f>
        <v/>
      </c>
      <c r="TS103" s="18" t="str">
        <f>""</f>
        <v/>
      </c>
      <c r="TT103" s="18" t="s">
        <v>484</v>
      </c>
      <c r="TU103" s="18" t="s">
        <v>509</v>
      </c>
      <c r="TV103" s="18" t="s">
        <v>558</v>
      </c>
      <c r="TW103" s="18" t="s">
        <v>495</v>
      </c>
      <c r="TX103" s="59" t="s">
        <v>2061</v>
      </c>
      <c r="TY103" s="18" t="s">
        <v>487</v>
      </c>
      <c r="TZ103" s="18" t="s">
        <v>488</v>
      </c>
      <c r="UA103" s="142" t="s">
        <v>2122</v>
      </c>
      <c r="UB103" s="319" t="s">
        <v>2123</v>
      </c>
      <c r="UD103" s="18" t="str">
        <f ca="1">IF(UD$1&gt;=$TM103,1,"0")</f>
        <v>0</v>
      </c>
      <c r="UH103" s="18" t="str">
        <f ca="1">IF(UH$1&gt;=$TM103,1,"0")</f>
        <v>0</v>
      </c>
      <c r="WD103" s="18" t="str">
        <f ca="1">IF(SUM($VZ$1:$WC$1)&gt;0,IF(AND(SUM($VZ103:$WC103)&gt;0,$TM103=WE$1),MAX(WD$2:WD102)+1,""),IF(AND(SUM($UC103:$VY103)&gt;0,$TM103=WE$1),MAX(WD$2:WD102)+1,""))</f>
        <v/>
      </c>
      <c r="WE103" s="59" t="str">
        <f t="shared" ca="1" si="169"/>
        <v/>
      </c>
      <c r="WF103" s="18" t="str">
        <f ca="1">IF(AND(SUM($UB103:$VY103)&gt;0,$TM103=WG$1),MAX(WF$2:WF102)+1,"")</f>
        <v/>
      </c>
      <c r="WG103" s="59" t="str">
        <f t="shared" ca="1" si="170"/>
        <v/>
      </c>
      <c r="WH103" s="18" t="str">
        <f ca="1">IF(AND(SUM($UB103:$VY103)&gt;0,$TM103=WI$1),MAX(WH$2:WH102)+1,"")</f>
        <v/>
      </c>
      <c r="WI103" s="59" t="str">
        <f t="shared" ca="1" si="171"/>
        <v/>
      </c>
      <c r="WJ103" s="18" t="str">
        <f ca="1">IF(AND(SUM($UB103:$VY103)&gt;0,$TM103=WK$1),MAX(WJ$2:WJ102)+1,"")</f>
        <v/>
      </c>
      <c r="WK103" s="59" t="str">
        <f t="shared" ca="1" si="172"/>
        <v/>
      </c>
      <c r="WL103" s="18" t="str">
        <f ca="1">IF(AND(SUM($UB103:$VY103)&gt;0,$TM103=WM$1),MAX(WL$2:WL102)+1,"")</f>
        <v/>
      </c>
      <c r="WM103" s="59" t="str">
        <f t="shared" ca="1" si="173"/>
        <v/>
      </c>
      <c r="WN103" s="18" t="str">
        <f ca="1">IF(AND(SUM($UB103:$VY103)&gt;0,$TM103=WO$1),MAX(WN$2:WN102)+1,"")</f>
        <v/>
      </c>
      <c r="WO103" s="59" t="str">
        <f t="shared" ca="1" si="174"/>
        <v/>
      </c>
      <c r="WP103" s="18" t="str">
        <f ca="1">IF(AND(SUM($UB103:$VY103)&gt;0,$TM103=WQ$1),MAX(WP$2:WP102)+1,"")</f>
        <v/>
      </c>
      <c r="WQ103" s="59" t="str">
        <f t="shared" ca="1" si="175"/>
        <v/>
      </c>
      <c r="WR103" s="18" t="str">
        <f ca="1">IF(AND(SUM($UB103:$VY103)&gt;0,$TM103=WS$1),MAX(WR$2:WR102)+1,"")</f>
        <v/>
      </c>
      <c r="WS103" s="59" t="str">
        <f t="shared" ca="1" si="176"/>
        <v/>
      </c>
      <c r="WT103" s="18" t="str">
        <f ca="1">IF(AND(SUM($UB103:$VY103)&gt;0,$TM103=WU$1),MAX(WT$2:WT102)+1,"")</f>
        <v/>
      </c>
      <c r="WU103" s="59" t="str">
        <f t="shared" ca="1" si="177"/>
        <v/>
      </c>
      <c r="WV103" s="18" t="str">
        <f ca="1">IF(AND(SUM($UB103:$VY103)&gt;0,$TM103=WW$1),MAX(WV$2:WV102)+1,"")</f>
        <v/>
      </c>
      <c r="WW103" s="59" t="str">
        <f t="shared" ca="1" si="178"/>
        <v/>
      </c>
      <c r="WX103" s="18" t="str">
        <f ca="1">IF(AND(SUM($UB103:$VY103)&gt;0,$TM103=WY$1),MAX(WX$2:WX102)+1,"")</f>
        <v/>
      </c>
      <c r="WY103" s="59" t="str">
        <f t="shared" ca="1" si="179"/>
        <v/>
      </c>
      <c r="WZ103" s="59"/>
      <c r="XC103" s="59" t="str">
        <f t="shared" ca="1" si="197"/>
        <v/>
      </c>
    </row>
    <row r="104" spans="219:627" ht="9.9499999999999993" customHeight="1" x14ac:dyDescent="0.2">
      <c r="HK104" s="59"/>
      <c r="HL104" s="59"/>
      <c r="IX104" s="58" t="s">
        <v>3585</v>
      </c>
      <c r="IY104" s="58" t="s">
        <v>1665</v>
      </c>
      <c r="IZ104" s="58" t="s">
        <v>194</v>
      </c>
      <c r="JA104" s="58" t="s">
        <v>281</v>
      </c>
      <c r="JB104" s="58" t="s">
        <v>3546</v>
      </c>
      <c r="JM104" s="296">
        <v>3</v>
      </c>
      <c r="JN104" s="98" t="s">
        <v>140</v>
      </c>
      <c r="JO104" s="98">
        <v>2</v>
      </c>
      <c r="JP104" s="98" t="s">
        <v>140</v>
      </c>
      <c r="JQ104" s="98" t="s">
        <v>140</v>
      </c>
      <c r="JR104" s="98" t="s">
        <v>140</v>
      </c>
      <c r="JS104" s="98" t="s">
        <v>140</v>
      </c>
      <c r="JT104" s="98" t="s">
        <v>140</v>
      </c>
      <c r="JU104" s="98" t="s">
        <v>140</v>
      </c>
      <c r="JV104" s="98" t="s">
        <v>140</v>
      </c>
      <c r="JW104" s="80">
        <v>2</v>
      </c>
      <c r="JX104" s="302">
        <v>2</v>
      </c>
      <c r="KT104" s="88" t="s">
        <v>115</v>
      </c>
      <c r="KU104" s="80" t="str">
        <f t="shared" ca="1" si="186"/>
        <v>No</v>
      </c>
      <c r="KV104" s="89" t="s">
        <v>129</v>
      </c>
      <c r="KW104" s="92"/>
      <c r="KX104" s="92"/>
      <c r="KY104" s="92"/>
      <c r="KZ104" s="92"/>
      <c r="LA104" s="92"/>
      <c r="LB104" s="92"/>
      <c r="LC104" s="92"/>
      <c r="LD104" s="92"/>
      <c r="LE104" s="92"/>
      <c r="LF104" s="92"/>
      <c r="LG104" s="92"/>
      <c r="LH104" s="92"/>
      <c r="LI104" s="92"/>
      <c r="LJ104" s="92"/>
      <c r="LK104" s="92"/>
      <c r="LL104" s="92"/>
      <c r="LM104" s="92"/>
      <c r="LN104" s="92"/>
      <c r="LO104" s="92"/>
      <c r="LP104" s="92"/>
      <c r="LQ104" s="92"/>
      <c r="LR104" s="92"/>
      <c r="LS104" s="92"/>
      <c r="LT104" s="92"/>
      <c r="LU104" s="92"/>
      <c r="LV104" s="92"/>
      <c r="LW104" s="92"/>
      <c r="LX104" s="92"/>
      <c r="LY104" s="92"/>
      <c r="LZ104" s="92"/>
      <c r="MA104" s="92" t="str">
        <f t="shared" ca="1" si="187"/>
        <v/>
      </c>
      <c r="MB104" s="92"/>
      <c r="MC104" s="92"/>
      <c r="MD104" s="92" t="str">
        <f t="shared" ca="1" si="200"/>
        <v/>
      </c>
      <c r="ME104" s="92"/>
      <c r="MF104" s="92"/>
      <c r="MG104" s="92"/>
      <c r="MH104" s="92" t="str">
        <f t="shared" ca="1" si="189"/>
        <v/>
      </c>
      <c r="MI104" s="92" t="str">
        <f t="shared" ca="1" si="198"/>
        <v/>
      </c>
      <c r="MJ104" s="92"/>
      <c r="MK104" s="92"/>
      <c r="ML104" s="92"/>
      <c r="MM104" s="92"/>
      <c r="MN104" s="92"/>
      <c r="MO104" s="92"/>
      <c r="MP104" s="92"/>
      <c r="MQ104" s="92" t="str">
        <f t="shared" ca="1" si="201"/>
        <v/>
      </c>
      <c r="MR104" s="92"/>
      <c r="MS104" s="92" t="str">
        <f t="shared" ca="1" si="201"/>
        <v/>
      </c>
      <c r="MT104" s="92"/>
      <c r="MU104" s="92"/>
      <c r="MV104" s="92"/>
      <c r="MW104" s="92"/>
      <c r="MX104" s="92"/>
      <c r="MY104" s="92"/>
      <c r="MZ104" s="92"/>
      <c r="NA104" s="92"/>
      <c r="NB104" s="92"/>
      <c r="NC104" s="92"/>
      <c r="ND104" s="92"/>
      <c r="NE104" s="92"/>
      <c r="NF104" s="92"/>
      <c r="NG104" s="92"/>
      <c r="NH104" s="92"/>
      <c r="NI104" s="92"/>
      <c r="NJ104" s="92"/>
      <c r="NK104" s="92" t="str">
        <f t="shared" ca="1" si="202"/>
        <v/>
      </c>
      <c r="NL104" s="92"/>
      <c r="NM104" s="92"/>
      <c r="NN104" s="92"/>
      <c r="NO104" s="92"/>
      <c r="NP104" s="92"/>
      <c r="NQ104" s="92"/>
      <c r="NR104" s="92"/>
      <c r="NS104" s="92"/>
      <c r="NT104" s="92"/>
      <c r="NU104" s="92"/>
      <c r="NV104" s="92"/>
      <c r="NW104" s="92"/>
      <c r="NX104" s="92"/>
      <c r="NY104" s="92"/>
      <c r="NZ104" s="92"/>
      <c r="OA104" s="92"/>
      <c r="OB104" s="92"/>
      <c r="OC104" s="92"/>
      <c r="OD104" s="92"/>
      <c r="OE104" s="92"/>
      <c r="OF104" s="92"/>
      <c r="OG104" s="92"/>
      <c r="OH104" s="92"/>
      <c r="OI104" s="92"/>
      <c r="OJ104" s="92"/>
      <c r="OK104" s="92"/>
      <c r="OL104" s="92"/>
      <c r="OM104" s="92"/>
      <c r="ON104" s="92"/>
      <c r="OO104" s="92"/>
      <c r="OP104" s="92"/>
      <c r="OQ104" s="92"/>
      <c r="OR104" s="92"/>
      <c r="OS104" s="92"/>
      <c r="OT104" s="92"/>
      <c r="OU104" s="92"/>
      <c r="OV104" s="92"/>
      <c r="OW104" s="92"/>
      <c r="OX104" s="92"/>
      <c r="OY104" s="92"/>
      <c r="OZ104" s="92"/>
      <c r="PA104" s="92"/>
      <c r="PB104" s="92"/>
      <c r="PC104" s="92"/>
      <c r="PD104" s="92"/>
      <c r="PE104" s="92"/>
      <c r="PF104" s="92"/>
      <c r="PG104" s="92"/>
      <c r="PH104" s="92"/>
      <c r="PI104" s="92"/>
      <c r="PJ104" s="92"/>
      <c r="PK104" s="92"/>
      <c r="PL104" s="92"/>
      <c r="PM104" s="92"/>
      <c r="PN104" s="92"/>
      <c r="PO104" s="92"/>
      <c r="PP104" s="92"/>
      <c r="PQ104" s="92"/>
      <c r="PR104" s="92"/>
      <c r="PS104" s="92"/>
      <c r="PT104" s="92"/>
      <c r="PU104" s="59" t="str">
        <f t="shared" ca="1" si="203"/>
        <v/>
      </c>
      <c r="PV104" s="59" t="str">
        <f ca="1">IF(PU104="","",IF(COUNTIF(PU104:$PU$125,"&gt;&lt;")&gt;1,PU104&amp;", ", PU104))</f>
        <v/>
      </c>
      <c r="PW104" s="59"/>
      <c r="PX104" s="99"/>
      <c r="TJ104" s="18">
        <f t="shared" si="181"/>
        <v>102</v>
      </c>
      <c r="TK104" s="58" t="s">
        <v>575</v>
      </c>
      <c r="TL104" s="58" t="s">
        <v>460</v>
      </c>
      <c r="TM104" s="18">
        <v>3</v>
      </c>
      <c r="TN104" s="59" t="str">
        <f t="shared" si="167"/>
        <v xml:space="preserve">Dispel Magic ᴴ </v>
      </c>
      <c r="TO104" s="350" t="s">
        <v>2991</v>
      </c>
      <c r="TP104" s="18" t="str">
        <f t="shared" si="168"/>
        <v/>
      </c>
      <c r="TQ104" s="18" t="str">
        <f>IF(OR(TK104=Spellcasting!$AC$18,TK104=Spellcasting!$AC$19),"ᵐ","")</f>
        <v/>
      </c>
      <c r="TR104" s="18" t="str">
        <f>IF(OR(TK104=Spellcasting!$AC$20,TK104=Spellcasting!$AC$21),"ˢ","")</f>
        <v/>
      </c>
      <c r="TS104" s="18" t="str">
        <f>""</f>
        <v/>
      </c>
      <c r="TT104" s="18" t="s">
        <v>484</v>
      </c>
      <c r="TU104" s="18" t="s">
        <v>848</v>
      </c>
      <c r="TV104" s="18" t="s">
        <v>505</v>
      </c>
      <c r="TW104" s="18" t="s">
        <v>486</v>
      </c>
      <c r="TX104" s="59" t="str">
        <f>""</f>
        <v/>
      </c>
      <c r="TY104" s="18" t="s">
        <v>487</v>
      </c>
      <c r="TZ104" s="18" t="s">
        <v>488</v>
      </c>
      <c r="UA104" s="142" t="s">
        <v>3162</v>
      </c>
      <c r="UB104" s="319" t="s">
        <v>876</v>
      </c>
      <c r="UC104" s="18" t="str">
        <f ca="1">IF(UC$1&gt;=$TM104,1,"0")</f>
        <v>0</v>
      </c>
      <c r="UD104" s="18" t="str">
        <f ca="1">IF(UD$1&gt;=$TM104,1,"0")</f>
        <v>0</v>
      </c>
      <c r="UF104" s="18" t="str">
        <f ca="1">IF(UF$1&gt;=$TM104,1,"0")</f>
        <v>0</v>
      </c>
      <c r="UG104" s="18" t="str">
        <f ca="1">IF(UG$1&gt;=$TM104,1,"0")</f>
        <v>0</v>
      </c>
      <c r="UH104" s="18" t="str">
        <f ca="1">IF(UH$1&gt;=$TM104,1,"0")</f>
        <v>0</v>
      </c>
      <c r="UI104" s="18" t="str">
        <f ca="1">IF(UI$1&gt;=$TM104,1,"0")</f>
        <v>0</v>
      </c>
      <c r="UL104" s="18" t="str">
        <f ca="1">IF(UL$1&gt;=$TM104,1,"0")</f>
        <v>0</v>
      </c>
      <c r="UO104" s="18" t="str">
        <f>IF(UO$1&gt;=$TM104,1,"0")</f>
        <v>0</v>
      </c>
      <c r="VD104" s="18" t="str">
        <f>IF(VD$1&gt;=$TM104,1,"0")</f>
        <v>0</v>
      </c>
      <c r="VP104" s="18" t="str">
        <f>IF(VP$1&gt;=$TM104,1,"0")</f>
        <v>0</v>
      </c>
      <c r="WD104" s="18" t="str">
        <f ca="1">IF(SUM($VZ$1:$WC$1)&gt;0,IF(AND(SUM($VZ104:$WC104)&gt;0,$TM104=WE$1),MAX(WD$2:WD103)+1,""),IF(AND(SUM($UC104:$VY104)&gt;0,$TM104=WE$1),MAX(WD$2:WD103)+1,""))</f>
        <v/>
      </c>
      <c r="WE104" s="59" t="str">
        <f t="shared" ca="1" si="169"/>
        <v/>
      </c>
      <c r="WF104" s="18" t="str">
        <f ca="1">IF(AND(SUM($UB104:$VY104)&gt;0,$TM104=WG$1),MAX(WF$2:WF103)+1,"")</f>
        <v/>
      </c>
      <c r="WG104" s="59" t="str">
        <f t="shared" ca="1" si="170"/>
        <v/>
      </c>
      <c r="WH104" s="18" t="str">
        <f ca="1">IF(AND(SUM($UB104:$VY104)&gt;0,$TM104=WI$1),MAX(WH$2:WH103)+1,"")</f>
        <v/>
      </c>
      <c r="WI104" s="59" t="str">
        <f t="shared" ca="1" si="171"/>
        <v/>
      </c>
      <c r="WJ104" s="18" t="str">
        <f ca="1">IF(AND(SUM($UB104:$VY104)&gt;0,$TM104=WK$1),MAX(WJ$2:WJ103)+1,"")</f>
        <v/>
      </c>
      <c r="WK104" s="59" t="str">
        <f t="shared" ca="1" si="172"/>
        <v/>
      </c>
      <c r="WL104" s="18" t="str">
        <f ca="1">IF(AND(SUM($UB104:$VY104)&gt;0,$TM104=WM$1),MAX(WL$2:WL103)+1,"")</f>
        <v/>
      </c>
      <c r="WM104" s="59" t="str">
        <f t="shared" ca="1" si="173"/>
        <v/>
      </c>
      <c r="WN104" s="18" t="str">
        <f ca="1">IF(AND(SUM($UB104:$VY104)&gt;0,$TM104=WO$1),MAX(WN$2:WN103)+1,"")</f>
        <v/>
      </c>
      <c r="WO104" s="59" t="str">
        <f t="shared" ca="1" si="174"/>
        <v/>
      </c>
      <c r="WP104" s="18" t="str">
        <f ca="1">IF(AND(SUM($UB104:$VY104)&gt;0,$TM104=WQ$1),MAX(WP$2:WP103)+1,"")</f>
        <v/>
      </c>
      <c r="WQ104" s="59" t="str">
        <f t="shared" ca="1" si="175"/>
        <v/>
      </c>
      <c r="WR104" s="18" t="str">
        <f ca="1">IF(AND(SUM($UB104:$VY104)&gt;0,$TM104=WS$1),MAX(WR$2:WR103)+1,"")</f>
        <v/>
      </c>
      <c r="WS104" s="59" t="str">
        <f t="shared" ca="1" si="176"/>
        <v/>
      </c>
      <c r="WT104" s="18" t="str">
        <f ca="1">IF(AND(SUM($UB104:$VY104)&gt;0,$TM104=WU$1),MAX(WT$2:WT103)+1,"")</f>
        <v/>
      </c>
      <c r="WU104" s="59" t="str">
        <f t="shared" ca="1" si="177"/>
        <v/>
      </c>
      <c r="WV104" s="18" t="str">
        <f ca="1">IF(AND(SUM($UB104:$VY104)&gt;0,$TM104=WW$1),MAX(WV$2:WV103)+1,"")</f>
        <v/>
      </c>
      <c r="WW104" s="59" t="str">
        <f t="shared" ca="1" si="178"/>
        <v/>
      </c>
      <c r="WX104" s="18" t="str">
        <f ca="1">IF(AND(SUM($UB104:$VY104)&gt;0,$TM104=WY$1),MAX(WX$2:WX103)+1,"")</f>
        <v/>
      </c>
      <c r="WY104" s="59" t="str">
        <f t="shared" ca="1" si="179"/>
        <v/>
      </c>
      <c r="WZ104" s="59"/>
      <c r="XC104" s="59" t="str">
        <f t="shared" ca="1" si="197"/>
        <v/>
      </c>
    </row>
    <row r="105" spans="219:627" ht="9.9499999999999993" customHeight="1" x14ac:dyDescent="0.2">
      <c r="HK105" s="59"/>
      <c r="HL105" s="59"/>
      <c r="IX105" s="209" t="s">
        <v>3573</v>
      </c>
      <c r="JM105" s="296">
        <v>4</v>
      </c>
      <c r="JN105" s="98" t="s">
        <v>140</v>
      </c>
      <c r="JO105" s="98">
        <v>2</v>
      </c>
      <c r="JP105" s="98" t="s">
        <v>140</v>
      </c>
      <c r="JQ105" s="98" t="s">
        <v>140</v>
      </c>
      <c r="JR105" s="98" t="s">
        <v>140</v>
      </c>
      <c r="JS105" s="98" t="s">
        <v>140</v>
      </c>
      <c r="JT105" s="98" t="s">
        <v>140</v>
      </c>
      <c r="JU105" s="98" t="s">
        <v>140</v>
      </c>
      <c r="JV105" s="98" t="s">
        <v>140</v>
      </c>
      <c r="JW105" s="80">
        <v>2</v>
      </c>
      <c r="JX105" s="302">
        <v>2</v>
      </c>
      <c r="KT105" s="88" t="s">
        <v>132</v>
      </c>
      <c r="KU105" s="80" t="str">
        <f t="shared" ca="1" si="186"/>
        <v>No</v>
      </c>
      <c r="KV105" s="89" t="s">
        <v>129</v>
      </c>
      <c r="KW105" s="92"/>
      <c r="KX105" s="92"/>
      <c r="KY105" s="92"/>
      <c r="KZ105" s="92"/>
      <c r="LA105" s="92"/>
      <c r="LB105" s="92"/>
      <c r="LC105" s="92"/>
      <c r="LD105" s="92"/>
      <c r="LE105" s="92"/>
      <c r="LF105" s="92"/>
      <c r="LG105" s="92"/>
      <c r="LH105" s="92"/>
      <c r="LI105" s="92"/>
      <c r="LJ105" s="92"/>
      <c r="LK105" s="92"/>
      <c r="LL105" s="92"/>
      <c r="LM105" s="92"/>
      <c r="LN105" s="92"/>
      <c r="LO105" s="92"/>
      <c r="LP105" s="92"/>
      <c r="LQ105" s="92"/>
      <c r="LR105" s="92"/>
      <c r="LS105" s="92"/>
      <c r="LT105" s="92"/>
      <c r="LU105" s="92"/>
      <c r="LV105" s="92"/>
      <c r="LW105" s="92"/>
      <c r="LX105" s="92"/>
      <c r="LY105" s="92"/>
      <c r="LZ105" s="92"/>
      <c r="MA105" s="92" t="str">
        <f t="shared" ca="1" si="187"/>
        <v/>
      </c>
      <c r="MB105" s="92"/>
      <c r="MC105" s="92"/>
      <c r="MD105" s="92" t="str">
        <f t="shared" ca="1" si="200"/>
        <v/>
      </c>
      <c r="ME105" s="92"/>
      <c r="MF105" s="92"/>
      <c r="MG105" s="92"/>
      <c r="MH105" s="92" t="str">
        <f t="shared" ca="1" si="189"/>
        <v/>
      </c>
      <c r="MI105" s="92" t="str">
        <f t="shared" ca="1" si="198"/>
        <v/>
      </c>
      <c r="MJ105" s="92"/>
      <c r="MK105" s="92"/>
      <c r="ML105" s="92"/>
      <c r="MM105" s="92"/>
      <c r="MN105" s="92"/>
      <c r="MO105" s="92"/>
      <c r="MP105" s="92"/>
      <c r="MQ105" s="92" t="str">
        <f t="shared" ca="1" si="201"/>
        <v/>
      </c>
      <c r="MR105" s="92"/>
      <c r="MS105" s="92" t="str">
        <f t="shared" ca="1" si="201"/>
        <v/>
      </c>
      <c r="MT105" s="92"/>
      <c r="MU105" s="92"/>
      <c r="MV105" s="92"/>
      <c r="MW105" s="92"/>
      <c r="MX105" s="92"/>
      <c r="MY105" s="92"/>
      <c r="MZ105" s="92"/>
      <c r="NA105" s="92"/>
      <c r="NB105" s="92"/>
      <c r="NC105" s="92"/>
      <c r="ND105" s="92"/>
      <c r="NE105" s="92"/>
      <c r="NF105" s="92"/>
      <c r="NG105" s="92"/>
      <c r="NH105" s="92"/>
      <c r="NI105" s="92"/>
      <c r="NJ105" s="92"/>
      <c r="NK105" s="92" t="str">
        <f t="shared" ca="1" si="202"/>
        <v/>
      </c>
      <c r="NL105" s="92"/>
      <c r="NM105" s="92"/>
      <c r="NN105" s="92"/>
      <c r="NO105" s="92"/>
      <c r="NP105" s="92"/>
      <c r="NQ105" s="92"/>
      <c r="NR105" s="92"/>
      <c r="NS105" s="92"/>
      <c r="NT105" s="92"/>
      <c r="NU105" s="92"/>
      <c r="NV105" s="92"/>
      <c r="NW105" s="92"/>
      <c r="NX105" s="92"/>
      <c r="NY105" s="92"/>
      <c r="NZ105" s="92"/>
      <c r="OA105" s="92"/>
      <c r="OB105" s="92"/>
      <c r="OC105" s="92"/>
      <c r="OD105" s="92"/>
      <c r="OE105" s="92"/>
      <c r="OF105" s="92"/>
      <c r="OG105" s="92"/>
      <c r="OH105" s="92"/>
      <c r="OI105" s="92"/>
      <c r="OJ105" s="92"/>
      <c r="OK105" s="92"/>
      <c r="OL105" s="92"/>
      <c r="OM105" s="92"/>
      <c r="ON105" s="92"/>
      <c r="OO105" s="92"/>
      <c r="OP105" s="92"/>
      <c r="OQ105" s="92"/>
      <c r="OR105" s="92"/>
      <c r="OS105" s="92"/>
      <c r="OT105" s="92"/>
      <c r="OU105" s="92"/>
      <c r="OV105" s="92"/>
      <c r="OW105" s="92"/>
      <c r="OX105" s="92"/>
      <c r="OY105" s="92"/>
      <c r="OZ105" s="92"/>
      <c r="PA105" s="92"/>
      <c r="PB105" s="92"/>
      <c r="PC105" s="92"/>
      <c r="PD105" s="92"/>
      <c r="PE105" s="92"/>
      <c r="PF105" s="92"/>
      <c r="PG105" s="92"/>
      <c r="PH105" s="92"/>
      <c r="PI105" s="92"/>
      <c r="PJ105" s="92"/>
      <c r="PK105" s="92"/>
      <c r="PL105" s="92"/>
      <c r="PM105" s="92"/>
      <c r="PN105" s="92"/>
      <c r="PO105" s="92"/>
      <c r="PP105" s="92"/>
      <c r="PQ105" s="92"/>
      <c r="PR105" s="92"/>
      <c r="PS105" s="92"/>
      <c r="PT105" s="92"/>
      <c r="PU105" s="59" t="str">
        <f t="shared" ca="1" si="203"/>
        <v/>
      </c>
      <c r="PV105" s="59" t="str">
        <f ca="1">IF(PU105="","",IF(COUNTIF(PU105:$PU$125,"&gt;&lt;")&gt;1,PU105&amp;", ", PU105))</f>
        <v/>
      </c>
      <c r="PW105" s="59"/>
      <c r="PX105" s="99"/>
      <c r="TJ105" s="18">
        <f t="shared" si="181"/>
        <v>103</v>
      </c>
      <c r="TK105" s="58" t="s">
        <v>2746</v>
      </c>
      <c r="TL105" s="58" t="s">
        <v>448</v>
      </c>
      <c r="TM105" s="18">
        <v>1</v>
      </c>
      <c r="TN105" s="59" t="str">
        <f t="shared" si="167"/>
        <v xml:space="preserve">Dissonant Whispers ᴴ </v>
      </c>
      <c r="TO105" s="350" t="s">
        <v>2991</v>
      </c>
      <c r="TP105" s="18" t="str">
        <f t="shared" si="168"/>
        <v/>
      </c>
      <c r="TQ105" s="18" t="str">
        <f>IF(OR(TK105=Spellcasting!$AC$18,TK105=Spellcasting!$AC$19),"ᵐ","")</f>
        <v/>
      </c>
      <c r="TR105" s="18" t="str">
        <f>IF(OR(TK105=Spellcasting!$AC$20,TK105=Spellcasting!$AC$21),"ˢ","")</f>
        <v/>
      </c>
      <c r="TS105" s="18" t="str">
        <f>""</f>
        <v/>
      </c>
      <c r="TT105" s="18" t="s">
        <v>484</v>
      </c>
      <c r="TU105" s="18" t="s">
        <v>850</v>
      </c>
      <c r="TV105" s="18" t="s">
        <v>505</v>
      </c>
      <c r="TW105" s="18" t="s">
        <v>541</v>
      </c>
      <c r="TY105" s="18" t="s">
        <v>498</v>
      </c>
      <c r="TZ105" s="18" t="s">
        <v>499</v>
      </c>
      <c r="UA105" s="142" t="s">
        <v>2747</v>
      </c>
      <c r="UB105" s="319" t="s">
        <v>3032</v>
      </c>
      <c r="UC105" s="18" t="str">
        <f ca="1">IF(UC$1&gt;=$TM105,1,"0")</f>
        <v>0</v>
      </c>
      <c r="UX105" s="18" t="str">
        <f>IF(UX$1&gt;=$TM105,1,"0")</f>
        <v>0</v>
      </c>
      <c r="WD105" s="18" t="str">
        <f ca="1">IF(SUM($VZ$1:$WC$1)&gt;0,IF(AND(SUM($VZ105:$WC105)&gt;0,$TM105=WE$1),MAX(WD$2:WD104)+1,""),IF(AND(SUM($UC105:$VY105)&gt;0,$TM105=WE$1),MAX(WD$2:WD104)+1,""))</f>
        <v/>
      </c>
      <c r="WE105" s="59" t="str">
        <f t="shared" ca="1" si="169"/>
        <v/>
      </c>
      <c r="WF105" s="18" t="str">
        <f ca="1">IF(AND(SUM($UB105:$VY105)&gt;0,$TM105=WG$1),MAX(WF$2:WF104)+1,"")</f>
        <v/>
      </c>
      <c r="WG105" s="59" t="str">
        <f t="shared" ca="1" si="170"/>
        <v/>
      </c>
      <c r="WH105" s="18" t="str">
        <f ca="1">IF(AND(SUM($UB105:$VY105)&gt;0,$TM105=WI$1),MAX(WH$2:WH104)+1,"")</f>
        <v/>
      </c>
      <c r="WI105" s="59" t="str">
        <f t="shared" ca="1" si="171"/>
        <v/>
      </c>
      <c r="WJ105" s="18" t="str">
        <f ca="1">IF(AND(SUM($UB105:$VY105)&gt;0,$TM105=WK$1),MAX(WJ$2:WJ104)+1,"")</f>
        <v/>
      </c>
      <c r="WK105" s="59" t="str">
        <f t="shared" ca="1" si="172"/>
        <v/>
      </c>
      <c r="WL105" s="18" t="str">
        <f ca="1">IF(AND(SUM($UB105:$VY105)&gt;0,$TM105=WM$1),MAX(WL$2:WL104)+1,"")</f>
        <v/>
      </c>
      <c r="WM105" s="59" t="str">
        <f t="shared" ca="1" si="173"/>
        <v/>
      </c>
      <c r="WN105" s="18" t="str">
        <f ca="1">IF(AND(SUM($UB105:$VY105)&gt;0,$TM105=WO$1),MAX(WN$2:WN104)+1,"")</f>
        <v/>
      </c>
      <c r="WO105" s="59" t="str">
        <f t="shared" ca="1" si="174"/>
        <v/>
      </c>
      <c r="WP105" s="18" t="str">
        <f ca="1">IF(AND(SUM($UB105:$VY105)&gt;0,$TM105=WQ$1),MAX(WP$2:WP104)+1,"")</f>
        <v/>
      </c>
      <c r="WQ105" s="59" t="str">
        <f t="shared" ca="1" si="175"/>
        <v/>
      </c>
      <c r="WR105" s="18" t="str">
        <f ca="1">IF(AND(SUM($UB105:$VY105)&gt;0,$TM105=WS$1),MAX(WR$2:WR104)+1,"")</f>
        <v/>
      </c>
      <c r="WS105" s="59" t="str">
        <f t="shared" ca="1" si="176"/>
        <v/>
      </c>
      <c r="WT105" s="18" t="str">
        <f ca="1">IF(AND(SUM($UB105:$VY105)&gt;0,$TM105=WU$1),MAX(WT$2:WT104)+1,"")</f>
        <v/>
      </c>
      <c r="WU105" s="59" t="str">
        <f t="shared" ca="1" si="177"/>
        <v/>
      </c>
      <c r="WV105" s="18" t="str">
        <f ca="1">IF(AND(SUM($UB105:$VY105)&gt;0,$TM105=WW$1),MAX(WV$2:WV104)+1,"")</f>
        <v/>
      </c>
      <c r="WW105" s="59" t="str">
        <f t="shared" ca="1" si="178"/>
        <v/>
      </c>
      <c r="WX105" s="18" t="str">
        <f ca="1">IF(AND(SUM($UB105:$VY105)&gt;0,$TM105=WY$1),MAX(WX$2:WX104)+1,"")</f>
        <v/>
      </c>
      <c r="WY105" s="59" t="str">
        <f t="shared" ca="1" si="179"/>
        <v/>
      </c>
      <c r="WZ105" s="59"/>
      <c r="XC105" s="59" t="str">
        <f t="shared" ca="1" si="197"/>
        <v/>
      </c>
    </row>
    <row r="106" spans="219:627" ht="9.9499999999999993" customHeight="1" x14ac:dyDescent="0.2">
      <c r="HK106" s="59"/>
      <c r="HL106" s="59"/>
      <c r="IX106" s="58" t="s">
        <v>3586</v>
      </c>
      <c r="IY106" s="58" t="s">
        <v>3547</v>
      </c>
      <c r="IZ106" s="58" t="s">
        <v>201</v>
      </c>
      <c r="JA106" s="58" t="s">
        <v>922</v>
      </c>
      <c r="JB106" s="58" t="s">
        <v>3549</v>
      </c>
      <c r="JM106" s="296">
        <v>5</v>
      </c>
      <c r="JN106" s="98" t="s">
        <v>140</v>
      </c>
      <c r="JO106" s="98" t="s">
        <v>140</v>
      </c>
      <c r="JP106" s="98">
        <v>2</v>
      </c>
      <c r="JQ106" s="98" t="s">
        <v>140</v>
      </c>
      <c r="JR106" s="98" t="s">
        <v>140</v>
      </c>
      <c r="JS106" s="98" t="s">
        <v>140</v>
      </c>
      <c r="JT106" s="98" t="s">
        <v>140</v>
      </c>
      <c r="JU106" s="98" t="s">
        <v>140</v>
      </c>
      <c r="JV106" s="98" t="s">
        <v>140</v>
      </c>
      <c r="JW106" s="80">
        <v>3</v>
      </c>
      <c r="JX106" s="302">
        <v>3</v>
      </c>
      <c r="KT106" s="88" t="s">
        <v>116</v>
      </c>
      <c r="KU106" s="80" t="str">
        <f t="shared" ca="1" si="186"/>
        <v>No</v>
      </c>
      <c r="KV106" s="89" t="s">
        <v>129</v>
      </c>
      <c r="KW106" s="92"/>
      <c r="KX106" s="92"/>
      <c r="KY106" s="92"/>
      <c r="KZ106" s="92"/>
      <c r="LA106" s="92"/>
      <c r="LB106" s="92"/>
      <c r="LC106" s="92"/>
      <c r="LD106" s="92"/>
      <c r="LE106" s="92"/>
      <c r="LF106" s="92"/>
      <c r="LG106" s="92"/>
      <c r="LH106" s="92"/>
      <c r="LI106" s="92"/>
      <c r="LJ106" s="92"/>
      <c r="LK106" s="92"/>
      <c r="LL106" s="92"/>
      <c r="LM106" s="92"/>
      <c r="LN106" s="92"/>
      <c r="LO106" s="92"/>
      <c r="LP106" s="92"/>
      <c r="LQ106" s="92"/>
      <c r="LR106" s="92"/>
      <c r="LS106" s="92"/>
      <c r="LT106" s="92"/>
      <c r="LU106" s="92"/>
      <c r="LV106" s="92"/>
      <c r="LW106" s="92"/>
      <c r="LX106" s="92"/>
      <c r="LY106" s="92"/>
      <c r="LZ106" s="96"/>
      <c r="MA106" s="92" t="str">
        <f t="shared" ca="1" si="187"/>
        <v/>
      </c>
      <c r="MB106" s="96"/>
      <c r="MC106" s="96"/>
      <c r="MD106" s="92" t="str">
        <f t="shared" ca="1" si="200"/>
        <v/>
      </c>
      <c r="ME106" s="96"/>
      <c r="MF106" s="96"/>
      <c r="MG106" s="96"/>
      <c r="MH106" s="92" t="str">
        <f t="shared" ca="1" si="189"/>
        <v/>
      </c>
      <c r="MI106" s="92" t="str">
        <f t="shared" ca="1" si="198"/>
        <v/>
      </c>
      <c r="MJ106" s="96"/>
      <c r="MK106" s="96"/>
      <c r="ML106" s="96"/>
      <c r="MM106" s="96"/>
      <c r="MN106" s="96"/>
      <c r="MO106" s="96"/>
      <c r="MP106" s="96"/>
      <c r="MQ106" s="92" t="str">
        <f t="shared" ca="1" si="201"/>
        <v/>
      </c>
      <c r="MR106" s="96"/>
      <c r="MS106" s="92" t="str">
        <f t="shared" ca="1" si="201"/>
        <v/>
      </c>
      <c r="MT106" s="96"/>
      <c r="MU106" s="96"/>
      <c r="MV106" s="96"/>
      <c r="MW106" s="96"/>
      <c r="MX106" s="96"/>
      <c r="MY106" s="96"/>
      <c r="MZ106" s="96"/>
      <c r="NA106" s="96"/>
      <c r="NB106" s="96"/>
      <c r="NC106" s="96"/>
      <c r="ND106" s="96"/>
      <c r="NE106" s="96"/>
      <c r="NF106" s="96"/>
      <c r="NG106" s="96"/>
      <c r="NH106" s="96"/>
      <c r="NI106" s="96"/>
      <c r="NJ106" s="96"/>
      <c r="NK106" s="92" t="str">
        <f t="shared" ca="1" si="202"/>
        <v/>
      </c>
      <c r="NL106" s="96"/>
      <c r="NM106" s="96"/>
      <c r="NN106" s="96"/>
      <c r="NO106" s="96"/>
      <c r="NP106" s="96"/>
      <c r="NQ106" s="96"/>
      <c r="NR106" s="96"/>
      <c r="NS106" s="96"/>
      <c r="NT106" s="96"/>
      <c r="NU106" s="96"/>
      <c r="NV106" s="96"/>
      <c r="NW106" s="96"/>
      <c r="NX106" s="96"/>
      <c r="NY106" s="96"/>
      <c r="NZ106" s="96"/>
      <c r="OA106" s="96"/>
      <c r="OB106" s="96"/>
      <c r="OC106" s="96"/>
      <c r="OD106" s="96"/>
      <c r="OE106" s="96"/>
      <c r="OF106" s="96"/>
      <c r="OG106" s="96"/>
      <c r="OH106" s="96"/>
      <c r="OI106" s="96"/>
      <c r="OJ106" s="96"/>
      <c r="OK106" s="96"/>
      <c r="OL106" s="96"/>
      <c r="OM106" s="96"/>
      <c r="ON106" s="96"/>
      <c r="OO106" s="96"/>
      <c r="OP106" s="96"/>
      <c r="OQ106" s="96"/>
      <c r="OR106" s="96"/>
      <c r="OS106" s="96"/>
      <c r="OT106" s="96"/>
      <c r="OU106" s="96"/>
      <c r="OV106" s="96"/>
      <c r="OW106" s="96"/>
      <c r="OX106" s="96"/>
      <c r="OY106" s="96"/>
      <c r="OZ106" s="96"/>
      <c r="PA106" s="96"/>
      <c r="PB106" s="96"/>
      <c r="PC106" s="96"/>
      <c r="PD106" s="96"/>
      <c r="PE106" s="96"/>
      <c r="PF106" s="96"/>
      <c r="PG106" s="96"/>
      <c r="PH106" s="96"/>
      <c r="PI106" s="96"/>
      <c r="PJ106" s="96"/>
      <c r="PK106" s="92"/>
      <c r="PL106" s="96"/>
      <c r="PM106" s="96"/>
      <c r="PN106" s="96"/>
      <c r="PO106" s="92"/>
      <c r="PP106" s="96"/>
      <c r="PQ106" s="96"/>
      <c r="PR106" s="96"/>
      <c r="PS106" s="96"/>
      <c r="PT106" s="96"/>
      <c r="PU106" s="59" t="str">
        <f t="shared" ca="1" si="203"/>
        <v/>
      </c>
      <c r="PV106" s="59" t="str">
        <f ca="1">IF(PU106="","",IF(COUNTIF(PU106:$PU$125,"&gt;&lt;")&gt;1,PU106&amp;", ", PU106))</f>
        <v/>
      </c>
      <c r="PW106" s="99"/>
      <c r="PX106" s="99"/>
      <c r="TJ106" s="18">
        <f t="shared" si="181"/>
        <v>104</v>
      </c>
      <c r="TK106" s="58" t="s">
        <v>291</v>
      </c>
      <c r="TL106" s="58" t="s">
        <v>461</v>
      </c>
      <c r="TM106" s="18">
        <v>4</v>
      </c>
      <c r="TN106" s="59" t="str">
        <f t="shared" si="167"/>
        <v xml:space="preserve">Divination </v>
      </c>
      <c r="TO106" s="18" t="str">
        <f>""</f>
        <v/>
      </c>
      <c r="TP106" s="18" t="str">
        <f t="shared" si="168"/>
        <v/>
      </c>
      <c r="TQ106" s="18" t="str">
        <f>IF(OR(TK106=Spellcasting!$AC$18,TK106=Spellcasting!$AC$19),"ᵐ","")</f>
        <v/>
      </c>
      <c r="TR106" s="18" t="str">
        <f>IF(OR(TK106=Spellcasting!$AC$20,TK106=Spellcasting!$AC$21),"ˢ","")</f>
        <v/>
      </c>
      <c r="TS106" s="18" t="s">
        <v>477</v>
      </c>
      <c r="TT106" s="18" t="s">
        <v>501</v>
      </c>
      <c r="TU106" s="18" t="s">
        <v>509</v>
      </c>
      <c r="TV106" s="18" t="s">
        <v>505</v>
      </c>
      <c r="TW106" s="18" t="s">
        <v>495</v>
      </c>
      <c r="TX106" s="59" t="s">
        <v>978</v>
      </c>
      <c r="TY106" s="18" t="s">
        <v>511</v>
      </c>
      <c r="TZ106" s="18" t="s">
        <v>512</v>
      </c>
      <c r="UA106" s="142" t="s">
        <v>979</v>
      </c>
      <c r="UB106" s="319" t="s">
        <v>980</v>
      </c>
      <c r="UH106" s="18" t="str">
        <f ca="1">IF(UH$1&gt;=$TM106,1,"0")</f>
        <v>0</v>
      </c>
      <c r="VJ106" s="18" t="str">
        <f>IF(VJ$1&gt;=$TM106,1,"0")</f>
        <v>0</v>
      </c>
      <c r="VK106" s="18" t="str">
        <f>IF(VK$1&gt;=$TM106,1,"0")</f>
        <v>0</v>
      </c>
      <c r="WD106" s="18" t="str">
        <f ca="1">IF(SUM($VZ$1:$WC$1)&gt;0,IF(AND(SUM($VZ106:$WC106)&gt;0,$TM106=WE$1),MAX(WD$2:WD105)+1,""),IF(AND(SUM($UC106:$VY106)&gt;0,$TM106=WE$1),MAX(WD$2:WD105)+1,""))</f>
        <v/>
      </c>
      <c r="WE106" s="59" t="str">
        <f t="shared" ca="1" si="169"/>
        <v/>
      </c>
      <c r="WF106" s="18" t="str">
        <f ca="1">IF(AND(SUM($UB106:$VY106)&gt;0,$TM106=WG$1),MAX(WF$2:WF105)+1,"")</f>
        <v/>
      </c>
      <c r="WG106" s="59" t="str">
        <f t="shared" ca="1" si="170"/>
        <v/>
      </c>
      <c r="WH106" s="18" t="str">
        <f ca="1">IF(AND(SUM($UB106:$VY106)&gt;0,$TM106=WI$1),MAX(WH$2:WH105)+1,"")</f>
        <v/>
      </c>
      <c r="WI106" s="59" t="str">
        <f t="shared" ca="1" si="171"/>
        <v/>
      </c>
      <c r="WJ106" s="18" t="str">
        <f ca="1">IF(AND(SUM($UB106:$VY106)&gt;0,$TM106=WK$1),MAX(WJ$2:WJ105)+1,"")</f>
        <v/>
      </c>
      <c r="WK106" s="59" t="str">
        <f t="shared" ca="1" si="172"/>
        <v/>
      </c>
      <c r="WL106" s="18" t="str">
        <f ca="1">IF(AND(SUM($UB106:$VY106)&gt;0,$TM106=WM$1),MAX(WL$2:WL105)+1,"")</f>
        <v/>
      </c>
      <c r="WM106" s="59" t="str">
        <f t="shared" ca="1" si="173"/>
        <v/>
      </c>
      <c r="WN106" s="18" t="str">
        <f ca="1">IF(AND(SUM($UB106:$VY106)&gt;0,$TM106=WO$1),MAX(WN$2:WN105)+1,"")</f>
        <v/>
      </c>
      <c r="WO106" s="59" t="str">
        <f t="shared" ca="1" si="174"/>
        <v/>
      </c>
      <c r="WP106" s="18" t="str">
        <f ca="1">IF(AND(SUM($UB106:$VY106)&gt;0,$TM106=WQ$1),MAX(WP$2:WP105)+1,"")</f>
        <v/>
      </c>
      <c r="WQ106" s="59" t="str">
        <f t="shared" ca="1" si="175"/>
        <v/>
      </c>
      <c r="WR106" s="18" t="str">
        <f ca="1">IF(AND(SUM($UB106:$VY106)&gt;0,$TM106=WS$1),MAX(WR$2:WR105)+1,"")</f>
        <v/>
      </c>
      <c r="WS106" s="59" t="str">
        <f t="shared" ca="1" si="176"/>
        <v/>
      </c>
      <c r="WT106" s="18" t="str">
        <f ca="1">IF(AND(SUM($UB106:$VY106)&gt;0,$TM106=WU$1),MAX(WT$2:WT105)+1,"")</f>
        <v/>
      </c>
      <c r="WU106" s="59" t="str">
        <f t="shared" ca="1" si="177"/>
        <v/>
      </c>
      <c r="WV106" s="18" t="str">
        <f ca="1">IF(AND(SUM($UB106:$VY106)&gt;0,$TM106=WW$1),MAX(WV$2:WV105)+1,"")</f>
        <v/>
      </c>
      <c r="WW106" s="59" t="str">
        <f t="shared" ca="1" si="178"/>
        <v/>
      </c>
      <c r="WX106" s="18" t="str">
        <f ca="1">IF(AND(SUM($UB106:$VY106)&gt;0,$TM106=WY$1),MAX(WX$2:WX105)+1,"")</f>
        <v/>
      </c>
      <c r="WY106" s="59" t="str">
        <f t="shared" ca="1" si="179"/>
        <v/>
      </c>
      <c r="WZ106" s="59"/>
      <c r="XC106" s="59" t="str">
        <f t="shared" ca="1" si="197"/>
        <v/>
      </c>
    </row>
    <row r="107" spans="219:627" ht="9.9499999999999993" customHeight="1" x14ac:dyDescent="0.2">
      <c r="HK107" s="59"/>
      <c r="HL107" s="59"/>
      <c r="IX107" s="58" t="s">
        <v>3587</v>
      </c>
      <c r="IY107" s="58" t="s">
        <v>3550</v>
      </c>
      <c r="IZ107" s="58" t="s">
        <v>201</v>
      </c>
      <c r="JA107" s="58" t="s">
        <v>284</v>
      </c>
      <c r="JB107" s="58" t="s">
        <v>3551</v>
      </c>
      <c r="JM107" s="296">
        <v>6</v>
      </c>
      <c r="JN107" s="98" t="s">
        <v>140</v>
      </c>
      <c r="JO107" s="98" t="s">
        <v>140</v>
      </c>
      <c r="JP107" s="98">
        <v>2</v>
      </c>
      <c r="JQ107" s="98" t="s">
        <v>140</v>
      </c>
      <c r="JR107" s="98" t="s">
        <v>140</v>
      </c>
      <c r="JS107" s="98" t="s">
        <v>140</v>
      </c>
      <c r="JT107" s="98" t="s">
        <v>140</v>
      </c>
      <c r="JU107" s="98" t="s">
        <v>140</v>
      </c>
      <c r="JV107" s="98" t="s">
        <v>140</v>
      </c>
      <c r="JW107" s="80">
        <v>3</v>
      </c>
      <c r="JX107" s="302">
        <v>3</v>
      </c>
      <c r="KT107" s="88" t="s">
        <v>117</v>
      </c>
      <c r="KU107" s="80" t="str">
        <f t="shared" ca="1" si="186"/>
        <v>No</v>
      </c>
      <c r="KV107" s="89" t="s">
        <v>129</v>
      </c>
      <c r="KW107" s="92"/>
      <c r="KX107" s="92"/>
      <c r="KY107" s="92"/>
      <c r="KZ107" s="92"/>
      <c r="LA107" s="92"/>
      <c r="LB107" s="92"/>
      <c r="LC107" s="92"/>
      <c r="LD107" s="92"/>
      <c r="LE107" s="92"/>
      <c r="LF107" s="92"/>
      <c r="LG107" s="92"/>
      <c r="LH107" s="92"/>
      <c r="LI107" s="92"/>
      <c r="LJ107" s="92"/>
      <c r="LK107" s="92"/>
      <c r="LL107" s="92"/>
      <c r="LM107" s="92"/>
      <c r="LN107" s="92"/>
      <c r="LO107" s="92"/>
      <c r="LP107" s="92"/>
      <c r="LQ107" s="92"/>
      <c r="LR107" s="92"/>
      <c r="LS107" s="92"/>
      <c r="LT107" s="92"/>
      <c r="LU107" s="92"/>
      <c r="LV107" s="92"/>
      <c r="LW107" s="92"/>
      <c r="LX107" s="92"/>
      <c r="LY107" s="92"/>
      <c r="LZ107" s="96"/>
      <c r="MA107" s="92" t="str">
        <f t="shared" ca="1" si="187"/>
        <v/>
      </c>
      <c r="MB107" s="96"/>
      <c r="MC107" s="96"/>
      <c r="MD107" s="92" t="str">
        <f t="shared" ca="1" si="200"/>
        <v/>
      </c>
      <c r="ME107" s="96"/>
      <c r="MF107" s="96"/>
      <c r="MG107" s="96"/>
      <c r="MH107" s="92" t="str">
        <f t="shared" ca="1" si="189"/>
        <v/>
      </c>
      <c r="MI107" s="92" t="str">
        <f t="shared" ca="1" si="198"/>
        <v/>
      </c>
      <c r="MJ107" s="96"/>
      <c r="MK107" s="96"/>
      <c r="ML107" s="96"/>
      <c r="MM107" s="96"/>
      <c r="MN107" s="96"/>
      <c r="MO107" s="96"/>
      <c r="MP107" s="96"/>
      <c r="MQ107" s="92" t="str">
        <f t="shared" ca="1" si="201"/>
        <v/>
      </c>
      <c r="MR107" s="96"/>
      <c r="MS107" s="92" t="str">
        <f t="shared" ca="1" si="201"/>
        <v/>
      </c>
      <c r="MT107" s="96"/>
      <c r="MU107" s="96"/>
      <c r="MV107" s="96"/>
      <c r="MW107" s="96"/>
      <c r="MX107" s="96"/>
      <c r="MY107" s="96"/>
      <c r="MZ107" s="96"/>
      <c r="NA107" s="96"/>
      <c r="NB107" s="96"/>
      <c r="NC107" s="96"/>
      <c r="ND107" s="96"/>
      <c r="NE107" s="96"/>
      <c r="NF107" s="96"/>
      <c r="NG107" s="96"/>
      <c r="NH107" s="96"/>
      <c r="NI107" s="96"/>
      <c r="NJ107" s="96"/>
      <c r="NK107" s="92" t="str">
        <f t="shared" ca="1" si="202"/>
        <v/>
      </c>
      <c r="NL107" s="96"/>
      <c r="NM107" s="96"/>
      <c r="NN107" s="96"/>
      <c r="NO107" s="96"/>
      <c r="NP107" s="96"/>
      <c r="NQ107" s="96"/>
      <c r="NR107" s="96"/>
      <c r="NS107" s="96"/>
      <c r="NT107" s="96"/>
      <c r="NU107" s="96"/>
      <c r="NV107" s="96"/>
      <c r="NW107" s="96"/>
      <c r="NX107" s="96"/>
      <c r="NY107" s="96"/>
      <c r="NZ107" s="96"/>
      <c r="OA107" s="96"/>
      <c r="OB107" s="96"/>
      <c r="OC107" s="96"/>
      <c r="OD107" s="96"/>
      <c r="OE107" s="96"/>
      <c r="OF107" s="96"/>
      <c r="OG107" s="96"/>
      <c r="OH107" s="96"/>
      <c r="OI107" s="96"/>
      <c r="OJ107" s="96"/>
      <c r="OK107" s="96"/>
      <c r="OL107" s="96"/>
      <c r="OM107" s="96"/>
      <c r="ON107" s="96"/>
      <c r="OO107" s="96"/>
      <c r="OP107" s="96"/>
      <c r="OQ107" s="96"/>
      <c r="OR107" s="96"/>
      <c r="OS107" s="96"/>
      <c r="OT107" s="96"/>
      <c r="OU107" s="96"/>
      <c r="OV107" s="96"/>
      <c r="OW107" s="96"/>
      <c r="OX107" s="96"/>
      <c r="OY107" s="96"/>
      <c r="OZ107" s="96"/>
      <c r="PA107" s="96"/>
      <c r="PB107" s="96"/>
      <c r="PC107" s="96"/>
      <c r="PD107" s="96"/>
      <c r="PE107" s="96"/>
      <c r="PF107" s="96"/>
      <c r="PG107" s="96"/>
      <c r="PH107" s="96"/>
      <c r="PI107" s="96"/>
      <c r="PJ107" s="96"/>
      <c r="PK107" s="96"/>
      <c r="PL107" s="96"/>
      <c r="PM107" s="96"/>
      <c r="PN107" s="92"/>
      <c r="PO107" s="92"/>
      <c r="PP107" s="96"/>
      <c r="PQ107" s="96"/>
      <c r="PR107" s="96"/>
      <c r="PS107" s="96"/>
      <c r="PT107" s="96"/>
      <c r="PU107" s="59" t="str">
        <f t="shared" ca="1" si="203"/>
        <v/>
      </c>
      <c r="PV107" s="59" t="str">
        <f ca="1">IF(PU107="","",IF(COUNTIF(PU107:$PU$125,"&gt;&lt;")&gt;1,PU107&amp;", ", PU107))</f>
        <v/>
      </c>
      <c r="PW107" s="99"/>
      <c r="PX107" s="99"/>
      <c r="TJ107" s="18">
        <f t="shared" si="181"/>
        <v>105</v>
      </c>
      <c r="TK107" s="58" t="s">
        <v>576</v>
      </c>
      <c r="TL107" s="58" t="s">
        <v>448</v>
      </c>
      <c r="TM107" s="18">
        <v>1</v>
      </c>
      <c r="TN107" s="59" t="str">
        <f t="shared" si="167"/>
        <v xml:space="preserve">Divine Favor </v>
      </c>
      <c r="TO107" s="18" t="str">
        <f>""</f>
        <v/>
      </c>
      <c r="TP107" s="18" t="str">
        <f t="shared" si="168"/>
        <v/>
      </c>
      <c r="TQ107" s="18" t="str">
        <f>IF(OR(TK107=Spellcasting!$AC$18,TK107=Spellcasting!$AC$19),"ᵐ","")</f>
        <v/>
      </c>
      <c r="TR107" s="18" t="str">
        <f>IF(OR(TK107=Spellcasting!$AC$20,TK107=Spellcasting!$AC$21),"ˢ","")</f>
        <v/>
      </c>
      <c r="TS107" s="18" t="str">
        <f>""</f>
        <v/>
      </c>
      <c r="TT107" s="18" t="s">
        <v>1256</v>
      </c>
      <c r="TU107" s="18" t="s">
        <v>509</v>
      </c>
      <c r="TV107" s="18" t="s">
        <v>558</v>
      </c>
      <c r="TW107" s="18" t="s">
        <v>486</v>
      </c>
      <c r="TX107" s="59" t="str">
        <f>""</f>
        <v/>
      </c>
      <c r="TY107" s="18" t="s">
        <v>534</v>
      </c>
      <c r="TZ107" s="18" t="s">
        <v>535</v>
      </c>
      <c r="UA107" s="59" t="s">
        <v>1393</v>
      </c>
      <c r="UB107" s="319" t="s">
        <v>1394</v>
      </c>
      <c r="UD107" s="18" t="str">
        <f ca="1">IF(UD$1&gt;=$TM107,1,"0")</f>
        <v>0</v>
      </c>
      <c r="VE107" s="18" t="str">
        <f>IF(VE$1&gt;=$TM107,1,"0")</f>
        <v>0</v>
      </c>
      <c r="WD107" s="18" t="str">
        <f ca="1">IF(SUM($VZ$1:$WC$1)&gt;0,IF(AND(SUM($VZ107:$WC107)&gt;0,$TM107=WE$1),MAX(WD$2:WD106)+1,""),IF(AND(SUM($UC107:$VY107)&gt;0,$TM107=WE$1),MAX(WD$2:WD106)+1,""))</f>
        <v/>
      </c>
      <c r="WE107" s="59" t="str">
        <f t="shared" ca="1" si="169"/>
        <v/>
      </c>
      <c r="WF107" s="18" t="str">
        <f ca="1">IF(AND(SUM($UB107:$VY107)&gt;0,$TM107=WG$1),MAX(WF$2:WF106)+1,"")</f>
        <v/>
      </c>
      <c r="WG107" s="59" t="str">
        <f t="shared" ca="1" si="170"/>
        <v/>
      </c>
      <c r="WH107" s="18" t="str">
        <f ca="1">IF(AND(SUM($UB107:$VY107)&gt;0,$TM107=WI$1),MAX(WH$2:WH106)+1,"")</f>
        <v/>
      </c>
      <c r="WI107" s="59" t="str">
        <f t="shared" ca="1" si="171"/>
        <v/>
      </c>
      <c r="WJ107" s="18" t="str">
        <f ca="1">IF(AND(SUM($UB107:$VY107)&gt;0,$TM107=WK$1),MAX(WJ$2:WJ106)+1,"")</f>
        <v/>
      </c>
      <c r="WK107" s="59" t="str">
        <f t="shared" ca="1" si="172"/>
        <v/>
      </c>
      <c r="WL107" s="18" t="str">
        <f ca="1">IF(AND(SUM($UB107:$VY107)&gt;0,$TM107=WM$1),MAX(WL$2:WL106)+1,"")</f>
        <v/>
      </c>
      <c r="WM107" s="59" t="str">
        <f t="shared" ca="1" si="173"/>
        <v/>
      </c>
      <c r="WN107" s="18" t="str">
        <f ca="1">IF(AND(SUM($UB107:$VY107)&gt;0,$TM107=WO$1),MAX(WN$2:WN106)+1,"")</f>
        <v/>
      </c>
      <c r="WO107" s="59" t="str">
        <f t="shared" ca="1" si="174"/>
        <v/>
      </c>
      <c r="WP107" s="18" t="str">
        <f ca="1">IF(AND(SUM($UB107:$VY107)&gt;0,$TM107=WQ$1),MAX(WP$2:WP106)+1,"")</f>
        <v/>
      </c>
      <c r="WQ107" s="59" t="str">
        <f t="shared" ca="1" si="175"/>
        <v/>
      </c>
      <c r="WR107" s="18" t="str">
        <f ca="1">IF(AND(SUM($UB107:$VY107)&gt;0,$TM107=WS$1),MAX(WR$2:WR106)+1,"")</f>
        <v/>
      </c>
      <c r="WS107" s="59" t="str">
        <f t="shared" ca="1" si="176"/>
        <v/>
      </c>
      <c r="WT107" s="18" t="str">
        <f ca="1">IF(AND(SUM($UB107:$VY107)&gt;0,$TM107=WU$1),MAX(WT$2:WT106)+1,"")</f>
        <v/>
      </c>
      <c r="WU107" s="59" t="str">
        <f t="shared" ca="1" si="177"/>
        <v/>
      </c>
      <c r="WV107" s="18" t="str">
        <f ca="1">IF(AND(SUM($UB107:$VY107)&gt;0,$TM107=WW$1),MAX(WV$2:WV106)+1,"")</f>
        <v/>
      </c>
      <c r="WW107" s="59" t="str">
        <f t="shared" ca="1" si="178"/>
        <v/>
      </c>
      <c r="WX107" s="18" t="str">
        <f ca="1">IF(AND(SUM($UB107:$VY107)&gt;0,$TM107=WY$1),MAX(WX$2:WX106)+1,"")</f>
        <v/>
      </c>
      <c r="WY107" s="59" t="str">
        <f t="shared" ca="1" si="179"/>
        <v/>
      </c>
      <c r="WZ107" s="59"/>
      <c r="XC107" s="59" t="str">
        <f t="shared" ca="1" si="197"/>
        <v/>
      </c>
    </row>
    <row r="108" spans="219:627" ht="9.9499999999999993" customHeight="1" x14ac:dyDescent="0.2">
      <c r="HK108" s="59"/>
      <c r="HL108" s="59"/>
      <c r="IW108" s="209"/>
      <c r="IX108" s="58" t="s">
        <v>3588</v>
      </c>
      <c r="IY108" s="58" t="s">
        <v>3552</v>
      </c>
      <c r="IZ108" s="58" t="s">
        <v>201</v>
      </c>
      <c r="JA108" s="58" t="s">
        <v>890</v>
      </c>
      <c r="JB108" s="58" t="s">
        <v>3553</v>
      </c>
      <c r="JM108" s="296">
        <v>7</v>
      </c>
      <c r="JN108" s="98" t="s">
        <v>140</v>
      </c>
      <c r="JO108" s="98" t="s">
        <v>140</v>
      </c>
      <c r="JP108" s="98" t="s">
        <v>140</v>
      </c>
      <c r="JQ108" s="98">
        <v>2</v>
      </c>
      <c r="JR108" s="98" t="s">
        <v>140</v>
      </c>
      <c r="JS108" s="98" t="s">
        <v>140</v>
      </c>
      <c r="JT108" s="98" t="s">
        <v>140</v>
      </c>
      <c r="JU108" s="98" t="s">
        <v>140</v>
      </c>
      <c r="JV108" s="98" t="s">
        <v>140</v>
      </c>
      <c r="JW108" s="80">
        <v>4</v>
      </c>
      <c r="JX108" s="302">
        <v>4</v>
      </c>
      <c r="KT108" s="88" t="s">
        <v>118</v>
      </c>
      <c r="KU108" s="80" t="str">
        <f t="shared" ca="1" si="186"/>
        <v>No</v>
      </c>
      <c r="KV108" s="89" t="s">
        <v>129</v>
      </c>
      <c r="KW108" s="92"/>
      <c r="KX108" s="92"/>
      <c r="KY108" s="92"/>
      <c r="KZ108" s="92"/>
      <c r="LA108" s="92"/>
      <c r="LB108" s="92"/>
      <c r="LC108" s="92"/>
      <c r="LD108" s="92"/>
      <c r="LE108" s="92"/>
      <c r="LF108" s="92"/>
      <c r="LG108" s="92"/>
      <c r="LH108" s="92"/>
      <c r="LI108" s="92"/>
      <c r="LJ108" s="92" t="str">
        <f>IF(LJ$1&gt;0,$KT108,"")</f>
        <v/>
      </c>
      <c r="LK108" s="92" t="str">
        <f>IF(LK$1&gt;0,$KT108,"")</f>
        <v/>
      </c>
      <c r="LL108" s="92"/>
      <c r="LM108" s="92" t="str">
        <f>IF(LM$1&gt;0,$KT108,"")</f>
        <v/>
      </c>
      <c r="LN108" s="92"/>
      <c r="LO108" s="92"/>
      <c r="LP108" s="92"/>
      <c r="LQ108" s="92"/>
      <c r="LR108" s="92"/>
      <c r="LS108" s="92"/>
      <c r="LT108" s="92"/>
      <c r="LU108" s="92"/>
      <c r="LV108" s="92"/>
      <c r="LW108" s="92"/>
      <c r="LX108" s="92"/>
      <c r="LY108" s="92"/>
      <c r="LZ108" s="96"/>
      <c r="MA108" s="92" t="str">
        <f t="shared" ca="1" si="187"/>
        <v/>
      </c>
      <c r="MB108" s="92" t="str">
        <f>IF(Class1=MB$5,IF(MB$1&gt;0,$KT108,""),"")</f>
        <v/>
      </c>
      <c r="MC108" s="96"/>
      <c r="MD108" s="92" t="str">
        <f t="shared" ca="1" si="200"/>
        <v/>
      </c>
      <c r="ME108" s="92" t="str">
        <f>IF(Class1=ME$5,IF(ME$1&gt;0,$KT108,""),"")</f>
        <v/>
      </c>
      <c r="MF108" s="96"/>
      <c r="MG108" s="96"/>
      <c r="MH108" s="92" t="str">
        <f t="shared" ca="1" si="189"/>
        <v/>
      </c>
      <c r="MI108" s="92" t="str">
        <f t="shared" ca="1" si="198"/>
        <v/>
      </c>
      <c r="MJ108" s="96"/>
      <c r="MK108" s="92"/>
      <c r="ML108" s="92"/>
      <c r="MM108" s="92"/>
      <c r="MN108" s="92"/>
      <c r="MO108" s="92"/>
      <c r="MP108" s="92"/>
      <c r="MQ108" s="92" t="str">
        <f t="shared" ca="1" si="201"/>
        <v/>
      </c>
      <c r="MR108" s="92"/>
      <c r="MS108" s="92" t="str">
        <f t="shared" ca="1" si="201"/>
        <v/>
      </c>
      <c r="MT108" s="92"/>
      <c r="MU108" s="92"/>
      <c r="MV108" s="92"/>
      <c r="MW108" s="92"/>
      <c r="MX108" s="92"/>
      <c r="MY108" s="92"/>
      <c r="MZ108" s="92"/>
      <c r="NA108" s="92"/>
      <c r="NB108" s="92"/>
      <c r="NC108" s="92"/>
      <c r="ND108" s="92"/>
      <c r="NE108" s="92"/>
      <c r="NF108" s="92"/>
      <c r="NG108" s="92"/>
      <c r="NH108" s="92"/>
      <c r="NI108" s="92"/>
      <c r="NJ108" s="92"/>
      <c r="NK108" s="92" t="str">
        <f t="shared" ca="1" si="202"/>
        <v/>
      </c>
      <c r="NL108" s="92"/>
      <c r="NM108" s="92"/>
      <c r="NN108" s="92"/>
      <c r="NO108" s="92"/>
      <c r="NP108" s="92"/>
      <c r="NQ108" s="92"/>
      <c r="NR108" s="92"/>
      <c r="NS108" s="92"/>
      <c r="NT108" s="92"/>
      <c r="NU108" s="92"/>
      <c r="NV108" s="92"/>
      <c r="NW108" s="92"/>
      <c r="NX108" s="92"/>
      <c r="NY108" s="92"/>
      <c r="NZ108" s="92"/>
      <c r="OA108" s="92"/>
      <c r="OB108" s="92"/>
      <c r="OC108" s="92"/>
      <c r="OD108" s="92"/>
      <c r="OE108" s="92"/>
      <c r="OF108" s="92"/>
      <c r="OG108" s="92"/>
      <c r="OH108" s="92"/>
      <c r="OI108" s="92"/>
      <c r="OJ108" s="92"/>
      <c r="OK108" s="92"/>
      <c r="OL108" s="92"/>
      <c r="OM108" s="92"/>
      <c r="ON108" s="92"/>
      <c r="OO108" s="92"/>
      <c r="OP108" s="92"/>
      <c r="OQ108" s="92"/>
      <c r="OR108" s="92"/>
      <c r="OS108" s="92"/>
      <c r="OT108" s="92"/>
      <c r="OU108" s="92"/>
      <c r="OV108" s="92"/>
      <c r="OW108" s="92"/>
      <c r="OX108" s="92"/>
      <c r="OY108" s="92"/>
      <c r="OZ108" s="92"/>
      <c r="PA108" s="92"/>
      <c r="PB108" s="92"/>
      <c r="PC108" s="92"/>
      <c r="PD108" s="92"/>
      <c r="PE108" s="92"/>
      <c r="PF108" s="92"/>
      <c r="PG108" s="92"/>
      <c r="PH108" s="92"/>
      <c r="PI108" s="92"/>
      <c r="PJ108" s="92"/>
      <c r="PK108" s="92"/>
      <c r="PL108" s="92"/>
      <c r="PM108" s="92"/>
      <c r="PN108" s="92"/>
      <c r="PO108" s="92"/>
      <c r="PP108" s="92"/>
      <c r="PQ108" s="92"/>
      <c r="PR108" s="92"/>
      <c r="PS108" s="92"/>
      <c r="PT108" s="92"/>
      <c r="PU108" s="59" t="str">
        <f t="shared" ca="1" si="203"/>
        <v/>
      </c>
      <c r="PV108" s="59" t="str">
        <f ca="1">IF(PU108="","",IF(COUNTIF(PU108:$PU$125,"&gt;&lt;")&gt;1,PU108&amp;", ", PU108))</f>
        <v/>
      </c>
      <c r="PW108" s="99"/>
      <c r="PX108" s="99"/>
      <c r="TJ108" s="18">
        <f t="shared" si="181"/>
        <v>106</v>
      </c>
      <c r="TK108" s="58" t="s">
        <v>1984</v>
      </c>
      <c r="TL108" s="58" t="s">
        <v>464</v>
      </c>
      <c r="TM108" s="18">
        <v>7</v>
      </c>
      <c r="TN108" s="59" t="str">
        <f t="shared" si="167"/>
        <v xml:space="preserve">Divine Word </v>
      </c>
      <c r="TO108" s="18" t="str">
        <f>""</f>
        <v/>
      </c>
      <c r="TP108" s="18" t="str">
        <f t="shared" si="168"/>
        <v/>
      </c>
      <c r="TQ108" s="18" t="str">
        <f>IF(OR(TK108=Spellcasting!$AC$18,TK108=Spellcasting!$AC$19),"ᵐ","")</f>
        <v/>
      </c>
      <c r="TR108" s="18" t="str">
        <f>IF(OR(TK108=Spellcasting!$AC$20,TK108=Spellcasting!$AC$21),"ˢ","")</f>
        <v/>
      </c>
      <c r="TS108" s="18" t="str">
        <f>""</f>
        <v/>
      </c>
      <c r="TT108" s="18" t="s">
        <v>1256</v>
      </c>
      <c r="TU108" s="18" t="s">
        <v>851</v>
      </c>
      <c r="TV108" s="18" t="s">
        <v>505</v>
      </c>
      <c r="TW108" s="18" t="s">
        <v>541</v>
      </c>
      <c r="TX108" s="59" t="str">
        <f>""</f>
        <v/>
      </c>
      <c r="TY108" s="18" t="s">
        <v>534</v>
      </c>
      <c r="TZ108" s="18" t="s">
        <v>535</v>
      </c>
      <c r="UA108" s="142" t="s">
        <v>2124</v>
      </c>
      <c r="UB108" s="319" t="s">
        <v>2125</v>
      </c>
      <c r="UH108" s="18" t="str">
        <f ca="1">IF(UH$1&gt;=$TM108,1,"0")</f>
        <v>0</v>
      </c>
      <c r="WD108" s="18" t="str">
        <f ca="1">IF(SUM($VZ$1:$WC$1)&gt;0,IF(AND(SUM($VZ108:$WC108)&gt;0,$TM108=WE$1),MAX(WD$2:WD107)+1,""),IF(AND(SUM($UC108:$VY108)&gt;0,$TM108=WE$1),MAX(WD$2:WD107)+1,""))</f>
        <v/>
      </c>
      <c r="WE108" s="59" t="str">
        <f t="shared" ca="1" si="169"/>
        <v/>
      </c>
      <c r="WF108" s="18" t="str">
        <f ca="1">IF(AND(SUM($UB108:$VY108)&gt;0,$TM108=WG$1),MAX(WF$2:WF107)+1,"")</f>
        <v/>
      </c>
      <c r="WG108" s="59" t="str">
        <f t="shared" ca="1" si="170"/>
        <v/>
      </c>
      <c r="WH108" s="18" t="str">
        <f ca="1">IF(AND(SUM($UB108:$VY108)&gt;0,$TM108=WI$1),MAX(WH$2:WH107)+1,"")</f>
        <v/>
      </c>
      <c r="WI108" s="59" t="str">
        <f t="shared" ca="1" si="171"/>
        <v/>
      </c>
      <c r="WJ108" s="18" t="str">
        <f ca="1">IF(AND(SUM($UB108:$VY108)&gt;0,$TM108=WK$1),MAX(WJ$2:WJ107)+1,"")</f>
        <v/>
      </c>
      <c r="WK108" s="59" t="str">
        <f t="shared" ca="1" si="172"/>
        <v/>
      </c>
      <c r="WL108" s="18" t="str">
        <f ca="1">IF(AND(SUM($UB108:$VY108)&gt;0,$TM108=WM$1),MAX(WL$2:WL107)+1,"")</f>
        <v/>
      </c>
      <c r="WM108" s="59" t="str">
        <f t="shared" ca="1" si="173"/>
        <v/>
      </c>
      <c r="WN108" s="18" t="str">
        <f ca="1">IF(AND(SUM($UB108:$VY108)&gt;0,$TM108=WO$1),MAX(WN$2:WN107)+1,"")</f>
        <v/>
      </c>
      <c r="WO108" s="59" t="str">
        <f t="shared" ca="1" si="174"/>
        <v/>
      </c>
      <c r="WP108" s="18" t="str">
        <f ca="1">IF(AND(SUM($UB108:$VY108)&gt;0,$TM108=WQ$1),MAX(WP$2:WP107)+1,"")</f>
        <v/>
      </c>
      <c r="WQ108" s="59" t="str">
        <f t="shared" ca="1" si="175"/>
        <v/>
      </c>
      <c r="WR108" s="18" t="str">
        <f ca="1">IF(AND(SUM($UB108:$VY108)&gt;0,$TM108=WS$1),MAX(WR$2:WR107)+1,"")</f>
        <v/>
      </c>
      <c r="WS108" s="59" t="str">
        <f t="shared" ca="1" si="176"/>
        <v/>
      </c>
      <c r="WT108" s="18" t="str">
        <f ca="1">IF(AND(SUM($UB108:$VY108)&gt;0,$TM108=WU$1),MAX(WT$2:WT107)+1,"")</f>
        <v/>
      </c>
      <c r="WU108" s="59" t="str">
        <f t="shared" ca="1" si="177"/>
        <v/>
      </c>
      <c r="WV108" s="18" t="str">
        <f ca="1">IF(AND(SUM($UB108:$VY108)&gt;0,$TM108=WW$1),MAX(WV$2:WV107)+1,"")</f>
        <v/>
      </c>
      <c r="WW108" s="59" t="str">
        <f t="shared" ca="1" si="178"/>
        <v/>
      </c>
      <c r="WX108" s="18" t="str">
        <f ca="1">IF(AND(SUM($UB108:$VY108)&gt;0,$TM108=WY$1),MAX(WX$2:WX107)+1,"")</f>
        <v/>
      </c>
      <c r="WY108" s="59" t="str">
        <f t="shared" ca="1" si="179"/>
        <v/>
      </c>
      <c r="WZ108" s="59"/>
      <c r="XC108" s="59" t="str">
        <f t="shared" ca="1" si="197"/>
        <v/>
      </c>
    </row>
    <row r="109" spans="219:627" ht="9.9499999999999993" customHeight="1" x14ac:dyDescent="0.2">
      <c r="HK109" s="59"/>
      <c r="HL109" s="59"/>
      <c r="IX109" s="58" t="s">
        <v>3589</v>
      </c>
      <c r="IY109" s="58" t="s">
        <v>3554</v>
      </c>
      <c r="IZ109" s="58" t="s">
        <v>201</v>
      </c>
      <c r="JA109" s="58" t="s">
        <v>284</v>
      </c>
      <c r="JB109" s="58" t="s">
        <v>3669</v>
      </c>
      <c r="JM109" s="296">
        <v>8</v>
      </c>
      <c r="JN109" s="98" t="s">
        <v>140</v>
      </c>
      <c r="JO109" s="98" t="s">
        <v>140</v>
      </c>
      <c r="JP109" s="98" t="s">
        <v>140</v>
      </c>
      <c r="JQ109" s="98">
        <v>2</v>
      </c>
      <c r="JR109" s="98" t="s">
        <v>140</v>
      </c>
      <c r="JS109" s="98" t="s">
        <v>140</v>
      </c>
      <c r="JT109" s="98" t="s">
        <v>140</v>
      </c>
      <c r="JU109" s="98" t="s">
        <v>140</v>
      </c>
      <c r="JV109" s="98" t="s">
        <v>140</v>
      </c>
      <c r="JW109" s="80">
        <v>4</v>
      </c>
      <c r="JX109" s="302">
        <v>4</v>
      </c>
      <c r="KT109" s="88" t="s">
        <v>119</v>
      </c>
      <c r="KU109" s="80" t="str">
        <f t="shared" ca="1" si="186"/>
        <v>No</v>
      </c>
      <c r="KV109" s="89" t="s">
        <v>129</v>
      </c>
      <c r="KW109" s="92"/>
      <c r="KX109" s="92"/>
      <c r="KY109" s="92"/>
      <c r="KZ109" s="92"/>
      <c r="LA109" s="92"/>
      <c r="LB109" s="92"/>
      <c r="LC109" s="92"/>
      <c r="LD109" s="92"/>
      <c r="LE109" s="92"/>
      <c r="LF109" s="92"/>
      <c r="LG109" s="92"/>
      <c r="LH109" s="92"/>
      <c r="LI109" s="92"/>
      <c r="LJ109" s="92"/>
      <c r="LK109" s="92"/>
      <c r="LL109" s="92"/>
      <c r="LM109" s="92"/>
      <c r="LN109" s="92"/>
      <c r="LO109" s="92"/>
      <c r="LP109" s="92"/>
      <c r="LQ109" s="92"/>
      <c r="LR109" s="92"/>
      <c r="LS109" s="92"/>
      <c r="LT109" s="92"/>
      <c r="LU109" s="92"/>
      <c r="LV109" s="92"/>
      <c r="LW109" s="92"/>
      <c r="LX109" s="92"/>
      <c r="LY109" s="92"/>
      <c r="LZ109" s="96"/>
      <c r="MA109" s="92" t="str">
        <f t="shared" ca="1" si="187"/>
        <v/>
      </c>
      <c r="MB109" s="96"/>
      <c r="MC109" s="96"/>
      <c r="MD109" s="92" t="str">
        <f t="shared" ca="1" si="200"/>
        <v/>
      </c>
      <c r="ME109" s="96"/>
      <c r="MF109" s="96"/>
      <c r="MG109" s="96"/>
      <c r="MH109" s="92" t="str">
        <f t="shared" ca="1" si="189"/>
        <v/>
      </c>
      <c r="MI109" s="92" t="str">
        <f t="shared" ca="1" si="198"/>
        <v/>
      </c>
      <c r="MJ109" s="96"/>
      <c r="MK109" s="96"/>
      <c r="ML109" s="96"/>
      <c r="MM109" s="96"/>
      <c r="MN109" s="96"/>
      <c r="MO109" s="96"/>
      <c r="MP109" s="96"/>
      <c r="MQ109" s="92" t="str">
        <f t="shared" ca="1" si="201"/>
        <v/>
      </c>
      <c r="MR109" s="96"/>
      <c r="MS109" s="92" t="str">
        <f t="shared" ca="1" si="201"/>
        <v/>
      </c>
      <c r="MT109" s="96"/>
      <c r="MU109" s="96"/>
      <c r="MV109" s="96"/>
      <c r="MW109" s="96"/>
      <c r="MX109" s="96"/>
      <c r="MY109" s="96"/>
      <c r="MZ109" s="96"/>
      <c r="NA109" s="96"/>
      <c r="NB109" s="96"/>
      <c r="NC109" s="96"/>
      <c r="ND109" s="96"/>
      <c r="NE109" s="96"/>
      <c r="NF109" s="96"/>
      <c r="NG109" s="96"/>
      <c r="NH109" s="96"/>
      <c r="NI109" s="96"/>
      <c r="NJ109" s="96"/>
      <c r="NK109" s="92" t="str">
        <f t="shared" ca="1" si="202"/>
        <v/>
      </c>
      <c r="NL109" s="96"/>
      <c r="NM109" s="96"/>
      <c r="NN109" s="96"/>
      <c r="NO109" s="96"/>
      <c r="NP109" s="96"/>
      <c r="NQ109" s="96"/>
      <c r="NR109" s="96"/>
      <c r="NS109" s="96"/>
      <c r="NT109" s="96"/>
      <c r="NU109" s="96"/>
      <c r="NV109" s="96"/>
      <c r="NW109" s="96"/>
      <c r="NX109" s="96"/>
      <c r="NY109" s="96"/>
      <c r="NZ109" s="96"/>
      <c r="OA109" s="96"/>
      <c r="OB109" s="96"/>
      <c r="OC109" s="96"/>
      <c r="OD109" s="96"/>
      <c r="OE109" s="96"/>
      <c r="OF109" s="96"/>
      <c r="OG109" s="96"/>
      <c r="OH109" s="96"/>
      <c r="OI109" s="96"/>
      <c r="OJ109" s="96"/>
      <c r="OK109" s="96"/>
      <c r="OL109" s="96"/>
      <c r="OM109" s="96"/>
      <c r="ON109" s="96"/>
      <c r="OO109" s="96"/>
      <c r="OP109" s="96"/>
      <c r="OQ109" s="96"/>
      <c r="OR109" s="96"/>
      <c r="OS109" s="96"/>
      <c r="OT109" s="96"/>
      <c r="OU109" s="96"/>
      <c r="OV109" s="96"/>
      <c r="OW109" s="96"/>
      <c r="OX109" s="96"/>
      <c r="OY109" s="96"/>
      <c r="OZ109" s="96"/>
      <c r="PA109" s="96"/>
      <c r="PB109" s="96"/>
      <c r="PC109" s="96"/>
      <c r="PD109" s="96"/>
      <c r="PE109" s="96"/>
      <c r="PF109" s="96"/>
      <c r="PG109" s="96"/>
      <c r="PH109" s="96"/>
      <c r="PI109" s="96"/>
      <c r="PJ109" s="96"/>
      <c r="PK109" s="92"/>
      <c r="PL109" s="96"/>
      <c r="PM109" s="96"/>
      <c r="PN109" s="96"/>
      <c r="PO109" s="96"/>
      <c r="PP109" s="96"/>
      <c r="PQ109" s="96"/>
      <c r="PR109" s="96"/>
      <c r="PS109" s="96"/>
      <c r="PT109" s="96"/>
      <c r="PU109" s="59" t="str">
        <f t="shared" ca="1" si="203"/>
        <v/>
      </c>
      <c r="PV109" s="59" t="str">
        <f ca="1">IF(PU109="","",IF(COUNTIF(PU109:$PU$125,"&gt;&lt;")&gt;1,PU109&amp;", ", PU109))</f>
        <v/>
      </c>
      <c r="PW109" s="99"/>
      <c r="PX109" s="99"/>
      <c r="TJ109" s="18">
        <f t="shared" si="181"/>
        <v>107</v>
      </c>
      <c r="TK109" s="58" t="s">
        <v>577</v>
      </c>
      <c r="TL109" s="58" t="s">
        <v>461</v>
      </c>
      <c r="TM109" s="18">
        <v>4</v>
      </c>
      <c r="TN109" s="59" t="str">
        <f t="shared" si="167"/>
        <v xml:space="preserve">Dominate Beast ᴴ </v>
      </c>
      <c r="TO109" s="350" t="s">
        <v>2991</v>
      </c>
      <c r="TP109" s="18" t="str">
        <f t="shared" si="168"/>
        <v/>
      </c>
      <c r="TQ109" s="18" t="str">
        <f>IF(OR(TK109=Spellcasting!$AC$18,TK109=Spellcasting!$AC$19),"ᵐ","")</f>
        <v/>
      </c>
      <c r="TR109" s="18" t="str">
        <f>IF(OR(TK109=Spellcasting!$AC$20,TK109=Spellcasting!$AC$21),"ˢ","")</f>
        <v/>
      </c>
      <c r="TS109" s="18" t="str">
        <f>""</f>
        <v/>
      </c>
      <c r="TT109" s="18" t="s">
        <v>484</v>
      </c>
      <c r="TU109" s="18" t="s">
        <v>850</v>
      </c>
      <c r="TV109" s="18" t="s">
        <v>558</v>
      </c>
      <c r="TW109" s="18" t="s">
        <v>486</v>
      </c>
      <c r="TX109" s="59" t="str">
        <f>""</f>
        <v/>
      </c>
      <c r="TY109" s="18" t="s">
        <v>498</v>
      </c>
      <c r="TZ109" s="18" t="s">
        <v>499</v>
      </c>
      <c r="UA109" s="142" t="s">
        <v>2222</v>
      </c>
      <c r="UB109" s="319" t="s">
        <v>3029</v>
      </c>
      <c r="UF109" s="18" t="str">
        <f ca="1">IF(UF$1&gt;=$TM109,1,"0")</f>
        <v>0</v>
      </c>
      <c r="UI109" s="18" t="str">
        <f ca="1">IF(UI$1&gt;=$TM109,1,"0")</f>
        <v>0</v>
      </c>
      <c r="UV109" s="18" t="str">
        <f>IF(UV$1&gt;=$TM109,1,"0")</f>
        <v>0</v>
      </c>
      <c r="UX109" s="18" t="str">
        <f>IF(UX$1&gt;=$TM109,1,"0")</f>
        <v>0</v>
      </c>
      <c r="VB109" s="18" t="str">
        <f>IF(VB$1&gt;=$TM109,1,"0")</f>
        <v>0</v>
      </c>
      <c r="WD109" s="18" t="str">
        <f ca="1">IF(SUM($VZ$1:$WC$1)&gt;0,IF(AND(SUM($VZ109:$WC109)&gt;0,$TM109=WE$1),MAX(WD$2:WD108)+1,""),IF(AND(SUM($UC109:$VY109)&gt;0,$TM109=WE$1),MAX(WD$2:WD108)+1,""))</f>
        <v/>
      </c>
      <c r="WE109" s="59" t="str">
        <f t="shared" ca="1" si="169"/>
        <v/>
      </c>
      <c r="WF109" s="18" t="str">
        <f ca="1">IF(AND(SUM($UB109:$VY109)&gt;0,$TM109=WG$1),MAX(WF$2:WF108)+1,"")</f>
        <v/>
      </c>
      <c r="WG109" s="59" t="str">
        <f t="shared" ca="1" si="170"/>
        <v/>
      </c>
      <c r="WH109" s="18" t="str">
        <f ca="1">IF(AND(SUM($UB109:$VY109)&gt;0,$TM109=WI$1),MAX(WH$2:WH108)+1,"")</f>
        <v/>
      </c>
      <c r="WI109" s="59" t="str">
        <f t="shared" ca="1" si="171"/>
        <v/>
      </c>
      <c r="WJ109" s="18" t="str">
        <f ca="1">IF(AND(SUM($UB109:$VY109)&gt;0,$TM109=WK$1),MAX(WJ$2:WJ108)+1,"")</f>
        <v/>
      </c>
      <c r="WK109" s="59" t="str">
        <f t="shared" ca="1" si="172"/>
        <v/>
      </c>
      <c r="WL109" s="18" t="str">
        <f ca="1">IF(AND(SUM($UB109:$VY109)&gt;0,$TM109=WM$1),MAX(WL$2:WL108)+1,"")</f>
        <v/>
      </c>
      <c r="WM109" s="59" t="str">
        <f t="shared" ca="1" si="173"/>
        <v/>
      </c>
      <c r="WN109" s="18" t="str">
        <f ca="1">IF(AND(SUM($UB109:$VY109)&gt;0,$TM109=WO$1),MAX(WN$2:WN108)+1,"")</f>
        <v/>
      </c>
      <c r="WO109" s="59" t="str">
        <f t="shared" ca="1" si="174"/>
        <v/>
      </c>
      <c r="WP109" s="18" t="str">
        <f ca="1">IF(AND(SUM($UB109:$VY109)&gt;0,$TM109=WQ$1),MAX(WP$2:WP108)+1,"")</f>
        <v/>
      </c>
      <c r="WQ109" s="59" t="str">
        <f t="shared" ca="1" si="175"/>
        <v/>
      </c>
      <c r="WR109" s="18" t="str">
        <f ca="1">IF(AND(SUM($UB109:$VY109)&gt;0,$TM109=WS$1),MAX(WR$2:WR108)+1,"")</f>
        <v/>
      </c>
      <c r="WS109" s="59" t="str">
        <f t="shared" ca="1" si="176"/>
        <v/>
      </c>
      <c r="WT109" s="18" t="str">
        <f ca="1">IF(AND(SUM($UB109:$VY109)&gt;0,$TM109=WU$1),MAX(WT$2:WT108)+1,"")</f>
        <v/>
      </c>
      <c r="WU109" s="59" t="str">
        <f t="shared" ca="1" si="177"/>
        <v/>
      </c>
      <c r="WV109" s="18" t="str">
        <f ca="1">IF(AND(SUM($UB109:$VY109)&gt;0,$TM109=WW$1),MAX(WV$2:WV108)+1,"")</f>
        <v/>
      </c>
      <c r="WW109" s="59" t="str">
        <f t="shared" ca="1" si="178"/>
        <v/>
      </c>
      <c r="WX109" s="18" t="str">
        <f ca="1">IF(AND(SUM($UB109:$VY109)&gt;0,$TM109=WY$1),MAX(WX$2:WX108)+1,"")</f>
        <v/>
      </c>
      <c r="WY109" s="59" t="str">
        <f t="shared" ca="1" si="179"/>
        <v/>
      </c>
      <c r="WZ109" s="59"/>
      <c r="XC109" s="59" t="str">
        <f t="shared" ca="1" si="197"/>
        <v/>
      </c>
    </row>
    <row r="110" spans="219:627" ht="9.9499999999999993" customHeight="1" x14ac:dyDescent="0.2">
      <c r="HK110" s="59"/>
      <c r="HL110" s="59"/>
      <c r="IX110" s="58" t="s">
        <v>3590</v>
      </c>
      <c r="IY110" s="58" t="s">
        <v>3555</v>
      </c>
      <c r="IZ110" s="58" t="s">
        <v>202</v>
      </c>
      <c r="JA110" s="58" t="s">
        <v>281</v>
      </c>
      <c r="JB110" s="58" t="s">
        <v>3557</v>
      </c>
      <c r="JM110" s="296">
        <v>9</v>
      </c>
      <c r="JN110" s="98" t="s">
        <v>140</v>
      </c>
      <c r="JO110" s="98" t="s">
        <v>140</v>
      </c>
      <c r="JP110" s="98" t="s">
        <v>140</v>
      </c>
      <c r="JQ110" s="98" t="s">
        <v>140</v>
      </c>
      <c r="JR110" s="98">
        <v>2</v>
      </c>
      <c r="JS110" s="98" t="s">
        <v>140</v>
      </c>
      <c r="JT110" s="98" t="s">
        <v>140</v>
      </c>
      <c r="JU110" s="98" t="s">
        <v>140</v>
      </c>
      <c r="JV110" s="98" t="s">
        <v>140</v>
      </c>
      <c r="JW110" s="80">
        <v>5</v>
      </c>
      <c r="JX110" s="302">
        <v>5</v>
      </c>
      <c r="KT110" s="88" t="s">
        <v>120</v>
      </c>
      <c r="KU110" s="80" t="str">
        <f t="shared" ca="1" si="186"/>
        <v>No</v>
      </c>
      <c r="KV110" s="89" t="s">
        <v>129</v>
      </c>
      <c r="KW110" s="92"/>
      <c r="KX110" s="92"/>
      <c r="KY110" s="92"/>
      <c r="KZ110" s="92"/>
      <c r="LA110" s="92"/>
      <c r="LB110" s="92"/>
      <c r="LC110" s="92"/>
      <c r="LD110" s="92"/>
      <c r="LE110" s="92"/>
      <c r="LF110" s="92"/>
      <c r="LG110" s="92"/>
      <c r="LH110" s="92"/>
      <c r="LI110" s="92"/>
      <c r="LJ110" s="92"/>
      <c r="LK110" s="92"/>
      <c r="LL110" s="92"/>
      <c r="LM110" s="92"/>
      <c r="LN110" s="92"/>
      <c r="LO110" s="92"/>
      <c r="LP110" s="92"/>
      <c r="LQ110" s="92"/>
      <c r="LR110" s="92"/>
      <c r="LS110" s="92"/>
      <c r="LT110" s="92"/>
      <c r="LU110" s="92"/>
      <c r="LV110" s="92"/>
      <c r="LW110" s="92"/>
      <c r="LX110" s="92"/>
      <c r="LY110" s="92"/>
      <c r="LZ110" s="96"/>
      <c r="MA110" s="92" t="str">
        <f t="shared" ca="1" si="187"/>
        <v/>
      </c>
      <c r="MB110" s="96"/>
      <c r="MC110" s="96"/>
      <c r="MD110" s="92" t="str">
        <f t="shared" ca="1" si="200"/>
        <v/>
      </c>
      <c r="ME110" s="96"/>
      <c r="MF110" s="96"/>
      <c r="MG110" s="96"/>
      <c r="MH110" s="92" t="str">
        <f t="shared" ca="1" si="189"/>
        <v/>
      </c>
      <c r="MI110" s="92" t="str">
        <f t="shared" ca="1" si="198"/>
        <v/>
      </c>
      <c r="MJ110" s="96"/>
      <c r="MK110" s="96"/>
      <c r="ML110" s="96"/>
      <c r="MM110" s="96"/>
      <c r="MN110" s="96"/>
      <c r="MO110" s="96"/>
      <c r="MP110" s="96"/>
      <c r="MQ110" s="92" t="str">
        <f t="shared" ca="1" si="201"/>
        <v/>
      </c>
      <c r="MR110" s="96"/>
      <c r="MS110" s="92" t="str">
        <f t="shared" ca="1" si="201"/>
        <v/>
      </c>
      <c r="MT110" s="96"/>
      <c r="MU110" s="96"/>
      <c r="MV110" s="96"/>
      <c r="MW110" s="96"/>
      <c r="MX110" s="96"/>
      <c r="MY110" s="96"/>
      <c r="MZ110" s="96"/>
      <c r="NA110" s="96"/>
      <c r="NB110" s="96"/>
      <c r="NC110" s="96"/>
      <c r="ND110" s="96"/>
      <c r="NE110" s="96"/>
      <c r="NF110" s="96"/>
      <c r="NG110" s="96"/>
      <c r="NH110" s="96"/>
      <c r="NI110" s="96"/>
      <c r="NJ110" s="96"/>
      <c r="NK110" s="92" t="str">
        <f t="shared" ca="1" si="202"/>
        <v/>
      </c>
      <c r="NL110" s="96"/>
      <c r="NM110" s="96"/>
      <c r="NN110" s="96"/>
      <c r="NO110" s="96"/>
      <c r="NP110" s="96"/>
      <c r="NQ110" s="96"/>
      <c r="NR110" s="96"/>
      <c r="NS110" s="96"/>
      <c r="NT110" s="96"/>
      <c r="NU110" s="96"/>
      <c r="NV110" s="96"/>
      <c r="NW110" s="96"/>
      <c r="NX110" s="96"/>
      <c r="NY110" s="96"/>
      <c r="NZ110" s="96"/>
      <c r="OA110" s="96"/>
      <c r="OB110" s="96"/>
      <c r="OC110" s="96"/>
      <c r="OD110" s="96"/>
      <c r="OE110" s="96"/>
      <c r="OF110" s="96"/>
      <c r="OG110" s="96"/>
      <c r="OH110" s="96"/>
      <c r="OI110" s="96"/>
      <c r="OJ110" s="96"/>
      <c r="OK110" s="96"/>
      <c r="OL110" s="96"/>
      <c r="OM110" s="96"/>
      <c r="ON110" s="96"/>
      <c r="OO110" s="96"/>
      <c r="OP110" s="96"/>
      <c r="OQ110" s="96"/>
      <c r="OR110" s="96"/>
      <c r="OS110" s="96"/>
      <c r="OT110" s="96"/>
      <c r="OU110" s="96"/>
      <c r="OV110" s="96"/>
      <c r="OW110" s="96"/>
      <c r="OX110" s="96"/>
      <c r="OY110" s="96"/>
      <c r="OZ110" s="96"/>
      <c r="PA110" s="96"/>
      <c r="PB110" s="96"/>
      <c r="PC110" s="96"/>
      <c r="PD110" s="96"/>
      <c r="PE110" s="96"/>
      <c r="PF110" s="96"/>
      <c r="PG110" s="96"/>
      <c r="PH110" s="96"/>
      <c r="PI110" s="96"/>
      <c r="PJ110" s="96"/>
      <c r="PK110" s="96"/>
      <c r="PL110" s="96"/>
      <c r="PM110" s="96"/>
      <c r="PN110" s="96"/>
      <c r="PO110" s="96"/>
      <c r="PP110" s="96"/>
      <c r="PQ110" s="96"/>
      <c r="PR110" s="96"/>
      <c r="PS110" s="96"/>
      <c r="PT110" s="96"/>
      <c r="PU110" s="59" t="str">
        <f t="shared" ca="1" si="203"/>
        <v/>
      </c>
      <c r="PV110" s="59" t="str">
        <f ca="1">IF(PU110="","",IF(COUNTIF(PU110:$PU$125,"&gt;&lt;")&gt;1,PU110&amp;", ", PU110))</f>
        <v/>
      </c>
      <c r="PW110" s="99"/>
      <c r="PX110" s="99"/>
      <c r="TJ110" s="18">
        <f t="shared" si="181"/>
        <v>108</v>
      </c>
      <c r="TK110" s="58" t="s">
        <v>578</v>
      </c>
      <c r="TL110" s="58" t="s">
        <v>465</v>
      </c>
      <c r="TM110" s="18">
        <v>8</v>
      </c>
      <c r="TN110" s="59" t="str">
        <f t="shared" si="167"/>
        <v xml:space="preserve">Dominate Monster ᴴ </v>
      </c>
      <c r="TO110" s="350" t="s">
        <v>2991</v>
      </c>
      <c r="TP110" s="18" t="str">
        <f t="shared" si="168"/>
        <v/>
      </c>
      <c r="TQ110" s="18" t="str">
        <f>IF(OR(TK110=Spellcasting!$AC$18,TK110=Spellcasting!$AC$19),"ᵐ","")</f>
        <v/>
      </c>
      <c r="TR110" s="18" t="str">
        <f>IF(OR(TK110=Spellcasting!$AC$20,TK110=Spellcasting!$AC$21),"ˢ","")</f>
        <v/>
      </c>
      <c r="TS110" s="18" t="str">
        <f>""</f>
        <v/>
      </c>
      <c r="TT110" s="18" t="s">
        <v>484</v>
      </c>
      <c r="TU110" s="18" t="s">
        <v>850</v>
      </c>
      <c r="TV110" s="18" t="s">
        <v>490</v>
      </c>
      <c r="TW110" s="18" t="s">
        <v>486</v>
      </c>
      <c r="TX110" s="59" t="str">
        <f>""</f>
        <v/>
      </c>
      <c r="TY110" s="18" t="s">
        <v>498</v>
      </c>
      <c r="TZ110" s="18" t="s">
        <v>499</v>
      </c>
      <c r="UA110" s="142" t="s">
        <v>3163</v>
      </c>
      <c r="UB110" s="319" t="s">
        <v>3030</v>
      </c>
      <c r="UC110" s="18" t="str">
        <f ca="1">IF(UC$1&gt;=$TM110,1,"0")</f>
        <v>0</v>
      </c>
      <c r="UF110" s="18" t="str">
        <f ca="1">IF(UF$1&gt;=$TM110,1,"0")</f>
        <v>0</v>
      </c>
      <c r="UG110" s="18" t="str">
        <f ca="1">IF(UG$1&gt;=$TM110,1,"0")</f>
        <v>0</v>
      </c>
      <c r="UL110" s="18" t="str">
        <f ca="1">IF(UL$1&gt;=$TM110,1,"0")</f>
        <v>0</v>
      </c>
      <c r="WD110" s="18" t="str">
        <f ca="1">IF(SUM($VZ$1:$WC$1)&gt;0,IF(AND(SUM($VZ110:$WC110)&gt;0,$TM110=WE$1),MAX(WD$2:WD109)+1,""),IF(AND(SUM($UC110:$VY110)&gt;0,$TM110=WE$1),MAX(WD$2:WD109)+1,""))</f>
        <v/>
      </c>
      <c r="WE110" s="59" t="str">
        <f t="shared" ca="1" si="169"/>
        <v/>
      </c>
      <c r="WF110" s="18" t="str">
        <f ca="1">IF(AND(SUM($UB110:$VY110)&gt;0,$TM110=WG$1),MAX(WF$2:WF109)+1,"")</f>
        <v/>
      </c>
      <c r="WG110" s="59" t="str">
        <f t="shared" ca="1" si="170"/>
        <v/>
      </c>
      <c r="WH110" s="18" t="str">
        <f ca="1">IF(AND(SUM($UB110:$VY110)&gt;0,$TM110=WI$1),MAX(WH$2:WH109)+1,"")</f>
        <v/>
      </c>
      <c r="WI110" s="59" t="str">
        <f t="shared" ca="1" si="171"/>
        <v/>
      </c>
      <c r="WJ110" s="18" t="str">
        <f ca="1">IF(AND(SUM($UB110:$VY110)&gt;0,$TM110=WK$1),MAX(WJ$2:WJ109)+1,"")</f>
        <v/>
      </c>
      <c r="WK110" s="59" t="str">
        <f t="shared" ca="1" si="172"/>
        <v/>
      </c>
      <c r="WL110" s="18" t="str">
        <f ca="1">IF(AND(SUM($UB110:$VY110)&gt;0,$TM110=WM$1),MAX(WL$2:WL109)+1,"")</f>
        <v/>
      </c>
      <c r="WM110" s="59" t="str">
        <f t="shared" ca="1" si="173"/>
        <v/>
      </c>
      <c r="WN110" s="18" t="str">
        <f ca="1">IF(AND(SUM($UB110:$VY110)&gt;0,$TM110=WO$1),MAX(WN$2:WN109)+1,"")</f>
        <v/>
      </c>
      <c r="WO110" s="59" t="str">
        <f t="shared" ca="1" si="174"/>
        <v/>
      </c>
      <c r="WP110" s="18" t="str">
        <f ca="1">IF(AND(SUM($UB110:$VY110)&gt;0,$TM110=WQ$1),MAX(WP$2:WP109)+1,"")</f>
        <v/>
      </c>
      <c r="WQ110" s="59" t="str">
        <f t="shared" ca="1" si="175"/>
        <v/>
      </c>
      <c r="WR110" s="18" t="str">
        <f ca="1">IF(AND(SUM($UB110:$VY110)&gt;0,$TM110=WS$1),MAX(WR$2:WR109)+1,"")</f>
        <v/>
      </c>
      <c r="WS110" s="59" t="str">
        <f t="shared" ca="1" si="176"/>
        <v/>
      </c>
      <c r="WT110" s="18" t="str">
        <f ca="1">IF(AND(SUM($UB110:$VY110)&gt;0,$TM110=WU$1),MAX(WT$2:WT109)+1,"")</f>
        <v/>
      </c>
      <c r="WU110" s="59" t="str">
        <f t="shared" ca="1" si="177"/>
        <v/>
      </c>
      <c r="WV110" s="18" t="str">
        <f ca="1">IF(AND(SUM($UB110:$VY110)&gt;0,$TM110=WW$1),MAX(WV$2:WV109)+1,"")</f>
        <v/>
      </c>
      <c r="WW110" s="59" t="str">
        <f t="shared" ca="1" si="178"/>
        <v/>
      </c>
      <c r="WX110" s="18" t="str">
        <f ca="1">IF(AND(SUM($UB110:$VY110)&gt;0,$TM110=WY$1),MAX(WX$2:WX109)+1,"")</f>
        <v/>
      </c>
      <c r="WY110" s="59" t="str">
        <f t="shared" ca="1" si="179"/>
        <v/>
      </c>
      <c r="WZ110" s="59"/>
      <c r="XC110" s="59" t="str">
        <f t="shared" ca="1" si="197"/>
        <v/>
      </c>
    </row>
    <row r="111" spans="219:627" ht="9.9499999999999993" customHeight="1" x14ac:dyDescent="0.2">
      <c r="HK111" s="59"/>
      <c r="HL111" s="59"/>
      <c r="IX111" s="58" t="s">
        <v>3591</v>
      </c>
      <c r="IY111" s="58" t="s">
        <v>3558</v>
      </c>
      <c r="IZ111" s="58" t="s">
        <v>199</v>
      </c>
      <c r="JA111" s="58" t="s">
        <v>929</v>
      </c>
      <c r="JB111" s="58" t="s">
        <v>3560</v>
      </c>
      <c r="JM111" s="296">
        <v>10</v>
      </c>
      <c r="JN111" s="98" t="s">
        <v>140</v>
      </c>
      <c r="JO111" s="98" t="s">
        <v>140</v>
      </c>
      <c r="JP111" s="98" t="s">
        <v>140</v>
      </c>
      <c r="JQ111" s="98" t="s">
        <v>140</v>
      </c>
      <c r="JR111" s="98">
        <v>2</v>
      </c>
      <c r="JS111" s="98" t="s">
        <v>140</v>
      </c>
      <c r="JT111" s="98" t="s">
        <v>140</v>
      </c>
      <c r="JU111" s="98" t="s">
        <v>140</v>
      </c>
      <c r="JV111" s="98" t="s">
        <v>140</v>
      </c>
      <c r="JW111" s="80">
        <v>5</v>
      </c>
      <c r="JX111" s="302">
        <v>5</v>
      </c>
      <c r="KT111" s="88" t="s">
        <v>121</v>
      </c>
      <c r="KU111" s="80" t="str">
        <f t="shared" ca="1" si="186"/>
        <v>No</v>
      </c>
      <c r="KV111" s="89" t="s">
        <v>129</v>
      </c>
      <c r="KW111" s="92"/>
      <c r="KX111" s="92"/>
      <c r="KY111" s="92"/>
      <c r="KZ111" s="92"/>
      <c r="LA111" s="92"/>
      <c r="LB111" s="92"/>
      <c r="LC111" s="92"/>
      <c r="LD111" s="92"/>
      <c r="LE111" s="92"/>
      <c r="LF111" s="92"/>
      <c r="LG111" s="92"/>
      <c r="LH111" s="92"/>
      <c r="LI111" s="92"/>
      <c r="LJ111" s="92"/>
      <c r="LK111" s="92"/>
      <c r="LL111" s="92"/>
      <c r="LM111" s="92"/>
      <c r="LN111" s="92"/>
      <c r="LO111" s="92"/>
      <c r="LP111" s="92"/>
      <c r="LQ111" s="92"/>
      <c r="LR111" s="92"/>
      <c r="LS111" s="92"/>
      <c r="LT111" s="92"/>
      <c r="LU111" s="92"/>
      <c r="LV111" s="92"/>
      <c r="LW111" s="92"/>
      <c r="LX111" s="92"/>
      <c r="LY111" s="92"/>
      <c r="LZ111" s="96"/>
      <c r="MA111" s="92" t="str">
        <f t="shared" ca="1" si="187"/>
        <v/>
      </c>
      <c r="MB111" s="96"/>
      <c r="MC111" s="96"/>
      <c r="MD111" s="92" t="str">
        <f t="shared" ca="1" si="200"/>
        <v/>
      </c>
      <c r="ME111" s="96"/>
      <c r="MF111" s="96"/>
      <c r="MG111" s="96"/>
      <c r="MH111" s="92" t="str">
        <f t="shared" ca="1" si="189"/>
        <v/>
      </c>
      <c r="MI111" s="92" t="str">
        <f t="shared" ca="1" si="198"/>
        <v/>
      </c>
      <c r="MJ111" s="96"/>
      <c r="MK111" s="96"/>
      <c r="ML111" s="96"/>
      <c r="MM111" s="96"/>
      <c r="MN111" s="96"/>
      <c r="MO111" s="96"/>
      <c r="MP111" s="96"/>
      <c r="MQ111" s="92" t="str">
        <f t="shared" ca="1" si="201"/>
        <v/>
      </c>
      <c r="MR111" s="96"/>
      <c r="MS111" s="92" t="str">
        <f t="shared" ca="1" si="201"/>
        <v/>
      </c>
      <c r="MT111" s="96"/>
      <c r="MU111" s="96"/>
      <c r="MV111" s="96"/>
      <c r="MW111" s="96"/>
      <c r="MX111" s="96"/>
      <c r="MY111" s="96"/>
      <c r="MZ111" s="96"/>
      <c r="NA111" s="96"/>
      <c r="NB111" s="96"/>
      <c r="NC111" s="96"/>
      <c r="ND111" s="96"/>
      <c r="NE111" s="96"/>
      <c r="NF111" s="96"/>
      <c r="NG111" s="96"/>
      <c r="NH111" s="96"/>
      <c r="NI111" s="96"/>
      <c r="NJ111" s="96"/>
      <c r="NK111" s="92" t="str">
        <f t="shared" ca="1" si="202"/>
        <v/>
      </c>
      <c r="NL111" s="96"/>
      <c r="NM111" s="96"/>
      <c r="NN111" s="96"/>
      <c r="NO111" s="96"/>
      <c r="NP111" s="96"/>
      <c r="NQ111" s="96"/>
      <c r="NR111" s="96"/>
      <c r="NS111" s="96"/>
      <c r="NT111" s="96"/>
      <c r="NU111" s="96"/>
      <c r="NV111" s="96"/>
      <c r="NW111" s="96"/>
      <c r="NX111" s="96"/>
      <c r="NY111" s="96"/>
      <c r="NZ111" s="96"/>
      <c r="OA111" s="96"/>
      <c r="OB111" s="96"/>
      <c r="OC111" s="96"/>
      <c r="OD111" s="96"/>
      <c r="OE111" s="96"/>
      <c r="OF111" s="96"/>
      <c r="OG111" s="96"/>
      <c r="OH111" s="96"/>
      <c r="OI111" s="96"/>
      <c r="OJ111" s="96"/>
      <c r="OK111" s="96"/>
      <c r="OL111" s="96"/>
      <c r="OM111" s="96"/>
      <c r="ON111" s="96"/>
      <c r="OO111" s="96"/>
      <c r="OP111" s="96"/>
      <c r="OQ111" s="96"/>
      <c r="OR111" s="96"/>
      <c r="OS111" s="96"/>
      <c r="OT111" s="96"/>
      <c r="OU111" s="96"/>
      <c r="OV111" s="96"/>
      <c r="OW111" s="96"/>
      <c r="OX111" s="96"/>
      <c r="OY111" s="96"/>
      <c r="OZ111" s="96"/>
      <c r="PA111" s="96"/>
      <c r="PB111" s="96"/>
      <c r="PC111" s="96"/>
      <c r="PD111" s="96"/>
      <c r="PE111" s="96"/>
      <c r="PF111" s="96"/>
      <c r="PG111" s="96"/>
      <c r="PH111" s="96"/>
      <c r="PI111" s="96"/>
      <c r="PJ111" s="96"/>
      <c r="PK111" s="96"/>
      <c r="PL111" s="96"/>
      <c r="PM111" s="96"/>
      <c r="PN111" s="96"/>
      <c r="PO111" s="92"/>
      <c r="PP111" s="96"/>
      <c r="PQ111" s="96"/>
      <c r="PR111" s="96"/>
      <c r="PS111" s="96"/>
      <c r="PT111" s="96"/>
      <c r="PU111" s="59" t="str">
        <f t="shared" ca="1" si="203"/>
        <v/>
      </c>
      <c r="PV111" s="59" t="str">
        <f ca="1">IF(PU111="","",IF(COUNTIF(PU111:$PU$125,"&gt;&lt;")&gt;1,PU111&amp;", ", PU111))</f>
        <v/>
      </c>
      <c r="PW111" s="99"/>
      <c r="PX111" s="99"/>
      <c r="TJ111" s="18">
        <f t="shared" si="181"/>
        <v>109</v>
      </c>
      <c r="TK111" s="58" t="s">
        <v>579</v>
      </c>
      <c r="TL111" s="58" t="s">
        <v>462</v>
      </c>
      <c r="TM111" s="18">
        <v>5</v>
      </c>
      <c r="TN111" s="59" t="str">
        <f t="shared" si="167"/>
        <v xml:space="preserve">Dominate Person ᴴ </v>
      </c>
      <c r="TO111" s="350" t="s">
        <v>2991</v>
      </c>
      <c r="TP111" s="18" t="str">
        <f t="shared" si="168"/>
        <v/>
      </c>
      <c r="TQ111" s="18" t="str">
        <f>IF(OR(TK111=Spellcasting!$AC$18,TK111=Spellcasting!$AC$19),"ᵐ","")</f>
        <v/>
      </c>
      <c r="TR111" s="18" t="str">
        <f>IF(OR(TK111=Spellcasting!$AC$20,TK111=Spellcasting!$AC$21),"ˢ","")</f>
        <v/>
      </c>
      <c r="TS111" s="18" t="str">
        <f>""</f>
        <v/>
      </c>
      <c r="TT111" s="18" t="s">
        <v>484</v>
      </c>
      <c r="TU111" s="18" t="s">
        <v>850</v>
      </c>
      <c r="TV111" s="18" t="s">
        <v>558</v>
      </c>
      <c r="TW111" s="18" t="s">
        <v>486</v>
      </c>
      <c r="TX111" s="59" t="str">
        <f>""</f>
        <v/>
      </c>
      <c r="TY111" s="18" t="s">
        <v>498</v>
      </c>
      <c r="TZ111" s="18" t="s">
        <v>499</v>
      </c>
      <c r="UA111" s="142" t="s">
        <v>3164</v>
      </c>
      <c r="UB111" s="319" t="s">
        <v>3031</v>
      </c>
      <c r="UC111" s="18" t="str">
        <f ca="1">IF(UC$1&gt;=$TM111,1,"0")</f>
        <v>0</v>
      </c>
      <c r="UF111" s="18" t="str">
        <f ca="1">IF(UF$1&gt;=$TM111,1,"0")</f>
        <v>0</v>
      </c>
      <c r="UL111" s="18" t="str">
        <f ca="1">IF(UL$1&gt;=$TM111,1,"0")</f>
        <v>0</v>
      </c>
      <c r="UV111" s="18" t="str">
        <f>IF(UV$1&gt;=$TM111,1,"0")</f>
        <v>0</v>
      </c>
      <c r="UX111" s="18" t="str">
        <f>IF(UX$1&gt;=$TM111,1,"0")</f>
        <v>0</v>
      </c>
      <c r="VD111" s="18" t="str">
        <f>IF(VD$1&gt;=$TM111,1,"0")</f>
        <v>0</v>
      </c>
      <c r="WD111" s="18" t="str">
        <f ca="1">IF(SUM($VZ$1:$WC$1)&gt;0,IF(AND(SUM($VZ111:$WC111)&gt;0,$TM111=WE$1),MAX(WD$2:WD110)+1,""),IF(AND(SUM($UC111:$VY111)&gt;0,$TM111=WE$1),MAX(WD$2:WD110)+1,""))</f>
        <v/>
      </c>
      <c r="WE111" s="59" t="str">
        <f t="shared" ca="1" si="169"/>
        <v/>
      </c>
      <c r="WF111" s="18" t="str">
        <f ca="1">IF(AND(SUM($UB111:$VY111)&gt;0,$TM111=WG$1),MAX(WF$2:WF110)+1,"")</f>
        <v/>
      </c>
      <c r="WG111" s="59" t="str">
        <f t="shared" ca="1" si="170"/>
        <v/>
      </c>
      <c r="WH111" s="18" t="str">
        <f ca="1">IF(AND(SUM($UB111:$VY111)&gt;0,$TM111=WI$1),MAX(WH$2:WH110)+1,"")</f>
        <v/>
      </c>
      <c r="WI111" s="59" t="str">
        <f t="shared" ca="1" si="171"/>
        <v/>
      </c>
      <c r="WJ111" s="18" t="str">
        <f ca="1">IF(AND(SUM($UB111:$VY111)&gt;0,$TM111=WK$1),MAX(WJ$2:WJ110)+1,"")</f>
        <v/>
      </c>
      <c r="WK111" s="59" t="str">
        <f t="shared" ca="1" si="172"/>
        <v/>
      </c>
      <c r="WL111" s="18" t="str">
        <f ca="1">IF(AND(SUM($UB111:$VY111)&gt;0,$TM111=WM$1),MAX(WL$2:WL110)+1,"")</f>
        <v/>
      </c>
      <c r="WM111" s="59" t="str">
        <f t="shared" ca="1" si="173"/>
        <v/>
      </c>
      <c r="WN111" s="18" t="str">
        <f ca="1">IF(AND(SUM($UB111:$VY111)&gt;0,$TM111=WO$1),MAX(WN$2:WN110)+1,"")</f>
        <v/>
      </c>
      <c r="WO111" s="59" t="str">
        <f t="shared" ca="1" si="174"/>
        <v/>
      </c>
      <c r="WP111" s="18" t="str">
        <f ca="1">IF(AND(SUM($UB111:$VY111)&gt;0,$TM111=WQ$1),MAX(WP$2:WP110)+1,"")</f>
        <v/>
      </c>
      <c r="WQ111" s="59" t="str">
        <f t="shared" ca="1" si="175"/>
        <v/>
      </c>
      <c r="WR111" s="18" t="str">
        <f ca="1">IF(AND(SUM($UB111:$VY111)&gt;0,$TM111=WS$1),MAX(WR$2:WR110)+1,"")</f>
        <v/>
      </c>
      <c r="WS111" s="59" t="str">
        <f t="shared" ca="1" si="176"/>
        <v/>
      </c>
      <c r="WT111" s="18" t="str">
        <f ca="1">IF(AND(SUM($UB111:$VY111)&gt;0,$TM111=WU$1),MAX(WT$2:WT110)+1,"")</f>
        <v/>
      </c>
      <c r="WU111" s="59" t="str">
        <f t="shared" ca="1" si="177"/>
        <v/>
      </c>
      <c r="WV111" s="18" t="str">
        <f ca="1">IF(AND(SUM($UB111:$VY111)&gt;0,$TM111=WW$1),MAX(WV$2:WV110)+1,"")</f>
        <v/>
      </c>
      <c r="WW111" s="59" t="str">
        <f t="shared" ca="1" si="178"/>
        <v/>
      </c>
      <c r="WX111" s="18" t="str">
        <f ca="1">IF(AND(SUM($UB111:$VY111)&gt;0,$TM111=WY$1),MAX(WX$2:WX110)+1,"")</f>
        <v/>
      </c>
      <c r="WY111" s="59" t="str">
        <f t="shared" ca="1" si="179"/>
        <v/>
      </c>
      <c r="WZ111" s="59"/>
      <c r="XC111" s="59" t="str">
        <f t="shared" ca="1" si="197"/>
        <v/>
      </c>
    </row>
    <row r="112" spans="219:627" ht="9.9499999999999993" customHeight="1" x14ac:dyDescent="0.2">
      <c r="HK112" s="59"/>
      <c r="HL112" s="59"/>
      <c r="IX112" s="209" t="s">
        <v>3575</v>
      </c>
      <c r="JM112" s="296">
        <v>11</v>
      </c>
      <c r="JN112" s="98" t="s">
        <v>140</v>
      </c>
      <c r="JO112" s="98" t="s">
        <v>140</v>
      </c>
      <c r="JP112" s="98" t="s">
        <v>140</v>
      </c>
      <c r="JQ112" s="98" t="s">
        <v>140</v>
      </c>
      <c r="JR112" s="98">
        <v>3</v>
      </c>
      <c r="JS112" s="98">
        <v>1</v>
      </c>
      <c r="JT112" s="98" t="s">
        <v>140</v>
      </c>
      <c r="JU112" s="98" t="s">
        <v>140</v>
      </c>
      <c r="JV112" s="98" t="s">
        <v>140</v>
      </c>
      <c r="JW112" s="80">
        <v>6</v>
      </c>
      <c r="JX112" s="302">
        <v>6</v>
      </c>
      <c r="KT112" s="88" t="s">
        <v>122</v>
      </c>
      <c r="KU112" s="80" t="str">
        <f t="shared" ref="KU112:KU129" ca="1" si="204">IF(COUNTIF(KW112:PT112,"&gt;&lt;"),"Yes","No")</f>
        <v>No</v>
      </c>
      <c r="KV112" s="89" t="s">
        <v>129</v>
      </c>
      <c r="KW112" s="92"/>
      <c r="KX112" s="92"/>
      <c r="KY112" s="92"/>
      <c r="KZ112" s="92"/>
      <c r="LA112" s="92"/>
      <c r="LB112" s="92"/>
      <c r="LC112" s="92"/>
      <c r="LD112" s="92"/>
      <c r="LE112" s="92"/>
      <c r="LF112" s="92"/>
      <c r="LG112" s="92"/>
      <c r="LH112" s="92"/>
      <c r="LI112" s="92"/>
      <c r="LJ112" s="92"/>
      <c r="LK112" s="92"/>
      <c r="LL112" s="92" t="str">
        <f>IF(LL$1&gt;0,$KT112,"")</f>
        <v/>
      </c>
      <c r="LM112" s="92"/>
      <c r="LN112" s="92"/>
      <c r="LO112" s="92"/>
      <c r="LP112" s="92"/>
      <c r="LQ112" s="92"/>
      <c r="LR112" s="92"/>
      <c r="LS112" s="92"/>
      <c r="LT112" s="92"/>
      <c r="LU112" s="92"/>
      <c r="LV112" s="92"/>
      <c r="LW112" s="92"/>
      <c r="LX112" s="92"/>
      <c r="LY112" s="92"/>
      <c r="LZ112" s="96"/>
      <c r="MA112" s="92" t="str">
        <f t="shared" ca="1" si="187"/>
        <v/>
      </c>
      <c r="MB112" s="92" t="str">
        <f>IF(Class1=MB$5,IF(MB$1&gt;0,$KT112,""),"")</f>
        <v/>
      </c>
      <c r="MC112" s="96"/>
      <c r="MD112" s="92" t="str">
        <f t="shared" ca="1" si="200"/>
        <v/>
      </c>
      <c r="ME112" s="92" t="str">
        <f>IF(Class1=ME$5,IF(ME$1&gt;0,$KT112,""),"")</f>
        <v/>
      </c>
      <c r="MF112" s="96"/>
      <c r="MG112" s="96"/>
      <c r="MH112" s="92" t="str">
        <f t="shared" ca="1" si="189"/>
        <v/>
      </c>
      <c r="MI112" s="92" t="str">
        <f t="shared" ca="1" si="198"/>
        <v/>
      </c>
      <c r="MJ112" s="96"/>
      <c r="MK112" s="92"/>
      <c r="ML112" s="92"/>
      <c r="MM112" s="92"/>
      <c r="MN112" s="92"/>
      <c r="MO112" s="92"/>
      <c r="MP112" s="92"/>
      <c r="MQ112" s="92" t="str">
        <f t="shared" ca="1" si="201"/>
        <v/>
      </c>
      <c r="MR112" s="92"/>
      <c r="MS112" s="92" t="str">
        <f t="shared" ca="1" si="201"/>
        <v/>
      </c>
      <c r="MT112" s="92"/>
      <c r="MU112" s="92"/>
      <c r="MV112" s="92"/>
      <c r="MW112" s="92"/>
      <c r="MX112" s="92"/>
      <c r="MY112" s="92"/>
      <c r="MZ112" s="92"/>
      <c r="NA112" s="92"/>
      <c r="NB112" s="92"/>
      <c r="NC112" s="92"/>
      <c r="ND112" s="92"/>
      <c r="NE112" s="92"/>
      <c r="NF112" s="92"/>
      <c r="NG112" s="92"/>
      <c r="NH112" s="92"/>
      <c r="NI112" s="92"/>
      <c r="NJ112" s="92"/>
      <c r="NK112" s="92" t="str">
        <f t="shared" ca="1" si="202"/>
        <v/>
      </c>
      <c r="NL112" s="92"/>
      <c r="NM112" s="92"/>
      <c r="NN112" s="92"/>
      <c r="NO112" s="92"/>
      <c r="NP112" s="92"/>
      <c r="NQ112" s="92"/>
      <c r="NR112" s="92"/>
      <c r="NS112" s="92"/>
      <c r="NT112" s="92"/>
      <c r="NU112" s="92"/>
      <c r="NV112" s="92"/>
      <c r="NW112" s="92"/>
      <c r="NX112" s="92"/>
      <c r="NY112" s="92"/>
      <c r="NZ112" s="92"/>
      <c r="OA112" s="92"/>
      <c r="OB112" s="92"/>
      <c r="OC112" s="92"/>
      <c r="OD112" s="92"/>
      <c r="OE112" s="92"/>
      <c r="OF112" s="92"/>
      <c r="OG112" s="92"/>
      <c r="OH112" s="92"/>
      <c r="OI112" s="92"/>
      <c r="OJ112" s="92"/>
      <c r="OK112" s="92"/>
      <c r="OL112" s="92"/>
      <c r="OM112" s="92"/>
      <c r="ON112" s="92"/>
      <c r="OO112" s="92"/>
      <c r="OP112" s="92"/>
      <c r="OQ112" s="92"/>
      <c r="OR112" s="92"/>
      <c r="OS112" s="92"/>
      <c r="OT112" s="92"/>
      <c r="OU112" s="92"/>
      <c r="OV112" s="92"/>
      <c r="OW112" s="92"/>
      <c r="OX112" s="92"/>
      <c r="OY112" s="92"/>
      <c r="OZ112" s="92"/>
      <c r="PA112" s="92"/>
      <c r="PB112" s="92"/>
      <c r="PC112" s="92"/>
      <c r="PD112" s="92"/>
      <c r="PE112" s="92"/>
      <c r="PF112" s="92"/>
      <c r="PG112" s="92"/>
      <c r="PH112" s="92"/>
      <c r="PI112" s="92"/>
      <c r="PJ112" s="92"/>
      <c r="PK112" s="92"/>
      <c r="PL112" s="92"/>
      <c r="PM112" s="92"/>
      <c r="PN112" s="92"/>
      <c r="PO112" s="92"/>
      <c r="PP112" s="92"/>
      <c r="PQ112" s="92"/>
      <c r="PR112" s="92"/>
      <c r="PS112" s="92"/>
      <c r="PT112" s="92"/>
      <c r="PU112" s="59" t="str">
        <f t="shared" ca="1" si="203"/>
        <v/>
      </c>
      <c r="PV112" s="59" t="str">
        <f ca="1">IF(PU112="","",IF(COUNTIF(PU112:$PU$125,"&gt;&lt;")&gt;1,PU112&amp;", ", PU112))</f>
        <v/>
      </c>
      <c r="PW112" s="99"/>
      <c r="PX112" s="99"/>
      <c r="TJ112" s="18">
        <f t="shared" si="181"/>
        <v>110</v>
      </c>
      <c r="TK112" s="58" t="s">
        <v>1946</v>
      </c>
      <c r="TL112" s="58" t="s">
        <v>463</v>
      </c>
      <c r="TM112" s="18">
        <v>6</v>
      </c>
      <c r="TN112" s="59" t="str">
        <f t="shared" si="167"/>
        <v xml:space="preserve">Drawmij's Instant Summons </v>
      </c>
      <c r="TO112" s="18" t="str">
        <f>""</f>
        <v/>
      </c>
      <c r="TP112" s="18" t="str">
        <f t="shared" si="168"/>
        <v/>
      </c>
      <c r="TQ112" s="18" t="str">
        <f>IF(OR(TK112=Spellcasting!$AC$18,TK112=Spellcasting!$AC$19),"ᵐ","")</f>
        <v/>
      </c>
      <c r="TR112" s="18" t="str">
        <f>IF(OR(TK112=Spellcasting!$AC$20,TK112=Spellcasting!$AC$21),"ˢ","")</f>
        <v/>
      </c>
      <c r="TS112" s="18" t="s">
        <v>477</v>
      </c>
      <c r="TT112" s="18" t="s">
        <v>494</v>
      </c>
      <c r="TU112" s="18" t="s">
        <v>519</v>
      </c>
      <c r="TV112" s="18" t="s">
        <v>857</v>
      </c>
      <c r="TW112" s="18" t="s">
        <v>495</v>
      </c>
      <c r="TX112" s="59" t="s">
        <v>1994</v>
      </c>
      <c r="TY112" s="18" t="s">
        <v>516</v>
      </c>
      <c r="TZ112" s="18" t="s">
        <v>517</v>
      </c>
      <c r="UA112" s="142" t="s">
        <v>2126</v>
      </c>
      <c r="UB112" s="319" t="s">
        <v>2127</v>
      </c>
      <c r="UL112" s="18" t="str">
        <f ca="1">IF(UL$1&gt;=$TM112,1,"0")</f>
        <v>0</v>
      </c>
      <c r="WD112" s="18" t="str">
        <f ca="1">IF(SUM($VZ$1:$WC$1)&gt;0,IF(AND(SUM($VZ112:$WC112)&gt;0,$TM112=WE$1),MAX(WD$2:WD111)+1,""),IF(AND(SUM($UC112:$VY112)&gt;0,$TM112=WE$1),MAX(WD$2:WD111)+1,""))</f>
        <v/>
      </c>
      <c r="WE112" s="59" t="str">
        <f t="shared" ca="1" si="169"/>
        <v/>
      </c>
      <c r="WF112" s="18" t="str">
        <f ca="1">IF(AND(SUM($UB112:$VY112)&gt;0,$TM112=WG$1),MAX(WF$2:WF111)+1,"")</f>
        <v/>
      </c>
      <c r="WG112" s="59" t="str">
        <f t="shared" ca="1" si="170"/>
        <v/>
      </c>
      <c r="WH112" s="18" t="str">
        <f ca="1">IF(AND(SUM($UB112:$VY112)&gt;0,$TM112=WI$1),MAX(WH$2:WH111)+1,"")</f>
        <v/>
      </c>
      <c r="WI112" s="59" t="str">
        <f t="shared" ca="1" si="171"/>
        <v/>
      </c>
      <c r="WJ112" s="18" t="str">
        <f ca="1">IF(AND(SUM($UB112:$VY112)&gt;0,$TM112=WK$1),MAX(WJ$2:WJ111)+1,"")</f>
        <v/>
      </c>
      <c r="WK112" s="59" t="str">
        <f t="shared" ca="1" si="172"/>
        <v/>
      </c>
      <c r="WL112" s="18" t="str">
        <f ca="1">IF(AND(SUM($UB112:$VY112)&gt;0,$TM112=WM$1),MAX(WL$2:WL111)+1,"")</f>
        <v/>
      </c>
      <c r="WM112" s="59" t="str">
        <f t="shared" ca="1" si="173"/>
        <v/>
      </c>
      <c r="WN112" s="18" t="str">
        <f ca="1">IF(AND(SUM($UB112:$VY112)&gt;0,$TM112=WO$1),MAX(WN$2:WN111)+1,"")</f>
        <v/>
      </c>
      <c r="WO112" s="59" t="str">
        <f t="shared" ca="1" si="174"/>
        <v/>
      </c>
      <c r="WP112" s="18" t="str">
        <f ca="1">IF(AND(SUM($UB112:$VY112)&gt;0,$TM112=WQ$1),MAX(WP$2:WP111)+1,"")</f>
        <v/>
      </c>
      <c r="WQ112" s="59" t="str">
        <f t="shared" ca="1" si="175"/>
        <v/>
      </c>
      <c r="WR112" s="18" t="str">
        <f ca="1">IF(AND(SUM($UB112:$VY112)&gt;0,$TM112=WS$1),MAX(WR$2:WR111)+1,"")</f>
        <v/>
      </c>
      <c r="WS112" s="59" t="str">
        <f t="shared" ca="1" si="176"/>
        <v/>
      </c>
      <c r="WT112" s="18" t="str">
        <f ca="1">IF(AND(SUM($UB112:$VY112)&gt;0,$TM112=WU$1),MAX(WT$2:WT111)+1,"")</f>
        <v/>
      </c>
      <c r="WU112" s="59" t="str">
        <f t="shared" ca="1" si="177"/>
        <v/>
      </c>
      <c r="WV112" s="18" t="str">
        <f ca="1">IF(AND(SUM($UB112:$VY112)&gt;0,$TM112=WW$1),MAX(WV$2:WV111)+1,"")</f>
        <v/>
      </c>
      <c r="WW112" s="59" t="str">
        <f t="shared" ca="1" si="178"/>
        <v/>
      </c>
      <c r="WX112" s="18" t="str">
        <f ca="1">IF(AND(SUM($UB112:$VY112)&gt;0,$TM112=WY$1),MAX(WX$2:WX111)+1,"")</f>
        <v/>
      </c>
      <c r="WY112" s="59" t="str">
        <f t="shared" ca="1" si="179"/>
        <v/>
      </c>
      <c r="WZ112" s="59"/>
      <c r="XC112" s="59" t="str">
        <f t="shared" ca="1" si="197"/>
        <v/>
      </c>
    </row>
    <row r="113" spans="257:627" ht="9.9499999999999993" customHeight="1" x14ac:dyDescent="0.2">
      <c r="IX113" s="58" t="s">
        <v>3594</v>
      </c>
      <c r="IY113" s="58" t="s">
        <v>3568</v>
      </c>
      <c r="IZ113" s="58" t="s">
        <v>201</v>
      </c>
      <c r="JA113" s="58" t="s">
        <v>888</v>
      </c>
      <c r="JB113" s="58" t="s">
        <v>3569</v>
      </c>
      <c r="JM113" s="296">
        <v>12</v>
      </c>
      <c r="JN113" s="98" t="s">
        <v>140</v>
      </c>
      <c r="JO113" s="98" t="s">
        <v>140</v>
      </c>
      <c r="JP113" s="98" t="s">
        <v>140</v>
      </c>
      <c r="JQ113" s="98" t="s">
        <v>140</v>
      </c>
      <c r="JR113" s="98">
        <v>3</v>
      </c>
      <c r="JS113" s="98">
        <v>1</v>
      </c>
      <c r="JT113" s="98" t="s">
        <v>140</v>
      </c>
      <c r="JU113" s="98" t="s">
        <v>140</v>
      </c>
      <c r="JV113" s="98" t="s">
        <v>140</v>
      </c>
      <c r="JW113" s="80">
        <v>6</v>
      </c>
      <c r="JX113" s="302">
        <v>6</v>
      </c>
      <c r="KT113" s="88" t="s">
        <v>123</v>
      </c>
      <c r="KU113" s="80" t="str">
        <f t="shared" ca="1" si="204"/>
        <v>No</v>
      </c>
      <c r="KV113" s="89" t="s">
        <v>129</v>
      </c>
      <c r="KW113" s="92"/>
      <c r="KX113" s="92"/>
      <c r="KY113" s="92"/>
      <c r="KZ113" s="92"/>
      <c r="LA113" s="92"/>
      <c r="LB113" s="92"/>
      <c r="LC113" s="92"/>
      <c r="LD113" s="92"/>
      <c r="LE113" s="92"/>
      <c r="LF113" s="92"/>
      <c r="LG113" s="92"/>
      <c r="LH113" s="92"/>
      <c r="LI113" s="92"/>
      <c r="LJ113" s="92"/>
      <c r="LK113" s="92"/>
      <c r="LL113" s="92"/>
      <c r="LM113" s="92"/>
      <c r="LN113" s="92"/>
      <c r="LO113" s="92"/>
      <c r="LP113" s="92"/>
      <c r="LQ113" s="92"/>
      <c r="LR113" s="92"/>
      <c r="LS113" s="92"/>
      <c r="LT113" s="92"/>
      <c r="LU113" s="92"/>
      <c r="LV113" s="92"/>
      <c r="LW113" s="92"/>
      <c r="LX113" s="92"/>
      <c r="LY113" s="92"/>
      <c r="LZ113" s="96"/>
      <c r="MA113" s="92" t="str">
        <f t="shared" ca="1" si="187"/>
        <v/>
      </c>
      <c r="MB113" s="96"/>
      <c r="MC113" s="96"/>
      <c r="MD113" s="92" t="str">
        <f t="shared" ca="1" si="200"/>
        <v/>
      </c>
      <c r="ME113" s="96"/>
      <c r="MF113" s="92" t="str">
        <f>IF(Class1=MF$5,IF(MF$1&gt;0,$KT113,""),"")</f>
        <v/>
      </c>
      <c r="MG113" s="96"/>
      <c r="MH113" s="92" t="str">
        <f t="shared" ca="1" si="189"/>
        <v/>
      </c>
      <c r="MI113" s="92" t="str">
        <f t="shared" ca="1" si="198"/>
        <v/>
      </c>
      <c r="MJ113" s="96"/>
      <c r="MK113" s="96"/>
      <c r="ML113" s="96"/>
      <c r="MM113" s="96"/>
      <c r="MN113" s="96"/>
      <c r="MO113" s="96"/>
      <c r="MP113" s="96"/>
      <c r="MQ113" s="92" t="str">
        <f t="shared" ca="1" si="201"/>
        <v/>
      </c>
      <c r="MR113" s="96"/>
      <c r="MS113" s="92" t="str">
        <f t="shared" ca="1" si="201"/>
        <v/>
      </c>
      <c r="MT113" s="96"/>
      <c r="MU113" s="96"/>
      <c r="MV113" s="96"/>
      <c r="MW113" s="96"/>
      <c r="MX113" s="96"/>
      <c r="MY113" s="96"/>
      <c r="MZ113" s="96"/>
      <c r="NA113" s="96"/>
      <c r="NB113" s="96"/>
      <c r="NC113" s="96"/>
      <c r="ND113" s="96"/>
      <c r="NE113" s="96"/>
      <c r="NF113" s="96"/>
      <c r="NG113" s="96"/>
      <c r="NH113" s="96"/>
      <c r="NI113" s="96"/>
      <c r="NJ113" s="96"/>
      <c r="NK113" s="92" t="str">
        <f t="shared" ca="1" si="202"/>
        <v/>
      </c>
      <c r="NL113" s="96"/>
      <c r="NM113" s="96"/>
      <c r="NN113" s="96"/>
      <c r="NO113" s="96"/>
      <c r="NP113" s="96"/>
      <c r="NQ113" s="96"/>
      <c r="NR113" s="96"/>
      <c r="NS113" s="96"/>
      <c r="NT113" s="96"/>
      <c r="NU113" s="96"/>
      <c r="NV113" s="96"/>
      <c r="NW113" s="96"/>
      <c r="NX113" s="96"/>
      <c r="NY113" s="96"/>
      <c r="NZ113" s="96"/>
      <c r="OA113" s="96"/>
      <c r="OB113" s="96"/>
      <c r="OC113" s="92" t="str">
        <f>IF(OC$1&gt;0,$KT113,"")</f>
        <v/>
      </c>
      <c r="OD113" s="92"/>
      <c r="OE113" s="92"/>
      <c r="OF113" s="92"/>
      <c r="OG113" s="92"/>
      <c r="OH113" s="92"/>
      <c r="OI113" s="92"/>
      <c r="OJ113" s="92"/>
      <c r="OK113" s="92"/>
      <c r="OL113" s="92"/>
      <c r="OM113" s="92"/>
      <c r="ON113" s="92"/>
      <c r="OO113" s="92"/>
      <c r="OP113" s="92"/>
      <c r="OQ113" s="92"/>
      <c r="OR113" s="92"/>
      <c r="OS113" s="92"/>
      <c r="OT113" s="92"/>
      <c r="OU113" s="92"/>
      <c r="OV113" s="92"/>
      <c r="OW113" s="92"/>
      <c r="OX113" s="92"/>
      <c r="OY113" s="92"/>
      <c r="OZ113" s="92"/>
      <c r="PA113" s="92"/>
      <c r="PB113" s="92"/>
      <c r="PC113" s="92"/>
      <c r="PD113" s="92"/>
      <c r="PE113" s="92"/>
      <c r="PF113" s="92"/>
      <c r="PG113" s="92"/>
      <c r="PH113" s="92"/>
      <c r="PI113" s="92"/>
      <c r="PJ113" s="92"/>
      <c r="PK113" s="96"/>
      <c r="PL113" s="96"/>
      <c r="PM113" s="96"/>
      <c r="PN113" s="96"/>
      <c r="PO113" s="96"/>
      <c r="PP113" s="96"/>
      <c r="PQ113" s="96"/>
      <c r="PR113" s="96"/>
      <c r="PS113" s="96"/>
      <c r="PT113" s="96"/>
      <c r="PU113" s="59" t="str">
        <f t="shared" ca="1" si="203"/>
        <v/>
      </c>
      <c r="PV113" s="59" t="str">
        <f ca="1">IF(PU113="","",IF(COUNTIF(PU113:$PU$125,"&gt;&lt;")&gt;1,PU113&amp;", ", PU113))</f>
        <v/>
      </c>
      <c r="PW113" s="99"/>
      <c r="PX113" s="99"/>
      <c r="TJ113" s="18">
        <f t="shared" si="181"/>
        <v>111</v>
      </c>
      <c r="TK113" s="58" t="s">
        <v>981</v>
      </c>
      <c r="TL113" s="58" t="s">
        <v>462</v>
      </c>
      <c r="TM113" s="18">
        <v>5</v>
      </c>
      <c r="TN113" s="59" t="str">
        <f t="shared" si="167"/>
        <v xml:space="preserve">Dream </v>
      </c>
      <c r="TO113" s="18" t="str">
        <f>""</f>
        <v/>
      </c>
      <c r="TP113" s="18" t="str">
        <f t="shared" si="168"/>
        <v/>
      </c>
      <c r="TQ113" s="18" t="str">
        <f>IF(OR(TK113=Spellcasting!$AC$18,TK113=Spellcasting!$AC$19),"ᵐ","")</f>
        <v/>
      </c>
      <c r="TR113" s="18" t="str">
        <f>IF(OR(TK113=Spellcasting!$AC$20,TK113=Spellcasting!$AC$21),"ˢ","")</f>
        <v/>
      </c>
      <c r="TS113" s="18" t="str">
        <f>""</f>
        <v/>
      </c>
      <c r="TT113" s="18" t="s">
        <v>503</v>
      </c>
      <c r="TU113" s="18" t="s">
        <v>841</v>
      </c>
      <c r="TV113" s="18" t="s">
        <v>485</v>
      </c>
      <c r="TW113" s="18" t="s">
        <v>495</v>
      </c>
      <c r="TX113" s="59" t="s">
        <v>982</v>
      </c>
      <c r="TY113" s="18" t="s">
        <v>523</v>
      </c>
      <c r="TZ113" s="18" t="s">
        <v>524</v>
      </c>
      <c r="UA113" s="142" t="s">
        <v>983</v>
      </c>
      <c r="UB113" s="319" t="s">
        <v>984</v>
      </c>
      <c r="UC113" s="18" t="str">
        <f ca="1">IF(UC$1&gt;=$TM113,1,"0")</f>
        <v>0</v>
      </c>
      <c r="UG113" s="18" t="str">
        <f ca="1">IF(UG$1&gt;=$TM113,1,"0")</f>
        <v>0</v>
      </c>
      <c r="UL113" s="18" t="str">
        <f ca="1">IF(UL$1&gt;=$TM113,1,"0")</f>
        <v>0</v>
      </c>
      <c r="VK113" s="18" t="str">
        <f>IF(VK$1&gt;=$TM113,1,"0")</f>
        <v>0</v>
      </c>
      <c r="WD113" s="18" t="str">
        <f ca="1">IF(SUM($VZ$1:$WC$1)&gt;0,IF(AND(SUM($VZ113:$WC113)&gt;0,$TM113=WE$1),MAX(WD$2:WD112)+1,""),IF(AND(SUM($UC113:$VY113)&gt;0,$TM113=WE$1),MAX(WD$2:WD112)+1,""))</f>
        <v/>
      </c>
      <c r="WE113" s="59" t="str">
        <f t="shared" ca="1" si="169"/>
        <v/>
      </c>
      <c r="WF113" s="18" t="str">
        <f ca="1">IF(AND(SUM($UB113:$VY113)&gt;0,$TM113=WG$1),MAX(WF$2:WF112)+1,"")</f>
        <v/>
      </c>
      <c r="WG113" s="59" t="str">
        <f t="shared" ca="1" si="170"/>
        <v/>
      </c>
      <c r="WH113" s="18" t="str">
        <f ca="1">IF(AND(SUM($UB113:$VY113)&gt;0,$TM113=WI$1),MAX(WH$2:WH112)+1,"")</f>
        <v/>
      </c>
      <c r="WI113" s="59" t="str">
        <f t="shared" ca="1" si="171"/>
        <v/>
      </c>
      <c r="WJ113" s="18" t="str">
        <f ca="1">IF(AND(SUM($UB113:$VY113)&gt;0,$TM113=WK$1),MAX(WJ$2:WJ112)+1,"")</f>
        <v/>
      </c>
      <c r="WK113" s="59" t="str">
        <f t="shared" ca="1" si="172"/>
        <v/>
      </c>
      <c r="WL113" s="18" t="str">
        <f ca="1">IF(AND(SUM($UB113:$VY113)&gt;0,$TM113=WM$1),MAX(WL$2:WL112)+1,"")</f>
        <v/>
      </c>
      <c r="WM113" s="59" t="str">
        <f t="shared" ca="1" si="173"/>
        <v/>
      </c>
      <c r="WN113" s="18" t="str">
        <f ca="1">IF(AND(SUM($UB113:$VY113)&gt;0,$TM113=WO$1),MAX(WN$2:WN112)+1,"")</f>
        <v/>
      </c>
      <c r="WO113" s="59" t="str">
        <f t="shared" ca="1" si="174"/>
        <v/>
      </c>
      <c r="WP113" s="18" t="str">
        <f ca="1">IF(AND(SUM($UB113:$VY113)&gt;0,$TM113=WQ$1),MAX(WP$2:WP112)+1,"")</f>
        <v/>
      </c>
      <c r="WQ113" s="59" t="str">
        <f t="shared" ca="1" si="175"/>
        <v/>
      </c>
      <c r="WR113" s="18" t="str">
        <f ca="1">IF(AND(SUM($UB113:$VY113)&gt;0,$TM113=WS$1),MAX(WR$2:WR112)+1,"")</f>
        <v/>
      </c>
      <c r="WS113" s="59" t="str">
        <f t="shared" ca="1" si="176"/>
        <v/>
      </c>
      <c r="WT113" s="18" t="str">
        <f ca="1">IF(AND(SUM($UB113:$VY113)&gt;0,$TM113=WU$1),MAX(WT$2:WT112)+1,"")</f>
        <v/>
      </c>
      <c r="WU113" s="59" t="str">
        <f t="shared" ca="1" si="177"/>
        <v/>
      </c>
      <c r="WV113" s="18" t="str">
        <f ca="1">IF(AND(SUM($UB113:$VY113)&gt;0,$TM113=WW$1),MAX(WV$2:WV112)+1,"")</f>
        <v/>
      </c>
      <c r="WW113" s="59" t="str">
        <f t="shared" ca="1" si="178"/>
        <v/>
      </c>
      <c r="WX113" s="18" t="str">
        <f ca="1">IF(AND(SUM($UB113:$VY113)&gt;0,$TM113=WY$1),MAX(WX$2:WX112)+1,"")</f>
        <v/>
      </c>
      <c r="WY113" s="59" t="str">
        <f t="shared" ca="1" si="179"/>
        <v/>
      </c>
      <c r="WZ113" s="59"/>
      <c r="XC113" s="59" t="str">
        <f t="shared" ca="1" si="197"/>
        <v/>
      </c>
    </row>
    <row r="114" spans="257:627" ht="9.9499999999999993" customHeight="1" x14ac:dyDescent="0.2">
      <c r="IX114" s="58" t="s">
        <v>3593</v>
      </c>
      <c r="IY114" s="58" t="s">
        <v>3564</v>
      </c>
      <c r="IZ114" s="58" t="s">
        <v>198</v>
      </c>
      <c r="JA114" s="58" t="s">
        <v>3566</v>
      </c>
      <c r="JB114" s="58" t="s">
        <v>3567</v>
      </c>
      <c r="JM114" s="296">
        <v>13</v>
      </c>
      <c r="JN114" s="98" t="s">
        <v>140</v>
      </c>
      <c r="JO114" s="98" t="s">
        <v>140</v>
      </c>
      <c r="JP114" s="98" t="s">
        <v>140</v>
      </c>
      <c r="JQ114" s="98" t="s">
        <v>140</v>
      </c>
      <c r="JR114" s="98">
        <v>3</v>
      </c>
      <c r="JS114" s="98">
        <v>1</v>
      </c>
      <c r="JT114" s="98">
        <v>1</v>
      </c>
      <c r="JU114" s="98" t="s">
        <v>140</v>
      </c>
      <c r="JV114" s="98" t="s">
        <v>140</v>
      </c>
      <c r="JW114" s="80">
        <v>7</v>
      </c>
      <c r="JX114" s="302">
        <v>6</v>
      </c>
      <c r="KT114" s="88" t="s">
        <v>124</v>
      </c>
      <c r="KU114" s="80" t="str">
        <f t="shared" ca="1" si="204"/>
        <v>No</v>
      </c>
      <c r="KV114" s="89" t="s">
        <v>129</v>
      </c>
      <c r="KW114" s="92"/>
      <c r="KX114" s="92"/>
      <c r="KY114" s="92"/>
      <c r="KZ114" s="92"/>
      <c r="LA114" s="92"/>
      <c r="LB114" s="92"/>
      <c r="LC114" s="92"/>
      <c r="LD114" s="92"/>
      <c r="LE114" s="92"/>
      <c r="LF114" s="92"/>
      <c r="LG114" s="92"/>
      <c r="LH114" s="92"/>
      <c r="LI114" s="92"/>
      <c r="LJ114" s="92" t="str">
        <f>IF(LJ$1&gt;0,$KT114,"")</f>
        <v/>
      </c>
      <c r="LK114" s="92" t="str">
        <f>IF(LK$1&gt;0,$KT114,"")</f>
        <v/>
      </c>
      <c r="LL114" s="92" t="str">
        <f>IF(LL$1&gt;0,$KT114,"")</f>
        <v/>
      </c>
      <c r="LM114" s="92" t="str">
        <f>IF(LM$1&gt;0,$KT114,"")</f>
        <v/>
      </c>
      <c r="LN114" s="92"/>
      <c r="LO114" s="92"/>
      <c r="LP114" s="92"/>
      <c r="LQ114" s="92"/>
      <c r="LR114" s="92"/>
      <c r="LS114" s="92"/>
      <c r="LT114" s="92"/>
      <c r="LU114" s="92"/>
      <c r="LV114" s="92"/>
      <c r="LW114" s="92"/>
      <c r="LX114" s="92"/>
      <c r="LY114" s="92"/>
      <c r="LZ114" s="96"/>
      <c r="MA114" s="92" t="str">
        <f t="shared" ca="1" si="187"/>
        <v/>
      </c>
      <c r="MB114" s="92" t="str">
        <f>IF(Class1=MB$5,IF(MB$1&gt;0,$KT114,""),"")</f>
        <v/>
      </c>
      <c r="MC114" s="96"/>
      <c r="MD114" s="92" t="str">
        <f t="shared" ca="1" si="200"/>
        <v/>
      </c>
      <c r="ME114" s="92" t="str">
        <f>IF(Class1=ME$5,IF(ME$1&gt;0,$KT114,""),"")</f>
        <v/>
      </c>
      <c r="MF114" s="96"/>
      <c r="MG114" s="92" t="str">
        <f>IF(Class1=MG$5,IF(MG$1&gt;0,$KT114,""),"")</f>
        <v/>
      </c>
      <c r="MH114" s="92" t="str">
        <f t="shared" ca="1" si="189"/>
        <v/>
      </c>
      <c r="MI114" s="92" t="str">
        <f t="shared" ca="1" si="198"/>
        <v/>
      </c>
      <c r="MJ114" s="96"/>
      <c r="MK114" s="92"/>
      <c r="ML114" s="92"/>
      <c r="MM114" s="92"/>
      <c r="MN114" s="92"/>
      <c r="MO114" s="92"/>
      <c r="MP114" s="92"/>
      <c r="MQ114" s="92" t="str">
        <f t="shared" ca="1" si="201"/>
        <v/>
      </c>
      <c r="MR114" s="92"/>
      <c r="MS114" s="92" t="str">
        <f t="shared" ca="1" si="201"/>
        <v/>
      </c>
      <c r="MT114" s="92"/>
      <c r="MU114" s="92"/>
      <c r="MV114" s="92"/>
      <c r="MW114" s="92"/>
      <c r="MX114" s="92"/>
      <c r="MY114" s="92"/>
      <c r="MZ114" s="92"/>
      <c r="NA114" s="92"/>
      <c r="NB114" s="92"/>
      <c r="NC114" s="92"/>
      <c r="ND114" s="92"/>
      <c r="NE114" s="92"/>
      <c r="NF114" s="92"/>
      <c r="NG114" s="92"/>
      <c r="NH114" s="92"/>
      <c r="NI114" s="92"/>
      <c r="NJ114" s="92"/>
      <c r="NK114" s="92" t="str">
        <f t="shared" ca="1" si="202"/>
        <v/>
      </c>
      <c r="NL114" s="92"/>
      <c r="NM114" s="92"/>
      <c r="NN114" s="92"/>
      <c r="NO114" s="92"/>
      <c r="NP114" s="92"/>
      <c r="NQ114" s="92"/>
      <c r="NR114" s="92"/>
      <c r="NS114" s="92"/>
      <c r="NT114" s="92"/>
      <c r="NU114" s="92"/>
      <c r="NV114" s="92"/>
      <c r="NW114" s="92"/>
      <c r="NX114" s="92"/>
      <c r="NY114" s="92"/>
      <c r="NZ114" s="92"/>
      <c r="OA114" s="92"/>
      <c r="OB114" s="92"/>
      <c r="OC114" s="92" t="str">
        <f>IF(OC$1&gt;0,$KT114,"")</f>
        <v/>
      </c>
      <c r="OD114" s="92"/>
      <c r="OE114" s="92"/>
      <c r="OF114" s="92"/>
      <c r="OG114" s="92"/>
      <c r="OH114" s="92"/>
      <c r="OI114" s="92"/>
      <c r="OJ114" s="92"/>
      <c r="OK114" s="92"/>
      <c r="OL114" s="92"/>
      <c r="OM114" s="92"/>
      <c r="ON114" s="92"/>
      <c r="OO114" s="92"/>
      <c r="OP114" s="92"/>
      <c r="OQ114" s="92"/>
      <c r="OR114" s="92"/>
      <c r="OS114" s="92"/>
      <c r="OT114" s="92"/>
      <c r="OU114" s="92"/>
      <c r="OV114" s="92"/>
      <c r="OW114" s="92"/>
      <c r="OX114" s="92"/>
      <c r="OY114" s="92"/>
      <c r="OZ114" s="92"/>
      <c r="PA114" s="92"/>
      <c r="PB114" s="92"/>
      <c r="PC114" s="92"/>
      <c r="PD114" s="92"/>
      <c r="PE114" s="92"/>
      <c r="PF114" s="92"/>
      <c r="PG114" s="92"/>
      <c r="PH114" s="92"/>
      <c r="PI114" s="92"/>
      <c r="PJ114" s="92"/>
      <c r="PK114" s="92"/>
      <c r="PL114" s="92"/>
      <c r="PM114" s="92"/>
      <c r="PN114" s="92"/>
      <c r="PO114" s="92"/>
      <c r="PP114" s="92"/>
      <c r="PQ114" s="92"/>
      <c r="PR114" s="92"/>
      <c r="PS114" s="92"/>
      <c r="PT114" s="92"/>
      <c r="PU114" s="59" t="str">
        <f t="shared" ca="1" si="203"/>
        <v/>
      </c>
      <c r="PV114" s="59" t="str">
        <f ca="1">IF(PU114="","",IF(COUNTIF(PU114:$PU$125,"&gt;&lt;")&gt;1,PU114&amp;", ", PU114))</f>
        <v/>
      </c>
      <c r="PW114" s="99"/>
      <c r="PX114" s="99"/>
      <c r="TJ114" s="18">
        <f t="shared" si="181"/>
        <v>112</v>
      </c>
      <c r="TK114" s="58" t="s">
        <v>580</v>
      </c>
      <c r="TL114" s="58" t="s">
        <v>1840</v>
      </c>
      <c r="TM114" s="18">
        <v>0.5</v>
      </c>
      <c r="TN114" s="59" t="str">
        <f t="shared" si="167"/>
        <v xml:space="preserve">Druidcraft </v>
      </c>
      <c r="TO114" s="18" t="str">
        <f>""</f>
        <v/>
      </c>
      <c r="TP114" s="18" t="str">
        <f t="shared" si="168"/>
        <v/>
      </c>
      <c r="TQ114" s="18" t="str">
        <f>IF(OR(TK114=Spellcasting!$AC$18,TK114=Spellcasting!$AC$19),"ᵐ","")</f>
        <v/>
      </c>
      <c r="TR114" s="18" t="str">
        <f>IF(OR(TK114=Spellcasting!$AC$20,TK114=Spellcasting!$AC$21),"ˢ","")</f>
        <v/>
      </c>
      <c r="TS114" s="18" t="str">
        <f>""</f>
        <v/>
      </c>
      <c r="TT114" s="18" t="s">
        <v>484</v>
      </c>
      <c r="TU114" s="18" t="s">
        <v>851</v>
      </c>
      <c r="TV114" s="18" t="s">
        <v>505</v>
      </c>
      <c r="TW114" s="18" t="s">
        <v>486</v>
      </c>
      <c r="TX114" s="59" t="str">
        <f>""</f>
        <v/>
      </c>
      <c r="TY114" s="18" t="s">
        <v>491</v>
      </c>
      <c r="TZ114" s="18" t="s">
        <v>492</v>
      </c>
      <c r="UA114" s="142" t="s">
        <v>2128</v>
      </c>
      <c r="UB114" s="319" t="s">
        <v>2134</v>
      </c>
      <c r="UI114" s="18" t="str">
        <f ca="1">IF(UI$1&gt;=$TM114,1,"0")</f>
        <v>0</v>
      </c>
      <c r="VB114" s="18" t="str">
        <f>IF(VB$1&gt;=$TM114,1,"0")</f>
        <v>0</v>
      </c>
      <c r="WD114" s="18" t="str">
        <f ca="1">IF(SUM($VZ$1:$WC$1)&gt;0,IF(AND(SUM($VZ114:$WC114)&gt;0,$TM114=WE$1),MAX(WD$2:WD113)+1,""),IF(AND(SUM($UC114:$VY114)&gt;0,$TM114=WE$1),MAX(WD$2:WD113)+1,""))</f>
        <v/>
      </c>
      <c r="WE114" s="59" t="str">
        <f t="shared" ca="1" si="169"/>
        <v/>
      </c>
      <c r="WF114" s="18" t="str">
        <f ca="1">IF(AND(SUM($UB114:$VY114)&gt;0,$TM114=WG$1),MAX(WF$2:WF113)+1,"")</f>
        <v/>
      </c>
      <c r="WG114" s="59" t="str">
        <f t="shared" ca="1" si="170"/>
        <v/>
      </c>
      <c r="WH114" s="18" t="str">
        <f ca="1">IF(AND(SUM($UB114:$VY114)&gt;0,$TM114=WI$1),MAX(WH$2:WH113)+1,"")</f>
        <v/>
      </c>
      <c r="WI114" s="59" t="str">
        <f t="shared" ca="1" si="171"/>
        <v/>
      </c>
      <c r="WJ114" s="18" t="str">
        <f ca="1">IF(AND(SUM($UB114:$VY114)&gt;0,$TM114=WK$1),MAX(WJ$2:WJ113)+1,"")</f>
        <v/>
      </c>
      <c r="WK114" s="59" t="str">
        <f t="shared" ca="1" si="172"/>
        <v/>
      </c>
      <c r="WL114" s="18" t="str">
        <f ca="1">IF(AND(SUM($UB114:$VY114)&gt;0,$TM114=WM$1),MAX(WL$2:WL113)+1,"")</f>
        <v/>
      </c>
      <c r="WM114" s="59" t="str">
        <f t="shared" ca="1" si="173"/>
        <v/>
      </c>
      <c r="WN114" s="18" t="str">
        <f ca="1">IF(AND(SUM($UB114:$VY114)&gt;0,$TM114=WO$1),MAX(WN$2:WN113)+1,"")</f>
        <v/>
      </c>
      <c r="WO114" s="59" t="str">
        <f t="shared" ca="1" si="174"/>
        <v/>
      </c>
      <c r="WP114" s="18" t="str">
        <f ca="1">IF(AND(SUM($UB114:$VY114)&gt;0,$TM114=WQ$1),MAX(WP$2:WP113)+1,"")</f>
        <v/>
      </c>
      <c r="WQ114" s="59" t="str">
        <f t="shared" ca="1" si="175"/>
        <v/>
      </c>
      <c r="WR114" s="18" t="str">
        <f ca="1">IF(AND(SUM($UB114:$VY114)&gt;0,$TM114=WS$1),MAX(WR$2:WR113)+1,"")</f>
        <v/>
      </c>
      <c r="WS114" s="59" t="str">
        <f t="shared" ca="1" si="176"/>
        <v/>
      </c>
      <c r="WT114" s="18" t="str">
        <f ca="1">IF(AND(SUM($UB114:$VY114)&gt;0,$TM114=WU$1),MAX(WT$2:WT113)+1,"")</f>
        <v/>
      </c>
      <c r="WU114" s="59" t="str">
        <f t="shared" ca="1" si="177"/>
        <v/>
      </c>
      <c r="WV114" s="18" t="str">
        <f ca="1">IF(AND(SUM($UB114:$VY114)&gt;0,$TM114=WW$1),MAX(WV$2:WV113)+1,"")</f>
        <v/>
      </c>
      <c r="WW114" s="59" t="str">
        <f t="shared" ca="1" si="178"/>
        <v/>
      </c>
      <c r="WX114" s="18" t="str">
        <f ca="1">IF(AND(SUM($UB114:$VY114)&gt;0,$TM114=WY$1),MAX(WX$2:WX113)+1,"")</f>
        <v/>
      </c>
      <c r="WY114" s="59" t="str">
        <f t="shared" ca="1" si="179"/>
        <v/>
      </c>
      <c r="WZ114" s="59"/>
      <c r="XC114" s="59" t="str">
        <f t="shared" ca="1" si="197"/>
        <v/>
      </c>
    </row>
    <row r="115" spans="257:627" ht="9.9499999999999993" customHeight="1" x14ac:dyDescent="0.2">
      <c r="IW115" s="209"/>
      <c r="IX115" s="58" t="s">
        <v>3595</v>
      </c>
      <c r="IY115" s="58" t="s">
        <v>3570</v>
      </c>
      <c r="IZ115" s="58" t="s">
        <v>198</v>
      </c>
      <c r="JA115" s="58" t="s">
        <v>898</v>
      </c>
      <c r="JB115" s="58" t="s">
        <v>3571</v>
      </c>
      <c r="JM115" s="296">
        <v>14</v>
      </c>
      <c r="JN115" s="98" t="s">
        <v>140</v>
      </c>
      <c r="JO115" s="98" t="s">
        <v>140</v>
      </c>
      <c r="JP115" s="98" t="s">
        <v>140</v>
      </c>
      <c r="JQ115" s="98" t="s">
        <v>140</v>
      </c>
      <c r="JR115" s="98">
        <v>3</v>
      </c>
      <c r="JS115" s="98">
        <v>1</v>
      </c>
      <c r="JT115" s="98">
        <v>1</v>
      </c>
      <c r="JU115" s="98" t="s">
        <v>140</v>
      </c>
      <c r="JV115" s="98" t="s">
        <v>140</v>
      </c>
      <c r="JW115" s="80">
        <v>7</v>
      </c>
      <c r="JX115" s="18">
        <v>7</v>
      </c>
      <c r="KT115" s="88" t="s">
        <v>371</v>
      </c>
      <c r="KU115" s="80" t="str">
        <f t="shared" ca="1" si="204"/>
        <v>No</v>
      </c>
      <c r="KV115" s="89" t="s">
        <v>129</v>
      </c>
      <c r="KW115" s="92" t="str">
        <f>IF(KW$1&gt;0,$KT115,"")</f>
        <v/>
      </c>
      <c r="KX115" s="92"/>
      <c r="KY115" s="92"/>
      <c r="KZ115" s="92"/>
      <c r="LA115" s="92"/>
      <c r="LB115" s="92"/>
      <c r="LC115" s="92"/>
      <c r="LD115" s="92"/>
      <c r="LE115" s="92"/>
      <c r="LF115" s="92"/>
      <c r="LG115" s="92"/>
      <c r="LH115" s="92"/>
      <c r="LI115" s="92"/>
      <c r="LJ115" s="92"/>
      <c r="LK115" s="92"/>
      <c r="LL115" s="92"/>
      <c r="LM115" s="92"/>
      <c r="LN115" s="92"/>
      <c r="LO115" s="92"/>
      <c r="LP115" s="92"/>
      <c r="LQ115" s="92"/>
      <c r="LR115" s="92"/>
      <c r="LS115" s="92"/>
      <c r="LT115" s="92"/>
      <c r="LU115" s="92"/>
      <c r="LV115" s="92"/>
      <c r="LW115" s="92"/>
      <c r="LX115" s="92"/>
      <c r="LY115" s="92"/>
      <c r="LZ115" s="96"/>
      <c r="MA115" s="92" t="str">
        <f t="shared" ref="MA115:MA129" ca="1" si="205">IF(MA$1&gt;0,$KT115,"")</f>
        <v/>
      </c>
      <c r="MB115" s="92"/>
      <c r="MC115" s="96"/>
      <c r="MD115" s="92" t="str">
        <f t="shared" ref="MD115:MD129" ca="1" si="206">IF(MD$1&gt;0,$KT115,"")</f>
        <v/>
      </c>
      <c r="ME115" s="92"/>
      <c r="MF115" s="96"/>
      <c r="MG115" s="96"/>
      <c r="MH115" s="92" t="str">
        <f t="shared" ref="MH115:MI129" ca="1" si="207">IF(MH$1&gt;0,$KT115,"")</f>
        <v/>
      </c>
      <c r="MI115" s="92" t="str">
        <f t="shared" ca="1" si="207"/>
        <v/>
      </c>
      <c r="MJ115" s="96"/>
      <c r="MK115" s="92"/>
      <c r="ML115" s="92"/>
      <c r="MM115" s="92"/>
      <c r="MN115" s="92"/>
      <c r="MO115" s="92"/>
      <c r="MP115" s="92"/>
      <c r="MQ115" s="92" t="str">
        <f t="shared" ref="MQ115:MQ125" ca="1" si="208">IF(MQ$1&gt;0,$KT115,"")</f>
        <v/>
      </c>
      <c r="MR115" s="92"/>
      <c r="MS115" s="92" t="str">
        <f t="shared" ref="MS115:MS125" ca="1" si="209">IF(MS$1&gt;0,$KT115,"")</f>
        <v/>
      </c>
      <c r="MT115" s="92"/>
      <c r="MU115" s="92"/>
      <c r="MV115" s="92"/>
      <c r="MW115" s="92"/>
      <c r="MX115" s="92"/>
      <c r="MY115" s="92"/>
      <c r="MZ115" s="92"/>
      <c r="NA115" s="92"/>
      <c r="NB115" s="92"/>
      <c r="NC115" s="92"/>
      <c r="ND115" s="92"/>
      <c r="NE115" s="92"/>
      <c r="NF115" s="92"/>
      <c r="NG115" s="92"/>
      <c r="NH115" s="92"/>
      <c r="NI115" s="92"/>
      <c r="NJ115" s="92"/>
      <c r="NK115" s="92" t="str">
        <f t="shared" ref="NK115:NK125" ca="1" si="210">IF(NK$1&gt;2,$KT115,"")</f>
        <v/>
      </c>
      <c r="NL115" s="92"/>
      <c r="NM115" s="92"/>
      <c r="NN115" s="92"/>
      <c r="NO115" s="92"/>
      <c r="NP115" s="92"/>
      <c r="NQ115" s="92"/>
      <c r="NR115" s="92"/>
      <c r="NS115" s="92"/>
      <c r="NT115" s="92"/>
      <c r="NU115" s="92"/>
      <c r="NV115" s="92"/>
      <c r="NW115" s="92"/>
      <c r="NX115" s="92"/>
      <c r="NY115" s="92"/>
      <c r="NZ115" s="92"/>
      <c r="OA115" s="92"/>
      <c r="OB115" s="92"/>
      <c r="OC115" s="92"/>
      <c r="OD115" s="92"/>
      <c r="OE115" s="92"/>
      <c r="OF115" s="92"/>
      <c r="OG115" s="92"/>
      <c r="OH115" s="92"/>
      <c r="OI115" s="92"/>
      <c r="OJ115" s="92"/>
      <c r="OK115" s="92"/>
      <c r="OL115" s="92"/>
      <c r="OM115" s="92"/>
      <c r="ON115" s="92"/>
      <c r="OO115" s="92"/>
      <c r="OP115" s="92"/>
      <c r="OQ115" s="92"/>
      <c r="OR115" s="92"/>
      <c r="OS115" s="92"/>
      <c r="OT115" s="92"/>
      <c r="OU115" s="92"/>
      <c r="OV115" s="92"/>
      <c r="OW115" s="92"/>
      <c r="OX115" s="92"/>
      <c r="OY115" s="92"/>
      <c r="OZ115" s="92"/>
      <c r="PA115" s="92"/>
      <c r="PB115" s="92"/>
      <c r="PC115" s="92"/>
      <c r="PD115" s="92"/>
      <c r="PE115" s="92"/>
      <c r="PF115" s="92"/>
      <c r="PG115" s="92"/>
      <c r="PH115" s="92"/>
      <c r="PI115" s="92"/>
      <c r="PJ115" s="92"/>
      <c r="PK115" s="92"/>
      <c r="PL115" s="92"/>
      <c r="PM115" s="92"/>
      <c r="PN115" s="92"/>
      <c r="PO115" s="92"/>
      <c r="PP115" s="92"/>
      <c r="PQ115" s="92"/>
      <c r="PR115" s="92"/>
      <c r="PS115" s="92"/>
      <c r="PT115" s="92"/>
      <c r="PU115" s="59" t="str">
        <f t="shared" ca="1" si="203"/>
        <v/>
      </c>
      <c r="PV115" s="59" t="str">
        <f ca="1">IF(PU115="","",IF(COUNTIF(PU115:$PU$125,"&gt;&lt;")&gt;1,PU115&amp;", ", PU115))</f>
        <v/>
      </c>
      <c r="PW115" s="99"/>
      <c r="PX115" s="99"/>
      <c r="TJ115" s="18">
        <f>TJ114+1</f>
        <v>113</v>
      </c>
      <c r="TK115" s="58" t="s">
        <v>581</v>
      </c>
      <c r="TL115" s="58" t="s">
        <v>465</v>
      </c>
      <c r="TM115" s="18">
        <v>8</v>
      </c>
      <c r="TN115" s="59" t="str">
        <f t="shared" si="167"/>
        <v xml:space="preserve">Earthquake </v>
      </c>
      <c r="TO115" s="18" t="str">
        <f>""</f>
        <v/>
      </c>
      <c r="TP115" s="18" t="str">
        <f t="shared" si="168"/>
        <v/>
      </c>
      <c r="TQ115" s="18" t="str">
        <f>IF(OR(TK115=Spellcasting!$AC$18,TK115=Spellcasting!$AC$19),"ᵐ","")</f>
        <v/>
      </c>
      <c r="TR115" s="18" t="str">
        <f>IF(OR(TK115=Spellcasting!$AC$20,TK115=Spellcasting!$AC$21),"ˢ","")</f>
        <v/>
      </c>
      <c r="TS115" s="18" t="str">
        <f>""</f>
        <v/>
      </c>
      <c r="TT115" s="18" t="s">
        <v>484</v>
      </c>
      <c r="TU115" s="18" t="s">
        <v>514</v>
      </c>
      <c r="TV115" s="18" t="s">
        <v>558</v>
      </c>
      <c r="TW115" s="18" t="s">
        <v>495</v>
      </c>
      <c r="TX115" s="59" t="s">
        <v>985</v>
      </c>
      <c r="TY115" s="18" t="s">
        <v>534</v>
      </c>
      <c r="TZ115" s="18" t="s">
        <v>535</v>
      </c>
      <c r="UA115" s="142" t="s">
        <v>986</v>
      </c>
      <c r="UB115" s="319" t="s">
        <v>3028</v>
      </c>
      <c r="UF115" s="18" t="str">
        <f ca="1">IF(UF$1&gt;=$TM115,1,"0")</f>
        <v>0</v>
      </c>
      <c r="UH115" s="18" t="str">
        <f ca="1">IF(UH$1&gt;=$TM115,1,"0")</f>
        <v>0</v>
      </c>
      <c r="UI115" s="18" t="str">
        <f ca="1">IF(UI$1&gt;=$TM115,1,"0")</f>
        <v>0</v>
      </c>
      <c r="WD115" s="18" t="str">
        <f ca="1">IF(SUM($VZ$1:$WC$1)&gt;0,IF(AND(SUM($VZ115:$WC115)&gt;0,$TM115=WE$1),MAX(WD$2:WD114)+1,""),IF(AND(SUM($UC115:$VY115)&gt;0,$TM115=WE$1),MAX(WD$2:WD114)+1,""))</f>
        <v/>
      </c>
      <c r="WE115" s="59" t="str">
        <f t="shared" ca="1" si="169"/>
        <v/>
      </c>
      <c r="WF115" s="18" t="str">
        <f ca="1">IF(AND(SUM($UB115:$VY115)&gt;0,$TM115=WG$1),MAX(WF$2:WF114)+1,"")</f>
        <v/>
      </c>
      <c r="WG115" s="59" t="str">
        <f t="shared" ca="1" si="170"/>
        <v/>
      </c>
      <c r="WH115" s="18" t="str">
        <f ca="1">IF(AND(SUM($UB115:$VY115)&gt;0,$TM115=WI$1),MAX(WH$2:WH114)+1,"")</f>
        <v/>
      </c>
      <c r="WI115" s="59" t="str">
        <f t="shared" ca="1" si="171"/>
        <v/>
      </c>
      <c r="WJ115" s="18" t="str">
        <f ca="1">IF(AND(SUM($UB115:$VY115)&gt;0,$TM115=WK$1),MAX(WJ$2:WJ114)+1,"")</f>
        <v/>
      </c>
      <c r="WK115" s="59" t="str">
        <f t="shared" ca="1" si="172"/>
        <v/>
      </c>
      <c r="WL115" s="18" t="str">
        <f ca="1">IF(AND(SUM($UB115:$VY115)&gt;0,$TM115=WM$1),MAX(WL$2:WL114)+1,"")</f>
        <v/>
      </c>
      <c r="WM115" s="59" t="str">
        <f t="shared" ca="1" si="173"/>
        <v/>
      </c>
      <c r="WN115" s="18" t="str">
        <f ca="1">IF(AND(SUM($UB115:$VY115)&gt;0,$TM115=WO$1),MAX(WN$2:WN114)+1,"")</f>
        <v/>
      </c>
      <c r="WO115" s="59" t="str">
        <f t="shared" ca="1" si="174"/>
        <v/>
      </c>
      <c r="WP115" s="18" t="str">
        <f ca="1">IF(AND(SUM($UB115:$VY115)&gt;0,$TM115=WQ$1),MAX(WP$2:WP114)+1,"")</f>
        <v/>
      </c>
      <c r="WQ115" s="59" t="str">
        <f t="shared" ca="1" si="175"/>
        <v/>
      </c>
      <c r="WR115" s="18" t="str">
        <f ca="1">IF(AND(SUM($UB115:$VY115)&gt;0,$TM115=WS$1),MAX(WR$2:WR114)+1,"")</f>
        <v/>
      </c>
      <c r="WS115" s="59" t="str">
        <f t="shared" ca="1" si="176"/>
        <v/>
      </c>
      <c r="WT115" s="18" t="str">
        <f ca="1">IF(AND(SUM($UB115:$VY115)&gt;0,$TM115=WU$1),MAX(WT$2:WT114)+1,"")</f>
        <v/>
      </c>
      <c r="WU115" s="59" t="str">
        <f t="shared" ca="1" si="177"/>
        <v/>
      </c>
      <c r="WV115" s="18" t="str">
        <f ca="1">IF(AND(SUM($UB115:$VY115)&gt;0,$TM115=WW$1),MAX(WV$2:WV114)+1,"")</f>
        <v/>
      </c>
      <c r="WW115" s="59" t="str">
        <f t="shared" ca="1" si="178"/>
        <v/>
      </c>
      <c r="WX115" s="18" t="str">
        <f ca="1">IF(AND(SUM($UB115:$VY115)&gt;0,$TM115=WY$1),MAX(WX$2:WX114)+1,"")</f>
        <v/>
      </c>
      <c r="WY115" s="59" t="str">
        <f t="shared" ca="1" si="179"/>
        <v/>
      </c>
      <c r="WZ115" s="59"/>
      <c r="XC115" s="59" t="str">
        <f t="shared" ref="XC115:XC140" ca="1" si="211">IF(ISERROR(VLOOKUP($WZ115,$WH$1:$WI$5013,2,FALSE)),"",VLOOKUP($WZ115,$WH$1:$WI$5013,2,FALSE))</f>
        <v/>
      </c>
    </row>
    <row r="116" spans="257:627" ht="9.9499999999999993" customHeight="1" x14ac:dyDescent="0.2">
      <c r="IX116" s="58" t="s">
        <v>3592</v>
      </c>
      <c r="IY116" s="58" t="s">
        <v>3561</v>
      </c>
      <c r="IZ116" s="58" t="s">
        <v>196</v>
      </c>
      <c r="JA116" s="58" t="s">
        <v>3562</v>
      </c>
      <c r="JB116" s="58" t="s">
        <v>3563</v>
      </c>
      <c r="JM116" s="296">
        <v>15</v>
      </c>
      <c r="JN116" s="98" t="s">
        <v>140</v>
      </c>
      <c r="JO116" s="98" t="s">
        <v>140</v>
      </c>
      <c r="JP116" s="98" t="s">
        <v>140</v>
      </c>
      <c r="JQ116" s="98" t="s">
        <v>140</v>
      </c>
      <c r="JR116" s="98">
        <v>3</v>
      </c>
      <c r="JS116" s="98">
        <v>1</v>
      </c>
      <c r="JT116" s="98">
        <v>1</v>
      </c>
      <c r="JU116" s="98">
        <v>1</v>
      </c>
      <c r="JV116" s="98" t="s">
        <v>140</v>
      </c>
      <c r="JW116" s="80">
        <v>8</v>
      </c>
      <c r="JX116" s="18">
        <v>7</v>
      </c>
      <c r="KT116" s="88" t="s">
        <v>125</v>
      </c>
      <c r="KU116" s="80" t="str">
        <f t="shared" ca="1" si="204"/>
        <v>No</v>
      </c>
      <c r="KV116" s="89" t="s">
        <v>129</v>
      </c>
      <c r="KW116" s="92"/>
      <c r="KX116" s="92"/>
      <c r="KY116" s="92"/>
      <c r="KZ116" s="92"/>
      <c r="LA116" s="92"/>
      <c r="LB116" s="92"/>
      <c r="LC116" s="92"/>
      <c r="LD116" s="92"/>
      <c r="LE116" s="92"/>
      <c r="LF116" s="92"/>
      <c r="LG116" s="92"/>
      <c r="LH116" s="92"/>
      <c r="LI116" s="92"/>
      <c r="LJ116" s="92"/>
      <c r="LK116" s="92"/>
      <c r="LL116" s="92"/>
      <c r="LM116" s="92"/>
      <c r="LN116" s="92"/>
      <c r="LO116" s="92"/>
      <c r="LP116" s="92"/>
      <c r="LQ116" s="92"/>
      <c r="LR116" s="92"/>
      <c r="LS116" s="92"/>
      <c r="LT116" s="92"/>
      <c r="LU116" s="92"/>
      <c r="LV116" s="92"/>
      <c r="LW116" s="92"/>
      <c r="LX116" s="92"/>
      <c r="LY116" s="92"/>
      <c r="LZ116" s="96"/>
      <c r="MA116" s="92" t="str">
        <f t="shared" ca="1" si="205"/>
        <v/>
      </c>
      <c r="MB116" s="96"/>
      <c r="MC116" s="96"/>
      <c r="MD116" s="92" t="str">
        <f t="shared" ca="1" si="206"/>
        <v/>
      </c>
      <c r="ME116" s="96"/>
      <c r="MF116" s="96"/>
      <c r="MG116" s="96"/>
      <c r="MH116" s="92" t="str">
        <f t="shared" ca="1" si="207"/>
        <v/>
      </c>
      <c r="MI116" s="92" t="str">
        <f t="shared" ca="1" si="207"/>
        <v/>
      </c>
      <c r="MJ116" s="96"/>
      <c r="MK116" s="96"/>
      <c r="ML116" s="96"/>
      <c r="MM116" s="96"/>
      <c r="MN116" s="96"/>
      <c r="MO116" s="96"/>
      <c r="MP116" s="96"/>
      <c r="MQ116" s="92" t="str">
        <f t="shared" ca="1" si="208"/>
        <v/>
      </c>
      <c r="MR116" s="96"/>
      <c r="MS116" s="92" t="str">
        <f t="shared" ca="1" si="209"/>
        <v/>
      </c>
      <c r="MT116" s="96"/>
      <c r="MU116" s="96"/>
      <c r="MV116" s="96"/>
      <c r="MW116" s="96"/>
      <c r="MX116" s="96"/>
      <c r="MY116" s="96"/>
      <c r="MZ116" s="96"/>
      <c r="NA116" s="96"/>
      <c r="NB116" s="96"/>
      <c r="NC116" s="96"/>
      <c r="ND116" s="96"/>
      <c r="NE116" s="96"/>
      <c r="NF116" s="96"/>
      <c r="NG116" s="96"/>
      <c r="NH116" s="96"/>
      <c r="NI116" s="96"/>
      <c r="NJ116" s="96"/>
      <c r="NK116" s="92" t="str">
        <f t="shared" ca="1" si="210"/>
        <v/>
      </c>
      <c r="NL116" s="96"/>
      <c r="NM116" s="96"/>
      <c r="NN116" s="96"/>
      <c r="NO116" s="96"/>
      <c r="NP116" s="96"/>
      <c r="NQ116" s="96"/>
      <c r="NR116" s="96"/>
      <c r="NS116" s="96"/>
      <c r="NT116" s="96"/>
      <c r="NU116" s="96"/>
      <c r="NV116" s="96"/>
      <c r="NW116" s="96"/>
      <c r="NX116" s="96"/>
      <c r="NY116" s="96"/>
      <c r="NZ116" s="96"/>
      <c r="OA116" s="96"/>
      <c r="OB116" s="96"/>
      <c r="OC116" s="96"/>
      <c r="OD116" s="96"/>
      <c r="OE116" s="96"/>
      <c r="OF116" s="96"/>
      <c r="OG116" s="96"/>
      <c r="OH116" s="96"/>
      <c r="OI116" s="96"/>
      <c r="OJ116" s="96"/>
      <c r="OK116" s="96"/>
      <c r="OL116" s="96"/>
      <c r="OM116" s="96"/>
      <c r="ON116" s="96"/>
      <c r="OO116" s="96"/>
      <c r="OP116" s="96"/>
      <c r="OQ116" s="96"/>
      <c r="OR116" s="96"/>
      <c r="OS116" s="96"/>
      <c r="OT116" s="96"/>
      <c r="OU116" s="96"/>
      <c r="OV116" s="96"/>
      <c r="OW116" s="96"/>
      <c r="OX116" s="96"/>
      <c r="OY116" s="96"/>
      <c r="OZ116" s="96"/>
      <c r="PA116" s="96"/>
      <c r="PB116" s="96"/>
      <c r="PC116" s="96"/>
      <c r="PD116" s="96"/>
      <c r="PE116" s="96"/>
      <c r="PF116" s="96"/>
      <c r="PG116" s="96"/>
      <c r="PH116" s="96"/>
      <c r="PI116" s="96"/>
      <c r="PJ116" s="96"/>
      <c r="PK116" s="96"/>
      <c r="PL116" s="96"/>
      <c r="PM116" s="96"/>
      <c r="PN116" s="96"/>
      <c r="PO116" s="96"/>
      <c r="PP116" s="92"/>
      <c r="PQ116" s="96"/>
      <c r="PR116" s="96"/>
      <c r="PS116" s="96"/>
      <c r="PT116" s="96"/>
      <c r="PU116" s="59" t="str">
        <f t="shared" ca="1" si="203"/>
        <v/>
      </c>
      <c r="PV116" s="59" t="str">
        <f ca="1">IF(PU116="","",IF(COUNTIF(PU116:$PU$125,"&gt;&lt;")&gt;1,PU116&amp;", ", PU116))</f>
        <v/>
      </c>
      <c r="PW116" s="99"/>
      <c r="PX116" s="99"/>
      <c r="TJ116" s="18">
        <f t="shared" si="181"/>
        <v>114</v>
      </c>
      <c r="TK116" s="58" t="s">
        <v>2763</v>
      </c>
      <c r="TL116" s="58" t="s">
        <v>1840</v>
      </c>
      <c r="TM116" s="18">
        <v>0.5</v>
      </c>
      <c r="TN116" s="59" t="str">
        <f t="shared" si="167"/>
        <v xml:space="preserve">Eldritch Blast </v>
      </c>
      <c r="TO116" s="18" t="str">
        <f>""</f>
        <v/>
      </c>
      <c r="TP116" s="18" t="str">
        <f t="shared" si="168"/>
        <v/>
      </c>
      <c r="TQ116" s="18" t="str">
        <f>IF(OR(TK116=Spellcasting!$AC$18,TK116=Spellcasting!$AC$19),"ᵐ","")</f>
        <v/>
      </c>
      <c r="TR116" s="18" t="str">
        <f>IF(OR(TK116=Spellcasting!$AC$20,TK116=Spellcasting!$AC$21),"ˢ","")</f>
        <v/>
      </c>
      <c r="TS116" s="18" t="str">
        <f>""</f>
        <v/>
      </c>
      <c r="TT116" s="18" t="s">
        <v>484</v>
      </c>
      <c r="TU116" s="18" t="str">
        <f>IF(COUNTIF(IQ112:IQ119,IM120)&gt;0,"300 ft","120 ft")</f>
        <v>120 ft</v>
      </c>
      <c r="TV116" s="18" t="s">
        <v>505</v>
      </c>
      <c r="TW116" s="18" t="s">
        <v>486</v>
      </c>
      <c r="TY116" s="18" t="s">
        <v>534</v>
      </c>
      <c r="TZ116" s="18" t="s">
        <v>535</v>
      </c>
      <c r="UA116" s="142" t="s">
        <v>3370</v>
      </c>
      <c r="UB116" s="319" t="str">
        <f ca="1">"ranged, 1d10"&amp;IF(WizardEvocationLevel&gt;=10,"+"&amp;INTMod,IF(COUNTIF($IQ$4:$IQ$11,$IM$3)&gt;0,"+"&amp;CHAMod,""))&amp;" force per beam, "&amp;IF(CharacterLevel&gt;16,"4 beams",IF(CharacterLevel&gt;10,"3 beams",IF(CharacterLevel&gt;4,"2 beams","1 beam")))&amp;IF(COUNTIF($IQ$4:$IQ$11,$IM$23)&gt;0,", repel 10ft straight","")</f>
        <v>ranged, 1d10 force per beam, 1 beam</v>
      </c>
      <c r="UG116" s="18" t="str">
        <f ca="1">IF(UG$1&gt;=$TM116,1,"0")</f>
        <v>0</v>
      </c>
      <c r="WD116" s="18" t="str">
        <f ca="1">IF(SUM($VZ$1:$WC$1)&gt;0,IF(AND(SUM($VZ116:$WC116)&gt;0,$TM116=WE$1),MAX(WD$2:WD115)+1,""),IF(AND(SUM($UC116:$VY116)&gt;0,$TM116=WE$1),MAX(WD$2:WD115)+1,""))</f>
        <v/>
      </c>
      <c r="WE116" s="59" t="str">
        <f t="shared" ca="1" si="169"/>
        <v/>
      </c>
      <c r="WF116" s="18" t="str">
        <f ca="1">IF(AND(SUM($UB116:$VY116)&gt;0,$TM116=WG$1),MAX(WF$2:WF115)+1,"")</f>
        <v/>
      </c>
      <c r="WG116" s="59" t="str">
        <f t="shared" ca="1" si="170"/>
        <v/>
      </c>
      <c r="WH116" s="18" t="str">
        <f ca="1">IF(AND(SUM($UB116:$VY116)&gt;0,$TM116=WI$1),MAX(WH$2:WH115)+1,"")</f>
        <v/>
      </c>
      <c r="WI116" s="59" t="str">
        <f t="shared" ca="1" si="171"/>
        <v/>
      </c>
      <c r="WJ116" s="18" t="str">
        <f ca="1">IF(AND(SUM($UB116:$VY116)&gt;0,$TM116=WK$1),MAX(WJ$2:WJ115)+1,"")</f>
        <v/>
      </c>
      <c r="WK116" s="59" t="str">
        <f t="shared" ca="1" si="172"/>
        <v/>
      </c>
      <c r="WL116" s="18" t="str">
        <f ca="1">IF(AND(SUM($UB116:$VY116)&gt;0,$TM116=WM$1),MAX(WL$2:WL115)+1,"")</f>
        <v/>
      </c>
      <c r="WM116" s="59" t="str">
        <f t="shared" ca="1" si="173"/>
        <v/>
      </c>
      <c r="WN116" s="18" t="str">
        <f ca="1">IF(AND(SUM($UB116:$VY116)&gt;0,$TM116=WO$1),MAX(WN$2:WN115)+1,"")</f>
        <v/>
      </c>
      <c r="WO116" s="59" t="str">
        <f t="shared" ca="1" si="174"/>
        <v/>
      </c>
      <c r="WP116" s="18" t="str">
        <f ca="1">IF(AND(SUM($UB116:$VY116)&gt;0,$TM116=WQ$1),MAX(WP$2:WP115)+1,"")</f>
        <v/>
      </c>
      <c r="WQ116" s="59" t="str">
        <f t="shared" ca="1" si="175"/>
        <v/>
      </c>
      <c r="WR116" s="18" t="str">
        <f ca="1">IF(AND(SUM($UB116:$VY116)&gt;0,$TM116=WS$1),MAX(WR$2:WR115)+1,"")</f>
        <v/>
      </c>
      <c r="WS116" s="59" t="str">
        <f t="shared" ca="1" si="176"/>
        <v/>
      </c>
      <c r="WT116" s="18" t="str">
        <f ca="1">IF(AND(SUM($UB116:$VY116)&gt;0,$TM116=WU$1),MAX(WT$2:WT115)+1,"")</f>
        <v/>
      </c>
      <c r="WU116" s="59" t="str">
        <f t="shared" ca="1" si="177"/>
        <v/>
      </c>
      <c r="WV116" s="18" t="str">
        <f ca="1">IF(AND(SUM($UB116:$VY116)&gt;0,$TM116=WW$1),MAX(WV$2:WV115)+1,"")</f>
        <v/>
      </c>
      <c r="WW116" s="59" t="str">
        <f t="shared" ca="1" si="178"/>
        <v/>
      </c>
      <c r="WX116" s="18" t="str">
        <f ca="1">IF(AND(SUM($UB116:$VY116)&gt;0,$TM116=WY$1),MAX(WX$2:WX115)+1,"")</f>
        <v/>
      </c>
      <c r="WY116" s="59" t="str">
        <f t="shared" ca="1" si="179"/>
        <v/>
      </c>
      <c r="WZ116" s="59"/>
      <c r="XC116" s="59" t="str">
        <f t="shared" ca="1" si="211"/>
        <v/>
      </c>
    </row>
    <row r="117" spans="257:627" ht="9.9499999999999993" customHeight="1" x14ac:dyDescent="0.2">
      <c r="IX117" s="58" t="s">
        <v>3597</v>
      </c>
      <c r="IY117" s="58" t="s">
        <v>3572</v>
      </c>
      <c r="IZ117" s="58" t="s">
        <v>197</v>
      </c>
      <c r="JA117" s="58" t="s">
        <v>284</v>
      </c>
      <c r="JB117" s="58" t="s">
        <v>3569</v>
      </c>
      <c r="JM117" s="296">
        <v>16</v>
      </c>
      <c r="JN117" s="98" t="s">
        <v>140</v>
      </c>
      <c r="JO117" s="98" t="s">
        <v>140</v>
      </c>
      <c r="JP117" s="98" t="s">
        <v>140</v>
      </c>
      <c r="JQ117" s="98" t="s">
        <v>140</v>
      </c>
      <c r="JR117" s="98">
        <v>3</v>
      </c>
      <c r="JS117" s="98">
        <v>1</v>
      </c>
      <c r="JT117" s="98">
        <v>1</v>
      </c>
      <c r="JU117" s="98">
        <v>1</v>
      </c>
      <c r="JV117" s="98" t="s">
        <v>140</v>
      </c>
      <c r="JW117" s="80">
        <v>8</v>
      </c>
      <c r="JX117" s="18">
        <v>7</v>
      </c>
      <c r="KT117" s="88" t="s">
        <v>126</v>
      </c>
      <c r="KU117" s="80" t="str">
        <f t="shared" ca="1" si="204"/>
        <v>No</v>
      </c>
      <c r="KV117" s="89" t="s">
        <v>129</v>
      </c>
      <c r="KW117" s="92"/>
      <c r="KX117" s="92"/>
      <c r="KY117" s="92"/>
      <c r="KZ117" s="92"/>
      <c r="LA117" s="92"/>
      <c r="LB117" s="92"/>
      <c r="LC117" s="92"/>
      <c r="LD117" s="92"/>
      <c r="LE117" s="92"/>
      <c r="LF117" s="92"/>
      <c r="LG117" s="92"/>
      <c r="LH117" s="92"/>
      <c r="LI117" s="92"/>
      <c r="LJ117" s="92"/>
      <c r="LK117" s="92"/>
      <c r="LL117" s="92"/>
      <c r="LM117" s="92"/>
      <c r="LN117" s="92"/>
      <c r="LO117" s="92"/>
      <c r="LP117" s="92"/>
      <c r="LQ117" s="92"/>
      <c r="LR117" s="92"/>
      <c r="LS117" s="92"/>
      <c r="LT117" s="92"/>
      <c r="LU117" s="92"/>
      <c r="LV117" s="92"/>
      <c r="LW117" s="92"/>
      <c r="LX117" s="92"/>
      <c r="LY117" s="92"/>
      <c r="LZ117" s="96"/>
      <c r="MA117" s="92" t="str">
        <f t="shared" ca="1" si="205"/>
        <v/>
      </c>
      <c r="MB117" s="96"/>
      <c r="MC117" s="96"/>
      <c r="MD117" s="92" t="str">
        <f t="shared" ca="1" si="206"/>
        <v/>
      </c>
      <c r="ME117" s="96"/>
      <c r="MF117" s="96"/>
      <c r="MG117" s="96"/>
      <c r="MH117" s="92" t="str">
        <f t="shared" ca="1" si="207"/>
        <v/>
      </c>
      <c r="MI117" s="92" t="str">
        <f t="shared" ca="1" si="207"/>
        <v/>
      </c>
      <c r="MJ117" s="96"/>
      <c r="MK117" s="96"/>
      <c r="ML117" s="96"/>
      <c r="MM117" s="96"/>
      <c r="MN117" s="96"/>
      <c r="MO117" s="96"/>
      <c r="MP117" s="96"/>
      <c r="MQ117" s="92" t="str">
        <f t="shared" ca="1" si="208"/>
        <v/>
      </c>
      <c r="MR117" s="96"/>
      <c r="MS117" s="92" t="str">
        <f t="shared" ca="1" si="209"/>
        <v/>
      </c>
      <c r="MT117" s="96"/>
      <c r="MU117" s="96"/>
      <c r="MV117" s="96"/>
      <c r="MW117" s="96"/>
      <c r="MX117" s="96"/>
      <c r="MY117" s="96"/>
      <c r="MZ117" s="96"/>
      <c r="NA117" s="96"/>
      <c r="NB117" s="96"/>
      <c r="NC117" s="96"/>
      <c r="ND117" s="96"/>
      <c r="NE117" s="96"/>
      <c r="NF117" s="96"/>
      <c r="NG117" s="96"/>
      <c r="NH117" s="96"/>
      <c r="NI117" s="96"/>
      <c r="NJ117" s="96"/>
      <c r="NK117" s="92" t="str">
        <f t="shared" ca="1" si="210"/>
        <v/>
      </c>
      <c r="NL117" s="96"/>
      <c r="NM117" s="96"/>
      <c r="NN117" s="96"/>
      <c r="NO117" s="96"/>
      <c r="NP117" s="96"/>
      <c r="NQ117" s="96"/>
      <c r="NR117" s="96"/>
      <c r="NS117" s="96"/>
      <c r="NT117" s="96"/>
      <c r="NU117" s="96"/>
      <c r="NV117" s="96"/>
      <c r="NW117" s="96"/>
      <c r="NX117" s="96"/>
      <c r="NY117" s="96"/>
      <c r="NZ117" s="96"/>
      <c r="OA117" s="96"/>
      <c r="OB117" s="96"/>
      <c r="OC117" s="96"/>
      <c r="OD117" s="96"/>
      <c r="OE117" s="96"/>
      <c r="OF117" s="96"/>
      <c r="OG117" s="96"/>
      <c r="OH117" s="96"/>
      <c r="OI117" s="96"/>
      <c r="OJ117" s="96"/>
      <c r="OK117" s="96"/>
      <c r="OL117" s="96"/>
      <c r="OM117" s="96"/>
      <c r="ON117" s="96"/>
      <c r="OO117" s="96"/>
      <c r="OP117" s="96"/>
      <c r="OQ117" s="96"/>
      <c r="OR117" s="96"/>
      <c r="OS117" s="96"/>
      <c r="OT117" s="96"/>
      <c r="OU117" s="96"/>
      <c r="OV117" s="96"/>
      <c r="OW117" s="96"/>
      <c r="OX117" s="96"/>
      <c r="OY117" s="96"/>
      <c r="OZ117" s="96"/>
      <c r="PA117" s="96"/>
      <c r="PB117" s="96"/>
      <c r="PC117" s="96"/>
      <c r="PD117" s="96"/>
      <c r="PE117" s="96"/>
      <c r="PF117" s="96"/>
      <c r="PG117" s="96"/>
      <c r="PH117" s="96"/>
      <c r="PI117" s="96"/>
      <c r="PJ117" s="96"/>
      <c r="PK117" s="96"/>
      <c r="PL117" s="96"/>
      <c r="PM117" s="96"/>
      <c r="PN117" s="96"/>
      <c r="PO117" s="96"/>
      <c r="PP117" s="96"/>
      <c r="PQ117" s="96"/>
      <c r="PR117" s="96"/>
      <c r="PS117" s="96"/>
      <c r="PT117" s="96"/>
      <c r="PU117" s="59" t="str">
        <f t="shared" ca="1" si="203"/>
        <v/>
      </c>
      <c r="PV117" s="59" t="str">
        <f ca="1">IF(PU117="","",IF(COUNTIF(PU117:$PU$125,"&gt;&lt;")&gt;1,PU117&amp;", ", PU117))</f>
        <v/>
      </c>
      <c r="PW117" s="99"/>
      <c r="PX117" s="99"/>
      <c r="TJ117" s="18">
        <f t="shared" si="181"/>
        <v>115</v>
      </c>
      <c r="TK117" s="58" t="s">
        <v>583</v>
      </c>
      <c r="TL117" s="58" t="s">
        <v>460</v>
      </c>
      <c r="TM117" s="18">
        <v>3</v>
      </c>
      <c r="TN117" s="59" t="str">
        <f t="shared" si="167"/>
        <v xml:space="preserve">Elemental Weapon ᴴ </v>
      </c>
      <c r="TO117" s="350" t="s">
        <v>2991</v>
      </c>
      <c r="TP117" s="18" t="str">
        <f t="shared" si="168"/>
        <v/>
      </c>
      <c r="TQ117" s="18" t="str">
        <f>IF(OR(TK117=Spellcasting!$AC$18,TK117=Spellcasting!$AC$19),"ᵐ","")</f>
        <v/>
      </c>
      <c r="TR117" s="18" t="str">
        <f>IF(OR(TK117=Spellcasting!$AC$20,TK117=Spellcasting!$AC$21),"ˢ","")</f>
        <v/>
      </c>
      <c r="TS117" s="18" t="str">
        <f>""</f>
        <v/>
      </c>
      <c r="TT117" s="18" t="s">
        <v>484</v>
      </c>
      <c r="TU117" s="18" t="s">
        <v>519</v>
      </c>
      <c r="TV117" s="18" t="s">
        <v>490</v>
      </c>
      <c r="TW117" s="18" t="s">
        <v>486</v>
      </c>
      <c r="TX117" s="59" t="str">
        <f>""</f>
        <v/>
      </c>
      <c r="TY117" s="18" t="s">
        <v>491</v>
      </c>
      <c r="TZ117" s="18" t="s">
        <v>492</v>
      </c>
      <c r="UA117" s="142" t="s">
        <v>3165</v>
      </c>
      <c r="UB117" s="537" t="s">
        <v>3027</v>
      </c>
      <c r="UD117" s="18" t="str">
        <f ca="1">IF(UD$1&gt;=$TM117,1,"0")</f>
        <v>0</v>
      </c>
      <c r="VZ117" s="258"/>
      <c r="WA117" s="258"/>
      <c r="WB117" s="258"/>
      <c r="WC117" s="258"/>
      <c r="WD117" s="18" t="str">
        <f ca="1">IF(SUM($VZ$1:$WC$1)&gt;0,IF(AND(SUM($VZ117:$WC117)&gt;0,$TM117=WE$1),MAX(WD$2:WD116)+1,""),IF(AND(SUM($UC117:$VY117)&gt;0,$TM117=WE$1),MAX(WD$2:WD116)+1,""))</f>
        <v/>
      </c>
      <c r="WE117" s="59" t="str">
        <f t="shared" ca="1" si="169"/>
        <v/>
      </c>
      <c r="WF117" s="18" t="str">
        <f ca="1">IF(AND(SUM($UB117:$VY117)&gt;0,$TM117=WG$1),MAX(WF$2:WF116)+1,"")</f>
        <v/>
      </c>
      <c r="WG117" s="59" t="str">
        <f t="shared" ca="1" si="170"/>
        <v/>
      </c>
      <c r="WH117" s="18" t="str">
        <f ca="1">IF(AND(SUM($UB117:$VY117)&gt;0,$TM117=WI$1),MAX(WH$2:WH116)+1,"")</f>
        <v/>
      </c>
      <c r="WI117" s="59" t="str">
        <f t="shared" ca="1" si="171"/>
        <v/>
      </c>
      <c r="WJ117" s="18" t="str">
        <f ca="1">IF(AND(SUM($UB117:$VY117)&gt;0,$TM117=WK$1),MAX(WJ$2:WJ116)+1,"")</f>
        <v/>
      </c>
      <c r="WK117" s="59" t="str">
        <f t="shared" ca="1" si="172"/>
        <v/>
      </c>
      <c r="WL117" s="18" t="str">
        <f ca="1">IF(AND(SUM($UB117:$VY117)&gt;0,$TM117=WM$1),MAX(WL$2:WL116)+1,"")</f>
        <v/>
      </c>
      <c r="WM117" s="59" t="str">
        <f t="shared" ca="1" si="173"/>
        <v/>
      </c>
      <c r="WN117" s="18" t="str">
        <f ca="1">IF(AND(SUM($UB117:$VY117)&gt;0,$TM117=WO$1),MAX(WN$2:WN116)+1,"")</f>
        <v/>
      </c>
      <c r="WO117" s="59" t="str">
        <f t="shared" ca="1" si="174"/>
        <v/>
      </c>
      <c r="WP117" s="18" t="str">
        <f ca="1">IF(AND(SUM($UB117:$VY117)&gt;0,$TM117=WQ$1),MAX(WP$2:WP116)+1,"")</f>
        <v/>
      </c>
      <c r="WQ117" s="59" t="str">
        <f t="shared" ca="1" si="175"/>
        <v/>
      </c>
      <c r="WR117" s="18" t="str">
        <f ca="1">IF(AND(SUM($UB117:$VY117)&gt;0,$TM117=WS$1),MAX(WR$2:WR116)+1,"")</f>
        <v/>
      </c>
      <c r="WS117" s="59" t="str">
        <f t="shared" ca="1" si="176"/>
        <v/>
      </c>
      <c r="WT117" s="18" t="str">
        <f ca="1">IF(AND(SUM($UB117:$VY117)&gt;0,$TM117=WU$1),MAX(WT$2:WT116)+1,"")</f>
        <v/>
      </c>
      <c r="WU117" s="59" t="str">
        <f t="shared" ca="1" si="177"/>
        <v/>
      </c>
      <c r="WV117" s="18" t="str">
        <f ca="1">IF(AND(SUM($UB117:$VY117)&gt;0,$TM117=WW$1),MAX(WV$2:WV116)+1,"")</f>
        <v/>
      </c>
      <c r="WW117" s="59" t="str">
        <f t="shared" ca="1" si="178"/>
        <v/>
      </c>
      <c r="WX117" s="18" t="str">
        <f ca="1">IF(AND(SUM($UB117:$VY117)&gt;0,$TM117=WY$1),MAX(WX$2:WX116)+1,"")</f>
        <v/>
      </c>
      <c r="WY117" s="59" t="str">
        <f t="shared" ca="1" si="179"/>
        <v/>
      </c>
      <c r="WZ117" s="59"/>
      <c r="XC117" s="59" t="str">
        <f t="shared" ca="1" si="211"/>
        <v/>
      </c>
    </row>
    <row r="118" spans="257:627" ht="9.9499999999999993" customHeight="1" x14ac:dyDescent="0.2">
      <c r="IX118" s="58" t="s">
        <v>3596</v>
      </c>
      <c r="IY118" s="58" t="s">
        <v>3572</v>
      </c>
      <c r="IZ118" s="58" t="s">
        <v>194</v>
      </c>
      <c r="JA118" s="58" t="s">
        <v>915</v>
      </c>
      <c r="JB118" s="58" t="s">
        <v>3569</v>
      </c>
      <c r="JM118" s="296">
        <v>17</v>
      </c>
      <c r="JN118" s="98" t="s">
        <v>140</v>
      </c>
      <c r="JO118" s="98" t="s">
        <v>140</v>
      </c>
      <c r="JP118" s="98" t="s">
        <v>140</v>
      </c>
      <c r="JQ118" s="98" t="s">
        <v>140</v>
      </c>
      <c r="JR118" s="98">
        <v>4</v>
      </c>
      <c r="JS118" s="98">
        <v>1</v>
      </c>
      <c r="JT118" s="98">
        <v>1</v>
      </c>
      <c r="JU118" s="98">
        <v>1</v>
      </c>
      <c r="JV118" s="98">
        <v>1</v>
      </c>
      <c r="JW118" s="80">
        <v>9</v>
      </c>
      <c r="JX118" s="18">
        <v>8</v>
      </c>
      <c r="KT118" s="88" t="s">
        <v>127</v>
      </c>
      <c r="KU118" s="80" t="str">
        <f t="shared" ca="1" si="204"/>
        <v>No</v>
      </c>
      <c r="KV118" s="89" t="s">
        <v>129</v>
      </c>
      <c r="KW118" s="92" t="str">
        <f>IF(KW$1&gt;0,$KT118,"")</f>
        <v/>
      </c>
      <c r="KX118" s="92"/>
      <c r="KY118" s="92"/>
      <c r="KZ118" s="92"/>
      <c r="LA118" s="92"/>
      <c r="LB118" s="92"/>
      <c r="LC118" s="92"/>
      <c r="LD118" s="92"/>
      <c r="LE118" s="92"/>
      <c r="LF118" s="92"/>
      <c r="LG118" s="92"/>
      <c r="LH118" s="92"/>
      <c r="LI118" s="92"/>
      <c r="LJ118" s="92"/>
      <c r="LK118" s="92"/>
      <c r="LL118" s="92"/>
      <c r="LM118" s="92"/>
      <c r="LN118" s="92"/>
      <c r="LO118" s="92"/>
      <c r="LP118" s="92"/>
      <c r="LQ118" s="92"/>
      <c r="LR118" s="92"/>
      <c r="LS118" s="92"/>
      <c r="LT118" s="92"/>
      <c r="LU118" s="92"/>
      <c r="LV118" s="92"/>
      <c r="LW118" s="92"/>
      <c r="LX118" s="92"/>
      <c r="LY118" s="92"/>
      <c r="LZ118" s="96"/>
      <c r="MA118" s="92" t="str">
        <f t="shared" ca="1" si="205"/>
        <v/>
      </c>
      <c r="MB118" s="96"/>
      <c r="MC118" s="96"/>
      <c r="MD118" s="92" t="str">
        <f t="shared" ca="1" si="206"/>
        <v/>
      </c>
      <c r="ME118" s="96"/>
      <c r="MF118" s="96"/>
      <c r="MG118" s="96"/>
      <c r="MH118" s="92" t="str">
        <f t="shared" ca="1" si="207"/>
        <v/>
      </c>
      <c r="MI118" s="92" t="str">
        <f t="shared" ca="1" si="207"/>
        <v/>
      </c>
      <c r="MJ118" s="96"/>
      <c r="MK118" s="96"/>
      <c r="ML118" s="96"/>
      <c r="MM118" s="96"/>
      <c r="MN118" s="96"/>
      <c r="MO118" s="96"/>
      <c r="MP118" s="96"/>
      <c r="MQ118" s="92" t="str">
        <f t="shared" ca="1" si="208"/>
        <v/>
      </c>
      <c r="MR118" s="96"/>
      <c r="MS118" s="92" t="str">
        <f t="shared" ca="1" si="209"/>
        <v/>
      </c>
      <c r="MT118" s="96"/>
      <c r="MU118" s="96"/>
      <c r="MV118" s="96"/>
      <c r="MW118" s="96"/>
      <c r="MX118" s="96"/>
      <c r="MY118" s="96"/>
      <c r="MZ118" s="96"/>
      <c r="NA118" s="96"/>
      <c r="NB118" s="96"/>
      <c r="NC118" s="96"/>
      <c r="ND118" s="96"/>
      <c r="NE118" s="96"/>
      <c r="NF118" s="96"/>
      <c r="NG118" s="96"/>
      <c r="NH118" s="96"/>
      <c r="NI118" s="96"/>
      <c r="NJ118" s="96"/>
      <c r="NK118" s="92" t="str">
        <f t="shared" ca="1" si="210"/>
        <v/>
      </c>
      <c r="NL118" s="96"/>
      <c r="NM118" s="96"/>
      <c r="NN118" s="96"/>
      <c r="NO118" s="96"/>
      <c r="NP118" s="96"/>
      <c r="NQ118" s="96"/>
      <c r="NR118" s="96"/>
      <c r="NS118" s="96"/>
      <c r="NT118" s="96"/>
      <c r="NU118" s="96"/>
      <c r="NV118" s="96"/>
      <c r="NW118" s="96"/>
      <c r="NX118" s="96"/>
      <c r="NY118" s="96"/>
      <c r="NZ118" s="96"/>
      <c r="OA118" s="96"/>
      <c r="OB118" s="96"/>
      <c r="OC118" s="96"/>
      <c r="OD118" s="96"/>
      <c r="OE118" s="96"/>
      <c r="OF118" s="96"/>
      <c r="OG118" s="96"/>
      <c r="OH118" s="96"/>
      <c r="OI118" s="96"/>
      <c r="OJ118" s="96"/>
      <c r="OK118" s="96"/>
      <c r="OL118" s="96"/>
      <c r="OM118" s="96"/>
      <c r="ON118" s="96"/>
      <c r="OO118" s="96"/>
      <c r="OP118" s="96"/>
      <c r="OQ118" s="96"/>
      <c r="OR118" s="96"/>
      <c r="OS118" s="96"/>
      <c r="OT118" s="96"/>
      <c r="OU118" s="96"/>
      <c r="OV118" s="96"/>
      <c r="OW118" s="96"/>
      <c r="OX118" s="96"/>
      <c r="OY118" s="96"/>
      <c r="OZ118" s="96"/>
      <c r="PA118" s="96"/>
      <c r="PB118" s="96"/>
      <c r="PC118" s="96"/>
      <c r="PD118" s="96"/>
      <c r="PE118" s="96"/>
      <c r="PF118" s="96"/>
      <c r="PG118" s="96"/>
      <c r="PH118" s="96"/>
      <c r="PI118" s="96"/>
      <c r="PJ118" s="96"/>
      <c r="PK118" s="96"/>
      <c r="PL118" s="96"/>
      <c r="PM118" s="96"/>
      <c r="PN118" s="96"/>
      <c r="PO118" s="96"/>
      <c r="PP118" s="96"/>
      <c r="PQ118" s="96"/>
      <c r="PR118" s="96"/>
      <c r="PS118" s="96"/>
      <c r="PT118" s="96"/>
      <c r="PU118" s="59" t="str">
        <f t="shared" ca="1" si="203"/>
        <v/>
      </c>
      <c r="PV118" s="59" t="str">
        <f ca="1">IF(PU118="","",IF(COUNTIF(PU118:$PU$125,"&gt;&lt;")&gt;1,PU118&amp;", ", PU118))</f>
        <v/>
      </c>
      <c r="PW118" s="99"/>
      <c r="PX118" s="99"/>
      <c r="TJ118" s="18">
        <f t="shared" si="181"/>
        <v>116</v>
      </c>
      <c r="TK118" s="58" t="s">
        <v>1448</v>
      </c>
      <c r="TL118" s="58" t="s">
        <v>459</v>
      </c>
      <c r="TM118" s="18">
        <v>2</v>
      </c>
      <c r="TN118" s="59" t="str">
        <f t="shared" si="167"/>
        <v xml:space="preserve">Enhance Ability ᴴ </v>
      </c>
      <c r="TO118" s="350" t="s">
        <v>2991</v>
      </c>
      <c r="TP118" s="18" t="str">
        <f t="shared" si="168"/>
        <v/>
      </c>
      <c r="TQ118" s="18" t="str">
        <f>IF(OR(TK118=Spellcasting!$AC$18,TK118=Spellcasting!$AC$19),"ᵐ","")</f>
        <v/>
      </c>
      <c r="TR118" s="18" t="str">
        <f>IF(OR(TK118=Spellcasting!$AC$20,TK118=Spellcasting!$AC$21),"ˢ","")</f>
        <v/>
      </c>
      <c r="TS118" s="18" t="str">
        <f>""</f>
        <v/>
      </c>
      <c r="TT118" s="18" t="s">
        <v>484</v>
      </c>
      <c r="TU118" s="18" t="s">
        <v>519</v>
      </c>
      <c r="TV118" s="18" t="s">
        <v>490</v>
      </c>
      <c r="TW118" s="18" t="s">
        <v>495</v>
      </c>
      <c r="TX118" s="59" t="s">
        <v>1449</v>
      </c>
      <c r="TY118" s="18" t="s">
        <v>491</v>
      </c>
      <c r="TZ118" s="18" t="s">
        <v>492</v>
      </c>
      <c r="UA118" s="142" t="s">
        <v>3166</v>
      </c>
      <c r="UB118" s="319" t="s">
        <v>3026</v>
      </c>
      <c r="UC118" s="18" t="str">
        <f ca="1">IF(UC$1&gt;=$TM118,1,"0")</f>
        <v>0</v>
      </c>
      <c r="UF118" s="18" t="str">
        <f ca="1">IF(UF$1&gt;=$TM118,1,"0")</f>
        <v>0</v>
      </c>
      <c r="UH118" s="18" t="str">
        <f ca="1">IF(UH$1&gt;=$TM118,1,"0")</f>
        <v>0</v>
      </c>
      <c r="UI118" s="18" t="str">
        <f ca="1">IF(UI$1&gt;=$TM118,1,"0")</f>
        <v>0</v>
      </c>
      <c r="WD118" s="18" t="str">
        <f ca="1">IF(SUM($VZ$1:$WC$1)&gt;0,IF(AND(SUM($VZ118:$WC118)&gt;0,$TM118=WE$1),MAX(WD$2:WD117)+1,""),IF(AND(SUM($UC118:$VY118)&gt;0,$TM118=WE$1),MAX(WD$2:WD117)+1,""))</f>
        <v/>
      </c>
      <c r="WE118" s="59" t="str">
        <f t="shared" ca="1" si="169"/>
        <v/>
      </c>
      <c r="WF118" s="18" t="str">
        <f ca="1">IF(AND(SUM($UB118:$VY118)&gt;0,$TM118=WG$1),MAX(WF$2:WF117)+1,"")</f>
        <v/>
      </c>
      <c r="WG118" s="59" t="str">
        <f t="shared" ca="1" si="170"/>
        <v/>
      </c>
      <c r="WH118" s="18" t="str">
        <f ca="1">IF(AND(SUM($UB118:$VY118)&gt;0,$TM118=WI$1),MAX(WH$2:WH117)+1,"")</f>
        <v/>
      </c>
      <c r="WI118" s="59" t="str">
        <f t="shared" ca="1" si="171"/>
        <v/>
      </c>
      <c r="WJ118" s="18" t="str">
        <f ca="1">IF(AND(SUM($UB118:$VY118)&gt;0,$TM118=WK$1),MAX(WJ$2:WJ117)+1,"")</f>
        <v/>
      </c>
      <c r="WK118" s="59" t="str">
        <f t="shared" ca="1" si="172"/>
        <v/>
      </c>
      <c r="WL118" s="18" t="str">
        <f ca="1">IF(AND(SUM($UB118:$VY118)&gt;0,$TM118=WM$1),MAX(WL$2:WL117)+1,"")</f>
        <v/>
      </c>
      <c r="WM118" s="59" t="str">
        <f t="shared" ca="1" si="173"/>
        <v/>
      </c>
      <c r="WN118" s="18" t="str">
        <f ca="1">IF(AND(SUM($UB118:$VY118)&gt;0,$TM118=WO$1),MAX(WN$2:WN117)+1,"")</f>
        <v/>
      </c>
      <c r="WO118" s="59" t="str">
        <f t="shared" ca="1" si="174"/>
        <v/>
      </c>
      <c r="WP118" s="18" t="str">
        <f ca="1">IF(AND(SUM($UB118:$VY118)&gt;0,$TM118=WQ$1),MAX(WP$2:WP117)+1,"")</f>
        <v/>
      </c>
      <c r="WQ118" s="59" t="str">
        <f t="shared" ca="1" si="175"/>
        <v/>
      </c>
      <c r="WR118" s="18" t="str">
        <f ca="1">IF(AND(SUM($UB118:$VY118)&gt;0,$TM118=WS$1),MAX(WR$2:WR117)+1,"")</f>
        <v/>
      </c>
      <c r="WS118" s="59" t="str">
        <f t="shared" ca="1" si="176"/>
        <v/>
      </c>
      <c r="WT118" s="18" t="str">
        <f ca="1">IF(AND(SUM($UB118:$VY118)&gt;0,$TM118=WU$1),MAX(WT$2:WT117)+1,"")</f>
        <v/>
      </c>
      <c r="WU118" s="59" t="str">
        <f t="shared" ca="1" si="177"/>
        <v/>
      </c>
      <c r="WV118" s="18" t="str">
        <f ca="1">IF(AND(SUM($UB118:$VY118)&gt;0,$TM118=WW$1),MAX(WV$2:WV117)+1,"")</f>
        <v/>
      </c>
      <c r="WW118" s="59" t="str">
        <f t="shared" ca="1" si="178"/>
        <v/>
      </c>
      <c r="WX118" s="18" t="str">
        <f ca="1">IF(AND(SUM($UB118:$VY118)&gt;0,$TM118=WY$1),MAX(WX$2:WX117)+1,"")</f>
        <v/>
      </c>
      <c r="WY118" s="59" t="str">
        <f t="shared" ca="1" si="179"/>
        <v/>
      </c>
      <c r="WZ118" s="59"/>
      <c r="XC118" s="59" t="str">
        <f t="shared" ca="1" si="211"/>
        <v/>
      </c>
    </row>
    <row r="119" spans="257:627" ht="9.9499999999999993" customHeight="1" x14ac:dyDescent="0.2">
      <c r="IX119" s="209" t="s">
        <v>3599</v>
      </c>
      <c r="JM119" s="296">
        <v>18</v>
      </c>
      <c r="JN119" s="98" t="s">
        <v>140</v>
      </c>
      <c r="JO119" s="98" t="s">
        <v>140</v>
      </c>
      <c r="JP119" s="98" t="s">
        <v>140</v>
      </c>
      <c r="JQ119" s="98" t="s">
        <v>140</v>
      </c>
      <c r="JR119" s="98">
        <v>4</v>
      </c>
      <c r="JS119" s="98">
        <v>1</v>
      </c>
      <c r="JT119" s="98">
        <v>1</v>
      </c>
      <c r="JU119" s="98">
        <v>1</v>
      </c>
      <c r="JV119" s="98">
        <v>1</v>
      </c>
      <c r="JW119" s="80">
        <v>9</v>
      </c>
      <c r="JX119" s="18">
        <v>8</v>
      </c>
      <c r="KT119" s="88" t="s">
        <v>128</v>
      </c>
      <c r="KU119" s="80" t="str">
        <f t="shared" ca="1" si="204"/>
        <v>No</v>
      </c>
      <c r="KV119" s="89" t="s">
        <v>129</v>
      </c>
      <c r="KW119" s="92"/>
      <c r="KX119" s="92"/>
      <c r="KY119" s="92"/>
      <c r="KZ119" s="92"/>
      <c r="LA119" s="92"/>
      <c r="LB119" s="92"/>
      <c r="LC119" s="92"/>
      <c r="LD119" s="92"/>
      <c r="LE119" s="92"/>
      <c r="LF119" s="92"/>
      <c r="LG119" s="92"/>
      <c r="LH119" s="92"/>
      <c r="LI119" s="92"/>
      <c r="LJ119" s="92"/>
      <c r="LK119" s="92"/>
      <c r="LL119" s="92"/>
      <c r="LM119" s="92"/>
      <c r="LN119" s="92"/>
      <c r="LO119" s="92"/>
      <c r="LP119" s="92"/>
      <c r="LQ119" s="92"/>
      <c r="LR119" s="92"/>
      <c r="LS119" s="92"/>
      <c r="LT119" s="92"/>
      <c r="LU119" s="92"/>
      <c r="LV119" s="92"/>
      <c r="LW119" s="92"/>
      <c r="LX119" s="92"/>
      <c r="LY119" s="92"/>
      <c r="LZ119" s="96"/>
      <c r="MA119" s="92" t="str">
        <f t="shared" ca="1" si="205"/>
        <v/>
      </c>
      <c r="MB119" s="96"/>
      <c r="MC119" s="96"/>
      <c r="MD119" s="92" t="str">
        <f t="shared" ca="1" si="206"/>
        <v/>
      </c>
      <c r="ME119" s="96"/>
      <c r="MF119" s="96"/>
      <c r="MG119" s="96"/>
      <c r="MH119" s="92" t="str">
        <f t="shared" ca="1" si="207"/>
        <v/>
      </c>
      <c r="MI119" s="92" t="str">
        <f t="shared" ca="1" si="207"/>
        <v/>
      </c>
      <c r="MJ119" s="96"/>
      <c r="MK119" s="96"/>
      <c r="ML119" s="96"/>
      <c r="MM119" s="96"/>
      <c r="MN119" s="96"/>
      <c r="MO119" s="96"/>
      <c r="MP119" s="96"/>
      <c r="MQ119" s="92" t="str">
        <f t="shared" ca="1" si="208"/>
        <v/>
      </c>
      <c r="MR119" s="96"/>
      <c r="MS119" s="92" t="str">
        <f t="shared" ca="1" si="209"/>
        <v/>
      </c>
      <c r="MT119" s="96"/>
      <c r="MU119" s="96"/>
      <c r="MV119" s="96"/>
      <c r="MW119" s="96"/>
      <c r="MX119" s="96"/>
      <c r="MY119" s="96"/>
      <c r="MZ119" s="96"/>
      <c r="NA119" s="96"/>
      <c r="NB119" s="96"/>
      <c r="NC119" s="96"/>
      <c r="ND119" s="96"/>
      <c r="NE119" s="96"/>
      <c r="NF119" s="96"/>
      <c r="NG119" s="96"/>
      <c r="NH119" s="96"/>
      <c r="NI119" s="96"/>
      <c r="NJ119" s="96"/>
      <c r="NK119" s="92" t="str">
        <f t="shared" ca="1" si="210"/>
        <v/>
      </c>
      <c r="NL119" s="96"/>
      <c r="NM119" s="96"/>
      <c r="NN119" s="96"/>
      <c r="NO119" s="96"/>
      <c r="NP119" s="96"/>
      <c r="NQ119" s="96"/>
      <c r="NR119" s="96"/>
      <c r="NS119" s="96"/>
      <c r="NT119" s="96"/>
      <c r="NU119" s="96"/>
      <c r="NV119" s="96"/>
      <c r="NW119" s="96"/>
      <c r="NX119" s="96"/>
      <c r="NY119" s="96"/>
      <c r="NZ119" s="96"/>
      <c r="OA119" s="96"/>
      <c r="OB119" s="96"/>
      <c r="OC119" s="96"/>
      <c r="OD119" s="96"/>
      <c r="OE119" s="96"/>
      <c r="OF119" s="96"/>
      <c r="OG119" s="96"/>
      <c r="OH119" s="96"/>
      <c r="OI119" s="96"/>
      <c r="OJ119" s="96"/>
      <c r="OK119" s="96"/>
      <c r="OL119" s="96"/>
      <c r="OM119" s="96"/>
      <c r="ON119" s="96"/>
      <c r="OO119" s="96"/>
      <c r="OP119" s="96"/>
      <c r="OQ119" s="96"/>
      <c r="OR119" s="96"/>
      <c r="OS119" s="96"/>
      <c r="OT119" s="96"/>
      <c r="OU119" s="96"/>
      <c r="OV119" s="96"/>
      <c r="OW119" s="96"/>
      <c r="OX119" s="96"/>
      <c r="OY119" s="96"/>
      <c r="OZ119" s="96"/>
      <c r="PA119" s="96"/>
      <c r="PB119" s="96"/>
      <c r="PC119" s="96"/>
      <c r="PD119" s="96"/>
      <c r="PE119" s="96"/>
      <c r="PF119" s="96"/>
      <c r="PG119" s="96"/>
      <c r="PH119" s="96"/>
      <c r="PI119" s="96"/>
      <c r="PJ119" s="96"/>
      <c r="PK119" s="96"/>
      <c r="PL119" s="96"/>
      <c r="PM119" s="96"/>
      <c r="PN119" s="96"/>
      <c r="PO119" s="96"/>
      <c r="PP119" s="96"/>
      <c r="PQ119" s="96"/>
      <c r="PR119" s="96"/>
      <c r="PS119" s="96"/>
      <c r="PT119" s="96"/>
      <c r="PU119" s="59" t="str">
        <f t="shared" ca="1" si="203"/>
        <v/>
      </c>
      <c r="PV119" s="59" t="str">
        <f ca="1">IF(PU119="","",IF(COUNTIF(PU119:$PU$125,"&gt;&lt;")&gt;1,PU119&amp;", ", PU119))</f>
        <v/>
      </c>
      <c r="PW119" s="99"/>
      <c r="PX119" s="99"/>
      <c r="TJ119" s="18">
        <f t="shared" si="181"/>
        <v>117</v>
      </c>
      <c r="TK119" s="58" t="s">
        <v>1228</v>
      </c>
      <c r="TL119" s="58" t="s">
        <v>459</v>
      </c>
      <c r="TM119" s="18">
        <v>2</v>
      </c>
      <c r="TN119" s="59" t="str">
        <f t="shared" si="167"/>
        <v xml:space="preserve">Enlarge/Reduce </v>
      </c>
      <c r="TO119" s="18" t="str">
        <f>""</f>
        <v/>
      </c>
      <c r="TP119" s="18" t="str">
        <f t="shared" si="168"/>
        <v/>
      </c>
      <c r="TQ119" s="18" t="str">
        <f>IF(OR(TK119=Spellcasting!$AC$18,TK119=Spellcasting!$AC$19),"ᵐ","")</f>
        <v/>
      </c>
      <c r="TR119" s="18" t="str">
        <f>IF(OR(TK119=Spellcasting!$AC$20,TK119=Spellcasting!$AC$21),"ˢ","")</f>
        <v/>
      </c>
      <c r="TS119" s="18" t="str">
        <f>""</f>
        <v/>
      </c>
      <c r="TT119" s="18" t="s">
        <v>484</v>
      </c>
      <c r="TU119" s="18" t="s">
        <v>851</v>
      </c>
      <c r="TV119" s="18" t="s">
        <v>558</v>
      </c>
      <c r="TW119" s="18" t="s">
        <v>495</v>
      </c>
      <c r="TX119" s="59" t="s">
        <v>1273</v>
      </c>
      <c r="TY119" s="18" t="s">
        <v>491</v>
      </c>
      <c r="TZ119" s="18" t="s">
        <v>492</v>
      </c>
      <c r="UA119" s="142" t="s">
        <v>1274</v>
      </c>
      <c r="UB119" s="319" t="s">
        <v>3025</v>
      </c>
      <c r="UF119" s="18" t="str">
        <f ca="1">IF(UF$1&gt;=$TM119,1,"0")</f>
        <v>0</v>
      </c>
      <c r="UL119" s="18" t="str">
        <f ca="1">IF(UL$1&gt;=$TM119,1,"0")</f>
        <v>0</v>
      </c>
      <c r="WD119" s="18" t="str">
        <f ca="1">IF(SUM($VZ$1:$WC$1)&gt;0,IF(AND(SUM($VZ119:$WC119)&gt;0,$TM119=WE$1),MAX(WD$2:WD118)+1,""),IF(AND(SUM($UC119:$VY119)&gt;0,$TM119=WE$1),MAX(WD$2:WD118)+1,""))</f>
        <v/>
      </c>
      <c r="WE119" s="59" t="str">
        <f t="shared" ca="1" si="169"/>
        <v/>
      </c>
      <c r="WF119" s="18" t="str">
        <f ca="1">IF(AND(SUM($UB119:$VY119)&gt;0,$TM119=WG$1),MAX(WF$2:WF118)+1,"")</f>
        <v/>
      </c>
      <c r="WG119" s="59" t="str">
        <f t="shared" ca="1" si="170"/>
        <v/>
      </c>
      <c r="WH119" s="18" t="str">
        <f ca="1">IF(AND(SUM($UB119:$VY119)&gt;0,$TM119=WI$1),MAX(WH$2:WH118)+1,"")</f>
        <v/>
      </c>
      <c r="WI119" s="59" t="str">
        <f t="shared" ca="1" si="171"/>
        <v/>
      </c>
      <c r="WJ119" s="18" t="str">
        <f ca="1">IF(AND(SUM($UB119:$VY119)&gt;0,$TM119=WK$1),MAX(WJ$2:WJ118)+1,"")</f>
        <v/>
      </c>
      <c r="WK119" s="59" t="str">
        <f t="shared" ca="1" si="172"/>
        <v/>
      </c>
      <c r="WL119" s="18" t="str">
        <f ca="1">IF(AND(SUM($UB119:$VY119)&gt;0,$TM119=WM$1),MAX(WL$2:WL118)+1,"")</f>
        <v/>
      </c>
      <c r="WM119" s="59" t="str">
        <f t="shared" ca="1" si="173"/>
        <v/>
      </c>
      <c r="WN119" s="18" t="str">
        <f ca="1">IF(AND(SUM($UB119:$VY119)&gt;0,$TM119=WO$1),MAX(WN$2:WN118)+1,"")</f>
        <v/>
      </c>
      <c r="WO119" s="59" t="str">
        <f t="shared" ca="1" si="174"/>
        <v/>
      </c>
      <c r="WP119" s="18" t="str">
        <f ca="1">IF(AND(SUM($UB119:$VY119)&gt;0,$TM119=WQ$1),MAX(WP$2:WP118)+1,"")</f>
        <v/>
      </c>
      <c r="WQ119" s="59" t="str">
        <f t="shared" ca="1" si="175"/>
        <v/>
      </c>
      <c r="WR119" s="18" t="str">
        <f ca="1">IF(AND(SUM($UB119:$VY119)&gt;0,$TM119=WS$1),MAX(WR$2:WR118)+1,"")</f>
        <v/>
      </c>
      <c r="WS119" s="59" t="str">
        <f t="shared" ca="1" si="176"/>
        <v/>
      </c>
      <c r="WT119" s="18" t="str">
        <f ca="1">IF(AND(SUM($UB119:$VY119)&gt;0,$TM119=WU$1),MAX(WT$2:WT118)+1,"")</f>
        <v/>
      </c>
      <c r="WU119" s="59" t="str">
        <f t="shared" ca="1" si="177"/>
        <v/>
      </c>
      <c r="WV119" s="18" t="str">
        <f ca="1">IF(AND(SUM($UB119:$VY119)&gt;0,$TM119=WW$1),MAX(WV$2:WV118)+1,"")</f>
        <v/>
      </c>
      <c r="WW119" s="59" t="str">
        <f t="shared" ca="1" si="178"/>
        <v/>
      </c>
      <c r="WX119" s="18" t="str">
        <f ca="1">IF(AND(SUM($UB119:$VY119)&gt;0,$TM119=WY$1),MAX(WX$2:WX118)+1,"")</f>
        <v/>
      </c>
      <c r="WY119" s="59" t="str">
        <f t="shared" ca="1" si="179"/>
        <v/>
      </c>
      <c r="WZ119" s="59"/>
      <c r="XC119" s="59" t="str">
        <f t="shared" ca="1" si="211"/>
        <v/>
      </c>
    </row>
    <row r="120" spans="257:627" ht="9.9499999999999993" customHeight="1" x14ac:dyDescent="0.2">
      <c r="IX120" s="58" t="s">
        <v>3645</v>
      </c>
      <c r="IY120" s="58" t="s">
        <v>3600</v>
      </c>
      <c r="IZ120" s="58" t="s">
        <v>196</v>
      </c>
      <c r="JA120" s="58" t="s">
        <v>1624</v>
      </c>
      <c r="JB120" s="58" t="s">
        <v>3601</v>
      </c>
      <c r="JM120" s="296">
        <v>19</v>
      </c>
      <c r="JN120" s="98" t="s">
        <v>140</v>
      </c>
      <c r="JO120" s="98" t="s">
        <v>140</v>
      </c>
      <c r="JP120" s="98" t="s">
        <v>140</v>
      </c>
      <c r="JQ120" s="98" t="s">
        <v>140</v>
      </c>
      <c r="JR120" s="98">
        <v>4</v>
      </c>
      <c r="JS120" s="98">
        <v>1</v>
      </c>
      <c r="JT120" s="98">
        <v>1</v>
      </c>
      <c r="JU120" s="98">
        <v>1</v>
      </c>
      <c r="JV120" s="98">
        <v>1</v>
      </c>
      <c r="JW120" s="80">
        <v>9</v>
      </c>
      <c r="JX120" s="18">
        <v>8</v>
      </c>
      <c r="KT120" s="88" t="s">
        <v>101</v>
      </c>
      <c r="KU120" s="80" t="str">
        <f t="shared" ca="1" si="204"/>
        <v>No</v>
      </c>
      <c r="KV120" s="89" t="s">
        <v>87</v>
      </c>
      <c r="KW120" s="92"/>
      <c r="KX120" s="92"/>
      <c r="KY120" s="92"/>
      <c r="KZ120" s="92"/>
      <c r="LA120" s="92"/>
      <c r="LB120" s="92"/>
      <c r="LC120" s="92"/>
      <c r="LD120" s="92"/>
      <c r="LE120" s="92"/>
      <c r="LF120" s="92"/>
      <c r="LG120" s="92"/>
      <c r="LH120" s="92"/>
      <c r="LI120" s="92"/>
      <c r="LJ120" s="92"/>
      <c r="LK120" s="92"/>
      <c r="LL120" s="92"/>
      <c r="LM120" s="92"/>
      <c r="LN120" s="92"/>
      <c r="LO120" s="92"/>
      <c r="LP120" s="92"/>
      <c r="LQ120" s="92"/>
      <c r="LR120" s="92"/>
      <c r="LS120" s="92"/>
      <c r="LT120" s="92"/>
      <c r="LU120" s="92"/>
      <c r="LV120" s="92"/>
      <c r="LW120" s="92"/>
      <c r="LX120" s="92"/>
      <c r="LY120" s="92"/>
      <c r="LZ120" s="96"/>
      <c r="MA120" s="92" t="str">
        <f t="shared" ca="1" si="205"/>
        <v/>
      </c>
      <c r="MB120" s="96"/>
      <c r="MC120" s="96"/>
      <c r="MD120" s="92" t="str">
        <f t="shared" ca="1" si="206"/>
        <v/>
      </c>
      <c r="ME120" s="96"/>
      <c r="MF120" s="96"/>
      <c r="MG120" s="96"/>
      <c r="MH120" s="92" t="str">
        <f t="shared" ca="1" si="207"/>
        <v/>
      </c>
      <c r="MI120" s="92" t="str">
        <f t="shared" ca="1" si="207"/>
        <v/>
      </c>
      <c r="MJ120" s="96"/>
      <c r="MK120" s="96"/>
      <c r="ML120" s="96"/>
      <c r="MM120" s="96"/>
      <c r="MN120" s="96"/>
      <c r="MO120" s="96"/>
      <c r="MP120" s="96"/>
      <c r="MQ120" s="92" t="str">
        <f t="shared" ca="1" si="208"/>
        <v/>
      </c>
      <c r="MR120" s="96"/>
      <c r="MS120" s="92" t="str">
        <f t="shared" ca="1" si="209"/>
        <v/>
      </c>
      <c r="MT120" s="96"/>
      <c r="MU120" s="96"/>
      <c r="MV120" s="96"/>
      <c r="MW120" s="96"/>
      <c r="MX120" s="96"/>
      <c r="MY120" s="96"/>
      <c r="MZ120" s="96"/>
      <c r="NA120" s="96"/>
      <c r="NB120" s="96"/>
      <c r="NC120" s="96"/>
      <c r="ND120" s="96"/>
      <c r="NE120" s="96"/>
      <c r="NF120" s="96"/>
      <c r="NG120" s="96"/>
      <c r="NH120" s="96"/>
      <c r="NI120" s="96"/>
      <c r="NJ120" s="96"/>
      <c r="NK120" s="92" t="str">
        <f t="shared" ca="1" si="210"/>
        <v/>
      </c>
      <c r="NL120" s="96"/>
      <c r="NM120" s="96"/>
      <c r="NN120" s="96"/>
      <c r="NO120" s="96"/>
      <c r="NP120" s="96"/>
      <c r="NQ120" s="96"/>
      <c r="NR120" s="96"/>
      <c r="NS120" s="96"/>
      <c r="NT120" s="96"/>
      <c r="NU120" s="96"/>
      <c r="NV120" s="96"/>
      <c r="NW120" s="96"/>
      <c r="NX120" s="96"/>
      <c r="NY120" s="96"/>
      <c r="NZ120" s="96"/>
      <c r="OA120" s="96"/>
      <c r="OB120" s="92" t="str">
        <f t="shared" ref="OB120:OB125" si="212">IF(OB$1&gt;0,$KT120,"")</f>
        <v/>
      </c>
      <c r="OC120" s="96"/>
      <c r="OD120" s="96"/>
      <c r="OE120" s="96"/>
      <c r="OF120" s="96"/>
      <c r="OG120" s="96"/>
      <c r="OH120" s="96"/>
      <c r="OI120" s="96"/>
      <c r="OJ120" s="96"/>
      <c r="OK120" s="96"/>
      <c r="OL120" s="96"/>
      <c r="OM120" s="96"/>
      <c r="ON120" s="96"/>
      <c r="OO120" s="96"/>
      <c r="OP120" s="96"/>
      <c r="OQ120" s="96"/>
      <c r="OR120" s="96"/>
      <c r="OS120" s="96"/>
      <c r="OT120" s="96"/>
      <c r="OU120" s="96"/>
      <c r="OV120" s="96"/>
      <c r="OW120" s="96"/>
      <c r="OX120" s="96"/>
      <c r="OY120" s="96"/>
      <c r="OZ120" s="96"/>
      <c r="PA120" s="96"/>
      <c r="PB120" s="96"/>
      <c r="PC120" s="96"/>
      <c r="PD120" s="96"/>
      <c r="PE120" s="96"/>
      <c r="PF120" s="96"/>
      <c r="PG120" s="96"/>
      <c r="PH120" s="96"/>
      <c r="PI120" s="96"/>
      <c r="PJ120" s="96"/>
      <c r="PK120" s="96"/>
      <c r="PL120" s="96"/>
      <c r="PM120" s="96"/>
      <c r="PN120" s="96"/>
      <c r="PO120" s="96"/>
      <c r="PP120" s="96"/>
      <c r="PQ120" s="96"/>
      <c r="PR120" s="96"/>
      <c r="PS120" s="96"/>
      <c r="PT120" s="96"/>
      <c r="PU120" s="59" t="str">
        <f t="shared" ref="PU120:PU128" ca="1" si="213">IF(AND($PU$81="",$PU$85=""),IF(COUNTIF(KW120:PT120,"&gt;&lt;"),KT120,""),"")</f>
        <v/>
      </c>
      <c r="PV120" s="59" t="str">
        <f ca="1">IF(PU120="","",IF(COUNTIF(PU120:$PU$125,"&gt;&lt;")&gt;1,PU120&amp;", ", PU120))</f>
        <v/>
      </c>
      <c r="PW120" s="99"/>
      <c r="PX120" s="59"/>
      <c r="TJ120" s="18">
        <f t="shared" si="181"/>
        <v>118</v>
      </c>
      <c r="TK120" s="58" t="s">
        <v>2764</v>
      </c>
      <c r="TL120" s="58" t="s">
        <v>448</v>
      </c>
      <c r="TM120" s="18">
        <v>1</v>
      </c>
      <c r="TN120" s="59" t="str">
        <f t="shared" si="167"/>
        <v xml:space="preserve">Ensnaring Strike ᴴ </v>
      </c>
      <c r="TO120" s="350" t="s">
        <v>2991</v>
      </c>
      <c r="TP120" s="18" t="str">
        <f t="shared" si="168"/>
        <v/>
      </c>
      <c r="TQ120" s="18" t="str">
        <f>IF(OR(TK120=Spellcasting!$AC$18,TK120=Spellcasting!$AC$19),"ᵐ","")</f>
        <v/>
      </c>
      <c r="TR120" s="18" t="str">
        <f>IF(OR(TK120=Spellcasting!$AC$20,TK120=Spellcasting!$AC$21),"ˢ","")</f>
        <v/>
      </c>
      <c r="TS120" s="18" t="str">
        <f>""</f>
        <v/>
      </c>
      <c r="TT120" s="18" t="s">
        <v>1256</v>
      </c>
      <c r="TU120" s="18" t="s">
        <v>509</v>
      </c>
      <c r="TV120" s="18" t="s">
        <v>558</v>
      </c>
      <c r="TW120" s="18" t="s">
        <v>541</v>
      </c>
      <c r="TY120" s="18" t="s">
        <v>516</v>
      </c>
      <c r="TZ120" s="18" t="s">
        <v>517</v>
      </c>
      <c r="UA120" s="142" t="s">
        <v>2765</v>
      </c>
      <c r="UB120" s="319" t="s">
        <v>3024</v>
      </c>
      <c r="UP120" s="18" t="str">
        <f>IF(UP$1&gt;=$TM120,1,"0")</f>
        <v>0</v>
      </c>
      <c r="WD120" s="18" t="str">
        <f>IF(SUM($VZ$1:$WC$1)&gt;0,IF(AND(SUM($VZ120:$WC120)&gt;0,$TM120=WE$1),MAX(WD$2:WD119)+1,""),IF(AND(SUM($UC120:$VY120)&gt;0,$TM120=WE$1),MAX(WD$2:WD119)+1,""))</f>
        <v/>
      </c>
      <c r="WE120" s="59" t="str">
        <f t="shared" si="169"/>
        <v/>
      </c>
      <c r="WF120" s="18" t="str">
        <f>IF(AND(SUM($UB120:$VY120)&gt;0,$TM120=WG$1),MAX(WF$2:WF119)+1,"")</f>
        <v/>
      </c>
      <c r="WG120" s="59" t="str">
        <f t="shared" si="170"/>
        <v/>
      </c>
      <c r="WH120" s="18" t="str">
        <f>IF(AND(SUM($UB120:$VY120)&gt;0,$TM120=WI$1),MAX(WH$2:WH119)+1,"")</f>
        <v/>
      </c>
      <c r="WI120" s="59" t="str">
        <f t="shared" si="171"/>
        <v/>
      </c>
      <c r="WJ120" s="18" t="str">
        <f>IF(AND(SUM($UB120:$VY120)&gt;0,$TM120=WK$1),MAX(WJ$2:WJ119)+1,"")</f>
        <v/>
      </c>
      <c r="WK120" s="59" t="str">
        <f t="shared" si="172"/>
        <v/>
      </c>
      <c r="WL120" s="18" t="str">
        <f>IF(AND(SUM($UB120:$VY120)&gt;0,$TM120=WM$1),MAX(WL$2:WL119)+1,"")</f>
        <v/>
      </c>
      <c r="WM120" s="59" t="str">
        <f t="shared" si="173"/>
        <v/>
      </c>
      <c r="WN120" s="18" t="str">
        <f>IF(AND(SUM($UB120:$VY120)&gt;0,$TM120=WO$1),MAX(WN$2:WN119)+1,"")</f>
        <v/>
      </c>
      <c r="WO120" s="59" t="str">
        <f t="shared" si="174"/>
        <v/>
      </c>
      <c r="WP120" s="18" t="str">
        <f>IF(AND(SUM($UB120:$VY120)&gt;0,$TM120=WQ$1),MAX(WP$2:WP119)+1,"")</f>
        <v/>
      </c>
      <c r="WQ120" s="59" t="str">
        <f t="shared" si="175"/>
        <v/>
      </c>
      <c r="WR120" s="18" t="str">
        <f>IF(AND(SUM($UB120:$VY120)&gt;0,$TM120=WS$1),MAX(WR$2:WR119)+1,"")</f>
        <v/>
      </c>
      <c r="WS120" s="59" t="str">
        <f t="shared" si="176"/>
        <v/>
      </c>
      <c r="WT120" s="18" t="str">
        <f>IF(AND(SUM($UB120:$VY120)&gt;0,$TM120=WU$1),MAX(WT$2:WT119)+1,"")</f>
        <v/>
      </c>
      <c r="WU120" s="59" t="str">
        <f t="shared" si="177"/>
        <v/>
      </c>
      <c r="WV120" s="18" t="str">
        <f>IF(AND(SUM($UB120:$VY120)&gt;0,$TM120=WW$1),MAX(WV$2:WV119)+1,"")</f>
        <v/>
      </c>
      <c r="WW120" s="59" t="str">
        <f t="shared" si="178"/>
        <v/>
      </c>
      <c r="WX120" s="18" t="str">
        <f>IF(AND(SUM($UB120:$VY120)&gt;0,$TM120=WY$1),MAX(WX$2:WX119)+1,"")</f>
        <v/>
      </c>
      <c r="WY120" s="59" t="str">
        <f t="shared" si="179"/>
        <v/>
      </c>
      <c r="WZ120" s="59"/>
      <c r="XC120" s="59" t="str">
        <f t="shared" ca="1" si="211"/>
        <v/>
      </c>
    </row>
    <row r="121" spans="257:627" ht="9.9499999999999993" customHeight="1" x14ac:dyDescent="0.2">
      <c r="IX121" s="58" t="s">
        <v>3646</v>
      </c>
      <c r="IY121" s="58" t="s">
        <v>3602</v>
      </c>
      <c r="IZ121" s="58" t="s">
        <v>201</v>
      </c>
      <c r="JA121" s="58" t="s">
        <v>890</v>
      </c>
      <c r="JB121" s="58" t="s">
        <v>3603</v>
      </c>
      <c r="JM121" s="296">
        <v>20</v>
      </c>
      <c r="JN121" s="98" t="s">
        <v>140</v>
      </c>
      <c r="JO121" s="98" t="s">
        <v>140</v>
      </c>
      <c r="JP121" s="98" t="s">
        <v>140</v>
      </c>
      <c r="JQ121" s="98" t="s">
        <v>140</v>
      </c>
      <c r="JR121" s="98">
        <v>4</v>
      </c>
      <c r="JS121" s="98">
        <v>1</v>
      </c>
      <c r="JT121" s="98">
        <v>1</v>
      </c>
      <c r="JU121" s="98">
        <v>1</v>
      </c>
      <c r="JV121" s="98">
        <v>1</v>
      </c>
      <c r="JW121" s="80">
        <v>9</v>
      </c>
      <c r="JX121" s="18"/>
      <c r="KT121" s="88" t="s">
        <v>102</v>
      </c>
      <c r="KU121" s="80" t="str">
        <f t="shared" ca="1" si="204"/>
        <v>No</v>
      </c>
      <c r="KV121" s="89" t="s">
        <v>87</v>
      </c>
      <c r="KW121" s="92"/>
      <c r="KX121" s="92"/>
      <c r="KY121" s="92"/>
      <c r="KZ121" s="92"/>
      <c r="LA121" s="92"/>
      <c r="LB121" s="92"/>
      <c r="LC121" s="92"/>
      <c r="LD121" s="92"/>
      <c r="LE121" s="92"/>
      <c r="LF121" s="92"/>
      <c r="LG121" s="92"/>
      <c r="LH121" s="92"/>
      <c r="LI121" s="92"/>
      <c r="LJ121" s="92"/>
      <c r="LK121" s="92"/>
      <c r="LL121" s="92"/>
      <c r="LM121" s="92"/>
      <c r="LN121" s="92"/>
      <c r="LO121" s="92"/>
      <c r="LP121" s="92"/>
      <c r="LQ121" s="92"/>
      <c r="LR121" s="92"/>
      <c r="LS121" s="92"/>
      <c r="LT121" s="92"/>
      <c r="LU121" s="92"/>
      <c r="LV121" s="92"/>
      <c r="LW121" s="92"/>
      <c r="LX121" s="92"/>
      <c r="LY121" s="92"/>
      <c r="LZ121" s="96"/>
      <c r="MA121" s="92" t="str">
        <f t="shared" ca="1" si="205"/>
        <v/>
      </c>
      <c r="MB121" s="96"/>
      <c r="MC121" s="96"/>
      <c r="MD121" s="92" t="str">
        <f t="shared" ca="1" si="206"/>
        <v/>
      </c>
      <c r="ME121" s="96"/>
      <c r="MF121" s="96"/>
      <c r="MG121" s="96"/>
      <c r="MH121" s="92" t="str">
        <f t="shared" ca="1" si="207"/>
        <v/>
      </c>
      <c r="MI121" s="92" t="str">
        <f t="shared" ca="1" si="207"/>
        <v/>
      </c>
      <c r="MJ121" s="96"/>
      <c r="MK121" s="96"/>
      <c r="ML121" s="96"/>
      <c r="MM121" s="96"/>
      <c r="MN121" s="96"/>
      <c r="MO121" s="96"/>
      <c r="MP121" s="96"/>
      <c r="MQ121" s="92" t="str">
        <f t="shared" ca="1" si="208"/>
        <v/>
      </c>
      <c r="MR121" s="96"/>
      <c r="MS121" s="92" t="str">
        <f t="shared" ca="1" si="209"/>
        <v/>
      </c>
      <c r="MT121" s="96"/>
      <c r="MU121" s="96"/>
      <c r="MV121" s="96"/>
      <c r="MW121" s="96"/>
      <c r="MX121" s="96"/>
      <c r="MY121" s="96"/>
      <c r="MZ121" s="96"/>
      <c r="NA121" s="96"/>
      <c r="NB121" s="96"/>
      <c r="NC121" s="96"/>
      <c r="ND121" s="96"/>
      <c r="NE121" s="96"/>
      <c r="NF121" s="96"/>
      <c r="NG121" s="96"/>
      <c r="NH121" s="96"/>
      <c r="NI121" s="96"/>
      <c r="NJ121" s="96"/>
      <c r="NK121" s="92" t="str">
        <f t="shared" ca="1" si="210"/>
        <v/>
      </c>
      <c r="NL121" s="96"/>
      <c r="NM121" s="96"/>
      <c r="NN121" s="96"/>
      <c r="NO121" s="96"/>
      <c r="NP121" s="96"/>
      <c r="NQ121" s="96"/>
      <c r="NR121" s="96"/>
      <c r="NS121" s="96"/>
      <c r="NT121" s="96"/>
      <c r="NU121" s="96"/>
      <c r="NV121" s="96"/>
      <c r="NW121" s="96"/>
      <c r="NX121" s="96"/>
      <c r="NY121" s="96"/>
      <c r="NZ121" s="96"/>
      <c r="OA121" s="96"/>
      <c r="OB121" s="92" t="str">
        <f t="shared" si="212"/>
        <v/>
      </c>
      <c r="OC121" s="96"/>
      <c r="OD121" s="96"/>
      <c r="OE121" s="96"/>
      <c r="OF121" s="96"/>
      <c r="OG121" s="96"/>
      <c r="OH121" s="96"/>
      <c r="OI121" s="96"/>
      <c r="OJ121" s="96"/>
      <c r="OK121" s="96"/>
      <c r="OL121" s="96"/>
      <c r="OM121" s="96"/>
      <c r="ON121" s="96"/>
      <c r="OO121" s="96"/>
      <c r="OP121" s="96"/>
      <c r="OQ121" s="96"/>
      <c r="OR121" s="96"/>
      <c r="OS121" s="96"/>
      <c r="OT121" s="96"/>
      <c r="OU121" s="96"/>
      <c r="OV121" s="96"/>
      <c r="OW121" s="96"/>
      <c r="OX121" s="96"/>
      <c r="OY121" s="96"/>
      <c r="OZ121" s="96"/>
      <c r="PA121" s="96"/>
      <c r="PB121" s="96"/>
      <c r="PC121" s="96"/>
      <c r="PD121" s="96"/>
      <c r="PE121" s="96"/>
      <c r="PF121" s="96"/>
      <c r="PG121" s="96"/>
      <c r="PH121" s="96"/>
      <c r="PI121" s="96"/>
      <c r="PJ121" s="96"/>
      <c r="PK121" s="96"/>
      <c r="PL121" s="96"/>
      <c r="PM121" s="96"/>
      <c r="PN121" s="96"/>
      <c r="PO121" s="96"/>
      <c r="PP121" s="92"/>
      <c r="PQ121" s="96"/>
      <c r="PR121" s="96"/>
      <c r="PS121" s="96"/>
      <c r="PT121" s="96"/>
      <c r="PU121" s="59" t="str">
        <f t="shared" ca="1" si="213"/>
        <v/>
      </c>
      <c r="PV121" s="59" t="str">
        <f ca="1">IF(PU121="","",IF(COUNTIF(PU121:$PU$125,"&gt;&lt;")&gt;1,PU121&amp;", ", PU121))</f>
        <v/>
      </c>
      <c r="PW121" s="99"/>
      <c r="PX121" s="59"/>
      <c r="TJ121" s="18">
        <f t="shared" si="181"/>
        <v>119</v>
      </c>
      <c r="TK121" s="58" t="s">
        <v>584</v>
      </c>
      <c r="TL121" s="58" t="s">
        <v>448</v>
      </c>
      <c r="TM121" s="18">
        <v>1</v>
      </c>
      <c r="TN121" s="59" t="str">
        <f t="shared" si="167"/>
        <v xml:space="preserve">Entangle </v>
      </c>
      <c r="TO121" s="18" t="str">
        <f>""</f>
        <v/>
      </c>
      <c r="TP121" s="18" t="str">
        <f t="shared" si="168"/>
        <v/>
      </c>
      <c r="TQ121" s="18" t="str">
        <f>IF(OR(TK121=Spellcasting!$AC$18,TK121=Spellcasting!$AC$19),"ᵐ","")</f>
        <v/>
      </c>
      <c r="TR121" s="18" t="str">
        <f>IF(OR(TK121=Spellcasting!$AC$20,TK121=Spellcasting!$AC$21),"ˢ","")</f>
        <v/>
      </c>
      <c r="TS121" s="18" t="str">
        <f>""</f>
        <v/>
      </c>
      <c r="TT121" s="18" t="s">
        <v>484</v>
      </c>
      <c r="TU121" s="18" t="s">
        <v>864</v>
      </c>
      <c r="TV121" s="18" t="s">
        <v>558</v>
      </c>
      <c r="TW121" s="18" t="s">
        <v>486</v>
      </c>
      <c r="TX121" s="59" t="str">
        <f>""</f>
        <v/>
      </c>
      <c r="TY121" s="18" t="s">
        <v>516</v>
      </c>
      <c r="TZ121" s="18" t="s">
        <v>517</v>
      </c>
      <c r="UA121" s="142" t="s">
        <v>1395</v>
      </c>
      <c r="UB121" s="319" t="s">
        <v>3023</v>
      </c>
      <c r="UI121" s="18" t="str">
        <f ca="1">IF(UI$1&gt;=$TM121,1,"0")</f>
        <v>0</v>
      </c>
      <c r="WD121" s="18" t="str">
        <f ca="1">IF(SUM($VZ$1:$WC$1)&gt;0,IF(AND(SUM($VZ121:$WC121)&gt;0,$TM121=WE$1),MAX(WD$2:WD120)+1,""),IF(AND(SUM($UC121:$VY121)&gt;0,$TM121=WE$1),MAX(WD$2:WD120)+1,""))</f>
        <v/>
      </c>
      <c r="WE121" s="59" t="str">
        <f t="shared" ca="1" si="169"/>
        <v/>
      </c>
      <c r="WF121" s="18" t="str">
        <f ca="1">IF(AND(SUM($UB121:$VY121)&gt;0,$TM121=WG$1),MAX(WF$2:WF120)+1,"")</f>
        <v/>
      </c>
      <c r="WG121" s="59" t="str">
        <f t="shared" ca="1" si="170"/>
        <v/>
      </c>
      <c r="WH121" s="18" t="str">
        <f ca="1">IF(AND(SUM($UB121:$VY121)&gt;0,$TM121=WI$1),MAX(WH$2:WH120)+1,"")</f>
        <v/>
      </c>
      <c r="WI121" s="59" t="str">
        <f t="shared" ca="1" si="171"/>
        <v/>
      </c>
      <c r="WJ121" s="18" t="str">
        <f ca="1">IF(AND(SUM($UB121:$VY121)&gt;0,$TM121=WK$1),MAX(WJ$2:WJ120)+1,"")</f>
        <v/>
      </c>
      <c r="WK121" s="59" t="str">
        <f t="shared" ca="1" si="172"/>
        <v/>
      </c>
      <c r="WL121" s="18" t="str">
        <f ca="1">IF(AND(SUM($UB121:$VY121)&gt;0,$TM121=WM$1),MAX(WL$2:WL120)+1,"")</f>
        <v/>
      </c>
      <c r="WM121" s="59" t="str">
        <f t="shared" ca="1" si="173"/>
        <v/>
      </c>
      <c r="WN121" s="18" t="str">
        <f ca="1">IF(AND(SUM($UB121:$VY121)&gt;0,$TM121=WO$1),MAX(WN$2:WN120)+1,"")</f>
        <v/>
      </c>
      <c r="WO121" s="59" t="str">
        <f t="shared" ca="1" si="174"/>
        <v/>
      </c>
      <c r="WP121" s="18" t="str">
        <f ca="1">IF(AND(SUM($UB121:$VY121)&gt;0,$TM121=WQ$1),MAX(WP$2:WP120)+1,"")</f>
        <v/>
      </c>
      <c r="WQ121" s="59" t="str">
        <f t="shared" ca="1" si="175"/>
        <v/>
      </c>
      <c r="WR121" s="18" t="str">
        <f ca="1">IF(AND(SUM($UB121:$VY121)&gt;0,$TM121=WS$1),MAX(WR$2:WR120)+1,"")</f>
        <v/>
      </c>
      <c r="WS121" s="59" t="str">
        <f t="shared" ca="1" si="176"/>
        <v/>
      </c>
      <c r="WT121" s="18" t="str">
        <f ca="1">IF(AND(SUM($UB121:$VY121)&gt;0,$TM121=WU$1),MAX(WT$2:WT120)+1,"")</f>
        <v/>
      </c>
      <c r="WU121" s="59" t="str">
        <f t="shared" ca="1" si="177"/>
        <v/>
      </c>
      <c r="WV121" s="18" t="str">
        <f ca="1">IF(AND(SUM($UB121:$VY121)&gt;0,$TM121=WW$1),MAX(WV$2:WV120)+1,"")</f>
        <v/>
      </c>
      <c r="WW121" s="59" t="str">
        <f t="shared" ca="1" si="178"/>
        <v/>
      </c>
      <c r="WX121" s="18" t="str">
        <f ca="1">IF(AND(SUM($UB121:$VY121)&gt;0,$TM121=WY$1),MAX(WX$2:WX120)+1,"")</f>
        <v/>
      </c>
      <c r="WY121" s="59" t="str">
        <f t="shared" ca="1" si="179"/>
        <v/>
      </c>
      <c r="WZ121" s="59"/>
      <c r="XC121" s="59" t="str">
        <f t="shared" ca="1" si="211"/>
        <v/>
      </c>
    </row>
    <row r="122" spans="257:627" ht="9.9499999999999993" customHeight="1" x14ac:dyDescent="0.2">
      <c r="IX122" s="58" t="s">
        <v>3647</v>
      </c>
      <c r="IY122" s="58" t="s">
        <v>3604</v>
      </c>
      <c r="IZ122" s="58" t="s">
        <v>197</v>
      </c>
      <c r="JA122" s="58" t="s">
        <v>91</v>
      </c>
      <c r="JB122" s="58" t="s">
        <v>3605</v>
      </c>
      <c r="KT122" s="88" t="s">
        <v>348</v>
      </c>
      <c r="KU122" s="80" t="str">
        <f t="shared" ca="1" si="204"/>
        <v>No</v>
      </c>
      <c r="KV122" s="89" t="s">
        <v>87</v>
      </c>
      <c r="KW122" s="92"/>
      <c r="KX122" s="92"/>
      <c r="KY122" s="92"/>
      <c r="KZ122" s="92"/>
      <c r="LA122" s="92"/>
      <c r="LB122" s="92"/>
      <c r="LC122" s="92"/>
      <c r="LD122" s="92"/>
      <c r="LE122" s="92"/>
      <c r="LF122" s="92"/>
      <c r="LG122" s="92"/>
      <c r="LH122" s="92"/>
      <c r="LI122" s="92"/>
      <c r="LJ122" s="92"/>
      <c r="LK122" s="92"/>
      <c r="LL122" s="92" t="str">
        <f>IF(LL$1&gt;0,$KT122,"")</f>
        <v/>
      </c>
      <c r="LM122" s="92"/>
      <c r="LN122" s="92"/>
      <c r="LO122" s="92"/>
      <c r="LP122" s="92"/>
      <c r="LQ122" s="92"/>
      <c r="LR122" s="92"/>
      <c r="LS122" s="92"/>
      <c r="LT122" s="92"/>
      <c r="LU122" s="92"/>
      <c r="LV122" s="92"/>
      <c r="LW122" s="92"/>
      <c r="LX122" s="92"/>
      <c r="LY122" s="92"/>
      <c r="LZ122" s="96"/>
      <c r="MA122" s="92" t="str">
        <f t="shared" ca="1" si="205"/>
        <v/>
      </c>
      <c r="MB122" s="92" t="str">
        <f>IF(Class1=MB$5,IF(MB$1&gt;0,$KT122,""),"")</f>
        <v/>
      </c>
      <c r="MC122" s="96"/>
      <c r="MD122" s="92" t="str">
        <f t="shared" ca="1" si="206"/>
        <v/>
      </c>
      <c r="ME122" s="92" t="str">
        <f>IF(Class1=ME$5,IF(ME$1&gt;0,$KT122,""),"")</f>
        <v/>
      </c>
      <c r="MF122" s="96"/>
      <c r="MG122" s="96"/>
      <c r="MH122" s="92" t="str">
        <f t="shared" ca="1" si="207"/>
        <v/>
      </c>
      <c r="MI122" s="92" t="str">
        <f t="shared" ca="1" si="207"/>
        <v/>
      </c>
      <c r="MJ122" s="96"/>
      <c r="MK122" s="92"/>
      <c r="ML122" s="92"/>
      <c r="MM122" s="92"/>
      <c r="MN122" s="92"/>
      <c r="MO122" s="92"/>
      <c r="MP122" s="92"/>
      <c r="MQ122" s="92" t="str">
        <f t="shared" ca="1" si="208"/>
        <v/>
      </c>
      <c r="MR122" s="92"/>
      <c r="MS122" s="92" t="str">
        <f t="shared" ca="1" si="209"/>
        <v/>
      </c>
      <c r="MT122" s="92"/>
      <c r="MU122" s="92"/>
      <c r="MV122" s="92"/>
      <c r="MW122" s="92"/>
      <c r="MX122" s="92"/>
      <c r="MY122" s="92"/>
      <c r="MZ122" s="92"/>
      <c r="NA122" s="92"/>
      <c r="NB122" s="92"/>
      <c r="NC122" s="92"/>
      <c r="ND122" s="92"/>
      <c r="NE122" s="92"/>
      <c r="NF122" s="92"/>
      <c r="NG122" s="92"/>
      <c r="NH122" s="92"/>
      <c r="NI122" s="92"/>
      <c r="NJ122" s="92"/>
      <c r="NK122" s="92" t="str">
        <f t="shared" ca="1" si="210"/>
        <v/>
      </c>
      <c r="NL122" s="92"/>
      <c r="NM122" s="92"/>
      <c r="NN122" s="92"/>
      <c r="NO122" s="92"/>
      <c r="NP122" s="92"/>
      <c r="NQ122" s="92"/>
      <c r="NR122" s="92"/>
      <c r="NS122" s="92"/>
      <c r="NT122" s="92"/>
      <c r="NU122" s="92"/>
      <c r="NV122" s="92"/>
      <c r="NW122" s="92"/>
      <c r="NX122" s="92"/>
      <c r="NY122" s="92"/>
      <c r="NZ122" s="92"/>
      <c r="OA122" s="92"/>
      <c r="OB122" s="92" t="str">
        <f t="shared" si="212"/>
        <v/>
      </c>
      <c r="OC122" s="92"/>
      <c r="OD122" s="92"/>
      <c r="OE122" s="92"/>
      <c r="OF122" s="92"/>
      <c r="OG122" s="92"/>
      <c r="OH122" s="92"/>
      <c r="OI122" s="92"/>
      <c r="OJ122" s="92"/>
      <c r="OK122" s="92"/>
      <c r="OL122" s="92"/>
      <c r="OM122" s="92"/>
      <c r="ON122" s="92"/>
      <c r="OO122" s="92"/>
      <c r="OP122" s="92"/>
      <c r="OQ122" s="92"/>
      <c r="OR122" s="92"/>
      <c r="OS122" s="92"/>
      <c r="OT122" s="92"/>
      <c r="OU122" s="92"/>
      <c r="OV122" s="92"/>
      <c r="OW122" s="92"/>
      <c r="OX122" s="92"/>
      <c r="OY122" s="92"/>
      <c r="OZ122" s="92"/>
      <c r="PA122" s="92"/>
      <c r="PB122" s="92"/>
      <c r="PC122" s="92"/>
      <c r="PD122" s="92"/>
      <c r="PE122" s="92"/>
      <c r="PF122" s="92"/>
      <c r="PG122" s="92"/>
      <c r="PH122" s="92"/>
      <c r="PI122" s="92"/>
      <c r="PJ122" s="92"/>
      <c r="PK122" s="92"/>
      <c r="PL122" s="92"/>
      <c r="PM122" s="92"/>
      <c r="PN122" s="92"/>
      <c r="PO122" s="92"/>
      <c r="PP122" s="92"/>
      <c r="PQ122" s="92"/>
      <c r="PR122" s="92"/>
      <c r="PS122" s="92"/>
      <c r="PT122" s="92"/>
      <c r="PU122" s="59" t="str">
        <f t="shared" ca="1" si="213"/>
        <v/>
      </c>
      <c r="PV122" s="59" t="str">
        <f ca="1">IF(PU122="","",IF(COUNTIF(PU122:$PU$125,"&gt;&lt;")&gt;1,PU122&amp;", ", PU122))</f>
        <v/>
      </c>
      <c r="PW122" s="99"/>
      <c r="PX122" s="59"/>
      <c r="TJ122" s="18">
        <f t="shared" si="181"/>
        <v>120</v>
      </c>
      <c r="TK122" s="58" t="s">
        <v>2751</v>
      </c>
      <c r="TL122" s="58" t="s">
        <v>459</v>
      </c>
      <c r="TM122" s="18">
        <v>2</v>
      </c>
      <c r="TN122" s="59" t="str">
        <f t="shared" si="167"/>
        <v xml:space="preserve">Enthrall </v>
      </c>
      <c r="TO122" s="18" t="str">
        <f>""</f>
        <v/>
      </c>
      <c r="TP122" s="18" t="str">
        <f t="shared" si="168"/>
        <v/>
      </c>
      <c r="TQ122" s="18" t="str">
        <f>IF(OR(TK122=Spellcasting!$AC$18,TK122=Spellcasting!$AC$19),"ᵐ","")</f>
        <v/>
      </c>
      <c r="TR122" s="18" t="str">
        <f>IF(OR(TK122=Spellcasting!$AC$20,TK122=Spellcasting!$AC$21),"ˢ","")</f>
        <v/>
      </c>
      <c r="TS122" s="18" t="str">
        <f>""</f>
        <v/>
      </c>
      <c r="TT122" s="18" t="s">
        <v>484</v>
      </c>
      <c r="TU122" s="18" t="s">
        <v>850</v>
      </c>
      <c r="TV122" s="18" t="s">
        <v>503</v>
      </c>
      <c r="TW122" s="18" t="s">
        <v>486</v>
      </c>
      <c r="TY122" s="18" t="s">
        <v>498</v>
      </c>
      <c r="TZ122" s="18" t="s">
        <v>499</v>
      </c>
      <c r="UA122" s="142" t="s">
        <v>2752</v>
      </c>
      <c r="UB122" s="319" t="s">
        <v>3022</v>
      </c>
      <c r="UC122" s="18" t="str">
        <f ca="1">IF(UC$1&gt;=$TM122,1,"0")</f>
        <v>0</v>
      </c>
      <c r="UG122" s="18" t="str">
        <f ca="1">IF(UG$1&gt;=$TM122,1,"0")</f>
        <v>0</v>
      </c>
      <c r="WD122" s="18" t="str">
        <f ca="1">IF(SUM($VZ$1:$WC$1)&gt;0,IF(AND(SUM($VZ122:$WC122)&gt;0,$TM122=WE$1),MAX(WD$2:WD121)+1,""),IF(AND(SUM($UC122:$VY122)&gt;0,$TM122=WE$1),MAX(WD$2:WD121)+1,""))</f>
        <v/>
      </c>
      <c r="WE122" s="59" t="str">
        <f t="shared" ca="1" si="169"/>
        <v/>
      </c>
      <c r="WF122" s="18" t="str">
        <f ca="1">IF(AND(SUM($UB122:$VY122)&gt;0,$TM122=WG$1),MAX(WF$2:WF121)+1,"")</f>
        <v/>
      </c>
      <c r="WG122" s="59" t="str">
        <f t="shared" ca="1" si="170"/>
        <v/>
      </c>
      <c r="WH122" s="18" t="str">
        <f ca="1">IF(AND(SUM($UB122:$VY122)&gt;0,$TM122=WI$1),MAX(WH$2:WH121)+1,"")</f>
        <v/>
      </c>
      <c r="WI122" s="59" t="str">
        <f t="shared" ca="1" si="171"/>
        <v/>
      </c>
      <c r="WJ122" s="18" t="str">
        <f ca="1">IF(AND(SUM($UB122:$VY122)&gt;0,$TM122=WK$1),MAX(WJ$2:WJ121)+1,"")</f>
        <v/>
      </c>
      <c r="WK122" s="59" t="str">
        <f t="shared" ca="1" si="172"/>
        <v/>
      </c>
      <c r="WL122" s="18" t="str">
        <f ca="1">IF(AND(SUM($UB122:$VY122)&gt;0,$TM122=WM$1),MAX(WL$2:WL121)+1,"")</f>
        <v/>
      </c>
      <c r="WM122" s="59" t="str">
        <f t="shared" ca="1" si="173"/>
        <v/>
      </c>
      <c r="WN122" s="18" t="str">
        <f ca="1">IF(AND(SUM($UB122:$VY122)&gt;0,$TM122=WO$1),MAX(WN$2:WN121)+1,"")</f>
        <v/>
      </c>
      <c r="WO122" s="59" t="str">
        <f t="shared" ca="1" si="174"/>
        <v/>
      </c>
      <c r="WP122" s="18" t="str">
        <f ca="1">IF(AND(SUM($UB122:$VY122)&gt;0,$TM122=WQ$1),MAX(WP$2:WP121)+1,"")</f>
        <v/>
      </c>
      <c r="WQ122" s="59" t="str">
        <f t="shared" ca="1" si="175"/>
        <v/>
      </c>
      <c r="WR122" s="18" t="str">
        <f ca="1">IF(AND(SUM($UB122:$VY122)&gt;0,$TM122=WS$1),MAX(WR$2:WR121)+1,"")</f>
        <v/>
      </c>
      <c r="WS122" s="59" t="str">
        <f t="shared" ca="1" si="176"/>
        <v/>
      </c>
      <c r="WT122" s="18" t="str">
        <f ca="1">IF(AND(SUM($UB122:$VY122)&gt;0,$TM122=WU$1),MAX(WT$2:WT121)+1,"")</f>
        <v/>
      </c>
      <c r="WU122" s="59" t="str">
        <f t="shared" ca="1" si="177"/>
        <v/>
      </c>
      <c r="WV122" s="18" t="str">
        <f ca="1">IF(AND(SUM($UB122:$VY122)&gt;0,$TM122=WW$1),MAX(WV$2:WV121)+1,"")</f>
        <v/>
      </c>
      <c r="WW122" s="59" t="str">
        <f t="shared" ca="1" si="178"/>
        <v/>
      </c>
      <c r="WX122" s="18" t="str">
        <f ca="1">IF(AND(SUM($UB122:$VY122)&gt;0,$TM122=WY$1),MAX(WX$2:WX121)+1,"")</f>
        <v/>
      </c>
      <c r="WY122" s="59" t="str">
        <f t="shared" ca="1" si="179"/>
        <v/>
      </c>
      <c r="WZ122" s="59"/>
      <c r="XC122" s="59" t="str">
        <f t="shared" ca="1" si="211"/>
        <v/>
      </c>
    </row>
    <row r="123" spans="257:627" ht="9.9499999999999993" customHeight="1" x14ac:dyDescent="0.2">
      <c r="IX123" s="58" t="s">
        <v>3648</v>
      </c>
      <c r="IY123" s="58" t="s">
        <v>3606</v>
      </c>
      <c r="IZ123" s="58" t="s">
        <v>197</v>
      </c>
      <c r="JA123" s="58" t="s">
        <v>883</v>
      </c>
      <c r="JB123" s="58" t="s">
        <v>3607</v>
      </c>
      <c r="KT123" s="88" t="s">
        <v>349</v>
      </c>
      <c r="KU123" s="80" t="str">
        <f t="shared" ca="1" si="204"/>
        <v>No</v>
      </c>
      <c r="KV123" s="89" t="s">
        <v>87</v>
      </c>
      <c r="KW123" s="92"/>
      <c r="KX123" s="92"/>
      <c r="KY123" s="92"/>
      <c r="KZ123" s="92"/>
      <c r="LA123" s="92"/>
      <c r="LB123" s="92"/>
      <c r="LC123" s="92"/>
      <c r="LD123" s="92"/>
      <c r="LE123" s="92"/>
      <c r="LF123" s="92"/>
      <c r="LG123" s="92"/>
      <c r="LH123" s="92"/>
      <c r="LI123" s="92"/>
      <c r="LJ123" s="92"/>
      <c r="LK123" s="92"/>
      <c r="LL123" s="92"/>
      <c r="LM123" s="92"/>
      <c r="LN123" s="92"/>
      <c r="LO123" s="92"/>
      <c r="LP123" s="92"/>
      <c r="LQ123" s="92"/>
      <c r="LR123" s="92"/>
      <c r="LS123" s="92"/>
      <c r="LT123" s="92"/>
      <c r="LU123" s="92"/>
      <c r="LV123" s="92"/>
      <c r="LW123" s="92"/>
      <c r="LX123" s="92"/>
      <c r="LY123" s="92"/>
      <c r="LZ123" s="96"/>
      <c r="MA123" s="92" t="str">
        <f t="shared" ca="1" si="205"/>
        <v/>
      </c>
      <c r="MB123" s="96"/>
      <c r="MC123" s="96"/>
      <c r="MD123" s="92" t="str">
        <f t="shared" ca="1" si="206"/>
        <v/>
      </c>
      <c r="ME123" s="96"/>
      <c r="MF123" s="96"/>
      <c r="MG123" s="96"/>
      <c r="MH123" s="92" t="str">
        <f t="shared" ca="1" si="207"/>
        <v/>
      </c>
      <c r="MI123" s="92" t="str">
        <f t="shared" ca="1" si="207"/>
        <v/>
      </c>
      <c r="MJ123" s="96"/>
      <c r="MK123" s="96"/>
      <c r="ML123" s="96"/>
      <c r="MM123" s="96"/>
      <c r="MN123" s="96"/>
      <c r="MO123" s="96"/>
      <c r="MP123" s="96"/>
      <c r="MQ123" s="92" t="str">
        <f t="shared" ca="1" si="208"/>
        <v/>
      </c>
      <c r="MR123" s="96"/>
      <c r="MS123" s="92" t="str">
        <f t="shared" ca="1" si="209"/>
        <v/>
      </c>
      <c r="MT123" s="96"/>
      <c r="MU123" s="96"/>
      <c r="MV123" s="96"/>
      <c r="MW123" s="96"/>
      <c r="MX123" s="96"/>
      <c r="MY123" s="96"/>
      <c r="MZ123" s="96"/>
      <c r="NA123" s="96"/>
      <c r="NB123" s="96"/>
      <c r="NC123" s="96"/>
      <c r="ND123" s="96"/>
      <c r="NE123" s="96"/>
      <c r="NF123" s="96"/>
      <c r="NG123" s="96"/>
      <c r="NH123" s="96"/>
      <c r="NI123" s="96"/>
      <c r="NJ123" s="96"/>
      <c r="NK123" s="92" t="str">
        <f t="shared" ca="1" si="210"/>
        <v/>
      </c>
      <c r="NL123" s="96"/>
      <c r="NM123" s="96"/>
      <c r="NN123" s="96"/>
      <c r="NO123" s="96"/>
      <c r="NP123" s="96"/>
      <c r="NQ123" s="96"/>
      <c r="NR123" s="96"/>
      <c r="NS123" s="96"/>
      <c r="NT123" s="96"/>
      <c r="NU123" s="96"/>
      <c r="NV123" s="96"/>
      <c r="NW123" s="96"/>
      <c r="NX123" s="96"/>
      <c r="NY123" s="96"/>
      <c r="NZ123" s="96"/>
      <c r="OA123" s="96"/>
      <c r="OB123" s="92" t="str">
        <f t="shared" si="212"/>
        <v/>
      </c>
      <c r="OC123" s="96"/>
      <c r="OD123" s="96"/>
      <c r="OE123" s="96"/>
      <c r="OF123" s="96"/>
      <c r="OG123" s="96"/>
      <c r="OH123" s="96"/>
      <c r="OI123" s="96"/>
      <c r="OJ123" s="96"/>
      <c r="OK123" s="96"/>
      <c r="OL123" s="96"/>
      <c r="OM123" s="96"/>
      <c r="ON123" s="96"/>
      <c r="OO123" s="96"/>
      <c r="OP123" s="96"/>
      <c r="OQ123" s="96"/>
      <c r="OR123" s="96"/>
      <c r="OS123" s="96"/>
      <c r="OT123" s="96"/>
      <c r="OU123" s="96"/>
      <c r="OV123" s="96"/>
      <c r="OW123" s="96"/>
      <c r="OX123" s="96"/>
      <c r="OY123" s="96"/>
      <c r="OZ123" s="96"/>
      <c r="PA123" s="96"/>
      <c r="PB123" s="96"/>
      <c r="PC123" s="96"/>
      <c r="PD123" s="96"/>
      <c r="PE123" s="96"/>
      <c r="PF123" s="96"/>
      <c r="PG123" s="96"/>
      <c r="PH123" s="96"/>
      <c r="PI123" s="96"/>
      <c r="PJ123" s="96"/>
      <c r="PK123" s="96"/>
      <c r="PL123" s="96"/>
      <c r="PM123" s="96"/>
      <c r="PN123" s="96"/>
      <c r="PO123" s="96"/>
      <c r="PP123" s="96"/>
      <c r="PQ123" s="96"/>
      <c r="PR123" s="96"/>
      <c r="PS123" s="96"/>
      <c r="PT123" s="96"/>
      <c r="PU123" s="59" t="str">
        <f t="shared" ca="1" si="213"/>
        <v/>
      </c>
      <c r="PV123" s="59" t="str">
        <f ca="1">IF(PU123="","",IF(COUNTIF(PU123:$PU$125,"&gt;&lt;")&gt;1,PU123&amp;", ", PU123))</f>
        <v/>
      </c>
      <c r="PW123" s="99"/>
      <c r="PX123" s="59"/>
      <c r="TJ123" s="18">
        <f t="shared" si="181"/>
        <v>121</v>
      </c>
      <c r="TK123" s="58" t="s">
        <v>585</v>
      </c>
      <c r="TL123" s="58" t="s">
        <v>464</v>
      </c>
      <c r="TM123" s="18">
        <v>7</v>
      </c>
      <c r="TN123" s="59" t="str">
        <f t="shared" si="167"/>
        <v xml:space="preserve">Etherealness ᴴ </v>
      </c>
      <c r="TO123" s="350" t="s">
        <v>2991</v>
      </c>
      <c r="TP123" s="18" t="str">
        <f t="shared" si="168"/>
        <v/>
      </c>
      <c r="TQ123" s="18" t="str">
        <f>IF(OR(TK123=Spellcasting!$AC$18,TK123=Spellcasting!$AC$19),"ᵐ","")</f>
        <v/>
      </c>
      <c r="TR123" s="18" t="str">
        <f>IF(OR(TK123=Spellcasting!$AC$20,TK123=Spellcasting!$AC$21),"ˢ","")</f>
        <v/>
      </c>
      <c r="TS123" s="18" t="str">
        <f>""</f>
        <v/>
      </c>
      <c r="TT123" s="18" t="s">
        <v>484</v>
      </c>
      <c r="TU123" s="18" t="s">
        <v>509</v>
      </c>
      <c r="TV123" s="18" t="s">
        <v>485</v>
      </c>
      <c r="TW123" s="18" t="s">
        <v>486</v>
      </c>
      <c r="TX123" s="59" t="str">
        <f>""</f>
        <v/>
      </c>
      <c r="TY123" s="18" t="s">
        <v>491</v>
      </c>
      <c r="TZ123" s="18" t="s">
        <v>492</v>
      </c>
      <c r="UA123" s="142" t="s">
        <v>3167</v>
      </c>
      <c r="UB123" s="319" t="s">
        <v>987</v>
      </c>
      <c r="UC123" s="18" t="str">
        <f ca="1">IF(UC$1&gt;=$TM123,1,"0")</f>
        <v>0</v>
      </c>
      <c r="UF123" s="18" t="str">
        <f ca="1">IF(UF$1&gt;=$TM123,1,"0")</f>
        <v>0</v>
      </c>
      <c r="UG123" s="18" t="str">
        <f ca="1">IF(UG$1&gt;=$TM123,1,"0")</f>
        <v>0</v>
      </c>
      <c r="UH123" s="18" t="str">
        <f ca="1">IF(UH$1&gt;=$TM123,1,"0")</f>
        <v>0</v>
      </c>
      <c r="UL123" s="18" t="str">
        <f ca="1">IF(UL$1&gt;=$TM123,1,"0")</f>
        <v>0</v>
      </c>
      <c r="WD123" s="18" t="str">
        <f ca="1">IF(SUM($VZ$1:$WC$1)&gt;0,IF(AND(SUM($VZ123:$WC123)&gt;0,$TM123=WE$1),MAX(WD$2:WD122)+1,""),IF(AND(SUM($UC123:$VY123)&gt;0,$TM123=WE$1),MAX(WD$2:WD122)+1,""))</f>
        <v/>
      </c>
      <c r="WE123" s="59" t="str">
        <f t="shared" ca="1" si="169"/>
        <v/>
      </c>
      <c r="WF123" s="18" t="str">
        <f ca="1">IF(AND(SUM($UB123:$VY123)&gt;0,$TM123=WG$1),MAX(WF$2:WF122)+1,"")</f>
        <v/>
      </c>
      <c r="WG123" s="59" t="str">
        <f t="shared" ca="1" si="170"/>
        <v/>
      </c>
      <c r="WH123" s="18" t="str">
        <f ca="1">IF(AND(SUM($UB123:$VY123)&gt;0,$TM123=WI$1),MAX(WH$2:WH122)+1,"")</f>
        <v/>
      </c>
      <c r="WI123" s="59" t="str">
        <f t="shared" ca="1" si="171"/>
        <v/>
      </c>
      <c r="WJ123" s="18" t="str">
        <f ca="1">IF(AND(SUM($UB123:$VY123)&gt;0,$TM123=WK$1),MAX(WJ$2:WJ122)+1,"")</f>
        <v/>
      </c>
      <c r="WK123" s="59" t="str">
        <f t="shared" ca="1" si="172"/>
        <v/>
      </c>
      <c r="WL123" s="18" t="str">
        <f ca="1">IF(AND(SUM($UB123:$VY123)&gt;0,$TM123=WM$1),MAX(WL$2:WL122)+1,"")</f>
        <v/>
      </c>
      <c r="WM123" s="59" t="str">
        <f t="shared" ca="1" si="173"/>
        <v/>
      </c>
      <c r="WN123" s="18" t="str">
        <f ca="1">IF(AND(SUM($UB123:$VY123)&gt;0,$TM123=WO$1),MAX(WN$2:WN122)+1,"")</f>
        <v/>
      </c>
      <c r="WO123" s="59" t="str">
        <f t="shared" ca="1" si="174"/>
        <v/>
      </c>
      <c r="WP123" s="18" t="str">
        <f ca="1">IF(AND(SUM($UB123:$VY123)&gt;0,$TM123=WQ$1),MAX(WP$2:WP122)+1,"")</f>
        <v/>
      </c>
      <c r="WQ123" s="59" t="str">
        <f t="shared" ca="1" si="175"/>
        <v/>
      </c>
      <c r="WR123" s="18" t="str">
        <f ca="1">IF(AND(SUM($UB123:$VY123)&gt;0,$TM123=WS$1),MAX(WR$2:WR122)+1,"")</f>
        <v/>
      </c>
      <c r="WS123" s="59" t="str">
        <f t="shared" ca="1" si="176"/>
        <v/>
      </c>
      <c r="WT123" s="18" t="str">
        <f ca="1">IF(AND(SUM($UB123:$VY123)&gt;0,$TM123=WU$1),MAX(WT$2:WT122)+1,"")</f>
        <v/>
      </c>
      <c r="WU123" s="59" t="str">
        <f t="shared" ca="1" si="177"/>
        <v/>
      </c>
      <c r="WV123" s="18" t="str">
        <f ca="1">IF(AND(SUM($UB123:$VY123)&gt;0,$TM123=WW$1),MAX(WV$2:WV122)+1,"")</f>
        <v/>
      </c>
      <c r="WW123" s="59" t="str">
        <f t="shared" ca="1" si="178"/>
        <v/>
      </c>
      <c r="WX123" s="18" t="str">
        <f ca="1">IF(AND(SUM($UB123:$VY123)&gt;0,$TM123=WY$1),MAX(WX$2:WX122)+1,"")</f>
        <v/>
      </c>
      <c r="WY123" s="59" t="str">
        <f t="shared" ca="1" si="179"/>
        <v/>
      </c>
      <c r="WZ123" s="59"/>
      <c r="XC123" s="59" t="str">
        <f t="shared" ca="1" si="211"/>
        <v/>
      </c>
    </row>
    <row r="124" spans="257:627" ht="9.9499999999999993" customHeight="1" x14ac:dyDescent="0.2">
      <c r="IX124" s="58" t="s">
        <v>3649</v>
      </c>
      <c r="IY124" s="58" t="s">
        <v>3608</v>
      </c>
      <c r="IZ124" s="58" t="s">
        <v>203</v>
      </c>
      <c r="JA124" s="58" t="s">
        <v>883</v>
      </c>
      <c r="JB124" s="58" t="s">
        <v>3609</v>
      </c>
      <c r="KT124" s="88" t="s">
        <v>166</v>
      </c>
      <c r="KU124" s="80" t="str">
        <f t="shared" ca="1" si="204"/>
        <v>No</v>
      </c>
      <c r="KV124" s="89" t="s">
        <v>87</v>
      </c>
      <c r="KW124" s="92"/>
      <c r="KX124" s="92"/>
      <c r="KY124" s="92"/>
      <c r="KZ124" s="92"/>
      <c r="LA124" s="92"/>
      <c r="LB124" s="92"/>
      <c r="LC124" s="92"/>
      <c r="LD124" s="92"/>
      <c r="LE124" s="92"/>
      <c r="LF124" s="92"/>
      <c r="LG124" s="92"/>
      <c r="LH124" s="92"/>
      <c r="LI124" s="92"/>
      <c r="LJ124" s="92" t="str">
        <f>IF(LJ$1&gt;0,$KT124,"")</f>
        <v/>
      </c>
      <c r="LK124" s="92" t="str">
        <f>IF(LK$1&gt;0,$KT124,"")</f>
        <v/>
      </c>
      <c r="LL124" s="92"/>
      <c r="LM124" s="92" t="str">
        <f>IF(LM$1&gt;0,$KT124,"")</f>
        <v/>
      </c>
      <c r="LN124" s="92"/>
      <c r="LO124" s="92"/>
      <c r="LP124" s="92"/>
      <c r="LQ124" s="92"/>
      <c r="LR124" s="92"/>
      <c r="LS124" s="92"/>
      <c r="LT124" s="92"/>
      <c r="LU124" s="92"/>
      <c r="LV124" s="92"/>
      <c r="LW124" s="92"/>
      <c r="LX124" s="92"/>
      <c r="LY124" s="92"/>
      <c r="LZ124" s="92"/>
      <c r="MA124" s="92" t="str">
        <f t="shared" ca="1" si="205"/>
        <v/>
      </c>
      <c r="MB124" s="92"/>
      <c r="MC124" s="92"/>
      <c r="MD124" s="92" t="str">
        <f t="shared" ca="1" si="206"/>
        <v/>
      </c>
      <c r="ME124" s="92"/>
      <c r="MF124" s="92"/>
      <c r="MG124" s="92"/>
      <c r="MH124" s="92" t="str">
        <f t="shared" ca="1" si="207"/>
        <v/>
      </c>
      <c r="MI124" s="92" t="str">
        <f t="shared" ca="1" si="207"/>
        <v/>
      </c>
      <c r="MJ124" s="92"/>
      <c r="MK124" s="92"/>
      <c r="ML124" s="92"/>
      <c r="MM124" s="92"/>
      <c r="MN124" s="92"/>
      <c r="MO124" s="92"/>
      <c r="MP124" s="92"/>
      <c r="MQ124" s="92" t="str">
        <f t="shared" ca="1" si="208"/>
        <v/>
      </c>
      <c r="MR124" s="92"/>
      <c r="MS124" s="92" t="str">
        <f t="shared" ca="1" si="209"/>
        <v/>
      </c>
      <c r="MT124" s="92"/>
      <c r="MU124" s="92"/>
      <c r="MV124" s="92"/>
      <c r="MW124" s="92"/>
      <c r="MX124" s="92"/>
      <c r="MY124" s="92"/>
      <c r="MZ124" s="92"/>
      <c r="NA124" s="92"/>
      <c r="NB124" s="92"/>
      <c r="NC124" s="92"/>
      <c r="ND124" s="92"/>
      <c r="NE124" s="92"/>
      <c r="NF124" s="92"/>
      <c r="NG124" s="92"/>
      <c r="NH124" s="92"/>
      <c r="NI124" s="92"/>
      <c r="NJ124" s="92"/>
      <c r="NK124" s="92" t="str">
        <f t="shared" ca="1" si="210"/>
        <v/>
      </c>
      <c r="NL124" s="92"/>
      <c r="NM124" s="92"/>
      <c r="NN124" s="92"/>
      <c r="NO124" s="92"/>
      <c r="NP124" s="92"/>
      <c r="NQ124" s="92"/>
      <c r="NR124" s="92"/>
      <c r="NS124" s="92"/>
      <c r="NT124" s="92"/>
      <c r="NU124" s="92"/>
      <c r="NV124" s="92"/>
      <c r="NW124" s="92"/>
      <c r="NX124" s="92"/>
      <c r="NY124" s="92"/>
      <c r="NZ124" s="92"/>
      <c r="OA124" s="92"/>
      <c r="OB124" s="92" t="str">
        <f t="shared" si="212"/>
        <v/>
      </c>
      <c r="OC124" s="92"/>
      <c r="OD124" s="92"/>
      <c r="OE124" s="92"/>
      <c r="OF124" s="92"/>
      <c r="OG124" s="92"/>
      <c r="OH124" s="92"/>
      <c r="OI124" s="92"/>
      <c r="OJ124" s="92"/>
      <c r="OK124" s="92"/>
      <c r="OL124" s="92"/>
      <c r="OM124" s="92"/>
      <c r="ON124" s="92"/>
      <c r="OO124" s="92"/>
      <c r="OP124" s="92"/>
      <c r="OQ124" s="92"/>
      <c r="OR124" s="92"/>
      <c r="OS124" s="92"/>
      <c r="OT124" s="92"/>
      <c r="OU124" s="92"/>
      <c r="OV124" s="92"/>
      <c r="OW124" s="92"/>
      <c r="OX124" s="92"/>
      <c r="OY124" s="92"/>
      <c r="OZ124" s="92"/>
      <c r="PA124" s="92"/>
      <c r="PB124" s="92"/>
      <c r="PC124" s="92"/>
      <c r="PD124" s="92"/>
      <c r="PE124" s="92"/>
      <c r="PF124" s="92"/>
      <c r="PG124" s="92"/>
      <c r="PH124" s="92"/>
      <c r="PI124" s="92"/>
      <c r="PJ124" s="92"/>
      <c r="PK124" s="92"/>
      <c r="PL124" s="92"/>
      <c r="PM124" s="92"/>
      <c r="PN124" s="92"/>
      <c r="PO124" s="92"/>
      <c r="PP124" s="92"/>
      <c r="PQ124" s="92"/>
      <c r="PR124" s="92"/>
      <c r="PS124" s="92"/>
      <c r="PT124" s="92"/>
      <c r="PU124" s="59" t="str">
        <f t="shared" ca="1" si="213"/>
        <v/>
      </c>
      <c r="PV124" s="59" t="str">
        <f ca="1">IF(PU124="","",IF(COUNTIF(PU124:$PU$125,"&gt;&lt;")&gt;1,PU124&amp;", ", PU124))</f>
        <v/>
      </c>
      <c r="PW124" s="59"/>
      <c r="PX124" s="59"/>
      <c r="TJ124" s="18">
        <f t="shared" si="181"/>
        <v>122</v>
      </c>
      <c r="TK124" s="58" t="s">
        <v>1820</v>
      </c>
      <c r="TL124" s="58" t="s">
        <v>461</v>
      </c>
      <c r="TM124" s="18">
        <v>4</v>
      </c>
      <c r="TN124" s="59" t="str">
        <f t="shared" si="167"/>
        <v xml:space="preserve">Evard's Black Tentacles </v>
      </c>
      <c r="TO124" s="18" t="str">
        <f>""</f>
        <v/>
      </c>
      <c r="TP124" s="18" t="str">
        <f t="shared" si="168"/>
        <v/>
      </c>
      <c r="TQ124" s="18" t="str">
        <f>IF(OR(TK124=Spellcasting!$AC$18,TK124=Spellcasting!$AC$19),"ᵐ","")</f>
        <v/>
      </c>
      <c r="TR124" s="18" t="str">
        <f>IF(OR(TK124=Spellcasting!$AC$20,TK124=Spellcasting!$AC$21),"ˢ","")</f>
        <v/>
      </c>
      <c r="TS124" s="18" t="str">
        <f>""</f>
        <v/>
      </c>
      <c r="TT124" s="18" t="s">
        <v>484</v>
      </c>
      <c r="TU124" s="18" t="s">
        <v>864</v>
      </c>
      <c r="TV124" s="18" t="s">
        <v>558</v>
      </c>
      <c r="TW124" s="18" t="s">
        <v>495</v>
      </c>
      <c r="TX124" s="59" t="s">
        <v>1995</v>
      </c>
      <c r="TY124" s="18" t="s">
        <v>516</v>
      </c>
      <c r="TZ124" s="18" t="s">
        <v>517</v>
      </c>
      <c r="UA124" s="142" t="s">
        <v>2129</v>
      </c>
      <c r="UB124" s="319" t="s">
        <v>2130</v>
      </c>
      <c r="UL124" s="18" t="str">
        <f ca="1">IF(UL$1&gt;=$TM124,1,"0")</f>
        <v>0</v>
      </c>
      <c r="UX124" s="18" t="str">
        <f>IF(UX$1&gt;=$TM124,1,"0")</f>
        <v>0</v>
      </c>
      <c r="WD124" s="18" t="str">
        <f ca="1">IF(SUM($VZ$1:$WC$1)&gt;0,IF(AND(SUM($VZ124:$WC124)&gt;0,$TM124=WE$1),MAX(WD$2:WD123)+1,""),IF(AND(SUM($UC124:$VY124)&gt;0,$TM124=WE$1),MAX(WD$2:WD123)+1,""))</f>
        <v/>
      </c>
      <c r="WE124" s="59" t="str">
        <f t="shared" ca="1" si="169"/>
        <v/>
      </c>
      <c r="WF124" s="18" t="str">
        <f ca="1">IF(AND(SUM($UB124:$VY124)&gt;0,$TM124=WG$1),MAX(WF$2:WF123)+1,"")</f>
        <v/>
      </c>
      <c r="WG124" s="59" t="str">
        <f t="shared" ca="1" si="170"/>
        <v/>
      </c>
      <c r="WH124" s="18" t="str">
        <f ca="1">IF(AND(SUM($UB124:$VY124)&gt;0,$TM124=WI$1),MAX(WH$2:WH123)+1,"")</f>
        <v/>
      </c>
      <c r="WI124" s="59" t="str">
        <f t="shared" ca="1" si="171"/>
        <v/>
      </c>
      <c r="WJ124" s="18" t="str">
        <f ca="1">IF(AND(SUM($UB124:$VY124)&gt;0,$TM124=WK$1),MAX(WJ$2:WJ123)+1,"")</f>
        <v/>
      </c>
      <c r="WK124" s="59" t="str">
        <f t="shared" ca="1" si="172"/>
        <v/>
      </c>
      <c r="WL124" s="18" t="str">
        <f ca="1">IF(AND(SUM($UB124:$VY124)&gt;0,$TM124=WM$1),MAX(WL$2:WL123)+1,"")</f>
        <v/>
      </c>
      <c r="WM124" s="59" t="str">
        <f t="shared" ca="1" si="173"/>
        <v/>
      </c>
      <c r="WN124" s="18" t="str">
        <f ca="1">IF(AND(SUM($UB124:$VY124)&gt;0,$TM124=WO$1),MAX(WN$2:WN123)+1,"")</f>
        <v/>
      </c>
      <c r="WO124" s="59" t="str">
        <f t="shared" ca="1" si="174"/>
        <v/>
      </c>
      <c r="WP124" s="18" t="str">
        <f ca="1">IF(AND(SUM($UB124:$VY124)&gt;0,$TM124=WQ$1),MAX(WP$2:WP123)+1,"")</f>
        <v/>
      </c>
      <c r="WQ124" s="59" t="str">
        <f t="shared" ca="1" si="175"/>
        <v/>
      </c>
      <c r="WR124" s="18" t="str">
        <f ca="1">IF(AND(SUM($UB124:$VY124)&gt;0,$TM124=WS$1),MAX(WR$2:WR123)+1,"")</f>
        <v/>
      </c>
      <c r="WS124" s="59" t="str">
        <f t="shared" ca="1" si="176"/>
        <v/>
      </c>
      <c r="WT124" s="18" t="str">
        <f ca="1">IF(AND(SUM($UB124:$VY124)&gt;0,$TM124=WU$1),MAX(WT$2:WT123)+1,"")</f>
        <v/>
      </c>
      <c r="WU124" s="59" t="str">
        <f t="shared" ca="1" si="177"/>
        <v/>
      </c>
      <c r="WV124" s="18" t="str">
        <f ca="1">IF(AND(SUM($UB124:$VY124)&gt;0,$TM124=WW$1),MAX(WV$2:WV123)+1,"")</f>
        <v/>
      </c>
      <c r="WW124" s="59" t="str">
        <f t="shared" ca="1" si="178"/>
        <v/>
      </c>
      <c r="WX124" s="18" t="str">
        <f ca="1">IF(AND(SUM($UB124:$VY124)&gt;0,$TM124=WY$1),MAX(WX$2:WX123)+1,"")</f>
        <v/>
      </c>
      <c r="WY124" s="59" t="str">
        <f t="shared" ca="1" si="179"/>
        <v/>
      </c>
      <c r="WZ124" s="59"/>
      <c r="XC124" s="59" t="str">
        <f t="shared" ca="1" si="211"/>
        <v/>
      </c>
    </row>
    <row r="125" spans="257:627" ht="9.9499999999999993" customHeight="1" x14ac:dyDescent="0.2">
      <c r="IX125" s="58" t="s">
        <v>3650</v>
      </c>
      <c r="IY125" s="58" t="s">
        <v>3610</v>
      </c>
      <c r="IZ125" s="58" t="s">
        <v>196</v>
      </c>
      <c r="JA125" s="58" t="s">
        <v>888</v>
      </c>
      <c r="JB125" s="58" t="s">
        <v>3611</v>
      </c>
      <c r="KT125" s="88" t="s">
        <v>103</v>
      </c>
      <c r="KU125" s="80" t="str">
        <f t="shared" ca="1" si="204"/>
        <v>No</v>
      </c>
      <c r="KV125" s="89" t="s">
        <v>87</v>
      </c>
      <c r="KW125" s="92"/>
      <c r="KX125" s="92"/>
      <c r="KY125" s="92"/>
      <c r="KZ125" s="92"/>
      <c r="LA125" s="92"/>
      <c r="LB125" s="92"/>
      <c r="LC125" s="92"/>
      <c r="LD125" s="92"/>
      <c r="LE125" s="92"/>
      <c r="LF125" s="92"/>
      <c r="LG125" s="92"/>
      <c r="LH125" s="92"/>
      <c r="LI125" s="92"/>
      <c r="LJ125" s="92"/>
      <c r="LK125" s="92"/>
      <c r="LL125" s="92"/>
      <c r="LM125" s="92"/>
      <c r="LN125" s="92"/>
      <c r="LO125" s="92"/>
      <c r="LP125" s="92"/>
      <c r="LQ125" s="92"/>
      <c r="LR125" s="92"/>
      <c r="LS125" s="92"/>
      <c r="LT125" s="92"/>
      <c r="LU125" s="92"/>
      <c r="LV125" s="92"/>
      <c r="LW125" s="92"/>
      <c r="LX125" s="92"/>
      <c r="LY125" s="92"/>
      <c r="LZ125" s="92"/>
      <c r="MA125" s="92" t="str">
        <f t="shared" ca="1" si="205"/>
        <v/>
      </c>
      <c r="MB125" s="92"/>
      <c r="MC125" s="92"/>
      <c r="MD125" s="92" t="str">
        <f t="shared" ca="1" si="206"/>
        <v/>
      </c>
      <c r="ME125" s="92"/>
      <c r="MF125" s="92"/>
      <c r="MG125" s="92"/>
      <c r="MH125" s="92" t="str">
        <f t="shared" ca="1" si="207"/>
        <v/>
      </c>
      <c r="MI125" s="92" t="str">
        <f t="shared" ca="1" si="207"/>
        <v/>
      </c>
      <c r="MJ125" s="92"/>
      <c r="MK125" s="92"/>
      <c r="ML125" s="92"/>
      <c r="MM125" s="92"/>
      <c r="MN125" s="92"/>
      <c r="MO125" s="92"/>
      <c r="MP125" s="92"/>
      <c r="MQ125" s="92" t="str">
        <f t="shared" ca="1" si="208"/>
        <v/>
      </c>
      <c r="MR125" s="92"/>
      <c r="MS125" s="92" t="str">
        <f t="shared" ca="1" si="209"/>
        <v/>
      </c>
      <c r="MT125" s="92"/>
      <c r="MU125" s="92"/>
      <c r="MV125" s="92"/>
      <c r="MW125" s="92"/>
      <c r="MX125" s="92"/>
      <c r="MY125" s="92"/>
      <c r="MZ125" s="92"/>
      <c r="NA125" s="92"/>
      <c r="NB125" s="92"/>
      <c r="NC125" s="92"/>
      <c r="ND125" s="92"/>
      <c r="NE125" s="92"/>
      <c r="NF125" s="92"/>
      <c r="NG125" s="92"/>
      <c r="NH125" s="92"/>
      <c r="NI125" s="92"/>
      <c r="NJ125" s="92"/>
      <c r="NK125" s="92" t="str">
        <f t="shared" ca="1" si="210"/>
        <v/>
      </c>
      <c r="NL125" s="92"/>
      <c r="NM125" s="92"/>
      <c r="NN125" s="92"/>
      <c r="NO125" s="92"/>
      <c r="NP125" s="92"/>
      <c r="NQ125" s="92"/>
      <c r="NR125" s="92"/>
      <c r="NS125" s="92"/>
      <c r="NT125" s="92"/>
      <c r="NU125" s="92"/>
      <c r="NV125" s="92"/>
      <c r="NW125" s="92"/>
      <c r="NX125" s="92"/>
      <c r="NY125" s="92"/>
      <c r="NZ125" s="92"/>
      <c r="OA125" s="92"/>
      <c r="OB125" s="92" t="str">
        <f t="shared" si="212"/>
        <v/>
      </c>
      <c r="OC125" s="92"/>
      <c r="OD125" s="92"/>
      <c r="OE125" s="92"/>
      <c r="OF125" s="92"/>
      <c r="OG125" s="92"/>
      <c r="OH125" s="92"/>
      <c r="OI125" s="92"/>
      <c r="OJ125" s="92"/>
      <c r="OK125" s="92"/>
      <c r="OL125" s="92"/>
      <c r="OM125" s="92"/>
      <c r="ON125" s="92"/>
      <c r="OO125" s="92"/>
      <c r="OP125" s="92"/>
      <c r="OQ125" s="92"/>
      <c r="OR125" s="92"/>
      <c r="OS125" s="92"/>
      <c r="OT125" s="92"/>
      <c r="OU125" s="92"/>
      <c r="OV125" s="92"/>
      <c r="OW125" s="92"/>
      <c r="OX125" s="92"/>
      <c r="OY125" s="92"/>
      <c r="OZ125" s="92"/>
      <c r="PA125" s="92"/>
      <c r="PB125" s="92"/>
      <c r="PC125" s="92"/>
      <c r="PD125" s="92"/>
      <c r="PE125" s="92"/>
      <c r="PF125" s="92"/>
      <c r="PG125" s="92"/>
      <c r="PH125" s="92"/>
      <c r="PI125" s="92"/>
      <c r="PJ125" s="92"/>
      <c r="PK125" s="92"/>
      <c r="PL125" s="92"/>
      <c r="PM125" s="92"/>
      <c r="PN125" s="92"/>
      <c r="PO125" s="92"/>
      <c r="PP125" s="92"/>
      <c r="PQ125" s="92"/>
      <c r="PR125" s="92"/>
      <c r="PS125" s="92"/>
      <c r="PT125" s="92"/>
      <c r="PU125" s="59" t="str">
        <f t="shared" ca="1" si="213"/>
        <v/>
      </c>
      <c r="PV125" s="59" t="str">
        <f ca="1">IF(PU125="","",IF(COUNTIF(PU125:$PU$125,"&gt;&lt;")&gt;1,PU125&amp;", ", PU125))</f>
        <v/>
      </c>
      <c r="PW125" s="59"/>
      <c r="PX125" s="59"/>
      <c r="TJ125" s="18">
        <f t="shared" si="181"/>
        <v>123</v>
      </c>
      <c r="TK125" s="58" t="s">
        <v>1221</v>
      </c>
      <c r="TL125" s="58" t="s">
        <v>448</v>
      </c>
      <c r="TM125" s="18">
        <v>1</v>
      </c>
      <c r="TN125" s="59" t="str">
        <f t="shared" si="167"/>
        <v xml:space="preserve">Expeditious Retreat </v>
      </c>
      <c r="TO125" s="18" t="str">
        <f>""</f>
        <v/>
      </c>
      <c r="TP125" s="18" t="str">
        <f t="shared" si="168"/>
        <v/>
      </c>
      <c r="TQ125" s="18" t="str">
        <f>IF(OR(TK125=Spellcasting!$AC$18,TK125=Spellcasting!$AC$19),"ᵐ","")</f>
        <v/>
      </c>
      <c r="TR125" s="18" t="str">
        <f>IF(OR(TK125=Spellcasting!$AC$20,TK125=Spellcasting!$AC$21),"ˢ","")</f>
        <v/>
      </c>
      <c r="TS125" s="18" t="str">
        <f>""</f>
        <v/>
      </c>
      <c r="TT125" s="18" t="s">
        <v>1256</v>
      </c>
      <c r="TU125" s="18" t="s">
        <v>509</v>
      </c>
      <c r="TV125" s="18" t="s">
        <v>515</v>
      </c>
      <c r="TW125" s="18" t="s">
        <v>486</v>
      </c>
      <c r="TX125" s="59" t="str">
        <f>""</f>
        <v/>
      </c>
      <c r="TY125" s="18" t="s">
        <v>491</v>
      </c>
      <c r="TZ125" s="18" t="s">
        <v>492</v>
      </c>
      <c r="UA125" s="59" t="s">
        <v>1257</v>
      </c>
      <c r="UB125" s="319" t="s">
        <v>1258</v>
      </c>
      <c r="UF125" s="18" t="str">
        <f ca="1">IF(UF$1&gt;=$TM125,1,"0")</f>
        <v>0</v>
      </c>
      <c r="UG125" s="18" t="str">
        <f ca="1">IF(UG$1&gt;=$TM125,1,"0")</f>
        <v>0</v>
      </c>
      <c r="UL125" s="18" t="str">
        <f ca="1">IF(UL$1&gt;=$TM125,1,"0")</f>
        <v>0</v>
      </c>
      <c r="WD125" s="18" t="str">
        <f ca="1">IF(SUM($VZ$1:$WC$1)&gt;0,IF(AND(SUM($VZ125:$WC125)&gt;0,$TM125=WE$1),MAX(WD$2:WD124)+1,""),IF(AND(SUM($UC125:$VY125)&gt;0,$TM125=WE$1),MAX(WD$2:WD124)+1,""))</f>
        <v/>
      </c>
      <c r="WE125" s="59" t="str">
        <f t="shared" ca="1" si="169"/>
        <v/>
      </c>
      <c r="WF125" s="18" t="str">
        <f ca="1">IF(AND(SUM($UB125:$VY125)&gt;0,$TM125=WG$1),MAX(WF$2:WF124)+1,"")</f>
        <v/>
      </c>
      <c r="WG125" s="59" t="str">
        <f t="shared" ca="1" si="170"/>
        <v/>
      </c>
      <c r="WH125" s="18" t="str">
        <f ca="1">IF(AND(SUM($UB125:$VY125)&gt;0,$TM125=WI$1),MAX(WH$2:WH124)+1,"")</f>
        <v/>
      </c>
      <c r="WI125" s="59" t="str">
        <f t="shared" ca="1" si="171"/>
        <v/>
      </c>
      <c r="WJ125" s="18" t="str">
        <f ca="1">IF(AND(SUM($UB125:$VY125)&gt;0,$TM125=WK$1),MAX(WJ$2:WJ124)+1,"")</f>
        <v/>
      </c>
      <c r="WK125" s="59" t="str">
        <f t="shared" ca="1" si="172"/>
        <v/>
      </c>
      <c r="WL125" s="18" t="str">
        <f ca="1">IF(AND(SUM($UB125:$VY125)&gt;0,$TM125=WM$1),MAX(WL$2:WL124)+1,"")</f>
        <v/>
      </c>
      <c r="WM125" s="59" t="str">
        <f t="shared" ca="1" si="173"/>
        <v/>
      </c>
      <c r="WN125" s="18" t="str">
        <f ca="1">IF(AND(SUM($UB125:$VY125)&gt;0,$TM125=WO$1),MAX(WN$2:WN124)+1,"")</f>
        <v/>
      </c>
      <c r="WO125" s="59" t="str">
        <f t="shared" ca="1" si="174"/>
        <v/>
      </c>
      <c r="WP125" s="18" t="str">
        <f ca="1">IF(AND(SUM($UB125:$VY125)&gt;0,$TM125=WQ$1),MAX(WP$2:WP124)+1,"")</f>
        <v/>
      </c>
      <c r="WQ125" s="59" t="str">
        <f t="shared" ca="1" si="175"/>
        <v/>
      </c>
      <c r="WR125" s="18" t="str">
        <f ca="1">IF(AND(SUM($UB125:$VY125)&gt;0,$TM125=WS$1),MAX(WR$2:WR124)+1,"")</f>
        <v/>
      </c>
      <c r="WS125" s="59" t="str">
        <f t="shared" ca="1" si="176"/>
        <v/>
      </c>
      <c r="WT125" s="18" t="str">
        <f ca="1">IF(AND(SUM($UB125:$VY125)&gt;0,$TM125=WU$1),MAX(WT$2:WT124)+1,"")</f>
        <v/>
      </c>
      <c r="WU125" s="59" t="str">
        <f t="shared" ca="1" si="177"/>
        <v/>
      </c>
      <c r="WV125" s="18" t="str">
        <f ca="1">IF(AND(SUM($UB125:$VY125)&gt;0,$TM125=WW$1),MAX(WV$2:WV124)+1,"")</f>
        <v/>
      </c>
      <c r="WW125" s="59" t="str">
        <f t="shared" ca="1" si="178"/>
        <v/>
      </c>
      <c r="WX125" s="18" t="str">
        <f ca="1">IF(AND(SUM($UB125:$VY125)&gt;0,$TM125=WY$1),MAX(WX$2:WX124)+1,"")</f>
        <v/>
      </c>
      <c r="WY125" s="59" t="str">
        <f t="shared" ca="1" si="179"/>
        <v/>
      </c>
      <c r="WZ125" s="59"/>
      <c r="XC125" s="59" t="str">
        <f t="shared" ca="1" si="211"/>
        <v/>
      </c>
    </row>
    <row r="126" spans="257:627" ht="9.9499999999999993" customHeight="1" x14ac:dyDescent="0.2">
      <c r="IX126" s="58" t="s">
        <v>3651</v>
      </c>
      <c r="IY126" s="58" t="s">
        <v>3612</v>
      </c>
      <c r="IZ126" s="58" t="s">
        <v>202</v>
      </c>
      <c r="JA126" s="58" t="s">
        <v>284</v>
      </c>
      <c r="JB126" s="58" t="s">
        <v>3613</v>
      </c>
      <c r="KT126" s="88" t="s">
        <v>1903</v>
      </c>
      <c r="KU126" s="80" t="str">
        <f t="shared" ca="1" si="204"/>
        <v>No</v>
      </c>
      <c r="KV126" s="89" t="s">
        <v>172</v>
      </c>
      <c r="KW126" s="92"/>
      <c r="KX126" s="92"/>
      <c r="KY126" s="92"/>
      <c r="KZ126" s="92"/>
      <c r="LA126" s="92"/>
      <c r="LB126" s="92"/>
      <c r="LC126" s="92"/>
      <c r="LD126" s="92"/>
      <c r="LE126" s="92"/>
      <c r="LF126" s="92"/>
      <c r="LG126" s="92"/>
      <c r="LH126" s="92"/>
      <c r="LI126" s="92"/>
      <c r="LJ126" s="92"/>
      <c r="LK126" s="92"/>
      <c r="LL126" s="92"/>
      <c r="LM126" s="92"/>
      <c r="LN126" s="92"/>
      <c r="LO126" s="92"/>
      <c r="LP126" s="92"/>
      <c r="LQ126" s="92"/>
      <c r="LR126" s="92"/>
      <c r="LS126" s="92"/>
      <c r="LT126" s="92"/>
      <c r="LU126" s="92"/>
      <c r="LV126" s="92"/>
      <c r="LW126" s="92"/>
      <c r="LX126" s="92"/>
      <c r="LY126" s="92"/>
      <c r="LZ126" s="92" t="str">
        <f ca="1">IF(LZ$1&gt;0,$KT126,"")</f>
        <v/>
      </c>
      <c r="MA126" s="92" t="str">
        <f t="shared" ca="1" si="205"/>
        <v/>
      </c>
      <c r="MB126" s="92" t="str">
        <f t="shared" ref="MB126:MC129" ca="1" si="214">IF(MB$1&gt;0,$KT126,"")</f>
        <v/>
      </c>
      <c r="MC126" s="92" t="str">
        <f t="shared" ca="1" si="214"/>
        <v/>
      </c>
      <c r="MD126" s="92" t="str">
        <f t="shared" ca="1" si="206"/>
        <v/>
      </c>
      <c r="ME126" s="92" t="str">
        <f t="shared" ref="ME126:MG129" ca="1" si="215">IF(ME$1&gt;0,$KT126,"")</f>
        <v/>
      </c>
      <c r="MF126" s="92" t="str">
        <f t="shared" ca="1" si="215"/>
        <v/>
      </c>
      <c r="MG126" s="92" t="str">
        <f t="shared" ca="1" si="215"/>
        <v/>
      </c>
      <c r="MH126" s="92" t="str">
        <f t="shared" ca="1" si="207"/>
        <v/>
      </c>
      <c r="MI126" s="92" t="str">
        <f t="shared" ca="1" si="207"/>
        <v/>
      </c>
      <c r="MJ126" s="92" t="str">
        <f t="shared" ref="MJ126:MK129" ca="1" si="216">IF(MJ$1&gt;0,$KT126,"")</f>
        <v/>
      </c>
      <c r="MK126" s="92" t="str">
        <f t="shared" ca="1" si="216"/>
        <v/>
      </c>
      <c r="ML126" s="92"/>
      <c r="MM126" s="92"/>
      <c r="MN126" s="92"/>
      <c r="MO126" s="92"/>
      <c r="MP126" s="92"/>
      <c r="MQ126" s="92"/>
      <c r="MR126" s="92"/>
      <c r="MS126" s="92"/>
      <c r="MT126" s="92"/>
      <c r="MU126" s="92"/>
      <c r="MV126" s="92"/>
      <c r="MW126" s="92"/>
      <c r="MX126" s="92"/>
      <c r="MY126" s="92"/>
      <c r="MZ126" s="92"/>
      <c r="NA126" s="92"/>
      <c r="NB126" s="92"/>
      <c r="NC126" s="92"/>
      <c r="ND126" s="92"/>
      <c r="NE126" s="92"/>
      <c r="NF126" s="92"/>
      <c r="NG126" s="92"/>
      <c r="NH126" s="92"/>
      <c r="NI126" s="92"/>
      <c r="NJ126" s="92"/>
      <c r="NK126" s="92"/>
      <c r="NL126" s="92"/>
      <c r="NM126" s="92"/>
      <c r="NN126" s="92"/>
      <c r="NO126" s="92"/>
      <c r="NP126" s="92"/>
      <c r="NQ126" s="92"/>
      <c r="NR126" s="92"/>
      <c r="NS126" s="92"/>
      <c r="NT126" s="92"/>
      <c r="NU126" s="92"/>
      <c r="NV126" s="92"/>
      <c r="NW126" s="92"/>
      <c r="NX126" s="92"/>
      <c r="NY126" s="92"/>
      <c r="NZ126" s="92"/>
      <c r="OA126" s="92"/>
      <c r="OB126" s="92"/>
      <c r="OC126" s="92"/>
      <c r="OD126" s="92"/>
      <c r="OE126" s="92"/>
      <c r="OF126" s="92"/>
      <c r="OG126" s="92"/>
      <c r="OH126" s="92"/>
      <c r="OI126" s="92"/>
      <c r="OJ126" s="92"/>
      <c r="OK126" s="92"/>
      <c r="OL126" s="92"/>
      <c r="OM126" s="92"/>
      <c r="ON126" s="92"/>
      <c r="OO126" s="92"/>
      <c r="OP126" s="92"/>
      <c r="OQ126" s="92"/>
      <c r="OR126" s="92"/>
      <c r="OS126" s="92"/>
      <c r="OT126" s="92"/>
      <c r="OU126" s="92"/>
      <c r="OV126" s="92"/>
      <c r="OW126" s="92"/>
      <c r="OX126" s="92"/>
      <c r="OY126" s="92"/>
      <c r="OZ126" s="92"/>
      <c r="PA126" s="92"/>
      <c r="PB126" s="92"/>
      <c r="PC126" s="92"/>
      <c r="PD126" s="92"/>
      <c r="PE126" s="92"/>
      <c r="PF126" s="92"/>
      <c r="PG126" s="92"/>
      <c r="PH126" s="92"/>
      <c r="PI126" s="92"/>
      <c r="PJ126" s="92"/>
      <c r="PK126" s="92"/>
      <c r="PL126" s="92"/>
      <c r="PM126" s="92"/>
      <c r="PN126" s="92"/>
      <c r="PO126" s="92"/>
      <c r="PP126" s="92"/>
      <c r="PQ126" s="92"/>
      <c r="PR126" s="92"/>
      <c r="PS126" s="92"/>
      <c r="PT126" s="92"/>
      <c r="PU126" s="59" t="str">
        <f t="shared" ca="1" si="213"/>
        <v/>
      </c>
      <c r="PV126" s="59" t="str">
        <f ca="1">IF(PU126="","",PU126)</f>
        <v/>
      </c>
      <c r="PW126" s="59"/>
      <c r="PX126" s="59"/>
      <c r="TJ126" s="18">
        <f t="shared" si="181"/>
        <v>124</v>
      </c>
      <c r="TK126" s="58" t="s">
        <v>1947</v>
      </c>
      <c r="TL126" s="58" t="s">
        <v>463</v>
      </c>
      <c r="TM126" s="18">
        <v>6</v>
      </c>
      <c r="TN126" s="59" t="str">
        <f t="shared" si="167"/>
        <v xml:space="preserve">Eyebite </v>
      </c>
      <c r="TO126" s="18" t="str">
        <f>""</f>
        <v/>
      </c>
      <c r="TP126" s="18" t="str">
        <f t="shared" si="168"/>
        <v/>
      </c>
      <c r="TQ126" s="18" t="str">
        <f>IF(OR(TK126=Spellcasting!$AC$18,TK126=Spellcasting!$AC$19),"ᵐ","")</f>
        <v/>
      </c>
      <c r="TR126" s="18" t="str">
        <f>IF(OR(TK126=Spellcasting!$AC$20,TK126=Spellcasting!$AC$21),"ˢ","")</f>
        <v/>
      </c>
      <c r="TS126" s="18" t="str">
        <f>""</f>
        <v/>
      </c>
      <c r="TT126" s="18" t="s">
        <v>484</v>
      </c>
      <c r="TU126" s="18" t="s">
        <v>509</v>
      </c>
      <c r="TV126" s="18" t="s">
        <v>558</v>
      </c>
      <c r="TW126" s="18" t="s">
        <v>486</v>
      </c>
      <c r="TX126" s="59" t="str">
        <f>""</f>
        <v/>
      </c>
      <c r="TY126" s="18" t="s">
        <v>506</v>
      </c>
      <c r="TZ126" s="18" t="s">
        <v>507</v>
      </c>
      <c r="UA126" s="142" t="s">
        <v>2234</v>
      </c>
      <c r="UB126" s="319" t="s">
        <v>2131</v>
      </c>
      <c r="UC126" s="18" t="str">
        <f ca="1">IF(UC$1&gt;=$TM126,1,"0")</f>
        <v>0</v>
      </c>
      <c r="UF126" s="18" t="str">
        <f ca="1">IF(UF$1&gt;=$TM126,1,"0")</f>
        <v>0</v>
      </c>
      <c r="UG126" s="18" t="str">
        <f ca="1">IF(UG$1&gt;=$TM126,1,"0")</f>
        <v>0</v>
      </c>
      <c r="UL126" s="18" t="str">
        <f ca="1">IF(UL$1&gt;=$TM126,1,"0")</f>
        <v>0</v>
      </c>
      <c r="WD126" s="18" t="str">
        <f ca="1">IF(SUM($VZ$1:$WC$1)&gt;0,IF(AND(SUM($VZ126:$WC126)&gt;0,$TM126=WE$1),MAX(WD$2:WD125)+1,""),IF(AND(SUM($UC126:$VY126)&gt;0,$TM126=WE$1),MAX(WD$2:WD125)+1,""))</f>
        <v/>
      </c>
      <c r="WE126" s="59" t="str">
        <f t="shared" ca="1" si="169"/>
        <v/>
      </c>
      <c r="WF126" s="18" t="str">
        <f ca="1">IF(AND(SUM($UB126:$VY126)&gt;0,$TM126=WG$1),MAX(WF$2:WF125)+1,"")</f>
        <v/>
      </c>
      <c r="WG126" s="59" t="str">
        <f t="shared" ca="1" si="170"/>
        <v/>
      </c>
      <c r="WH126" s="18" t="str">
        <f ca="1">IF(AND(SUM($UB126:$VY126)&gt;0,$TM126=WI$1),MAX(WH$2:WH125)+1,"")</f>
        <v/>
      </c>
      <c r="WI126" s="59" t="str">
        <f t="shared" ca="1" si="171"/>
        <v/>
      </c>
      <c r="WJ126" s="18" t="str">
        <f ca="1">IF(AND(SUM($UB126:$VY126)&gt;0,$TM126=WK$1),MAX(WJ$2:WJ125)+1,"")</f>
        <v/>
      </c>
      <c r="WK126" s="59" t="str">
        <f t="shared" ca="1" si="172"/>
        <v/>
      </c>
      <c r="WL126" s="18" t="str">
        <f ca="1">IF(AND(SUM($UB126:$VY126)&gt;0,$TM126=WM$1),MAX(WL$2:WL125)+1,"")</f>
        <v/>
      </c>
      <c r="WM126" s="59" t="str">
        <f t="shared" ca="1" si="173"/>
        <v/>
      </c>
      <c r="WN126" s="18" t="str">
        <f ca="1">IF(AND(SUM($UB126:$VY126)&gt;0,$TM126=WO$1),MAX(WN$2:WN125)+1,"")</f>
        <v/>
      </c>
      <c r="WO126" s="59" t="str">
        <f t="shared" ca="1" si="174"/>
        <v/>
      </c>
      <c r="WP126" s="18" t="str">
        <f ca="1">IF(AND(SUM($UB126:$VY126)&gt;0,$TM126=WQ$1),MAX(WP$2:WP125)+1,"")</f>
        <v/>
      </c>
      <c r="WQ126" s="59" t="str">
        <f t="shared" ca="1" si="175"/>
        <v/>
      </c>
      <c r="WR126" s="18" t="str">
        <f ca="1">IF(AND(SUM($UB126:$VY126)&gt;0,$TM126=WS$1),MAX(WR$2:WR125)+1,"")</f>
        <v/>
      </c>
      <c r="WS126" s="59" t="str">
        <f t="shared" ca="1" si="176"/>
        <v/>
      </c>
      <c r="WT126" s="18" t="str">
        <f ca="1">IF(AND(SUM($UB126:$VY126)&gt;0,$TM126=WU$1),MAX(WT$2:WT125)+1,"")</f>
        <v/>
      </c>
      <c r="WU126" s="59" t="str">
        <f t="shared" ca="1" si="177"/>
        <v/>
      </c>
      <c r="WV126" s="18" t="str">
        <f ca="1">IF(AND(SUM($UB126:$VY126)&gt;0,$TM126=WW$1),MAX(WV$2:WV125)+1,"")</f>
        <v/>
      </c>
      <c r="WW126" s="59" t="str">
        <f t="shared" ca="1" si="178"/>
        <v/>
      </c>
      <c r="WX126" s="18" t="str">
        <f ca="1">IF(AND(SUM($UB126:$VY126)&gt;0,$TM126=WY$1),MAX(WX$2:WX125)+1,"")</f>
        <v/>
      </c>
      <c r="WY126" s="59" t="str">
        <f t="shared" ca="1" si="179"/>
        <v/>
      </c>
      <c r="WZ126" s="59"/>
      <c r="XC126" s="59" t="str">
        <f t="shared" ca="1" si="211"/>
        <v/>
      </c>
    </row>
    <row r="127" spans="257:627" ht="9.9499999999999993" customHeight="1" x14ac:dyDescent="0.2">
      <c r="IX127" s="58" t="s">
        <v>3652</v>
      </c>
      <c r="IY127" s="58" t="s">
        <v>3614</v>
      </c>
      <c r="IZ127" s="58" t="s">
        <v>202</v>
      </c>
      <c r="JA127" s="58" t="s">
        <v>1581</v>
      </c>
      <c r="JB127" s="58" t="s">
        <v>3615</v>
      </c>
      <c r="KT127" s="88" t="s">
        <v>1904</v>
      </c>
      <c r="KU127" s="80" t="str">
        <f t="shared" ca="1" si="204"/>
        <v>No</v>
      </c>
      <c r="KV127" s="89" t="s">
        <v>172</v>
      </c>
      <c r="KW127" s="92"/>
      <c r="KX127" s="92"/>
      <c r="KY127" s="92"/>
      <c r="KZ127" s="92"/>
      <c r="LA127" s="92"/>
      <c r="LB127" s="92"/>
      <c r="LC127" s="92"/>
      <c r="LD127" s="92"/>
      <c r="LE127" s="92"/>
      <c r="LF127" s="92"/>
      <c r="LG127" s="92"/>
      <c r="LH127" s="92"/>
      <c r="LI127" s="92"/>
      <c r="LJ127" s="92"/>
      <c r="LK127" s="92"/>
      <c r="LL127" s="92"/>
      <c r="LM127" s="92"/>
      <c r="LN127" s="92"/>
      <c r="LO127" s="92"/>
      <c r="LP127" s="92"/>
      <c r="LQ127" s="92"/>
      <c r="LR127" s="92"/>
      <c r="LS127" s="92"/>
      <c r="LT127" s="92"/>
      <c r="LU127" s="92"/>
      <c r="LV127" s="92"/>
      <c r="LW127" s="92"/>
      <c r="LX127" s="92"/>
      <c r="LY127" s="92"/>
      <c r="LZ127" s="92" t="str">
        <f ca="1">IF(LZ$1&gt;0,$KT127,"")</f>
        <v/>
      </c>
      <c r="MA127" s="92" t="str">
        <f t="shared" ca="1" si="205"/>
        <v/>
      </c>
      <c r="MB127" s="92" t="str">
        <f t="shared" ca="1" si="214"/>
        <v/>
      </c>
      <c r="MC127" s="92" t="str">
        <f t="shared" ca="1" si="214"/>
        <v/>
      </c>
      <c r="MD127" s="92" t="str">
        <f t="shared" ca="1" si="206"/>
        <v/>
      </c>
      <c r="ME127" s="92" t="str">
        <f t="shared" ca="1" si="215"/>
        <v/>
      </c>
      <c r="MF127" s="92" t="str">
        <f t="shared" ca="1" si="215"/>
        <v/>
      </c>
      <c r="MG127" s="92" t="str">
        <f t="shared" ca="1" si="215"/>
        <v/>
      </c>
      <c r="MH127" s="92" t="str">
        <f t="shared" ca="1" si="207"/>
        <v/>
      </c>
      <c r="MI127" s="92" t="str">
        <f t="shared" ca="1" si="207"/>
        <v/>
      </c>
      <c r="MJ127" s="92" t="str">
        <f t="shared" ca="1" si="216"/>
        <v/>
      </c>
      <c r="MK127" s="92" t="str">
        <f t="shared" ca="1" si="216"/>
        <v/>
      </c>
      <c r="ML127" s="92"/>
      <c r="MM127" s="92"/>
      <c r="MN127" s="92"/>
      <c r="MO127" s="92"/>
      <c r="MP127" s="92"/>
      <c r="MQ127" s="92"/>
      <c r="MR127" s="92"/>
      <c r="MS127" s="92"/>
      <c r="MT127" s="92"/>
      <c r="MU127" s="92"/>
      <c r="MV127" s="92"/>
      <c r="MW127" s="92"/>
      <c r="MX127" s="92"/>
      <c r="MY127" s="92"/>
      <c r="MZ127" s="92"/>
      <c r="NA127" s="92"/>
      <c r="NB127" s="92"/>
      <c r="NC127" s="92"/>
      <c r="ND127" s="92"/>
      <c r="NE127" s="92"/>
      <c r="NF127" s="92"/>
      <c r="NG127" s="92"/>
      <c r="NH127" s="92"/>
      <c r="NI127" s="92"/>
      <c r="NJ127" s="92"/>
      <c r="NK127" s="92"/>
      <c r="NL127" s="92"/>
      <c r="NM127" s="92"/>
      <c r="NN127" s="92"/>
      <c r="NO127" s="92"/>
      <c r="NP127" s="92"/>
      <c r="NQ127" s="92"/>
      <c r="NR127" s="92"/>
      <c r="NS127" s="92"/>
      <c r="NT127" s="92"/>
      <c r="NU127" s="92"/>
      <c r="NV127" s="92"/>
      <c r="NW127" s="92"/>
      <c r="NX127" s="92"/>
      <c r="NY127" s="92"/>
      <c r="NZ127" s="92"/>
      <c r="OA127" s="92"/>
      <c r="OB127" s="92"/>
      <c r="OC127" s="92"/>
      <c r="OD127" s="92"/>
      <c r="OE127" s="92"/>
      <c r="OF127" s="92"/>
      <c r="OG127" s="92"/>
      <c r="OH127" s="92"/>
      <c r="OI127" s="92"/>
      <c r="OJ127" s="92"/>
      <c r="OK127" s="92"/>
      <c r="OL127" s="92"/>
      <c r="OM127" s="92"/>
      <c r="ON127" s="92"/>
      <c r="OO127" s="92"/>
      <c r="OP127" s="92"/>
      <c r="OQ127" s="92"/>
      <c r="OR127" s="92"/>
      <c r="OS127" s="92"/>
      <c r="OT127" s="92"/>
      <c r="OU127" s="92"/>
      <c r="OV127" s="92"/>
      <c r="OW127" s="92"/>
      <c r="OX127" s="92"/>
      <c r="OY127" s="92"/>
      <c r="OZ127" s="92"/>
      <c r="PA127" s="92"/>
      <c r="PB127" s="92"/>
      <c r="PC127" s="92"/>
      <c r="PD127" s="92"/>
      <c r="PE127" s="92"/>
      <c r="PF127" s="92"/>
      <c r="PG127" s="92"/>
      <c r="PH127" s="92"/>
      <c r="PI127" s="92"/>
      <c r="PJ127" s="92"/>
      <c r="PK127" s="92"/>
      <c r="PL127" s="92"/>
      <c r="PM127" s="92"/>
      <c r="PN127" s="92"/>
      <c r="PO127" s="92"/>
      <c r="PP127" s="92"/>
      <c r="PQ127" s="92"/>
      <c r="PR127" s="92"/>
      <c r="PS127" s="92"/>
      <c r="PT127" s="92"/>
      <c r="PU127" s="59" t="str">
        <f t="shared" ca="1" si="213"/>
        <v/>
      </c>
      <c r="PV127" s="59" t="str">
        <f ca="1">IF(PU127="","",PU127)</f>
        <v/>
      </c>
      <c r="PW127" s="59"/>
      <c r="PX127" s="59"/>
      <c r="TJ127" s="18">
        <f t="shared" si="181"/>
        <v>125</v>
      </c>
      <c r="TK127" s="58" t="s">
        <v>1248</v>
      </c>
      <c r="TL127" s="58" t="s">
        <v>461</v>
      </c>
      <c r="TM127" s="18">
        <v>4</v>
      </c>
      <c r="TN127" s="59" t="str">
        <f t="shared" si="167"/>
        <v xml:space="preserve">Fabricate </v>
      </c>
      <c r="TO127" s="18" t="str">
        <f>""</f>
        <v/>
      </c>
      <c r="TP127" s="18" t="str">
        <f t="shared" si="168"/>
        <v/>
      </c>
      <c r="TQ127" s="18" t="str">
        <f>IF(OR(TK127=Spellcasting!$AC$18,TK127=Spellcasting!$AC$19),"ᵐ","")</f>
        <v/>
      </c>
      <c r="TR127" s="18" t="str">
        <f>IF(OR(TK127=Spellcasting!$AC$20,TK127=Spellcasting!$AC$21),"ˢ","")</f>
        <v/>
      </c>
      <c r="TS127" s="18" t="str">
        <f>""</f>
        <v/>
      </c>
      <c r="TT127" s="18" t="s">
        <v>582</v>
      </c>
      <c r="TU127" s="18" t="s">
        <v>848</v>
      </c>
      <c r="TV127" s="18" t="s">
        <v>505</v>
      </c>
      <c r="TW127" s="18" t="s">
        <v>486</v>
      </c>
      <c r="TX127" s="59" t="str">
        <f>""</f>
        <v/>
      </c>
      <c r="TY127" s="18" t="s">
        <v>491</v>
      </c>
      <c r="TZ127" s="18" t="s">
        <v>492</v>
      </c>
      <c r="UA127" s="142" t="s">
        <v>2132</v>
      </c>
      <c r="UB127" s="319" t="s">
        <v>2133</v>
      </c>
      <c r="UL127" s="18" t="str">
        <f ca="1">IF(UL$1&gt;=$TM127,1,"0")</f>
        <v>0</v>
      </c>
      <c r="WD127" s="18" t="str">
        <f ca="1">IF(SUM($VZ$1:$WC$1)&gt;0,IF(AND(SUM($VZ127:$WC127)&gt;0,$TM127=WE$1),MAX(WD$2:WD126)+1,""),IF(AND(SUM($UC127:$VY127)&gt;0,$TM127=WE$1),MAX(WD$2:WD126)+1,""))</f>
        <v/>
      </c>
      <c r="WE127" s="59" t="str">
        <f t="shared" ca="1" si="169"/>
        <v/>
      </c>
      <c r="WF127" s="18" t="str">
        <f ca="1">IF(AND(SUM($UB127:$VY127)&gt;0,$TM127=WG$1),MAX(WF$2:WF126)+1,"")</f>
        <v/>
      </c>
      <c r="WG127" s="59" t="str">
        <f t="shared" ca="1" si="170"/>
        <v/>
      </c>
      <c r="WH127" s="18" t="str">
        <f ca="1">IF(AND(SUM($UB127:$VY127)&gt;0,$TM127=WI$1),MAX(WH$2:WH126)+1,"")</f>
        <v/>
      </c>
      <c r="WI127" s="59" t="str">
        <f t="shared" ca="1" si="171"/>
        <v/>
      </c>
      <c r="WJ127" s="18" t="str">
        <f ca="1">IF(AND(SUM($UB127:$VY127)&gt;0,$TM127=WK$1),MAX(WJ$2:WJ126)+1,"")</f>
        <v/>
      </c>
      <c r="WK127" s="59" t="str">
        <f t="shared" ca="1" si="172"/>
        <v/>
      </c>
      <c r="WL127" s="18" t="str">
        <f ca="1">IF(AND(SUM($UB127:$VY127)&gt;0,$TM127=WM$1),MAX(WL$2:WL126)+1,"")</f>
        <v/>
      </c>
      <c r="WM127" s="59" t="str">
        <f t="shared" ca="1" si="173"/>
        <v/>
      </c>
      <c r="WN127" s="18" t="str">
        <f ca="1">IF(AND(SUM($UB127:$VY127)&gt;0,$TM127=WO$1),MAX(WN$2:WN126)+1,"")</f>
        <v/>
      </c>
      <c r="WO127" s="59" t="str">
        <f t="shared" ca="1" si="174"/>
        <v/>
      </c>
      <c r="WP127" s="18" t="str">
        <f ca="1">IF(AND(SUM($UB127:$VY127)&gt;0,$TM127=WQ$1),MAX(WP$2:WP126)+1,"")</f>
        <v/>
      </c>
      <c r="WQ127" s="59" t="str">
        <f t="shared" ca="1" si="175"/>
        <v/>
      </c>
      <c r="WR127" s="18" t="str">
        <f ca="1">IF(AND(SUM($UB127:$VY127)&gt;0,$TM127=WS$1),MAX(WR$2:WR126)+1,"")</f>
        <v/>
      </c>
      <c r="WS127" s="59" t="str">
        <f t="shared" ca="1" si="176"/>
        <v/>
      </c>
      <c r="WT127" s="18" t="str">
        <f ca="1">IF(AND(SUM($UB127:$VY127)&gt;0,$TM127=WU$1),MAX(WT$2:WT126)+1,"")</f>
        <v/>
      </c>
      <c r="WU127" s="59" t="str">
        <f t="shared" ca="1" si="177"/>
        <v/>
      </c>
      <c r="WV127" s="18" t="str">
        <f ca="1">IF(AND(SUM($UB127:$VY127)&gt;0,$TM127=WW$1),MAX(WV$2:WV126)+1,"")</f>
        <v/>
      </c>
      <c r="WW127" s="59" t="str">
        <f t="shared" ca="1" si="178"/>
        <v/>
      </c>
      <c r="WX127" s="18" t="str">
        <f ca="1">IF(AND(SUM($UB127:$VY127)&gt;0,$TM127=WY$1),MAX(WX$2:WX126)+1,"")</f>
        <v/>
      </c>
      <c r="WY127" s="59" t="str">
        <f t="shared" ca="1" si="179"/>
        <v/>
      </c>
      <c r="WZ127" s="59"/>
      <c r="XC127" s="59" t="str">
        <f t="shared" ca="1" si="211"/>
        <v/>
      </c>
    </row>
    <row r="128" spans="257:627" ht="9.9499999999999993" customHeight="1" x14ac:dyDescent="0.2">
      <c r="IX128" s="58" t="s">
        <v>3653</v>
      </c>
      <c r="IY128" s="58" t="s">
        <v>3616</v>
      </c>
      <c r="IZ128" s="58" t="s">
        <v>202</v>
      </c>
      <c r="JA128" s="58" t="s">
        <v>284</v>
      </c>
      <c r="JB128" s="58" t="s">
        <v>120</v>
      </c>
      <c r="KT128" s="88" t="s">
        <v>1905</v>
      </c>
      <c r="KU128" s="80" t="str">
        <f t="shared" ca="1" si="204"/>
        <v>No</v>
      </c>
      <c r="KV128" s="89" t="s">
        <v>172</v>
      </c>
      <c r="KW128" s="92"/>
      <c r="KX128" s="92"/>
      <c r="KY128" s="92"/>
      <c r="KZ128" s="92"/>
      <c r="LA128" s="92"/>
      <c r="LB128" s="92"/>
      <c r="LC128" s="92"/>
      <c r="LD128" s="92"/>
      <c r="LE128" s="92"/>
      <c r="LF128" s="92"/>
      <c r="LG128" s="92"/>
      <c r="LH128" s="92"/>
      <c r="LI128" s="92"/>
      <c r="LJ128" s="92"/>
      <c r="LK128" s="92"/>
      <c r="LL128" s="92"/>
      <c r="LM128" s="92"/>
      <c r="LN128" s="92"/>
      <c r="LO128" s="92"/>
      <c r="LP128" s="92"/>
      <c r="LQ128" s="92"/>
      <c r="LR128" s="92"/>
      <c r="LS128" s="92"/>
      <c r="LT128" s="92"/>
      <c r="LU128" s="92"/>
      <c r="LV128" s="92"/>
      <c r="LW128" s="92"/>
      <c r="LX128" s="92"/>
      <c r="LY128" s="92"/>
      <c r="LZ128" s="92" t="str">
        <f ca="1">IF(LZ$1&gt;0,$KT128,"")</f>
        <v/>
      </c>
      <c r="MA128" s="92" t="str">
        <f t="shared" ca="1" si="205"/>
        <v/>
      </c>
      <c r="MB128" s="92" t="str">
        <f t="shared" ca="1" si="214"/>
        <v/>
      </c>
      <c r="MC128" s="92" t="str">
        <f t="shared" ca="1" si="214"/>
        <v/>
      </c>
      <c r="MD128" s="92" t="str">
        <f t="shared" ca="1" si="206"/>
        <v/>
      </c>
      <c r="ME128" s="92" t="str">
        <f t="shared" ca="1" si="215"/>
        <v/>
      </c>
      <c r="MF128" s="92" t="str">
        <f t="shared" ca="1" si="215"/>
        <v/>
      </c>
      <c r="MG128" s="92" t="str">
        <f t="shared" ca="1" si="215"/>
        <v/>
      </c>
      <c r="MH128" s="92" t="str">
        <f t="shared" ca="1" si="207"/>
        <v/>
      </c>
      <c r="MI128" s="92" t="str">
        <f t="shared" ca="1" si="207"/>
        <v/>
      </c>
      <c r="MJ128" s="92" t="str">
        <f t="shared" ca="1" si="216"/>
        <v/>
      </c>
      <c r="MK128" s="92" t="str">
        <f t="shared" ca="1" si="216"/>
        <v/>
      </c>
      <c r="ML128" s="92"/>
      <c r="MM128" s="92"/>
      <c r="MN128" s="92"/>
      <c r="MO128" s="92"/>
      <c r="MP128" s="92"/>
      <c r="MQ128" s="92"/>
      <c r="MR128" s="92"/>
      <c r="MS128" s="92"/>
      <c r="MT128" s="92"/>
      <c r="MU128" s="92"/>
      <c r="MV128" s="92"/>
      <c r="MW128" s="92"/>
      <c r="MX128" s="92"/>
      <c r="MY128" s="92"/>
      <c r="MZ128" s="92"/>
      <c r="NA128" s="92"/>
      <c r="NB128" s="92"/>
      <c r="NC128" s="92"/>
      <c r="ND128" s="92"/>
      <c r="NE128" s="92"/>
      <c r="NF128" s="92"/>
      <c r="NG128" s="92"/>
      <c r="NH128" s="92"/>
      <c r="NI128" s="92"/>
      <c r="NJ128" s="92"/>
      <c r="NK128" s="92"/>
      <c r="NL128" s="92"/>
      <c r="NM128" s="92"/>
      <c r="NN128" s="92"/>
      <c r="NO128" s="92"/>
      <c r="NP128" s="92"/>
      <c r="NQ128" s="92"/>
      <c r="NR128" s="92"/>
      <c r="NS128" s="92"/>
      <c r="NT128" s="92"/>
      <c r="NU128" s="92"/>
      <c r="NV128" s="92"/>
      <c r="NW128" s="92"/>
      <c r="NX128" s="92"/>
      <c r="NY128" s="92"/>
      <c r="NZ128" s="92"/>
      <c r="OA128" s="92"/>
      <c r="OB128" s="92"/>
      <c r="OC128" s="92"/>
      <c r="OD128" s="92"/>
      <c r="OE128" s="92"/>
      <c r="OF128" s="92"/>
      <c r="OG128" s="92"/>
      <c r="OH128" s="92"/>
      <c r="OI128" s="92"/>
      <c r="OJ128" s="92"/>
      <c r="OK128" s="92"/>
      <c r="OL128" s="92"/>
      <c r="OM128" s="92"/>
      <c r="ON128" s="92"/>
      <c r="OO128" s="92"/>
      <c r="OP128" s="92"/>
      <c r="OQ128" s="92"/>
      <c r="OR128" s="92"/>
      <c r="OS128" s="92"/>
      <c r="OT128" s="92"/>
      <c r="OU128" s="92"/>
      <c r="OV128" s="92"/>
      <c r="OW128" s="92"/>
      <c r="OX128" s="92"/>
      <c r="OY128" s="92"/>
      <c r="OZ128" s="92"/>
      <c r="PA128" s="92"/>
      <c r="PB128" s="92"/>
      <c r="PC128" s="92"/>
      <c r="PD128" s="92"/>
      <c r="PE128" s="92"/>
      <c r="PF128" s="92"/>
      <c r="PG128" s="92"/>
      <c r="PH128" s="92"/>
      <c r="PI128" s="92"/>
      <c r="PJ128" s="92"/>
      <c r="PK128" s="92"/>
      <c r="PL128" s="92"/>
      <c r="PM128" s="92"/>
      <c r="PN128" s="92"/>
      <c r="PO128" s="92"/>
      <c r="PP128" s="92"/>
      <c r="PQ128" s="92"/>
      <c r="PR128" s="92"/>
      <c r="PS128" s="92"/>
      <c r="PT128" s="92"/>
      <c r="PU128" s="59" t="str">
        <f t="shared" ca="1" si="213"/>
        <v/>
      </c>
      <c r="PV128" s="59" t="str">
        <f ca="1">IF(PU128="","",PU128)</f>
        <v/>
      </c>
      <c r="PW128" s="59"/>
      <c r="PX128" s="59"/>
      <c r="TJ128" s="18">
        <f t="shared" si="181"/>
        <v>126</v>
      </c>
      <c r="TK128" s="58" t="s">
        <v>586</v>
      </c>
      <c r="TL128" s="58" t="s">
        <v>448</v>
      </c>
      <c r="TM128" s="18">
        <v>1</v>
      </c>
      <c r="TN128" s="59" t="str">
        <f t="shared" si="167"/>
        <v xml:space="preserve">Faerie Fire </v>
      </c>
      <c r="TO128" s="18" t="str">
        <f>""</f>
        <v/>
      </c>
      <c r="TP128" s="18" t="str">
        <f t="shared" si="168"/>
        <v/>
      </c>
      <c r="TQ128" s="18" t="str">
        <f>IF(OR(TK128=Spellcasting!$AC$18,TK128=Spellcasting!$AC$19),"ᵐ","")</f>
        <v/>
      </c>
      <c r="TR128" s="18" t="str">
        <f>IF(OR(TK128=Spellcasting!$AC$20,TK128=Spellcasting!$AC$21),"ˢ","")</f>
        <v/>
      </c>
      <c r="TS128" s="18" t="str">
        <f>""</f>
        <v/>
      </c>
      <c r="TT128" s="18" t="s">
        <v>484</v>
      </c>
      <c r="TU128" s="18" t="s">
        <v>850</v>
      </c>
      <c r="TV128" s="18" t="s">
        <v>558</v>
      </c>
      <c r="TW128" s="18" t="s">
        <v>541</v>
      </c>
      <c r="TX128" s="59" t="str">
        <f>""</f>
        <v/>
      </c>
      <c r="TY128" s="18" t="s">
        <v>534</v>
      </c>
      <c r="TZ128" s="18" t="s">
        <v>535</v>
      </c>
      <c r="UA128" s="142" t="s">
        <v>1212</v>
      </c>
      <c r="UB128" s="319" t="s">
        <v>2263</v>
      </c>
      <c r="UC128" s="18" t="str">
        <f ca="1">IF(UC$1&gt;=$TM128,1,"0")</f>
        <v>0</v>
      </c>
      <c r="UI128" s="18" t="str">
        <f ca="1">IF(UI$1&gt;=$TM128,1,"0")</f>
        <v>0</v>
      </c>
      <c r="UV128" s="18" t="str">
        <f>IF(UV$1&gt;=$TM128,1,"0")</f>
        <v>0</v>
      </c>
      <c r="VA128" s="18" t="str">
        <f>IF(VA$1&gt;=$TM128,1,"0")</f>
        <v>0</v>
      </c>
      <c r="WD128" s="18" t="str">
        <f ca="1">IF(SUM($VZ$1:$WC$1)&gt;0,IF(AND(SUM($VZ128:$WC128)&gt;0,$TM128=WE$1),MAX(WD$2:WD127)+1,""),IF(AND(SUM($UC128:$VY128)&gt;0,$TM128=WE$1),MAX(WD$2:WD127)+1,""))</f>
        <v/>
      </c>
      <c r="WE128" s="59" t="str">
        <f t="shared" ca="1" si="169"/>
        <v/>
      </c>
      <c r="WF128" s="18" t="str">
        <f ca="1">IF(AND(SUM($UB128:$VY128)&gt;0,$TM128=WG$1),MAX(WF$2:WF127)+1,"")</f>
        <v/>
      </c>
      <c r="WG128" s="59" t="str">
        <f t="shared" ca="1" si="170"/>
        <v/>
      </c>
      <c r="WH128" s="18" t="str">
        <f ca="1">IF(AND(SUM($UB128:$VY128)&gt;0,$TM128=WI$1),MAX(WH$2:WH127)+1,"")</f>
        <v/>
      </c>
      <c r="WI128" s="59" t="str">
        <f t="shared" ca="1" si="171"/>
        <v/>
      </c>
      <c r="WJ128" s="18" t="str">
        <f ca="1">IF(AND(SUM($UB128:$VY128)&gt;0,$TM128=WK$1),MAX(WJ$2:WJ127)+1,"")</f>
        <v/>
      </c>
      <c r="WK128" s="59" t="str">
        <f t="shared" ca="1" si="172"/>
        <v/>
      </c>
      <c r="WL128" s="18" t="str">
        <f ca="1">IF(AND(SUM($UB128:$VY128)&gt;0,$TM128=WM$1),MAX(WL$2:WL127)+1,"")</f>
        <v/>
      </c>
      <c r="WM128" s="59" t="str">
        <f t="shared" ca="1" si="173"/>
        <v/>
      </c>
      <c r="WN128" s="18" t="str">
        <f ca="1">IF(AND(SUM($UB128:$VY128)&gt;0,$TM128=WO$1),MAX(WN$2:WN127)+1,"")</f>
        <v/>
      </c>
      <c r="WO128" s="59" t="str">
        <f t="shared" ca="1" si="174"/>
        <v/>
      </c>
      <c r="WP128" s="18" t="str">
        <f ca="1">IF(AND(SUM($UB128:$VY128)&gt;0,$TM128=WQ$1),MAX(WP$2:WP127)+1,"")</f>
        <v/>
      </c>
      <c r="WQ128" s="59" t="str">
        <f t="shared" ca="1" si="175"/>
        <v/>
      </c>
      <c r="WR128" s="18" t="str">
        <f ca="1">IF(AND(SUM($UB128:$VY128)&gt;0,$TM128=WS$1),MAX(WR$2:WR127)+1,"")</f>
        <v/>
      </c>
      <c r="WS128" s="59" t="str">
        <f t="shared" ca="1" si="176"/>
        <v/>
      </c>
      <c r="WT128" s="18" t="str">
        <f ca="1">IF(AND(SUM($UB128:$VY128)&gt;0,$TM128=WU$1),MAX(WT$2:WT127)+1,"")</f>
        <v/>
      </c>
      <c r="WU128" s="59" t="str">
        <f t="shared" ca="1" si="177"/>
        <v/>
      </c>
      <c r="WV128" s="18" t="str">
        <f ca="1">IF(AND(SUM($UB128:$VY128)&gt;0,$TM128=WW$1),MAX(WV$2:WV127)+1,"")</f>
        <v/>
      </c>
      <c r="WW128" s="59" t="str">
        <f t="shared" ca="1" si="178"/>
        <v/>
      </c>
      <c r="WX128" s="18" t="str">
        <f ca="1">IF(AND(SUM($UB128:$VY128)&gt;0,$TM128=WY$1),MAX(WX$2:WX127)+1,"")</f>
        <v/>
      </c>
      <c r="WY128" s="59" t="str">
        <f t="shared" ca="1" si="179"/>
        <v/>
      </c>
      <c r="WZ128" s="59"/>
      <c r="XC128" s="59" t="str">
        <f t="shared" ca="1" si="211"/>
        <v/>
      </c>
    </row>
    <row r="129" spans="258:627" ht="9.9499999999999993" customHeight="1" x14ac:dyDescent="0.2">
      <c r="IX129" s="58" t="s">
        <v>3654</v>
      </c>
      <c r="IY129" s="58" t="s">
        <v>3617</v>
      </c>
      <c r="IZ129" s="58" t="s">
        <v>200</v>
      </c>
      <c r="JA129" s="58" t="s">
        <v>284</v>
      </c>
      <c r="JB129" s="58" t="s">
        <v>3618</v>
      </c>
      <c r="KT129" s="90" t="s">
        <v>187</v>
      </c>
      <c r="KU129" s="102" t="str">
        <f t="shared" ca="1" si="204"/>
        <v>No</v>
      </c>
      <c r="KV129" s="91" t="s">
        <v>187</v>
      </c>
      <c r="KW129" s="92"/>
      <c r="KX129" s="92"/>
      <c r="KY129" s="92"/>
      <c r="KZ129" s="92"/>
      <c r="LA129" s="92"/>
      <c r="LB129" s="92"/>
      <c r="LC129" s="92"/>
      <c r="LD129" s="92"/>
      <c r="LE129" s="92"/>
      <c r="LF129" s="92"/>
      <c r="LG129" s="92"/>
      <c r="LH129" s="92"/>
      <c r="LI129" s="92"/>
      <c r="LJ129" s="92"/>
      <c r="LK129" s="92"/>
      <c r="LL129" s="92"/>
      <c r="LM129" s="92"/>
      <c r="LN129" s="92"/>
      <c r="LO129" s="92"/>
      <c r="LP129" s="92"/>
      <c r="LQ129" s="92"/>
      <c r="LR129" s="92"/>
      <c r="LS129" s="92"/>
      <c r="LT129" s="92"/>
      <c r="LU129" s="92"/>
      <c r="LV129" s="92"/>
      <c r="LW129" s="92"/>
      <c r="LX129" s="92"/>
      <c r="LY129" s="92"/>
      <c r="LZ129" s="92" t="str">
        <f ca="1">IF(LZ$1&gt;0,$KT129,"")</f>
        <v/>
      </c>
      <c r="MA129" s="92" t="str">
        <f t="shared" ca="1" si="205"/>
        <v/>
      </c>
      <c r="MB129" s="92" t="str">
        <f t="shared" ca="1" si="214"/>
        <v/>
      </c>
      <c r="MC129" s="92" t="str">
        <f t="shared" ca="1" si="214"/>
        <v/>
      </c>
      <c r="MD129" s="92" t="str">
        <f t="shared" ca="1" si="206"/>
        <v/>
      </c>
      <c r="ME129" s="92" t="str">
        <f t="shared" ca="1" si="215"/>
        <v/>
      </c>
      <c r="MF129" s="92" t="str">
        <f t="shared" ca="1" si="215"/>
        <v/>
      </c>
      <c r="MG129" s="92" t="str">
        <f t="shared" ca="1" si="215"/>
        <v/>
      </c>
      <c r="MH129" s="92" t="str">
        <f t="shared" ca="1" si="207"/>
        <v/>
      </c>
      <c r="MI129" s="92" t="str">
        <f t="shared" ca="1" si="207"/>
        <v/>
      </c>
      <c r="MJ129" s="92" t="str">
        <f t="shared" ca="1" si="216"/>
        <v/>
      </c>
      <c r="MK129" s="92" t="str">
        <f t="shared" ca="1" si="216"/>
        <v/>
      </c>
      <c r="ML129" s="92"/>
      <c r="MM129" s="92"/>
      <c r="MN129" s="92"/>
      <c r="MO129" s="92"/>
      <c r="MP129" s="92"/>
      <c r="MQ129" s="92"/>
      <c r="MR129" s="92"/>
      <c r="MS129" s="92"/>
      <c r="MT129" s="92"/>
      <c r="MU129" s="92"/>
      <c r="MV129" s="92"/>
      <c r="MW129" s="92"/>
      <c r="MX129" s="92"/>
      <c r="MY129" s="92"/>
      <c r="MZ129" s="92"/>
      <c r="NA129" s="92"/>
      <c r="NB129" s="92"/>
      <c r="NC129" s="92"/>
      <c r="ND129" s="92"/>
      <c r="NE129" s="92"/>
      <c r="NF129" s="92"/>
      <c r="NG129" s="92"/>
      <c r="NH129" s="92"/>
      <c r="NI129" s="92"/>
      <c r="NJ129" s="92"/>
      <c r="NK129" s="92"/>
      <c r="NL129" s="92"/>
      <c r="NM129" s="92"/>
      <c r="NN129" s="92"/>
      <c r="NO129" s="92"/>
      <c r="NP129" s="92"/>
      <c r="NQ129" s="92"/>
      <c r="NR129" s="92"/>
      <c r="NS129" s="92"/>
      <c r="NT129" s="92"/>
      <c r="NU129" s="92"/>
      <c r="NV129" s="92"/>
      <c r="NW129" s="92"/>
      <c r="NX129" s="92"/>
      <c r="NY129" s="92"/>
      <c r="NZ129" s="92"/>
      <c r="OA129" s="92"/>
      <c r="OB129" s="92"/>
      <c r="OC129" s="92"/>
      <c r="OD129" s="92"/>
      <c r="OE129" s="92"/>
      <c r="OF129" s="92"/>
      <c r="OG129" s="92"/>
      <c r="OH129" s="92"/>
      <c r="OI129" s="92"/>
      <c r="OJ129" s="92"/>
      <c r="OK129" s="92"/>
      <c r="OL129" s="92"/>
      <c r="OM129" s="92"/>
      <c r="ON129" s="92"/>
      <c r="OO129" s="92"/>
      <c r="OP129" s="92"/>
      <c r="OQ129" s="92"/>
      <c r="OR129" s="92"/>
      <c r="OS129" s="92"/>
      <c r="OT129" s="92"/>
      <c r="OU129" s="92"/>
      <c r="OV129" s="92"/>
      <c r="OW129" s="92"/>
      <c r="OX129" s="92"/>
      <c r="OY129" s="92"/>
      <c r="OZ129" s="92"/>
      <c r="PA129" s="92"/>
      <c r="PB129" s="92"/>
      <c r="PC129" s="92"/>
      <c r="PD129" s="92"/>
      <c r="PE129" s="92"/>
      <c r="PF129" s="92"/>
      <c r="PG129" s="92"/>
      <c r="PH129" s="92"/>
      <c r="PI129" s="92"/>
      <c r="PJ129" s="92"/>
      <c r="PK129" s="92"/>
      <c r="PL129" s="92"/>
      <c r="PM129" s="92"/>
      <c r="PN129" s="92"/>
      <c r="PO129" s="92"/>
      <c r="PP129" s="92"/>
      <c r="PQ129" s="92"/>
      <c r="PR129" s="92"/>
      <c r="PS129" s="92"/>
      <c r="PT129" s="92"/>
      <c r="PU129" s="59"/>
      <c r="PV129" s="59" t="str">
        <f>IF(PU129="","",IF(COUNTIF(PU129:$PU$129,"&gt;&lt;")&gt;1,PU129&amp;", ", PU129))</f>
        <v/>
      </c>
      <c r="PW129" s="59"/>
      <c r="PX129" s="59"/>
      <c r="TJ129" s="18">
        <f t="shared" si="181"/>
        <v>127</v>
      </c>
      <c r="TK129" s="58" t="s">
        <v>587</v>
      </c>
      <c r="TL129" s="58" t="s">
        <v>448</v>
      </c>
      <c r="TM129" s="18">
        <v>1</v>
      </c>
      <c r="TN129" s="59" t="str">
        <f t="shared" si="167"/>
        <v xml:space="preserve">False Life ᴴ </v>
      </c>
      <c r="TO129" s="350" t="s">
        <v>2991</v>
      </c>
      <c r="TP129" s="18" t="str">
        <f t="shared" si="168"/>
        <v/>
      </c>
      <c r="TQ129" s="18" t="str">
        <f>IF(OR(TK129=Spellcasting!$AC$18,TK129=Spellcasting!$AC$19),"ᵐ","")</f>
        <v/>
      </c>
      <c r="TR129" s="18" t="str">
        <f>IF(OR(TK129=Spellcasting!$AC$20,TK129=Spellcasting!$AC$21),"ˢ","")</f>
        <v/>
      </c>
      <c r="TS129" s="18" t="str">
        <f>""</f>
        <v/>
      </c>
      <c r="TT129" s="18" t="s">
        <v>484</v>
      </c>
      <c r="TU129" s="18" t="s">
        <v>509</v>
      </c>
      <c r="TV129" s="18" t="s">
        <v>521</v>
      </c>
      <c r="TW129" s="18" t="s">
        <v>495</v>
      </c>
      <c r="TX129" s="59" t="s">
        <v>1396</v>
      </c>
      <c r="TY129" s="18" t="s">
        <v>506</v>
      </c>
      <c r="TZ129" s="18" t="s">
        <v>507</v>
      </c>
      <c r="UA129" s="142" t="s">
        <v>3210</v>
      </c>
      <c r="UB129" s="319" t="s">
        <v>1397</v>
      </c>
      <c r="UF129" s="18" t="str">
        <f ca="1">IF(UF$1&gt;=$TM129,1,"0")</f>
        <v>0</v>
      </c>
      <c r="UL129" s="18" t="str">
        <f t="shared" ref="UL129:UL134" ca="1" si="217">IF(UL$1&gt;=$TM129,1,"0")</f>
        <v>0</v>
      </c>
      <c r="WD129" s="18" t="str">
        <f ca="1">IF(SUM($VZ$1:$WC$1)&gt;0,IF(AND(SUM($VZ129:$WC129)&gt;0,$TM129=WE$1),MAX(WD$2:WD128)+1,""),IF(AND(SUM($UC129:$VY129)&gt;0,$TM129=WE$1),MAX(WD$2:WD128)+1,""))</f>
        <v/>
      </c>
      <c r="WE129" s="59" t="str">
        <f t="shared" ca="1" si="169"/>
        <v/>
      </c>
      <c r="WF129" s="18" t="str">
        <f ca="1">IF(AND(SUM($UB129:$VY129)&gt;0,$TM129=WG$1),MAX(WF$2:WF128)+1,"")</f>
        <v/>
      </c>
      <c r="WG129" s="59" t="str">
        <f t="shared" ca="1" si="170"/>
        <v/>
      </c>
      <c r="WH129" s="18" t="str">
        <f ca="1">IF(AND(SUM($UB129:$VY129)&gt;0,$TM129=WI$1),MAX(WH$2:WH128)+1,"")</f>
        <v/>
      </c>
      <c r="WI129" s="59" t="str">
        <f t="shared" ca="1" si="171"/>
        <v/>
      </c>
      <c r="WJ129" s="18" t="str">
        <f ca="1">IF(AND(SUM($UB129:$VY129)&gt;0,$TM129=WK$1),MAX(WJ$2:WJ128)+1,"")</f>
        <v/>
      </c>
      <c r="WK129" s="59" t="str">
        <f t="shared" ca="1" si="172"/>
        <v/>
      </c>
      <c r="WL129" s="18" t="str">
        <f ca="1">IF(AND(SUM($UB129:$VY129)&gt;0,$TM129=WM$1),MAX(WL$2:WL128)+1,"")</f>
        <v/>
      </c>
      <c r="WM129" s="59" t="str">
        <f t="shared" ca="1" si="173"/>
        <v/>
      </c>
      <c r="WN129" s="18" t="str">
        <f ca="1">IF(AND(SUM($UB129:$VY129)&gt;0,$TM129=WO$1),MAX(WN$2:WN128)+1,"")</f>
        <v/>
      </c>
      <c r="WO129" s="59" t="str">
        <f t="shared" ca="1" si="174"/>
        <v/>
      </c>
      <c r="WP129" s="18" t="str">
        <f ca="1">IF(AND(SUM($UB129:$VY129)&gt;0,$TM129=WQ$1),MAX(WP$2:WP128)+1,"")</f>
        <v/>
      </c>
      <c r="WQ129" s="59" t="str">
        <f t="shared" ca="1" si="175"/>
        <v/>
      </c>
      <c r="WR129" s="18" t="str">
        <f ca="1">IF(AND(SUM($UB129:$VY129)&gt;0,$TM129=WS$1),MAX(WR$2:WR128)+1,"")</f>
        <v/>
      </c>
      <c r="WS129" s="59" t="str">
        <f t="shared" ca="1" si="176"/>
        <v/>
      </c>
      <c r="WT129" s="18" t="str">
        <f ca="1">IF(AND(SUM($UB129:$VY129)&gt;0,$TM129=WU$1),MAX(WT$2:WT128)+1,"")</f>
        <v/>
      </c>
      <c r="WU129" s="59" t="str">
        <f t="shared" ca="1" si="177"/>
        <v/>
      </c>
      <c r="WV129" s="18" t="str">
        <f ca="1">IF(AND(SUM($UB129:$VY129)&gt;0,$TM129=WW$1),MAX(WV$2:WV128)+1,"")</f>
        <v/>
      </c>
      <c r="WW129" s="59" t="str">
        <f t="shared" ca="1" si="178"/>
        <v/>
      </c>
      <c r="WX129" s="18" t="str">
        <f ca="1">IF(AND(SUM($UB129:$VY129)&gt;0,$TM129=WY$1),MAX(WX$2:WX128)+1,"")</f>
        <v/>
      </c>
      <c r="WY129" s="59" t="str">
        <f t="shared" ca="1" si="179"/>
        <v/>
      </c>
      <c r="WZ129" s="59"/>
      <c r="XC129" s="59" t="str">
        <f t="shared" ca="1" si="211"/>
        <v/>
      </c>
    </row>
    <row r="130" spans="258:627" ht="9.9499999999999993" customHeight="1" x14ac:dyDescent="0.2">
      <c r="IX130" s="58" t="s">
        <v>3655</v>
      </c>
      <c r="IY130" s="58" t="s">
        <v>3619</v>
      </c>
      <c r="IZ130" s="58" t="s">
        <v>202</v>
      </c>
      <c r="JA130" s="58" t="s">
        <v>890</v>
      </c>
      <c r="JB130" s="58" t="s">
        <v>3620</v>
      </c>
      <c r="TJ130" s="18">
        <f t="shared" si="181"/>
        <v>128</v>
      </c>
      <c r="TK130" s="58" t="s">
        <v>1236</v>
      </c>
      <c r="TL130" s="58" t="s">
        <v>460</v>
      </c>
      <c r="TM130" s="18">
        <v>3</v>
      </c>
      <c r="TN130" s="59" t="str">
        <f t="shared" si="167"/>
        <v xml:space="preserve">Fear </v>
      </c>
      <c r="TO130" s="18" t="str">
        <f>""</f>
        <v/>
      </c>
      <c r="TP130" s="18" t="str">
        <f t="shared" si="168"/>
        <v/>
      </c>
      <c r="TQ130" s="18" t="str">
        <f>IF(OR(TK130=Spellcasting!$AC$18,TK130=Spellcasting!$AC$19),"ᵐ","")</f>
        <v/>
      </c>
      <c r="TR130" s="18" t="str">
        <f>IF(OR(TK130=Spellcasting!$AC$20,TK130=Spellcasting!$AC$21),"ˢ","")</f>
        <v/>
      </c>
      <c r="TS130" s="18" t="str">
        <f>""</f>
        <v/>
      </c>
      <c r="TT130" s="18" t="s">
        <v>484</v>
      </c>
      <c r="TU130" s="18" t="s">
        <v>509</v>
      </c>
      <c r="TV130" s="18" t="s">
        <v>558</v>
      </c>
      <c r="TW130" s="18" t="s">
        <v>495</v>
      </c>
      <c r="TX130" s="59" t="s">
        <v>1450</v>
      </c>
      <c r="TY130" s="18" t="s">
        <v>523</v>
      </c>
      <c r="TZ130" s="18" t="s">
        <v>524</v>
      </c>
      <c r="UA130" s="142" t="s">
        <v>2235</v>
      </c>
      <c r="UB130" s="319" t="s">
        <v>1451</v>
      </c>
      <c r="UC130" s="18" t="str">
        <f ca="1">IF(UC$1&gt;=$TM130,1,"0")</f>
        <v>0</v>
      </c>
      <c r="UF130" s="18" t="str">
        <f ca="1">IF(UF$1&gt;=$TM130,1,"0")</f>
        <v>0</v>
      </c>
      <c r="UG130" s="18" t="str">
        <f ca="1">IF(UG$1&gt;=$TM130,1,"0")</f>
        <v>0</v>
      </c>
      <c r="UL130" s="18" t="str">
        <f t="shared" ca="1" si="217"/>
        <v>0</v>
      </c>
      <c r="VQ130" s="18" t="str">
        <f>IF(VQ$1&gt;=$TM130,1,"0")</f>
        <v>0</v>
      </c>
      <c r="WD130" s="18" t="str">
        <f ca="1">IF(SUM($VZ$1:$WC$1)&gt;0,IF(AND(SUM($VZ130:$WC130)&gt;0,$TM130=WE$1),MAX(WD$2:WD129)+1,""),IF(AND(SUM($UC130:$VY130)&gt;0,$TM130=WE$1),MAX(WD$2:WD129)+1,""))</f>
        <v/>
      </c>
      <c r="WE130" s="59" t="str">
        <f t="shared" ca="1" si="169"/>
        <v/>
      </c>
      <c r="WF130" s="18" t="str">
        <f ca="1">IF(AND(SUM($UB130:$VY130)&gt;0,$TM130=WG$1),MAX(WF$2:WF129)+1,"")</f>
        <v/>
      </c>
      <c r="WG130" s="59" t="str">
        <f t="shared" ca="1" si="170"/>
        <v/>
      </c>
      <c r="WH130" s="18" t="str">
        <f ca="1">IF(AND(SUM($UB130:$VY130)&gt;0,$TM130=WI$1),MAX(WH$2:WH129)+1,"")</f>
        <v/>
      </c>
      <c r="WI130" s="59" t="str">
        <f t="shared" ca="1" si="171"/>
        <v/>
      </c>
      <c r="WJ130" s="18" t="str">
        <f ca="1">IF(AND(SUM($UB130:$VY130)&gt;0,$TM130=WK$1),MAX(WJ$2:WJ129)+1,"")</f>
        <v/>
      </c>
      <c r="WK130" s="59" t="str">
        <f t="shared" ca="1" si="172"/>
        <v/>
      </c>
      <c r="WL130" s="18" t="str">
        <f ca="1">IF(AND(SUM($UB130:$VY130)&gt;0,$TM130=WM$1),MAX(WL$2:WL129)+1,"")</f>
        <v/>
      </c>
      <c r="WM130" s="59" t="str">
        <f t="shared" ca="1" si="173"/>
        <v/>
      </c>
      <c r="WN130" s="18" t="str">
        <f ca="1">IF(AND(SUM($UB130:$VY130)&gt;0,$TM130=WO$1),MAX(WN$2:WN129)+1,"")</f>
        <v/>
      </c>
      <c r="WO130" s="59" t="str">
        <f t="shared" ca="1" si="174"/>
        <v/>
      </c>
      <c r="WP130" s="18" t="str">
        <f ca="1">IF(AND(SUM($UB130:$VY130)&gt;0,$TM130=WQ$1),MAX(WP$2:WP129)+1,"")</f>
        <v/>
      </c>
      <c r="WQ130" s="59" t="str">
        <f t="shared" ca="1" si="175"/>
        <v/>
      </c>
      <c r="WR130" s="18" t="str">
        <f ca="1">IF(AND(SUM($UB130:$VY130)&gt;0,$TM130=WS$1),MAX(WR$2:WR129)+1,"")</f>
        <v/>
      </c>
      <c r="WS130" s="59" t="str">
        <f t="shared" ca="1" si="176"/>
        <v/>
      </c>
      <c r="WT130" s="18" t="str">
        <f ca="1">IF(AND(SUM($UB130:$VY130)&gt;0,$TM130=WU$1),MAX(WT$2:WT129)+1,"")</f>
        <v/>
      </c>
      <c r="WU130" s="59" t="str">
        <f t="shared" ca="1" si="177"/>
        <v/>
      </c>
      <c r="WV130" s="18" t="str">
        <f ca="1">IF(AND(SUM($UB130:$VY130)&gt;0,$TM130=WW$1),MAX(WV$2:WV129)+1,"")</f>
        <v/>
      </c>
      <c r="WW130" s="59" t="str">
        <f t="shared" ca="1" si="178"/>
        <v/>
      </c>
      <c r="WX130" s="18" t="str">
        <f ca="1">IF(AND(SUM($UB130:$VY130)&gt;0,$TM130=WY$1),MAX(WX$2:WX129)+1,"")</f>
        <v/>
      </c>
      <c r="WY130" s="59" t="str">
        <f t="shared" ca="1" si="179"/>
        <v/>
      </c>
      <c r="WZ130" s="59"/>
      <c r="XC130" s="59" t="str">
        <f t="shared" ca="1" si="211"/>
        <v/>
      </c>
    </row>
    <row r="131" spans="258:627" ht="9.9499999999999993" customHeight="1" x14ac:dyDescent="0.2">
      <c r="IX131" s="58" t="s">
        <v>3656</v>
      </c>
      <c r="IY131" s="58" t="s">
        <v>3621</v>
      </c>
      <c r="IZ131" s="58" t="s">
        <v>202</v>
      </c>
      <c r="JA131" s="58" t="s">
        <v>888</v>
      </c>
      <c r="JB131" s="58" t="s">
        <v>1864</v>
      </c>
      <c r="TJ131" s="18">
        <f t="shared" si="181"/>
        <v>129</v>
      </c>
      <c r="TK131" s="58" t="s">
        <v>588</v>
      </c>
      <c r="TL131" s="58" t="s">
        <v>448</v>
      </c>
      <c r="TM131" s="18">
        <v>1</v>
      </c>
      <c r="TN131" s="59" t="str">
        <f t="shared" ref="TN131:TN194" si="218">TK131&amp;" "&amp;TO131&amp;TP131&amp;TQ131&amp;TR131</f>
        <v xml:space="preserve">Feather Fall </v>
      </c>
      <c r="TO131" s="18" t="str">
        <f>""</f>
        <v/>
      </c>
      <c r="TP131" s="18" t="str">
        <f t="shared" ref="TP131:TP194" si="219">IF(SUM(UY131:VE131)&gt;0,"ᵈ","")&amp;IF(SUM(UO131:UQ131)&gt;0,"ᵒ","")&amp;IF(SUM(VG131:VO131)&gt;0,"ᶜ","")</f>
        <v/>
      </c>
      <c r="TQ131" s="18" t="str">
        <f>IF(OR(TK131=Spellcasting!$AC$18,TK131=Spellcasting!$AC$19),"ᵐ","")</f>
        <v/>
      </c>
      <c r="TR131" s="18" t="str">
        <f>IF(OR(TK131=Spellcasting!$AC$20,TK131=Spellcasting!$AC$21),"ˢ","")</f>
        <v/>
      </c>
      <c r="TS131" s="18" t="str">
        <f>""</f>
        <v/>
      </c>
      <c r="TT131" s="18" t="s">
        <v>475</v>
      </c>
      <c r="TU131" s="18" t="s">
        <v>850</v>
      </c>
      <c r="TV131" s="18" t="s">
        <v>503</v>
      </c>
      <c r="TW131" s="18" t="s">
        <v>686</v>
      </c>
      <c r="TX131" s="59" t="s">
        <v>1398</v>
      </c>
      <c r="TY131" s="18" t="s">
        <v>491</v>
      </c>
      <c r="TZ131" s="18" t="s">
        <v>492</v>
      </c>
      <c r="UA131" s="59" t="s">
        <v>1399</v>
      </c>
      <c r="UB131" s="319" t="s">
        <v>1400</v>
      </c>
      <c r="UC131" s="18" t="str">
        <f ca="1">IF(UC$1&gt;=$TM131,1,"0")</f>
        <v>0</v>
      </c>
      <c r="UF131" s="18" t="str">
        <f ca="1">IF(UF$1&gt;=$TM131,1,"0")</f>
        <v>0</v>
      </c>
      <c r="UL131" s="18" t="str">
        <f t="shared" ca="1" si="217"/>
        <v>0</v>
      </c>
      <c r="WD131" s="18" t="str">
        <f ca="1">IF(SUM($VZ$1:$WC$1)&gt;0,IF(AND(SUM($VZ131:$WC131)&gt;0,$TM131=WE$1),MAX(WD$2:WD130)+1,""),IF(AND(SUM($UC131:$VY131)&gt;0,$TM131=WE$1),MAX(WD$2:WD130)+1,""))</f>
        <v/>
      </c>
      <c r="WE131" s="59" t="str">
        <f t="shared" ca="1" si="169"/>
        <v/>
      </c>
      <c r="WF131" s="18" t="str">
        <f ca="1">IF(AND(SUM($UB131:$VY131)&gt;0,$TM131=WG$1),MAX(WF$2:WF130)+1,"")</f>
        <v/>
      </c>
      <c r="WG131" s="59" t="str">
        <f t="shared" ca="1" si="170"/>
        <v/>
      </c>
      <c r="WH131" s="18" t="str">
        <f ca="1">IF(AND(SUM($UB131:$VY131)&gt;0,$TM131=WI$1),MAX(WH$2:WH130)+1,"")</f>
        <v/>
      </c>
      <c r="WI131" s="59" t="str">
        <f t="shared" ca="1" si="171"/>
        <v/>
      </c>
      <c r="WJ131" s="18" t="str">
        <f ca="1">IF(AND(SUM($UB131:$VY131)&gt;0,$TM131=WK$1),MAX(WJ$2:WJ130)+1,"")</f>
        <v/>
      </c>
      <c r="WK131" s="59" t="str">
        <f t="shared" ca="1" si="172"/>
        <v/>
      </c>
      <c r="WL131" s="18" t="str">
        <f ca="1">IF(AND(SUM($UB131:$VY131)&gt;0,$TM131=WM$1),MAX(WL$2:WL130)+1,"")</f>
        <v/>
      </c>
      <c r="WM131" s="59" t="str">
        <f t="shared" ca="1" si="173"/>
        <v/>
      </c>
      <c r="WN131" s="18" t="str">
        <f ca="1">IF(AND(SUM($UB131:$VY131)&gt;0,$TM131=WO$1),MAX(WN$2:WN130)+1,"")</f>
        <v/>
      </c>
      <c r="WO131" s="59" t="str">
        <f t="shared" ca="1" si="174"/>
        <v/>
      </c>
      <c r="WP131" s="18" t="str">
        <f ca="1">IF(AND(SUM($UB131:$VY131)&gt;0,$TM131=WQ$1),MAX(WP$2:WP130)+1,"")</f>
        <v/>
      </c>
      <c r="WQ131" s="59" t="str">
        <f t="shared" ca="1" si="175"/>
        <v/>
      </c>
      <c r="WR131" s="18" t="str">
        <f ca="1">IF(AND(SUM($UB131:$VY131)&gt;0,$TM131=WS$1),MAX(WR$2:WR130)+1,"")</f>
        <v/>
      </c>
      <c r="WS131" s="59" t="str">
        <f t="shared" ca="1" si="176"/>
        <v/>
      </c>
      <c r="WT131" s="18" t="str">
        <f ca="1">IF(AND(SUM($UB131:$VY131)&gt;0,$TM131=WU$1),MAX(WT$2:WT130)+1,"")</f>
        <v/>
      </c>
      <c r="WU131" s="59" t="str">
        <f t="shared" ca="1" si="177"/>
        <v/>
      </c>
      <c r="WV131" s="18" t="str">
        <f ca="1">IF(AND(SUM($UB131:$VY131)&gt;0,$TM131=WW$1),MAX(WV$2:WV130)+1,"")</f>
        <v/>
      </c>
      <c r="WW131" s="59" t="str">
        <f t="shared" ca="1" si="178"/>
        <v/>
      </c>
      <c r="WX131" s="18" t="str">
        <f ca="1">IF(AND(SUM($UB131:$VY131)&gt;0,$TM131=WY$1),MAX(WX$2:WX130)+1,"")</f>
        <v/>
      </c>
      <c r="WY131" s="59" t="str">
        <f t="shared" ca="1" si="179"/>
        <v/>
      </c>
      <c r="WZ131" s="59"/>
      <c r="XC131" s="59" t="str">
        <f t="shared" ca="1" si="211"/>
        <v/>
      </c>
    </row>
    <row r="132" spans="258:627" ht="9.9499999999999993" customHeight="1" x14ac:dyDescent="0.2">
      <c r="IX132" s="58" t="s">
        <v>3657</v>
      </c>
      <c r="IY132" s="58" t="s">
        <v>3622</v>
      </c>
      <c r="IZ132" s="58" t="s">
        <v>200</v>
      </c>
      <c r="JA132" s="58" t="s">
        <v>284</v>
      </c>
      <c r="JB132" s="58" t="s">
        <v>3623</v>
      </c>
      <c r="TJ132" s="18">
        <f t="shared" si="181"/>
        <v>130</v>
      </c>
      <c r="TK132" s="58" t="s">
        <v>589</v>
      </c>
      <c r="TL132" s="58" t="s">
        <v>465</v>
      </c>
      <c r="TM132" s="18">
        <v>8</v>
      </c>
      <c r="TN132" s="59" t="str">
        <f t="shared" si="218"/>
        <v xml:space="preserve">Feeblemind </v>
      </c>
      <c r="TO132" s="18" t="str">
        <f>""</f>
        <v/>
      </c>
      <c r="TP132" s="18" t="str">
        <f t="shared" si="219"/>
        <v/>
      </c>
      <c r="TQ132" s="18" t="str">
        <f>IF(OR(TK132=Spellcasting!$AC$18,TK132=Spellcasting!$AC$19),"ᵐ","")</f>
        <v/>
      </c>
      <c r="TR132" s="18" t="str">
        <f>IF(OR(TK132=Spellcasting!$AC$20,TK132=Spellcasting!$AC$21),"ˢ","")</f>
        <v/>
      </c>
      <c r="TS132" s="18" t="str">
        <f>""</f>
        <v/>
      </c>
      <c r="TT132" s="18" t="s">
        <v>484</v>
      </c>
      <c r="TU132" s="18" t="s">
        <v>660</v>
      </c>
      <c r="TV132" s="18" t="s">
        <v>505</v>
      </c>
      <c r="TW132" s="18" t="s">
        <v>495</v>
      </c>
      <c r="TX132" s="59" t="s">
        <v>1996</v>
      </c>
      <c r="TY132" s="18" t="s">
        <v>498</v>
      </c>
      <c r="TZ132" s="18" t="s">
        <v>499</v>
      </c>
      <c r="UA132" s="142" t="s">
        <v>2236</v>
      </c>
      <c r="UB132" s="319" t="s">
        <v>2264</v>
      </c>
      <c r="UC132" s="18" t="str">
        <f ca="1">IF(UC$1&gt;=$TM132,1,"0")</f>
        <v>0</v>
      </c>
      <c r="UG132" s="18" t="str">
        <f ca="1">IF(UG$1&gt;=$TM132,1,"0")</f>
        <v>0</v>
      </c>
      <c r="UI132" s="18" t="str">
        <f ca="1">IF(UI$1&gt;=$TM132,1,"0")</f>
        <v>0</v>
      </c>
      <c r="UL132" s="18" t="str">
        <f t="shared" ca="1" si="217"/>
        <v>0</v>
      </c>
      <c r="WD132" s="18" t="str">
        <f ca="1">IF(SUM($VZ$1:$WC$1)&gt;0,IF(AND(SUM($VZ132:$WC132)&gt;0,$TM132=WE$1),MAX(WD$2:WD131)+1,""),IF(AND(SUM($UC132:$VY132)&gt;0,$TM132=WE$1),MAX(WD$2:WD131)+1,""))</f>
        <v/>
      </c>
      <c r="WE132" s="59" t="str">
        <f t="shared" ref="WE132:WE195" ca="1" si="220">IF(AND(WD132&lt;&gt;"",$TM132=WE$1),$TK132,"")</f>
        <v/>
      </c>
      <c r="WF132" s="18" t="str">
        <f ca="1">IF(AND(SUM($UB132:$VY132)&gt;0,$TM132=WG$1),MAX(WF$2:WF131)+1,"")</f>
        <v/>
      </c>
      <c r="WG132" s="59" t="str">
        <f t="shared" ref="WG132:WG195" ca="1" si="221">IF(AND(WF132&lt;&gt;"",$TM132=WG$1),$TK132,"")</f>
        <v/>
      </c>
      <c r="WH132" s="18" t="str">
        <f ca="1">IF(AND(SUM($UB132:$VY132)&gt;0,$TM132=WI$1),MAX(WH$2:WH131)+1,"")</f>
        <v/>
      </c>
      <c r="WI132" s="59" t="str">
        <f t="shared" ref="WI132:WI195" ca="1" si="222">IF(AND(WH132&lt;&gt;"",$TM132=WI$1),$TK132,"")</f>
        <v/>
      </c>
      <c r="WJ132" s="18" t="str">
        <f ca="1">IF(AND(SUM($UB132:$VY132)&gt;0,$TM132=WK$1),MAX(WJ$2:WJ131)+1,"")</f>
        <v/>
      </c>
      <c r="WK132" s="59" t="str">
        <f t="shared" ref="WK132:WK195" ca="1" si="223">IF(AND(WJ132&lt;&gt;"",$TM132=WK$1),$TK132,"")</f>
        <v/>
      </c>
      <c r="WL132" s="18" t="str">
        <f ca="1">IF(AND(SUM($UB132:$VY132)&gt;0,$TM132=WM$1),MAX(WL$2:WL131)+1,"")</f>
        <v/>
      </c>
      <c r="WM132" s="59" t="str">
        <f t="shared" ref="WM132:WM195" ca="1" si="224">IF(AND(WL132&lt;&gt;"",$TM132=WM$1),$TK132,"")</f>
        <v/>
      </c>
      <c r="WN132" s="18" t="str">
        <f ca="1">IF(AND(SUM($UB132:$VY132)&gt;0,$TM132=WO$1),MAX(WN$2:WN131)+1,"")</f>
        <v/>
      </c>
      <c r="WO132" s="59" t="str">
        <f t="shared" ref="WO132:WO195" ca="1" si="225">IF(AND(WN132&lt;&gt;"",$TM132=WO$1),$TK132,"")</f>
        <v/>
      </c>
      <c r="WP132" s="18" t="str">
        <f ca="1">IF(AND(SUM($UB132:$VY132)&gt;0,$TM132=WQ$1),MAX(WP$2:WP131)+1,"")</f>
        <v/>
      </c>
      <c r="WQ132" s="59" t="str">
        <f t="shared" ref="WQ132:WQ195" ca="1" si="226">IF(AND(WP132&lt;&gt;"",$TM132=WQ$1),$TK132,"")</f>
        <v/>
      </c>
      <c r="WR132" s="18" t="str">
        <f ca="1">IF(AND(SUM($UB132:$VY132)&gt;0,$TM132=WS$1),MAX(WR$2:WR131)+1,"")</f>
        <v/>
      </c>
      <c r="WS132" s="59" t="str">
        <f t="shared" ref="WS132:WS195" ca="1" si="227">IF(AND(WR132&lt;&gt;"",$TM132=WS$1),$TK132,"")</f>
        <v/>
      </c>
      <c r="WT132" s="18" t="str">
        <f ca="1">IF(AND(SUM($UB132:$VY132)&gt;0,$TM132=WU$1),MAX(WT$2:WT131)+1,"")</f>
        <v/>
      </c>
      <c r="WU132" s="59" t="str">
        <f t="shared" ref="WU132:WU195" ca="1" si="228">IF(AND(WT132&lt;&gt;"",$TM132=WU$1),$TK132,"")</f>
        <v/>
      </c>
      <c r="WV132" s="18" t="str">
        <f ca="1">IF(AND(SUM($UB132:$VY132)&gt;0,$TM132=WW$1),MAX(WV$2:WV131)+1,"")</f>
        <v/>
      </c>
      <c r="WW132" s="59" t="str">
        <f t="shared" ref="WW132:WW195" ca="1" si="229">IF(AND(WV132&lt;&gt;"",$TM132=WW$1),$TK132,"")</f>
        <v/>
      </c>
      <c r="WX132" s="18" t="str">
        <f ca="1">IF(AND(SUM($UB132:$VY132)&gt;0,$TM132=WY$1),MAX(WX$2:WX131)+1,"")</f>
        <v/>
      </c>
      <c r="WY132" s="59" t="str">
        <f t="shared" ref="WY132:WY195" ca="1" si="230">IF(AND(WX132&lt;&gt;"",$TM132=WY$1),$TK132,"")</f>
        <v/>
      </c>
      <c r="WZ132" s="59"/>
      <c r="XC132" s="59" t="str">
        <f t="shared" ca="1" si="211"/>
        <v/>
      </c>
    </row>
    <row r="133" spans="258:627" ht="9.9499999999999993" customHeight="1" x14ac:dyDescent="0.2">
      <c r="IX133" s="58" t="s">
        <v>3658</v>
      </c>
      <c r="IY133" s="58" t="s">
        <v>3624</v>
      </c>
      <c r="IZ133" s="58" t="s">
        <v>196</v>
      </c>
      <c r="JA133" s="58" t="s">
        <v>281</v>
      </c>
      <c r="JB133" s="58" t="s">
        <v>3670</v>
      </c>
      <c r="TJ133" s="18">
        <f t="shared" si="181"/>
        <v>131</v>
      </c>
      <c r="TK133" s="58" t="s">
        <v>1237</v>
      </c>
      <c r="TL133" s="58" t="s">
        <v>460</v>
      </c>
      <c r="TM133" s="18">
        <v>3</v>
      </c>
      <c r="TN133" s="59" t="str">
        <f t="shared" si="218"/>
        <v xml:space="preserve">Feign Death </v>
      </c>
      <c r="TO133" s="18" t="str">
        <f>""</f>
        <v/>
      </c>
      <c r="TP133" s="18" t="str">
        <f t="shared" si="219"/>
        <v/>
      </c>
      <c r="TQ133" s="18" t="str">
        <f>IF(OR(TK133=Spellcasting!$AC$18,TK133=Spellcasting!$AC$19),"ᵐ","")</f>
        <v/>
      </c>
      <c r="TR133" s="18" t="str">
        <f>IF(OR(TK133=Spellcasting!$AC$20,TK133=Spellcasting!$AC$21),"ˢ","")</f>
        <v/>
      </c>
      <c r="TS133" s="18" t="s">
        <v>477</v>
      </c>
      <c r="TT133" s="18" t="s">
        <v>501</v>
      </c>
      <c r="TU133" s="18" t="s">
        <v>519</v>
      </c>
      <c r="TV133" s="18" t="s">
        <v>521</v>
      </c>
      <c r="TW133" s="18" t="s">
        <v>495</v>
      </c>
      <c r="TX133" s="59" t="s">
        <v>1452</v>
      </c>
      <c r="TY133" s="18" t="s">
        <v>506</v>
      </c>
      <c r="TZ133" s="18" t="s">
        <v>507</v>
      </c>
      <c r="UA133" s="142" t="s">
        <v>2237</v>
      </c>
      <c r="UB133" s="319" t="s">
        <v>1453</v>
      </c>
      <c r="UC133" s="18" t="str">
        <f ca="1">IF(UC$1&gt;=$TM133,1,"0")</f>
        <v>0</v>
      </c>
      <c r="UH133" s="18" t="str">
        <f ca="1">IF(UH$1&gt;=$TM133,1,"0")</f>
        <v>0</v>
      </c>
      <c r="UI133" s="18" t="str">
        <f ca="1">IF(UI$1&gt;=$TM133,1,"0")</f>
        <v>0</v>
      </c>
      <c r="UL133" s="18" t="str">
        <f t="shared" ca="1" si="217"/>
        <v>0</v>
      </c>
      <c r="WD133" s="18" t="str">
        <f ca="1">IF(SUM($VZ$1:$WC$1)&gt;0,IF(AND(SUM($VZ133:$WC133)&gt;0,$TM133=WE$1),MAX(WD$2:WD132)+1,""),IF(AND(SUM($UC133:$VY133)&gt;0,$TM133=WE$1),MAX(WD$2:WD132)+1,""))</f>
        <v/>
      </c>
      <c r="WE133" s="59" t="str">
        <f t="shared" ca="1" si="220"/>
        <v/>
      </c>
      <c r="WF133" s="18" t="str">
        <f ca="1">IF(AND(SUM($UB133:$VY133)&gt;0,$TM133=WG$1),MAX(WF$2:WF132)+1,"")</f>
        <v/>
      </c>
      <c r="WG133" s="59" t="str">
        <f t="shared" ca="1" si="221"/>
        <v/>
      </c>
      <c r="WH133" s="18" t="str">
        <f ca="1">IF(AND(SUM($UB133:$VY133)&gt;0,$TM133=WI$1),MAX(WH$2:WH132)+1,"")</f>
        <v/>
      </c>
      <c r="WI133" s="59" t="str">
        <f t="shared" ca="1" si="222"/>
        <v/>
      </c>
      <c r="WJ133" s="18" t="str">
        <f ca="1">IF(AND(SUM($UB133:$VY133)&gt;0,$TM133=WK$1),MAX(WJ$2:WJ132)+1,"")</f>
        <v/>
      </c>
      <c r="WK133" s="59" t="str">
        <f t="shared" ca="1" si="223"/>
        <v/>
      </c>
      <c r="WL133" s="18" t="str">
        <f ca="1">IF(AND(SUM($UB133:$VY133)&gt;0,$TM133=WM$1),MAX(WL$2:WL132)+1,"")</f>
        <v/>
      </c>
      <c r="WM133" s="59" t="str">
        <f t="shared" ca="1" si="224"/>
        <v/>
      </c>
      <c r="WN133" s="18" t="str">
        <f ca="1">IF(AND(SUM($UB133:$VY133)&gt;0,$TM133=WO$1),MAX(WN$2:WN132)+1,"")</f>
        <v/>
      </c>
      <c r="WO133" s="59" t="str">
        <f t="shared" ca="1" si="225"/>
        <v/>
      </c>
      <c r="WP133" s="18" t="str">
        <f ca="1">IF(AND(SUM($UB133:$VY133)&gt;0,$TM133=WQ$1),MAX(WP$2:WP132)+1,"")</f>
        <v/>
      </c>
      <c r="WQ133" s="59" t="str">
        <f t="shared" ca="1" si="226"/>
        <v/>
      </c>
      <c r="WR133" s="18" t="str">
        <f ca="1">IF(AND(SUM($UB133:$VY133)&gt;0,$TM133=WS$1),MAX(WR$2:WR132)+1,"")</f>
        <v/>
      </c>
      <c r="WS133" s="59" t="str">
        <f t="shared" ca="1" si="227"/>
        <v/>
      </c>
      <c r="WT133" s="18" t="str">
        <f ca="1">IF(AND(SUM($UB133:$VY133)&gt;0,$TM133=WU$1),MAX(WT$2:WT132)+1,"")</f>
        <v/>
      </c>
      <c r="WU133" s="59" t="str">
        <f t="shared" ca="1" si="228"/>
        <v/>
      </c>
      <c r="WV133" s="18" t="str">
        <f ca="1">IF(AND(SUM($UB133:$VY133)&gt;0,$TM133=WW$1),MAX(WV$2:WV132)+1,"")</f>
        <v/>
      </c>
      <c r="WW133" s="59" t="str">
        <f t="shared" ca="1" si="229"/>
        <v/>
      </c>
      <c r="WX133" s="18" t="str">
        <f ca="1">IF(AND(SUM($UB133:$VY133)&gt;0,$TM133=WY$1),MAX(WX$2:WX132)+1,"")</f>
        <v/>
      </c>
      <c r="WY133" s="59" t="str">
        <f t="shared" ca="1" si="230"/>
        <v/>
      </c>
      <c r="WZ133" s="59"/>
      <c r="XC133" s="59" t="str">
        <f t="shared" ca="1" si="211"/>
        <v/>
      </c>
    </row>
    <row r="134" spans="258:627" ht="9.9499999999999993" customHeight="1" x14ac:dyDescent="0.2">
      <c r="IX134" s="58" t="s">
        <v>3659</v>
      </c>
      <c r="IY134" s="58" t="s">
        <v>3625</v>
      </c>
      <c r="IZ134" s="58" t="s">
        <v>197</v>
      </c>
      <c r="JA134" s="58" t="s">
        <v>283</v>
      </c>
      <c r="JB134" s="58" t="s">
        <v>3626</v>
      </c>
      <c r="TJ134" s="18">
        <f t="shared" ref="TJ134:TJ197" si="231">TJ133+1</f>
        <v>132</v>
      </c>
      <c r="TK134" s="58" t="s">
        <v>590</v>
      </c>
      <c r="TL134" s="58" t="s">
        <v>448</v>
      </c>
      <c r="TM134" s="18">
        <v>1</v>
      </c>
      <c r="TN134" s="59" t="str">
        <f t="shared" si="218"/>
        <v xml:space="preserve">Find Familiar </v>
      </c>
      <c r="TO134" s="18" t="str">
        <f>""</f>
        <v/>
      </c>
      <c r="TP134" s="18" t="str">
        <f t="shared" si="219"/>
        <v/>
      </c>
      <c r="TQ134" s="18" t="str">
        <f>IF(OR(TK134=Spellcasting!$AC$18,TK134=Spellcasting!$AC$19),"ᵐ","")</f>
        <v/>
      </c>
      <c r="TR134" s="18" t="str">
        <f>IF(OR(TK134=Spellcasting!$AC$20,TK134=Spellcasting!$AC$21),"ˢ","")</f>
        <v/>
      </c>
      <c r="TS134" s="18" t="s">
        <v>477</v>
      </c>
      <c r="TT134" s="18" t="s">
        <v>622</v>
      </c>
      <c r="TU134" s="18" t="s">
        <v>504</v>
      </c>
      <c r="TV134" s="18" t="s">
        <v>505</v>
      </c>
      <c r="TW134" s="18" t="s">
        <v>495</v>
      </c>
      <c r="TX134" s="59" t="s">
        <v>1401</v>
      </c>
      <c r="TY134" s="18" t="s">
        <v>516</v>
      </c>
      <c r="TZ134" s="18" t="s">
        <v>517</v>
      </c>
      <c r="UA134" s="142" t="s">
        <v>1402</v>
      </c>
      <c r="UB134" s="319" t="s">
        <v>1403</v>
      </c>
      <c r="UL134" s="18" t="str">
        <f t="shared" ca="1" si="217"/>
        <v>0</v>
      </c>
      <c r="WD134" s="18" t="str">
        <f ca="1">IF(SUM($VZ$1:$WC$1)&gt;0,IF(AND(SUM($VZ134:$WC134)&gt;0,$TM134=WE$1),MAX(WD$2:WD133)+1,""),IF(AND(SUM($UC134:$VY134)&gt;0,$TM134=WE$1),MAX(WD$2:WD133)+1,""))</f>
        <v/>
      </c>
      <c r="WE134" s="59" t="str">
        <f t="shared" ca="1" si="220"/>
        <v/>
      </c>
      <c r="WF134" s="18" t="str">
        <f ca="1">IF(AND(SUM($UB134:$VY134)&gt;0,$TM134=WG$1),MAX(WF$2:WF133)+1,"")</f>
        <v/>
      </c>
      <c r="WG134" s="59" t="str">
        <f t="shared" ca="1" si="221"/>
        <v/>
      </c>
      <c r="WH134" s="18" t="str">
        <f ca="1">IF(AND(SUM($UB134:$VY134)&gt;0,$TM134=WI$1),MAX(WH$2:WH133)+1,"")</f>
        <v/>
      </c>
      <c r="WI134" s="59" t="str">
        <f t="shared" ca="1" si="222"/>
        <v/>
      </c>
      <c r="WJ134" s="18" t="str">
        <f ca="1">IF(AND(SUM($UB134:$VY134)&gt;0,$TM134=WK$1),MAX(WJ$2:WJ133)+1,"")</f>
        <v/>
      </c>
      <c r="WK134" s="59" t="str">
        <f t="shared" ca="1" si="223"/>
        <v/>
      </c>
      <c r="WL134" s="18" t="str">
        <f ca="1">IF(AND(SUM($UB134:$VY134)&gt;0,$TM134=WM$1),MAX(WL$2:WL133)+1,"")</f>
        <v/>
      </c>
      <c r="WM134" s="59" t="str">
        <f t="shared" ca="1" si="224"/>
        <v/>
      </c>
      <c r="WN134" s="18" t="str">
        <f ca="1">IF(AND(SUM($UB134:$VY134)&gt;0,$TM134=WO$1),MAX(WN$2:WN133)+1,"")</f>
        <v/>
      </c>
      <c r="WO134" s="59" t="str">
        <f t="shared" ca="1" si="225"/>
        <v/>
      </c>
      <c r="WP134" s="18" t="str">
        <f ca="1">IF(AND(SUM($UB134:$VY134)&gt;0,$TM134=WQ$1),MAX(WP$2:WP133)+1,"")</f>
        <v/>
      </c>
      <c r="WQ134" s="59" t="str">
        <f t="shared" ca="1" si="226"/>
        <v/>
      </c>
      <c r="WR134" s="18" t="str">
        <f ca="1">IF(AND(SUM($UB134:$VY134)&gt;0,$TM134=WS$1),MAX(WR$2:WR133)+1,"")</f>
        <v/>
      </c>
      <c r="WS134" s="59" t="str">
        <f t="shared" ca="1" si="227"/>
        <v/>
      </c>
      <c r="WT134" s="18" t="str">
        <f ca="1">IF(AND(SUM($UB134:$VY134)&gt;0,$TM134=WU$1),MAX(WT$2:WT133)+1,"")</f>
        <v/>
      </c>
      <c r="WU134" s="59" t="str">
        <f t="shared" ca="1" si="228"/>
        <v/>
      </c>
      <c r="WV134" s="18" t="str">
        <f ca="1">IF(AND(SUM($UB134:$VY134)&gt;0,$TM134=WW$1),MAX(WV$2:WV133)+1,"")</f>
        <v/>
      </c>
      <c r="WW134" s="59" t="str">
        <f t="shared" ca="1" si="229"/>
        <v/>
      </c>
      <c r="WX134" s="18" t="str">
        <f ca="1">IF(AND(SUM($UB134:$VY134)&gt;0,$TM134=WY$1),MAX(WX$2:WX133)+1,"")</f>
        <v/>
      </c>
      <c r="WY134" s="59" t="str">
        <f t="shared" ca="1" si="230"/>
        <v/>
      </c>
      <c r="WZ134" s="59"/>
      <c r="XC134" s="59" t="str">
        <f t="shared" ca="1" si="211"/>
        <v/>
      </c>
    </row>
    <row r="135" spans="258:627" ht="9.9499999999999993" customHeight="1" x14ac:dyDescent="0.2">
      <c r="IX135" s="58" t="s">
        <v>3660</v>
      </c>
      <c r="IY135" s="58" t="s">
        <v>3627</v>
      </c>
      <c r="IZ135" s="58" t="s">
        <v>197</v>
      </c>
      <c r="JA135" s="58" t="s">
        <v>281</v>
      </c>
      <c r="JB135" s="58" t="s">
        <v>3628</v>
      </c>
      <c r="TJ135" s="18">
        <f t="shared" si="231"/>
        <v>133</v>
      </c>
      <c r="TK135" s="58" t="s">
        <v>2736</v>
      </c>
      <c r="TL135" s="58" t="s">
        <v>459</v>
      </c>
      <c r="TM135" s="18">
        <v>2</v>
      </c>
      <c r="TN135" s="59" t="str">
        <f t="shared" si="218"/>
        <v xml:space="preserve">Find Steed </v>
      </c>
      <c r="TO135" s="18" t="str">
        <f>""</f>
        <v/>
      </c>
      <c r="TP135" s="18" t="str">
        <f t="shared" si="219"/>
        <v/>
      </c>
      <c r="TQ135" s="18" t="str">
        <f>IF(OR(TK135=Spellcasting!$AC$18,TK135=Spellcasting!$AC$19),"ᵐ","")</f>
        <v/>
      </c>
      <c r="TR135" s="18" t="str">
        <f>IF(OR(TK135=Spellcasting!$AC$20,TK135=Spellcasting!$AC$21),"ˢ","")</f>
        <v/>
      </c>
      <c r="TS135" s="18" t="str">
        <f>""</f>
        <v/>
      </c>
      <c r="TT135" s="18" t="s">
        <v>582</v>
      </c>
      <c r="TU135" s="18" t="s">
        <v>851</v>
      </c>
      <c r="TV135" s="18" t="s">
        <v>505</v>
      </c>
      <c r="TW135" s="18" t="s">
        <v>486</v>
      </c>
      <c r="TY135" s="18" t="s">
        <v>516</v>
      </c>
      <c r="TZ135" s="18" t="s">
        <v>517</v>
      </c>
      <c r="UA135" s="142" t="s">
        <v>2737</v>
      </c>
      <c r="UB135" s="319" t="s">
        <v>3036</v>
      </c>
      <c r="UD135" s="18" t="str">
        <f ca="1">IF(UD$1&gt;=$TM135,1,"0")</f>
        <v>0</v>
      </c>
      <c r="WD135" s="18" t="str">
        <f ca="1">IF(SUM($VZ$1:$WC$1)&gt;0,IF(AND(SUM($VZ135:$WC135)&gt;0,$TM135=WE$1),MAX(WD$2:WD134)+1,""),IF(AND(SUM($UC135:$VY135)&gt;0,$TM135=WE$1),MAX(WD$2:WD134)+1,""))</f>
        <v/>
      </c>
      <c r="WE135" s="59" t="str">
        <f t="shared" ca="1" si="220"/>
        <v/>
      </c>
      <c r="WF135" s="18" t="str">
        <f ca="1">IF(AND(SUM($UB135:$VY135)&gt;0,$TM135=WG$1),MAX(WF$2:WF134)+1,"")</f>
        <v/>
      </c>
      <c r="WG135" s="59" t="str">
        <f t="shared" ca="1" si="221"/>
        <v/>
      </c>
      <c r="WH135" s="18" t="str">
        <f ca="1">IF(AND(SUM($UB135:$VY135)&gt;0,$TM135=WI$1),MAX(WH$2:WH134)+1,"")</f>
        <v/>
      </c>
      <c r="WI135" s="59" t="str">
        <f t="shared" ca="1" si="222"/>
        <v/>
      </c>
      <c r="WJ135" s="18" t="str">
        <f ca="1">IF(AND(SUM($UB135:$VY135)&gt;0,$TM135=WK$1),MAX(WJ$2:WJ134)+1,"")</f>
        <v/>
      </c>
      <c r="WK135" s="59" t="str">
        <f t="shared" ca="1" si="223"/>
        <v/>
      </c>
      <c r="WL135" s="18" t="str">
        <f ca="1">IF(AND(SUM($UB135:$VY135)&gt;0,$TM135=WM$1),MAX(WL$2:WL134)+1,"")</f>
        <v/>
      </c>
      <c r="WM135" s="59" t="str">
        <f t="shared" ca="1" si="224"/>
        <v/>
      </c>
      <c r="WN135" s="18" t="str">
        <f ca="1">IF(AND(SUM($UB135:$VY135)&gt;0,$TM135=WO$1),MAX(WN$2:WN134)+1,"")</f>
        <v/>
      </c>
      <c r="WO135" s="59" t="str">
        <f t="shared" ca="1" si="225"/>
        <v/>
      </c>
      <c r="WP135" s="18" t="str">
        <f ca="1">IF(AND(SUM($UB135:$VY135)&gt;0,$TM135=WQ$1),MAX(WP$2:WP134)+1,"")</f>
        <v/>
      </c>
      <c r="WQ135" s="59" t="str">
        <f t="shared" ca="1" si="226"/>
        <v/>
      </c>
      <c r="WR135" s="18" t="str">
        <f ca="1">IF(AND(SUM($UB135:$VY135)&gt;0,$TM135=WS$1),MAX(WR$2:WR134)+1,"")</f>
        <v/>
      </c>
      <c r="WS135" s="59" t="str">
        <f t="shared" ca="1" si="227"/>
        <v/>
      </c>
      <c r="WT135" s="18" t="str">
        <f ca="1">IF(AND(SUM($UB135:$VY135)&gt;0,$TM135=WU$1),MAX(WT$2:WT134)+1,"")</f>
        <v/>
      </c>
      <c r="WU135" s="59" t="str">
        <f t="shared" ca="1" si="228"/>
        <v/>
      </c>
      <c r="WV135" s="18" t="str">
        <f ca="1">IF(AND(SUM($UB135:$VY135)&gt;0,$TM135=WW$1),MAX(WV$2:WV134)+1,"")</f>
        <v/>
      </c>
      <c r="WW135" s="59" t="str">
        <f t="shared" ca="1" si="229"/>
        <v/>
      </c>
      <c r="WX135" s="18" t="str">
        <f ca="1">IF(AND(SUM($UB135:$VY135)&gt;0,$TM135=WY$1),MAX(WX$2:WX134)+1,"")</f>
        <v/>
      </c>
      <c r="WY135" s="59" t="str">
        <f t="shared" ca="1" si="230"/>
        <v/>
      </c>
      <c r="WZ135" s="59"/>
      <c r="XC135" s="59" t="str">
        <f t="shared" ca="1" si="211"/>
        <v/>
      </c>
    </row>
    <row r="136" spans="258:627" ht="9.9499999999999993" customHeight="1" x14ac:dyDescent="0.2">
      <c r="IX136" s="58" t="s">
        <v>3661</v>
      </c>
      <c r="IY136" s="58" t="s">
        <v>3629</v>
      </c>
      <c r="IZ136" s="58" t="s">
        <v>200</v>
      </c>
      <c r="JA136" s="58" t="s">
        <v>883</v>
      </c>
      <c r="JB136" s="58" t="s">
        <v>3630</v>
      </c>
      <c r="TJ136" s="18">
        <f t="shared" si="231"/>
        <v>134</v>
      </c>
      <c r="TK136" s="58" t="s">
        <v>1209</v>
      </c>
      <c r="TL136" s="58" t="s">
        <v>463</v>
      </c>
      <c r="TM136" s="18">
        <v>6</v>
      </c>
      <c r="TN136" s="59" t="str">
        <f t="shared" si="218"/>
        <v xml:space="preserve">Find the Path </v>
      </c>
      <c r="TO136" s="18" t="str">
        <f>""</f>
        <v/>
      </c>
      <c r="TP136" s="18" t="str">
        <f t="shared" si="219"/>
        <v/>
      </c>
      <c r="TQ136" s="18" t="str">
        <f>IF(OR(TK136=Spellcasting!$AC$18,TK136=Spellcasting!$AC$19),"ᵐ","")</f>
        <v/>
      </c>
      <c r="TR136" s="18" t="str">
        <f>IF(OR(TK136=Spellcasting!$AC$20,TK136=Spellcasting!$AC$21),"ˢ","")</f>
        <v/>
      </c>
      <c r="TS136" s="18" t="str">
        <f>""</f>
        <v/>
      </c>
      <c r="TT136" s="18" t="s">
        <v>503</v>
      </c>
      <c r="TU136" s="18" t="s">
        <v>509</v>
      </c>
      <c r="TV136" s="18" t="s">
        <v>641</v>
      </c>
      <c r="TW136" s="18" t="s">
        <v>495</v>
      </c>
      <c r="TX136" s="59" t="s">
        <v>1210</v>
      </c>
      <c r="TY136" s="18" t="s">
        <v>511</v>
      </c>
      <c r="TZ136" s="18" t="s">
        <v>512</v>
      </c>
      <c r="UA136" s="142" t="s">
        <v>2254</v>
      </c>
      <c r="UB136" s="319" t="s">
        <v>1211</v>
      </c>
      <c r="UC136" s="18" t="str">
        <f ca="1">IF(UC$1&gt;=$TM136,1,"0")</f>
        <v>0</v>
      </c>
      <c r="UH136" s="18" t="str">
        <f ca="1">IF(UH$1&gt;=$TM136,1,"0")</f>
        <v>0</v>
      </c>
      <c r="UI136" s="18" t="str">
        <f ca="1">IF(UI$1&gt;=$TM136,1,"0")</f>
        <v>0</v>
      </c>
      <c r="WD136" s="18" t="str">
        <f ca="1">IF(SUM($VZ$1:$WC$1)&gt;0,IF(AND(SUM($VZ136:$WC136)&gt;0,$TM136=WE$1),MAX(WD$2:WD135)+1,""),IF(AND(SUM($UC136:$VY136)&gt;0,$TM136=WE$1),MAX(WD$2:WD135)+1,""))</f>
        <v/>
      </c>
      <c r="WE136" s="59" t="str">
        <f t="shared" ca="1" si="220"/>
        <v/>
      </c>
      <c r="WF136" s="18" t="str">
        <f ca="1">IF(AND(SUM($UB136:$VY136)&gt;0,$TM136=WG$1),MAX(WF$2:WF135)+1,"")</f>
        <v/>
      </c>
      <c r="WG136" s="59" t="str">
        <f t="shared" ca="1" si="221"/>
        <v/>
      </c>
      <c r="WH136" s="18" t="str">
        <f ca="1">IF(AND(SUM($UB136:$VY136)&gt;0,$TM136=WI$1),MAX(WH$2:WH135)+1,"")</f>
        <v/>
      </c>
      <c r="WI136" s="59" t="str">
        <f t="shared" ca="1" si="222"/>
        <v/>
      </c>
      <c r="WJ136" s="18" t="str">
        <f ca="1">IF(AND(SUM($UB136:$VY136)&gt;0,$TM136=WK$1),MAX(WJ$2:WJ135)+1,"")</f>
        <v/>
      </c>
      <c r="WK136" s="59" t="str">
        <f t="shared" ca="1" si="223"/>
        <v/>
      </c>
      <c r="WL136" s="18" t="str">
        <f ca="1">IF(AND(SUM($UB136:$VY136)&gt;0,$TM136=WM$1),MAX(WL$2:WL135)+1,"")</f>
        <v/>
      </c>
      <c r="WM136" s="59" t="str">
        <f t="shared" ca="1" si="224"/>
        <v/>
      </c>
      <c r="WN136" s="18" t="str">
        <f ca="1">IF(AND(SUM($UB136:$VY136)&gt;0,$TM136=WO$1),MAX(WN$2:WN135)+1,"")</f>
        <v/>
      </c>
      <c r="WO136" s="59" t="str">
        <f t="shared" ca="1" si="225"/>
        <v/>
      </c>
      <c r="WP136" s="18" t="str">
        <f ca="1">IF(AND(SUM($UB136:$VY136)&gt;0,$TM136=WQ$1),MAX(WP$2:WP135)+1,"")</f>
        <v/>
      </c>
      <c r="WQ136" s="59" t="str">
        <f t="shared" ca="1" si="226"/>
        <v/>
      </c>
      <c r="WR136" s="18" t="str">
        <f ca="1">IF(AND(SUM($UB136:$VY136)&gt;0,$TM136=WS$1),MAX(WR$2:WR135)+1,"")</f>
        <v/>
      </c>
      <c r="WS136" s="59" t="str">
        <f t="shared" ca="1" si="227"/>
        <v/>
      </c>
      <c r="WT136" s="18" t="str">
        <f ca="1">IF(AND(SUM($UB136:$VY136)&gt;0,$TM136=WU$1),MAX(WT$2:WT135)+1,"")</f>
        <v/>
      </c>
      <c r="WU136" s="59" t="str">
        <f t="shared" ca="1" si="228"/>
        <v/>
      </c>
      <c r="WV136" s="18" t="str">
        <f ca="1">IF(AND(SUM($UB136:$VY136)&gt;0,$TM136=WW$1),MAX(WV$2:WV135)+1,"")</f>
        <v/>
      </c>
      <c r="WW136" s="59" t="str">
        <f t="shared" ca="1" si="229"/>
        <v/>
      </c>
      <c r="WX136" s="18" t="str">
        <f ca="1">IF(AND(SUM($UB136:$VY136)&gt;0,$TM136=WY$1),MAX(WX$2:WX135)+1,"")</f>
        <v/>
      </c>
      <c r="WY136" s="59" t="str">
        <f t="shared" ca="1" si="230"/>
        <v/>
      </c>
      <c r="WZ136" s="59"/>
      <c r="XC136" s="59" t="str">
        <f t="shared" ca="1" si="211"/>
        <v/>
      </c>
    </row>
    <row r="137" spans="258:627" ht="9.9499999999999993" customHeight="1" x14ac:dyDescent="0.2">
      <c r="IX137" s="58" t="s">
        <v>3662</v>
      </c>
      <c r="IY137" s="58" t="s">
        <v>3631</v>
      </c>
      <c r="IZ137" s="58" t="s">
        <v>203</v>
      </c>
      <c r="JA137" s="58" t="s">
        <v>282</v>
      </c>
      <c r="JB137" s="58" t="s">
        <v>3632</v>
      </c>
      <c r="TJ137" s="18">
        <f t="shared" si="231"/>
        <v>135</v>
      </c>
      <c r="TK137" s="58" t="s">
        <v>1973</v>
      </c>
      <c r="TL137" s="58" t="s">
        <v>459</v>
      </c>
      <c r="TM137" s="18">
        <v>2</v>
      </c>
      <c r="TN137" s="59" t="str">
        <f t="shared" si="218"/>
        <v xml:space="preserve">Find Traps </v>
      </c>
      <c r="TO137" s="18" t="str">
        <f>""</f>
        <v/>
      </c>
      <c r="TP137" s="18" t="str">
        <f t="shared" si="219"/>
        <v/>
      </c>
      <c r="TQ137" s="18" t="str">
        <f>IF(OR(TK137=Spellcasting!$AC$18,TK137=Spellcasting!$AC$19),"ᵐ","")</f>
        <v/>
      </c>
      <c r="TR137" s="18" t="str">
        <f>IF(OR(TK137=Spellcasting!$AC$20,TK137=Spellcasting!$AC$21),"ˢ","")</f>
        <v/>
      </c>
      <c r="TS137" s="18" t="str">
        <f>""</f>
        <v/>
      </c>
      <c r="TT137" s="18" t="s">
        <v>484</v>
      </c>
      <c r="TU137" s="18" t="s">
        <v>848</v>
      </c>
      <c r="TV137" s="18" t="s">
        <v>505</v>
      </c>
      <c r="TW137" s="18" t="s">
        <v>486</v>
      </c>
      <c r="TX137" s="59" t="str">
        <f>""</f>
        <v/>
      </c>
      <c r="TY137" s="18" t="s">
        <v>511</v>
      </c>
      <c r="TZ137" s="18" t="s">
        <v>512</v>
      </c>
      <c r="UA137" s="142" t="s">
        <v>2135</v>
      </c>
      <c r="UB137" s="319" t="s">
        <v>2136</v>
      </c>
      <c r="UH137" s="18" t="str">
        <f ca="1">IF(UH$1&gt;=$TM137,1,"0")</f>
        <v>0</v>
      </c>
      <c r="UI137" s="18" t="str">
        <f ca="1">IF(UI$1&gt;=$TM137,1,"0")</f>
        <v>0</v>
      </c>
      <c r="WD137" s="18" t="str">
        <f ca="1">IF(SUM($VZ$1:$WC$1)&gt;0,IF(AND(SUM($VZ137:$WC137)&gt;0,$TM137=WE$1),MAX(WD$2:WD136)+1,""),IF(AND(SUM($UC137:$VY137)&gt;0,$TM137=WE$1),MAX(WD$2:WD136)+1,""))</f>
        <v/>
      </c>
      <c r="WE137" s="59" t="str">
        <f t="shared" ca="1" si="220"/>
        <v/>
      </c>
      <c r="WF137" s="18" t="str">
        <f ca="1">IF(AND(SUM($UB137:$VY137)&gt;0,$TM137=WG$1),MAX(WF$2:WF136)+1,"")</f>
        <v/>
      </c>
      <c r="WG137" s="59" t="str">
        <f t="shared" ca="1" si="221"/>
        <v/>
      </c>
      <c r="WH137" s="18" t="str">
        <f ca="1">IF(AND(SUM($UB137:$VY137)&gt;0,$TM137=WI$1),MAX(WH$2:WH136)+1,"")</f>
        <v/>
      </c>
      <c r="WI137" s="59" t="str">
        <f t="shared" ca="1" si="222"/>
        <v/>
      </c>
      <c r="WJ137" s="18" t="str">
        <f ca="1">IF(AND(SUM($UB137:$VY137)&gt;0,$TM137=WK$1),MAX(WJ$2:WJ136)+1,"")</f>
        <v/>
      </c>
      <c r="WK137" s="59" t="str">
        <f t="shared" ca="1" si="223"/>
        <v/>
      </c>
      <c r="WL137" s="18" t="str">
        <f ca="1">IF(AND(SUM($UB137:$VY137)&gt;0,$TM137=WM$1),MAX(WL$2:WL136)+1,"")</f>
        <v/>
      </c>
      <c r="WM137" s="59" t="str">
        <f t="shared" ca="1" si="224"/>
        <v/>
      </c>
      <c r="WN137" s="18" t="str">
        <f ca="1">IF(AND(SUM($UB137:$VY137)&gt;0,$TM137=WO$1),MAX(WN$2:WN136)+1,"")</f>
        <v/>
      </c>
      <c r="WO137" s="59" t="str">
        <f t="shared" ca="1" si="225"/>
        <v/>
      </c>
      <c r="WP137" s="18" t="str">
        <f ca="1">IF(AND(SUM($UB137:$VY137)&gt;0,$TM137=WQ$1),MAX(WP$2:WP136)+1,"")</f>
        <v/>
      </c>
      <c r="WQ137" s="59" t="str">
        <f t="shared" ca="1" si="226"/>
        <v/>
      </c>
      <c r="WR137" s="18" t="str">
        <f ca="1">IF(AND(SUM($UB137:$VY137)&gt;0,$TM137=WS$1),MAX(WR$2:WR136)+1,"")</f>
        <v/>
      </c>
      <c r="WS137" s="59" t="str">
        <f t="shared" ca="1" si="227"/>
        <v/>
      </c>
      <c r="WT137" s="18" t="str">
        <f ca="1">IF(AND(SUM($UB137:$VY137)&gt;0,$TM137=WU$1),MAX(WT$2:WT136)+1,"")</f>
        <v/>
      </c>
      <c r="WU137" s="59" t="str">
        <f t="shared" ca="1" si="228"/>
        <v/>
      </c>
      <c r="WV137" s="18" t="str">
        <f ca="1">IF(AND(SUM($UB137:$VY137)&gt;0,$TM137=WW$1),MAX(WV$2:WV136)+1,"")</f>
        <v/>
      </c>
      <c r="WW137" s="59" t="str">
        <f t="shared" ca="1" si="229"/>
        <v/>
      </c>
      <c r="WX137" s="18" t="str">
        <f ca="1">IF(AND(SUM($UB137:$VY137)&gt;0,$TM137=WY$1),MAX(WX$2:WX136)+1,"")</f>
        <v/>
      </c>
      <c r="WY137" s="59" t="str">
        <f t="shared" ca="1" si="230"/>
        <v/>
      </c>
      <c r="WZ137" s="59"/>
      <c r="XC137" s="59" t="str">
        <f t="shared" ca="1" si="211"/>
        <v/>
      </c>
    </row>
    <row r="138" spans="258:627" ht="9.9499999999999993" customHeight="1" x14ac:dyDescent="0.2">
      <c r="IX138" s="58" t="s">
        <v>3663</v>
      </c>
      <c r="IY138" s="58" t="s">
        <v>3633</v>
      </c>
      <c r="IZ138" s="58" t="s">
        <v>203</v>
      </c>
      <c r="JA138" s="58" t="s">
        <v>283</v>
      </c>
      <c r="JB138" s="58" t="s">
        <v>3634</v>
      </c>
      <c r="TJ138" s="18">
        <f t="shared" si="231"/>
        <v>136</v>
      </c>
      <c r="TK138" s="58" t="s">
        <v>591</v>
      </c>
      <c r="TL138" s="58" t="s">
        <v>464</v>
      </c>
      <c r="TM138" s="18">
        <v>7</v>
      </c>
      <c r="TN138" s="59" t="str">
        <f t="shared" si="218"/>
        <v xml:space="preserve">Finger of Death </v>
      </c>
      <c r="TO138" s="18" t="str">
        <f>""</f>
        <v/>
      </c>
      <c r="TP138" s="18" t="str">
        <f t="shared" si="219"/>
        <v/>
      </c>
      <c r="TQ138" s="18" t="str">
        <f>IF(OR(TK138=Spellcasting!$AC$18,TK138=Spellcasting!$AC$19),"ᵐ","")</f>
        <v/>
      </c>
      <c r="TR138" s="18" t="str">
        <f>IF(OR(TK138=Spellcasting!$AC$20,TK138=Spellcasting!$AC$21),"ˢ","")</f>
        <v/>
      </c>
      <c r="TS138" s="18" t="str">
        <f>""</f>
        <v/>
      </c>
      <c r="TT138" s="18" t="s">
        <v>484</v>
      </c>
      <c r="TU138" s="18" t="s">
        <v>850</v>
      </c>
      <c r="TV138" s="18" t="s">
        <v>505</v>
      </c>
      <c r="TW138" s="18" t="s">
        <v>486</v>
      </c>
      <c r="TX138" s="59" t="str">
        <f>""</f>
        <v/>
      </c>
      <c r="TY138" s="18" t="s">
        <v>506</v>
      </c>
      <c r="TZ138" s="18" t="s">
        <v>507</v>
      </c>
      <c r="UA138" s="142" t="s">
        <v>3211</v>
      </c>
      <c r="UB138" s="319" t="s">
        <v>2999</v>
      </c>
      <c r="UF138" s="18" t="str">
        <f ca="1">IF(UF$1&gt;=$TM138,1,"0")</f>
        <v>0</v>
      </c>
      <c r="UG138" s="18" t="str">
        <f ca="1">IF(UG$1&gt;=$TM138,1,"0")</f>
        <v>0</v>
      </c>
      <c r="UL138" s="18" t="str">
        <f ca="1">IF(UL$1&gt;=$TM138,1,"0")</f>
        <v>0</v>
      </c>
      <c r="WD138" s="18" t="str">
        <f ca="1">IF(SUM($VZ$1:$WC$1)&gt;0,IF(AND(SUM($VZ138:$WC138)&gt;0,$TM138=WE$1),MAX(WD$2:WD137)+1,""),IF(AND(SUM($UC138:$VY138)&gt;0,$TM138=WE$1),MAX(WD$2:WD137)+1,""))</f>
        <v/>
      </c>
      <c r="WE138" s="59" t="str">
        <f t="shared" ca="1" si="220"/>
        <v/>
      </c>
      <c r="WF138" s="18" t="str">
        <f ca="1">IF(AND(SUM($UB138:$VY138)&gt;0,$TM138=WG$1),MAX(WF$2:WF137)+1,"")</f>
        <v/>
      </c>
      <c r="WG138" s="59" t="str">
        <f t="shared" ca="1" si="221"/>
        <v/>
      </c>
      <c r="WH138" s="18" t="str">
        <f ca="1">IF(AND(SUM($UB138:$VY138)&gt;0,$TM138=WI$1),MAX(WH$2:WH137)+1,"")</f>
        <v/>
      </c>
      <c r="WI138" s="59" t="str">
        <f t="shared" ca="1" si="222"/>
        <v/>
      </c>
      <c r="WJ138" s="18" t="str">
        <f ca="1">IF(AND(SUM($UB138:$VY138)&gt;0,$TM138=WK$1),MAX(WJ$2:WJ137)+1,"")</f>
        <v/>
      </c>
      <c r="WK138" s="59" t="str">
        <f t="shared" ca="1" si="223"/>
        <v/>
      </c>
      <c r="WL138" s="18" t="str">
        <f ca="1">IF(AND(SUM($UB138:$VY138)&gt;0,$TM138=WM$1),MAX(WL$2:WL137)+1,"")</f>
        <v/>
      </c>
      <c r="WM138" s="59" t="str">
        <f t="shared" ca="1" si="224"/>
        <v/>
      </c>
      <c r="WN138" s="18" t="str">
        <f ca="1">IF(AND(SUM($UB138:$VY138)&gt;0,$TM138=WO$1),MAX(WN$2:WN137)+1,"")</f>
        <v/>
      </c>
      <c r="WO138" s="59" t="str">
        <f t="shared" ca="1" si="225"/>
        <v/>
      </c>
      <c r="WP138" s="18" t="str">
        <f ca="1">IF(AND(SUM($UB138:$VY138)&gt;0,$TM138=WQ$1),MAX(WP$2:WP137)+1,"")</f>
        <v/>
      </c>
      <c r="WQ138" s="59" t="str">
        <f t="shared" ca="1" si="226"/>
        <v/>
      </c>
      <c r="WR138" s="18" t="str">
        <f ca="1">IF(AND(SUM($UB138:$VY138)&gt;0,$TM138=WS$1),MAX(WR$2:WR137)+1,"")</f>
        <v/>
      </c>
      <c r="WS138" s="59" t="str">
        <f t="shared" ca="1" si="227"/>
        <v/>
      </c>
      <c r="WT138" s="18" t="str">
        <f ca="1">IF(AND(SUM($UB138:$VY138)&gt;0,$TM138=WU$1),MAX(WT$2:WT137)+1,"")</f>
        <v/>
      </c>
      <c r="WU138" s="59" t="str">
        <f t="shared" ca="1" si="228"/>
        <v/>
      </c>
      <c r="WV138" s="18" t="str">
        <f ca="1">IF(AND(SUM($UB138:$VY138)&gt;0,$TM138=WW$1),MAX(WV$2:WV137)+1,"")</f>
        <v/>
      </c>
      <c r="WW138" s="59" t="str">
        <f t="shared" ca="1" si="229"/>
        <v/>
      </c>
      <c r="WX138" s="18" t="str">
        <f ca="1">IF(AND(SUM($UB138:$VY138)&gt;0,$TM138=WY$1),MAX(WX$2:WX137)+1,"")</f>
        <v/>
      </c>
      <c r="WY138" s="59" t="str">
        <f t="shared" ca="1" si="230"/>
        <v/>
      </c>
      <c r="WZ138" s="59"/>
      <c r="XC138" s="59" t="str">
        <f t="shared" ca="1" si="211"/>
        <v/>
      </c>
    </row>
    <row r="139" spans="258:627" ht="9.9499999999999993" customHeight="1" x14ac:dyDescent="0.2">
      <c r="IX139" s="58" t="s">
        <v>3664</v>
      </c>
      <c r="IY139" s="58" t="s">
        <v>3635</v>
      </c>
      <c r="IZ139" s="58" t="s">
        <v>203</v>
      </c>
      <c r="JA139" s="58" t="s">
        <v>281</v>
      </c>
      <c r="JB139" s="58" t="s">
        <v>3636</v>
      </c>
      <c r="TJ139" s="18">
        <f t="shared" si="231"/>
        <v>137</v>
      </c>
      <c r="TK139" s="58" t="s">
        <v>847</v>
      </c>
      <c r="TL139" s="58" t="s">
        <v>1840</v>
      </c>
      <c r="TM139" s="18">
        <v>0.5</v>
      </c>
      <c r="TN139" s="59" t="str">
        <f t="shared" si="218"/>
        <v xml:space="preserve">Fire Bolt </v>
      </c>
      <c r="TO139" s="18" t="str">
        <f>""</f>
        <v/>
      </c>
      <c r="TP139" s="18" t="str">
        <f t="shared" si="219"/>
        <v/>
      </c>
      <c r="TQ139" s="18" t="str">
        <f>IF(OR(TK139=Spellcasting!$AC$18,TK139=Spellcasting!$AC$19),"ᵐ","")</f>
        <v/>
      </c>
      <c r="TR139" s="18" t="str">
        <f>IF(OR(TK139=Spellcasting!$AC$20,TK139=Spellcasting!$AC$21),"ˢ","")</f>
        <v/>
      </c>
      <c r="TS139" s="18" t="str">
        <f>""</f>
        <v/>
      </c>
      <c r="TT139" s="18" t="s">
        <v>484</v>
      </c>
      <c r="TU139" s="18" t="s">
        <v>848</v>
      </c>
      <c r="TV139" s="18" t="s">
        <v>505</v>
      </c>
      <c r="TW139" s="18" t="s">
        <v>486</v>
      </c>
      <c r="TX139" s="59" t="str">
        <f>""</f>
        <v/>
      </c>
      <c r="TY139" s="18" t="s">
        <v>534</v>
      </c>
      <c r="TZ139" s="18" t="s">
        <v>535</v>
      </c>
      <c r="UA139" s="142" t="s">
        <v>1858</v>
      </c>
      <c r="UB139" s="319" t="str">
        <f ca="1">"ranged, "&amp;IF(CharacterLevel&gt;16,"4d10",IF(CharacterLevel&gt;10,"3d10",IF(CharacterLevel&gt;4,"2d10","1d10")))&amp;IF(WizardEvocationLevel&gt;=10,"+"&amp;INTMod,IF(AD136=TRUE,"+"&amp;CHAMod,""))&amp;" fire"</f>
        <v>ranged, 1d10 fire</v>
      </c>
      <c r="UF139" s="18" t="str">
        <f ca="1">IF(UF$1&gt;=$TM139,1,"0")</f>
        <v>0</v>
      </c>
      <c r="UL139" s="18" t="str">
        <f ca="1">IF(UL$1&gt;=$TM139,1,"0")</f>
        <v>0</v>
      </c>
      <c r="VP139" s="18" t="str">
        <f>IF(VP$1&gt;=$TM139,1,"0")</f>
        <v>0</v>
      </c>
      <c r="VQ139" s="18" t="str">
        <f>IF(VQ$1&gt;=$TM139,1,"0")</f>
        <v>0</v>
      </c>
      <c r="WB139" s="18" t="str">
        <f>IF(WB$1&gt;=$TM139,1,"0")</f>
        <v>0</v>
      </c>
      <c r="WC139" s="18"/>
      <c r="WD139" s="18" t="str">
        <f ca="1">IF(SUM($VZ$1:$WC$1)&gt;0,IF(AND(SUM($VZ139:$WC139)&gt;0,$TM139=WE$1),MAX(WD$2:WD138)+1,""),IF(AND(SUM($UC139:$VY139)&gt;0,$TM139=WE$1),MAX(WD$2:WD138)+1,""))</f>
        <v/>
      </c>
      <c r="WE139" s="59" t="str">
        <f t="shared" ca="1" si="220"/>
        <v/>
      </c>
      <c r="WF139" s="18" t="str">
        <f ca="1">IF(AND(SUM($UB139:$VY139)&gt;0,$TM139=WG$1),MAX(WF$2:WF138)+1,"")</f>
        <v/>
      </c>
      <c r="WG139" s="59" t="str">
        <f t="shared" ca="1" si="221"/>
        <v/>
      </c>
      <c r="WH139" s="18" t="str">
        <f ca="1">IF(AND(SUM($UB139:$VY139)&gt;0,$TM139=WI$1),MAX(WH$2:WH138)+1,"")</f>
        <v/>
      </c>
      <c r="WI139" s="59" t="str">
        <f t="shared" ca="1" si="222"/>
        <v/>
      </c>
      <c r="WJ139" s="18" t="str">
        <f ca="1">IF(AND(SUM($UB139:$VY139)&gt;0,$TM139=WK$1),MAX(WJ$2:WJ138)+1,"")</f>
        <v/>
      </c>
      <c r="WK139" s="59" t="str">
        <f t="shared" ca="1" si="223"/>
        <v/>
      </c>
      <c r="WL139" s="18" t="str">
        <f ca="1">IF(AND(SUM($UB139:$VY139)&gt;0,$TM139=WM$1),MAX(WL$2:WL138)+1,"")</f>
        <v/>
      </c>
      <c r="WM139" s="59" t="str">
        <f t="shared" ca="1" si="224"/>
        <v/>
      </c>
      <c r="WN139" s="18" t="str">
        <f ca="1">IF(AND(SUM($UB139:$VY139)&gt;0,$TM139=WO$1),MAX(WN$2:WN138)+1,"")</f>
        <v/>
      </c>
      <c r="WO139" s="59" t="str">
        <f t="shared" ca="1" si="225"/>
        <v/>
      </c>
      <c r="WP139" s="18" t="str">
        <f ca="1">IF(AND(SUM($UB139:$VY139)&gt;0,$TM139=WQ$1),MAX(WP$2:WP138)+1,"")</f>
        <v/>
      </c>
      <c r="WQ139" s="59" t="str">
        <f t="shared" ca="1" si="226"/>
        <v/>
      </c>
      <c r="WR139" s="18" t="str">
        <f ca="1">IF(AND(SUM($UB139:$VY139)&gt;0,$TM139=WS$1),MAX(WR$2:WR138)+1,"")</f>
        <v/>
      </c>
      <c r="WS139" s="59" t="str">
        <f t="shared" ca="1" si="227"/>
        <v/>
      </c>
      <c r="WT139" s="18" t="str">
        <f ca="1">IF(AND(SUM($UB139:$VY139)&gt;0,$TM139=WU$1),MAX(WT$2:WT138)+1,"")</f>
        <v/>
      </c>
      <c r="WU139" s="59" t="str">
        <f t="shared" ca="1" si="228"/>
        <v/>
      </c>
      <c r="WV139" s="18" t="str">
        <f ca="1">IF(AND(SUM($UB139:$VY139)&gt;0,$TM139=WW$1),MAX(WV$2:WV138)+1,"")</f>
        <v/>
      </c>
      <c r="WW139" s="59" t="str">
        <f t="shared" ca="1" si="229"/>
        <v/>
      </c>
      <c r="WX139" s="18" t="str">
        <f ca="1">IF(AND(SUM($UB139:$VY139)&gt;0,$TM139=WY$1),MAX(WX$2:WX138)+1,"")</f>
        <v/>
      </c>
      <c r="WY139" s="59" t="str">
        <f t="shared" ca="1" si="230"/>
        <v/>
      </c>
      <c r="WZ139" s="59"/>
      <c r="XC139" s="59" t="str">
        <f t="shared" ca="1" si="211"/>
        <v/>
      </c>
    </row>
    <row r="140" spans="258:627" ht="9.9499999999999993" customHeight="1" x14ac:dyDescent="0.2">
      <c r="IX140" s="58" t="s">
        <v>3665</v>
      </c>
      <c r="IY140" s="58" t="s">
        <v>3637</v>
      </c>
      <c r="IZ140" s="58" t="s">
        <v>200</v>
      </c>
      <c r="JA140" s="58" t="s">
        <v>3638</v>
      </c>
      <c r="JB140" s="58" t="s">
        <v>3639</v>
      </c>
      <c r="TJ140" s="18">
        <f t="shared" si="231"/>
        <v>138</v>
      </c>
      <c r="TK140" s="58" t="s">
        <v>1250</v>
      </c>
      <c r="TL140" s="58" t="s">
        <v>461</v>
      </c>
      <c r="TM140" s="18">
        <v>4</v>
      </c>
      <c r="TN140" s="59" t="str">
        <f t="shared" si="218"/>
        <v xml:space="preserve">Fire Shield </v>
      </c>
      <c r="TO140" s="18" t="str">
        <f>""</f>
        <v/>
      </c>
      <c r="TP140" s="18" t="str">
        <f t="shared" si="219"/>
        <v/>
      </c>
      <c r="TQ140" s="18" t="str">
        <f>IF(OR(TK140=Spellcasting!$AC$18,TK140=Spellcasting!$AC$19),"ᵐ","")</f>
        <v/>
      </c>
      <c r="TR140" s="18" t="str">
        <f>IF(OR(TK140=Spellcasting!$AC$20,TK140=Spellcasting!$AC$21),"ˢ","")</f>
        <v/>
      </c>
      <c r="TS140" s="18" t="str">
        <f>""</f>
        <v/>
      </c>
      <c r="TT140" s="18" t="s">
        <v>484</v>
      </c>
      <c r="TU140" s="18" t="s">
        <v>509</v>
      </c>
      <c r="TV140" s="18" t="s">
        <v>582</v>
      </c>
      <c r="TW140" s="18" t="s">
        <v>495</v>
      </c>
      <c r="TX140" s="59" t="s">
        <v>1997</v>
      </c>
      <c r="TY140" s="18" t="s">
        <v>534</v>
      </c>
      <c r="TZ140" s="18" t="s">
        <v>535</v>
      </c>
      <c r="UA140" s="142" t="s">
        <v>2038</v>
      </c>
      <c r="UB140" s="319" t="str">
        <f ca="1">"resist cold/fire, 2d8"&amp;IF(WizardEvocationLevel&gt;=10,"+"&amp;INTMod,"")&amp;" cold/fire within 5ft if hit"</f>
        <v>resist cold/fire, 2d8 cold/fire within 5ft if hit</v>
      </c>
      <c r="UL140" s="18" t="str">
        <f ca="1">IF(UL$1&gt;=$TM140,1,"0")</f>
        <v>0</v>
      </c>
      <c r="UW140" s="18" t="str">
        <f>IF(UW$1&gt;=$TM140,1,"0")</f>
        <v>0</v>
      </c>
      <c r="VP140" s="18" t="str">
        <f>IF(VP$1&gt;=$TM140,1,"0")</f>
        <v>0</v>
      </c>
      <c r="WD140" s="18" t="str">
        <f ca="1">IF(SUM($VZ$1:$WC$1)&gt;0,IF(AND(SUM($VZ140:$WC140)&gt;0,$TM140=WE$1),MAX(WD$2:WD139)+1,""),IF(AND(SUM($UC140:$VY140)&gt;0,$TM140=WE$1),MAX(WD$2:WD139)+1,""))</f>
        <v/>
      </c>
      <c r="WE140" s="59" t="str">
        <f t="shared" ca="1" si="220"/>
        <v/>
      </c>
      <c r="WF140" s="18" t="str">
        <f ca="1">IF(AND(SUM($UB140:$VY140)&gt;0,$TM140=WG$1),MAX(WF$2:WF139)+1,"")</f>
        <v/>
      </c>
      <c r="WG140" s="59" t="str">
        <f t="shared" ca="1" si="221"/>
        <v/>
      </c>
      <c r="WH140" s="18" t="str">
        <f ca="1">IF(AND(SUM($UB140:$VY140)&gt;0,$TM140=WI$1),MAX(WH$2:WH139)+1,"")</f>
        <v/>
      </c>
      <c r="WI140" s="59" t="str">
        <f t="shared" ca="1" si="222"/>
        <v/>
      </c>
      <c r="WJ140" s="18" t="str">
        <f ca="1">IF(AND(SUM($UB140:$VY140)&gt;0,$TM140=WK$1),MAX(WJ$2:WJ139)+1,"")</f>
        <v/>
      </c>
      <c r="WK140" s="59" t="str">
        <f t="shared" ca="1" si="223"/>
        <v/>
      </c>
      <c r="WL140" s="18" t="str">
        <f ca="1">IF(AND(SUM($UB140:$VY140)&gt;0,$TM140=WM$1),MAX(WL$2:WL139)+1,"")</f>
        <v/>
      </c>
      <c r="WM140" s="59" t="str">
        <f t="shared" ca="1" si="224"/>
        <v/>
      </c>
      <c r="WN140" s="18" t="str">
        <f ca="1">IF(AND(SUM($UB140:$VY140)&gt;0,$TM140=WO$1),MAX(WN$2:WN139)+1,"")</f>
        <v/>
      </c>
      <c r="WO140" s="59" t="str">
        <f t="shared" ca="1" si="225"/>
        <v/>
      </c>
      <c r="WP140" s="18" t="str">
        <f ca="1">IF(AND(SUM($UB140:$VY140)&gt;0,$TM140=WQ$1),MAX(WP$2:WP139)+1,"")</f>
        <v/>
      </c>
      <c r="WQ140" s="59" t="str">
        <f t="shared" ca="1" si="226"/>
        <v/>
      </c>
      <c r="WR140" s="18" t="str">
        <f ca="1">IF(AND(SUM($UB140:$VY140)&gt;0,$TM140=WS$1),MAX(WR$2:WR139)+1,"")</f>
        <v/>
      </c>
      <c r="WS140" s="59" t="str">
        <f t="shared" ca="1" si="227"/>
        <v/>
      </c>
      <c r="WT140" s="18" t="str">
        <f ca="1">IF(AND(SUM($UB140:$VY140)&gt;0,$TM140=WU$1),MAX(WT$2:WT139)+1,"")</f>
        <v/>
      </c>
      <c r="WU140" s="59" t="str">
        <f t="shared" ca="1" si="228"/>
        <v/>
      </c>
      <c r="WV140" s="18" t="str">
        <f ca="1">IF(AND(SUM($UB140:$VY140)&gt;0,$TM140=WW$1),MAX(WV$2:WV139)+1,"")</f>
        <v/>
      </c>
      <c r="WW140" s="59" t="str">
        <f t="shared" ca="1" si="229"/>
        <v/>
      </c>
      <c r="WX140" s="18" t="str">
        <f ca="1">IF(AND(SUM($UB140:$VY140)&gt;0,$TM140=WY$1),MAX(WX$2:WX139)+1,"")</f>
        <v/>
      </c>
      <c r="WY140" s="59" t="str">
        <f t="shared" ca="1" si="230"/>
        <v/>
      </c>
      <c r="WZ140" s="59"/>
      <c r="XC140" s="59" t="str">
        <f t="shared" ca="1" si="211"/>
        <v/>
      </c>
    </row>
    <row r="141" spans="258:627" ht="9.9499999999999993" customHeight="1" x14ac:dyDescent="0.2">
      <c r="IX141" s="58" t="s">
        <v>3666</v>
      </c>
      <c r="IY141" s="58" t="s">
        <v>3640</v>
      </c>
      <c r="IZ141" s="58" t="s">
        <v>202</v>
      </c>
      <c r="JA141" s="58" t="s">
        <v>284</v>
      </c>
      <c r="JB141" s="58" t="s">
        <v>3641</v>
      </c>
      <c r="TJ141" s="18">
        <f>TJ140+1</f>
        <v>139</v>
      </c>
      <c r="TK141" s="58" t="s">
        <v>592</v>
      </c>
      <c r="TL141" s="58" t="s">
        <v>464</v>
      </c>
      <c r="TM141" s="18">
        <v>7</v>
      </c>
      <c r="TN141" s="59" t="str">
        <f t="shared" si="218"/>
        <v xml:space="preserve">Fire Storm </v>
      </c>
      <c r="TO141" s="18" t="str">
        <f>""</f>
        <v/>
      </c>
      <c r="TP141" s="18" t="str">
        <f t="shared" si="219"/>
        <v/>
      </c>
      <c r="TQ141" s="18" t="str">
        <f>IF(OR(TK141=Spellcasting!$AC$18,TK141=Spellcasting!$AC$19),"ᵐ","")</f>
        <v/>
      </c>
      <c r="TR141" s="18" t="str">
        <f>IF(OR(TK141=Spellcasting!$AC$20,TK141=Spellcasting!$AC$21),"ˢ","")</f>
        <v/>
      </c>
      <c r="TS141" s="18" t="str">
        <f>""</f>
        <v/>
      </c>
      <c r="TT141" s="18" t="s">
        <v>484</v>
      </c>
      <c r="TU141" s="18" t="s">
        <v>660</v>
      </c>
      <c r="TV141" s="18" t="s">
        <v>505</v>
      </c>
      <c r="TW141" s="18" t="s">
        <v>486</v>
      </c>
      <c r="TX141" s="59" t="str">
        <f>""</f>
        <v/>
      </c>
      <c r="TY141" s="18" t="s">
        <v>534</v>
      </c>
      <c r="TZ141" s="18" t="s">
        <v>535</v>
      </c>
      <c r="UA141" s="142" t="s">
        <v>2140</v>
      </c>
      <c r="UB141" s="319" t="str">
        <f ca="1">"ten 10ft cubes, 7d10"&amp;IF(AD6=TRUE,"+"&amp;CHAMod,"")&amp;" fire, dex save ½"</f>
        <v>ten 10ft cubes, 7d10 fire, dex save ½</v>
      </c>
      <c r="UF141" s="18" t="str">
        <f ca="1">IF(UF$1&gt;=$TM141,1,"0")</f>
        <v>0</v>
      </c>
      <c r="UH141" s="18" t="str">
        <f ca="1">IF(UH$1&gt;=$TM141,1,"0")</f>
        <v>0</v>
      </c>
      <c r="UI141" s="18" t="str">
        <f ca="1">IF(UI$1&gt;=$TM141,1,"0")</f>
        <v>0</v>
      </c>
      <c r="WD141" s="18" t="str">
        <f ca="1">IF(SUM($VZ$1:$WC$1)&gt;0,IF(AND(SUM($VZ141:$WC141)&gt;0,$TM141=WE$1),MAX(WD$2:WD140)+1,""),IF(AND(SUM($UC141:$VY141)&gt;0,$TM141=WE$1),MAX(WD$2:WD140)+1,""))</f>
        <v/>
      </c>
      <c r="WE141" s="59" t="str">
        <f t="shared" ca="1" si="220"/>
        <v/>
      </c>
      <c r="WF141" s="18" t="str">
        <f ca="1">IF(AND(SUM($UB141:$VY141)&gt;0,$TM141=WG$1),MAX(WF$2:WF140)+1,"")</f>
        <v/>
      </c>
      <c r="WG141" s="59" t="str">
        <f t="shared" ca="1" si="221"/>
        <v/>
      </c>
      <c r="WH141" s="18" t="str">
        <f ca="1">IF(AND(SUM($UB141:$VY141)&gt;0,$TM141=WI$1),MAX(WH$2:WH140)+1,"")</f>
        <v/>
      </c>
      <c r="WI141" s="59" t="str">
        <f t="shared" ca="1" si="222"/>
        <v/>
      </c>
      <c r="WJ141" s="18" t="str">
        <f ca="1">IF(AND(SUM($UB141:$VY141)&gt;0,$TM141=WK$1),MAX(WJ$2:WJ140)+1,"")</f>
        <v/>
      </c>
      <c r="WK141" s="59" t="str">
        <f t="shared" ca="1" si="223"/>
        <v/>
      </c>
      <c r="WL141" s="18" t="str">
        <f ca="1">IF(AND(SUM($UB141:$VY141)&gt;0,$TM141=WM$1),MAX(WL$2:WL140)+1,"")</f>
        <v/>
      </c>
      <c r="WM141" s="59" t="str">
        <f t="shared" ca="1" si="224"/>
        <v/>
      </c>
      <c r="WN141" s="18" t="str">
        <f ca="1">IF(AND(SUM($UB141:$VY141)&gt;0,$TM141=WO$1),MAX(WN$2:WN140)+1,"")</f>
        <v/>
      </c>
      <c r="WO141" s="59" t="str">
        <f t="shared" ca="1" si="225"/>
        <v/>
      </c>
      <c r="WP141" s="18" t="str">
        <f ca="1">IF(AND(SUM($UB141:$VY141)&gt;0,$TM141=WQ$1),MAX(WP$2:WP140)+1,"")</f>
        <v/>
      </c>
      <c r="WQ141" s="59" t="str">
        <f t="shared" ca="1" si="226"/>
        <v/>
      </c>
      <c r="WR141" s="18" t="str">
        <f ca="1">IF(AND(SUM($UB141:$VY141)&gt;0,$TM141=WS$1),MAX(WR$2:WR140)+1,"")</f>
        <v/>
      </c>
      <c r="WS141" s="59" t="str">
        <f t="shared" ca="1" si="227"/>
        <v/>
      </c>
      <c r="WT141" s="18" t="str">
        <f ca="1">IF(AND(SUM($UB141:$VY141)&gt;0,$TM141=WU$1),MAX(WT$2:WT140)+1,"")</f>
        <v/>
      </c>
      <c r="WU141" s="59" t="str">
        <f t="shared" ca="1" si="228"/>
        <v/>
      </c>
      <c r="WV141" s="18" t="str">
        <f ca="1">IF(AND(SUM($UB141:$VY141)&gt;0,$TM141=WW$1),MAX(WV$2:WV140)+1,"")</f>
        <v/>
      </c>
      <c r="WW141" s="59" t="str">
        <f t="shared" ca="1" si="229"/>
        <v/>
      </c>
      <c r="WX141" s="18" t="str">
        <f ca="1">IF(AND(SUM($UB141:$VY141)&gt;0,$TM141=WY$1),MAX(WX$2:WX140)+1,"")</f>
        <v/>
      </c>
      <c r="WY141" s="59" t="str">
        <f t="shared" ca="1" si="230"/>
        <v/>
      </c>
      <c r="WZ141" s="59"/>
      <c r="XC141" s="59" t="str">
        <f t="shared" ref="XC141:XC148" ca="1" si="232">IF(ISERROR(VLOOKUP($WZ141,$WH$1:$WI$5013,2,FALSE)),"",VLOOKUP($WZ141,$WH$1:$WI$5013,2,FALSE))</f>
        <v/>
      </c>
    </row>
    <row r="142" spans="258:627" ht="9.9499999999999993" customHeight="1" x14ac:dyDescent="0.2">
      <c r="IX142" s="58" t="s">
        <v>3667</v>
      </c>
      <c r="IY142" s="58" t="s">
        <v>3642</v>
      </c>
      <c r="IZ142" s="58" t="s">
        <v>200</v>
      </c>
      <c r="JA142" s="58" t="s">
        <v>888</v>
      </c>
      <c r="JB142" s="58" t="s">
        <v>3643</v>
      </c>
      <c r="TJ142" s="18">
        <f t="shared" si="231"/>
        <v>140</v>
      </c>
      <c r="TK142" s="58" t="s">
        <v>593</v>
      </c>
      <c r="TL142" s="58" t="s">
        <v>460</v>
      </c>
      <c r="TM142" s="18">
        <v>3</v>
      </c>
      <c r="TN142" s="59" t="str">
        <f t="shared" si="218"/>
        <v xml:space="preserve">Fireball ᴴ </v>
      </c>
      <c r="TO142" s="350" t="s">
        <v>2991</v>
      </c>
      <c r="TP142" s="18" t="str">
        <f t="shared" si="219"/>
        <v/>
      </c>
      <c r="TQ142" s="18" t="str">
        <f>IF(OR(TK142=Spellcasting!$AC$18,TK142=Spellcasting!$AC$19),"ᵐ","")</f>
        <v/>
      </c>
      <c r="TR142" s="18" t="str">
        <f>IF(OR(TK142=Spellcasting!$AC$20,TK142=Spellcasting!$AC$21),"ˢ","")</f>
        <v/>
      </c>
      <c r="TS142" s="18" t="str">
        <f>""</f>
        <v/>
      </c>
      <c r="TT142" s="18" t="s">
        <v>484</v>
      </c>
      <c r="TU142" s="18" t="s">
        <v>660</v>
      </c>
      <c r="TV142" s="18" t="s">
        <v>505</v>
      </c>
      <c r="TW142" s="18" t="s">
        <v>495</v>
      </c>
      <c r="TX142" s="59" t="s">
        <v>973</v>
      </c>
      <c r="TY142" s="18" t="s">
        <v>534</v>
      </c>
      <c r="TZ142" s="18" t="s">
        <v>535</v>
      </c>
      <c r="UA142" s="142" t="s">
        <v>3168</v>
      </c>
      <c r="UB142" s="319" t="str">
        <f ca="1">"20ft rad 8d6"&amp;IF(WizardEvocationLevel&gt;=10,"+"&amp;INTMod,IF(AD6=TRUE,"+"&amp;CHAMod,""))&amp;" fire, dex save ½"</f>
        <v>20ft rad 8d6 fire, dex save ½</v>
      </c>
      <c r="UF142" s="18" t="str">
        <f ca="1">IF(UF$1&gt;=$TM142,1,"0")</f>
        <v>0</v>
      </c>
      <c r="UL142" s="18" t="str">
        <f ca="1">IF(UL$1&gt;=$TM142,1,"0")</f>
        <v>0</v>
      </c>
      <c r="UW142" s="18" t="str">
        <f>IF(UW$1&gt;=$TM142,1,"0")</f>
        <v>0</v>
      </c>
      <c r="VA142" s="18" t="str">
        <f>IF(VA$1&gt;=$TM142,1,"0")</f>
        <v>0</v>
      </c>
      <c r="VP142" s="18" t="str">
        <f>IF(VP$1&gt;=$TM142,1,"0")</f>
        <v>0</v>
      </c>
      <c r="WD142" s="18" t="str">
        <f ca="1">IF(SUM($VZ$1:$WC$1)&gt;0,IF(AND(SUM($VZ142:$WC142)&gt;0,$TM142=WE$1),MAX(WD$2:WD141)+1,""),IF(AND(SUM($UC142:$VY142)&gt;0,$TM142=WE$1),MAX(WD$2:WD141)+1,""))</f>
        <v/>
      </c>
      <c r="WE142" s="59" t="str">
        <f t="shared" ca="1" si="220"/>
        <v/>
      </c>
      <c r="WF142" s="18" t="str">
        <f ca="1">IF(AND(SUM($UB142:$VY142)&gt;0,$TM142=WG$1),MAX(WF$2:WF141)+1,"")</f>
        <v/>
      </c>
      <c r="WG142" s="59" t="str">
        <f t="shared" ca="1" si="221"/>
        <v/>
      </c>
      <c r="WH142" s="18" t="str">
        <f ca="1">IF(AND(SUM($UB142:$VY142)&gt;0,$TM142=WI$1),MAX(WH$2:WH141)+1,"")</f>
        <v/>
      </c>
      <c r="WI142" s="59" t="str">
        <f t="shared" ca="1" si="222"/>
        <v/>
      </c>
      <c r="WJ142" s="18" t="str">
        <f ca="1">IF(AND(SUM($UB142:$VY142)&gt;0,$TM142=WK$1),MAX(WJ$2:WJ141)+1,"")</f>
        <v/>
      </c>
      <c r="WK142" s="59" t="str">
        <f t="shared" ca="1" si="223"/>
        <v/>
      </c>
      <c r="WL142" s="18" t="str">
        <f ca="1">IF(AND(SUM($UB142:$VY142)&gt;0,$TM142=WM$1),MAX(WL$2:WL141)+1,"")</f>
        <v/>
      </c>
      <c r="WM142" s="59" t="str">
        <f t="shared" ca="1" si="224"/>
        <v/>
      </c>
      <c r="WN142" s="18" t="str">
        <f ca="1">IF(AND(SUM($UB142:$VY142)&gt;0,$TM142=WO$1),MAX(WN$2:WN141)+1,"")</f>
        <v/>
      </c>
      <c r="WO142" s="59" t="str">
        <f t="shared" ca="1" si="225"/>
        <v/>
      </c>
      <c r="WP142" s="18" t="str">
        <f ca="1">IF(AND(SUM($UB142:$VY142)&gt;0,$TM142=WQ$1),MAX(WP$2:WP141)+1,"")</f>
        <v/>
      </c>
      <c r="WQ142" s="59" t="str">
        <f t="shared" ca="1" si="226"/>
        <v/>
      </c>
      <c r="WR142" s="18" t="str">
        <f ca="1">IF(AND(SUM($UB142:$VY142)&gt;0,$TM142=WS$1),MAX(WR$2:WR141)+1,"")</f>
        <v/>
      </c>
      <c r="WS142" s="59" t="str">
        <f t="shared" ca="1" si="227"/>
        <v/>
      </c>
      <c r="WT142" s="18" t="str">
        <f ca="1">IF(AND(SUM($UB142:$VY142)&gt;0,$TM142=WU$1),MAX(WT$2:WT141)+1,"")</f>
        <v/>
      </c>
      <c r="WU142" s="59" t="str">
        <f t="shared" ca="1" si="228"/>
        <v/>
      </c>
      <c r="WV142" s="18" t="str">
        <f ca="1">IF(AND(SUM($UB142:$VY142)&gt;0,$TM142=WW$1),MAX(WV$2:WV141)+1,"")</f>
        <v/>
      </c>
      <c r="WW142" s="59" t="str">
        <f t="shared" ca="1" si="229"/>
        <v/>
      </c>
      <c r="WX142" s="18" t="str">
        <f ca="1">IF(AND(SUM($UB142:$VY142)&gt;0,$TM142=WY$1),MAX(WX$2:WX141)+1,"")</f>
        <v/>
      </c>
      <c r="WY142" s="59" t="str">
        <f t="shared" ca="1" si="230"/>
        <v/>
      </c>
      <c r="WZ142" s="59"/>
      <c r="XC142" s="59" t="str">
        <f t="shared" ca="1" si="232"/>
        <v/>
      </c>
    </row>
    <row r="143" spans="258:627" ht="9.9499999999999993" customHeight="1" x14ac:dyDescent="0.2">
      <c r="IX143" s="58" t="s">
        <v>3668</v>
      </c>
      <c r="IY143" s="58" t="s">
        <v>3644</v>
      </c>
      <c r="IZ143" s="58" t="s">
        <v>196</v>
      </c>
      <c r="JA143" s="58" t="s">
        <v>282</v>
      </c>
      <c r="JB143" s="58" t="s">
        <v>245</v>
      </c>
      <c r="TJ143" s="18">
        <f t="shared" si="231"/>
        <v>141</v>
      </c>
      <c r="TK143" s="58" t="s">
        <v>594</v>
      </c>
      <c r="TL143" s="58" t="s">
        <v>459</v>
      </c>
      <c r="TM143" s="18">
        <v>2</v>
      </c>
      <c r="TN143" s="59" t="str">
        <f t="shared" si="218"/>
        <v xml:space="preserve">Flame Blade ᴴ </v>
      </c>
      <c r="TO143" s="350" t="s">
        <v>2991</v>
      </c>
      <c r="TP143" s="18" t="str">
        <f t="shared" si="219"/>
        <v/>
      </c>
      <c r="TQ143" s="18" t="str">
        <f>IF(OR(TK143=Spellcasting!$AC$18,TK143=Spellcasting!$AC$19),"ᵐ","")</f>
        <v/>
      </c>
      <c r="TR143" s="18" t="str">
        <f>IF(OR(TK143=Spellcasting!$AC$20,TK143=Spellcasting!$AC$21),"ˢ","")</f>
        <v/>
      </c>
      <c r="TS143" s="18" t="str">
        <f>""</f>
        <v/>
      </c>
      <c r="TT143" s="18" t="s">
        <v>1256</v>
      </c>
      <c r="TU143" s="18" t="s">
        <v>509</v>
      </c>
      <c r="TV143" s="18" t="s">
        <v>515</v>
      </c>
      <c r="TW143" s="18" t="s">
        <v>495</v>
      </c>
      <c r="TX143" s="59" t="s">
        <v>1324</v>
      </c>
      <c r="TY143" s="18" t="s">
        <v>534</v>
      </c>
      <c r="TZ143" s="18" t="s">
        <v>535</v>
      </c>
      <c r="UA143" s="142" t="s">
        <v>3169</v>
      </c>
      <c r="UB143" s="319" t="s">
        <v>2093</v>
      </c>
      <c r="UI143" s="18" t="str">
        <f ca="1">IF(UI$1&gt;=$TM143,1,"0")</f>
        <v>0</v>
      </c>
      <c r="WD143" s="18" t="str">
        <f ca="1">IF(SUM($VZ$1:$WC$1)&gt;0,IF(AND(SUM($VZ143:$WC143)&gt;0,$TM143=WE$1),MAX(WD$2:WD142)+1,""),IF(AND(SUM($UC143:$VY143)&gt;0,$TM143=WE$1),MAX(WD$2:WD142)+1,""))</f>
        <v/>
      </c>
      <c r="WE143" s="59" t="str">
        <f t="shared" ca="1" si="220"/>
        <v/>
      </c>
      <c r="WF143" s="18" t="str">
        <f ca="1">IF(AND(SUM($UB143:$VY143)&gt;0,$TM143=WG$1),MAX(WF$2:WF142)+1,"")</f>
        <v/>
      </c>
      <c r="WG143" s="59" t="str">
        <f t="shared" ca="1" si="221"/>
        <v/>
      </c>
      <c r="WH143" s="18" t="str">
        <f ca="1">IF(AND(SUM($UB143:$VY143)&gt;0,$TM143=WI$1),MAX(WH$2:WH142)+1,"")</f>
        <v/>
      </c>
      <c r="WI143" s="59" t="str">
        <f t="shared" ca="1" si="222"/>
        <v/>
      </c>
      <c r="WJ143" s="18" t="str">
        <f ca="1">IF(AND(SUM($UB143:$VY143)&gt;0,$TM143=WK$1),MAX(WJ$2:WJ142)+1,"")</f>
        <v/>
      </c>
      <c r="WK143" s="59" t="str">
        <f t="shared" ca="1" si="223"/>
        <v/>
      </c>
      <c r="WL143" s="18" t="str">
        <f ca="1">IF(AND(SUM($UB143:$VY143)&gt;0,$TM143=WM$1),MAX(WL$2:WL142)+1,"")</f>
        <v/>
      </c>
      <c r="WM143" s="59" t="str">
        <f t="shared" ca="1" si="224"/>
        <v/>
      </c>
      <c r="WN143" s="18" t="str">
        <f ca="1">IF(AND(SUM($UB143:$VY143)&gt;0,$TM143=WO$1),MAX(WN$2:WN142)+1,"")</f>
        <v/>
      </c>
      <c r="WO143" s="59" t="str">
        <f t="shared" ca="1" si="225"/>
        <v/>
      </c>
      <c r="WP143" s="18" t="str">
        <f ca="1">IF(AND(SUM($UB143:$VY143)&gt;0,$TM143=WQ$1),MAX(WP$2:WP142)+1,"")</f>
        <v/>
      </c>
      <c r="WQ143" s="59" t="str">
        <f t="shared" ca="1" si="226"/>
        <v/>
      </c>
      <c r="WR143" s="18" t="str">
        <f ca="1">IF(AND(SUM($UB143:$VY143)&gt;0,$TM143=WS$1),MAX(WR$2:WR142)+1,"")</f>
        <v/>
      </c>
      <c r="WS143" s="59" t="str">
        <f t="shared" ca="1" si="227"/>
        <v/>
      </c>
      <c r="WT143" s="18" t="str">
        <f ca="1">IF(AND(SUM($UB143:$VY143)&gt;0,$TM143=WU$1),MAX(WT$2:WT142)+1,"")</f>
        <v/>
      </c>
      <c r="WU143" s="59" t="str">
        <f t="shared" ca="1" si="228"/>
        <v/>
      </c>
      <c r="WV143" s="18" t="str">
        <f ca="1">IF(AND(SUM($UB143:$VY143)&gt;0,$TM143=WW$1),MAX(WV$2:WV142)+1,"")</f>
        <v/>
      </c>
      <c r="WW143" s="59" t="str">
        <f t="shared" ca="1" si="229"/>
        <v/>
      </c>
      <c r="WX143" s="18" t="str">
        <f ca="1">IF(AND(SUM($UB143:$VY143)&gt;0,$TM143=WY$1),MAX(WX$2:WX142)+1,"")</f>
        <v/>
      </c>
      <c r="WY143" s="59" t="str">
        <f t="shared" ca="1" si="230"/>
        <v/>
      </c>
      <c r="WZ143" s="59"/>
      <c r="XC143" s="59" t="str">
        <f t="shared" ca="1" si="232"/>
        <v/>
      </c>
    </row>
    <row r="144" spans="258:627" ht="9.9499999999999993" customHeight="1" x14ac:dyDescent="0.2">
      <c r="TJ144" s="18">
        <f t="shared" si="231"/>
        <v>142</v>
      </c>
      <c r="TK144" s="58" t="s">
        <v>595</v>
      </c>
      <c r="TL144" s="58" t="s">
        <v>462</v>
      </c>
      <c r="TM144" s="18">
        <v>5</v>
      </c>
      <c r="TN144" s="59" t="str">
        <f t="shared" si="218"/>
        <v xml:space="preserve">Flame Strike ᴴ </v>
      </c>
      <c r="TO144" s="350" t="s">
        <v>2991</v>
      </c>
      <c r="TP144" s="18" t="str">
        <f t="shared" si="219"/>
        <v/>
      </c>
      <c r="TQ144" s="18" t="str">
        <f>IF(OR(TK144=Spellcasting!$AC$18,TK144=Spellcasting!$AC$19),"ᵐ","")</f>
        <v/>
      </c>
      <c r="TR144" s="18" t="str">
        <f>IF(OR(TK144=Spellcasting!$AC$20,TK144=Spellcasting!$AC$21),"ˢ","")</f>
        <v/>
      </c>
      <c r="TS144" s="18" t="str">
        <f>""</f>
        <v/>
      </c>
      <c r="TT144" s="18" t="s">
        <v>484</v>
      </c>
      <c r="TU144" s="18" t="s">
        <v>850</v>
      </c>
      <c r="TV144" s="18" t="s">
        <v>505</v>
      </c>
      <c r="TW144" s="18" t="s">
        <v>495</v>
      </c>
      <c r="TX144" s="59" t="s">
        <v>2062</v>
      </c>
      <c r="TY144" s="18" t="s">
        <v>534</v>
      </c>
      <c r="TZ144" s="18" t="s">
        <v>535</v>
      </c>
      <c r="UA144" s="142" t="s">
        <v>2141</v>
      </c>
      <c r="UB144" s="319" t="s">
        <v>2142</v>
      </c>
      <c r="UH144" s="18" t="str">
        <f ca="1">IF(UH$1&gt;=$TM144,1,"0")</f>
        <v>0</v>
      </c>
      <c r="UO144" s="18" t="str">
        <f>IF(UO$1&gt;=$TM144,1,"0")</f>
        <v>0</v>
      </c>
      <c r="UW144" s="18" t="str">
        <f>IF(UW$1&gt;=$TM144,1,"0")</f>
        <v>0</v>
      </c>
      <c r="VA144" s="18" t="str">
        <f>IF(VA$1&gt;=$TM144,1,"0")</f>
        <v>0</v>
      </c>
      <c r="VE144" s="18" t="str">
        <f>IF(VE$1&gt;=$TM144,1,"0")</f>
        <v>0</v>
      </c>
      <c r="WD144" s="18" t="str">
        <f ca="1">IF(SUM($VZ$1:$WC$1)&gt;0,IF(AND(SUM($VZ144:$WC144)&gt;0,$TM144=WE$1),MAX(WD$2:WD143)+1,""),IF(AND(SUM($UC144:$VY144)&gt;0,$TM144=WE$1),MAX(WD$2:WD143)+1,""))</f>
        <v/>
      </c>
      <c r="WE144" s="59" t="str">
        <f t="shared" ca="1" si="220"/>
        <v/>
      </c>
      <c r="WF144" s="18" t="str">
        <f ca="1">IF(AND(SUM($UB144:$VY144)&gt;0,$TM144=WG$1),MAX(WF$2:WF143)+1,"")</f>
        <v/>
      </c>
      <c r="WG144" s="59" t="str">
        <f t="shared" ca="1" si="221"/>
        <v/>
      </c>
      <c r="WH144" s="18" t="str">
        <f ca="1">IF(AND(SUM($UB144:$VY144)&gt;0,$TM144=WI$1),MAX(WH$2:WH143)+1,"")</f>
        <v/>
      </c>
      <c r="WI144" s="59" t="str">
        <f t="shared" ca="1" si="222"/>
        <v/>
      </c>
      <c r="WJ144" s="18" t="str">
        <f ca="1">IF(AND(SUM($UB144:$VY144)&gt;0,$TM144=WK$1),MAX(WJ$2:WJ143)+1,"")</f>
        <v/>
      </c>
      <c r="WK144" s="59" t="str">
        <f t="shared" ca="1" si="223"/>
        <v/>
      </c>
      <c r="WL144" s="18" t="str">
        <f ca="1">IF(AND(SUM($UB144:$VY144)&gt;0,$TM144=WM$1),MAX(WL$2:WL143)+1,"")</f>
        <v/>
      </c>
      <c r="WM144" s="59" t="str">
        <f t="shared" ca="1" si="224"/>
        <v/>
      </c>
      <c r="WN144" s="18" t="str">
        <f ca="1">IF(AND(SUM($UB144:$VY144)&gt;0,$TM144=WO$1),MAX(WN$2:WN143)+1,"")</f>
        <v/>
      </c>
      <c r="WO144" s="59" t="str">
        <f t="shared" ca="1" si="225"/>
        <v/>
      </c>
      <c r="WP144" s="18" t="str">
        <f ca="1">IF(AND(SUM($UB144:$VY144)&gt;0,$TM144=WQ$1),MAX(WP$2:WP143)+1,"")</f>
        <v/>
      </c>
      <c r="WQ144" s="59" t="str">
        <f t="shared" ca="1" si="226"/>
        <v/>
      </c>
      <c r="WR144" s="18" t="str">
        <f ca="1">IF(AND(SUM($UB144:$VY144)&gt;0,$TM144=WS$1),MAX(WR$2:WR143)+1,"")</f>
        <v/>
      </c>
      <c r="WS144" s="59" t="str">
        <f t="shared" ca="1" si="227"/>
        <v/>
      </c>
      <c r="WT144" s="18" t="str">
        <f ca="1">IF(AND(SUM($UB144:$VY144)&gt;0,$TM144=WU$1),MAX(WT$2:WT143)+1,"")</f>
        <v/>
      </c>
      <c r="WU144" s="59" t="str">
        <f t="shared" ca="1" si="228"/>
        <v/>
      </c>
      <c r="WV144" s="18" t="str">
        <f ca="1">IF(AND(SUM($UB144:$VY144)&gt;0,$TM144=WW$1),MAX(WV$2:WV143)+1,"")</f>
        <v/>
      </c>
      <c r="WW144" s="59" t="str">
        <f t="shared" ca="1" si="229"/>
        <v/>
      </c>
      <c r="WX144" s="18" t="str">
        <f ca="1">IF(AND(SUM($UB144:$VY144)&gt;0,$TM144=WY$1),MAX(WX$2:WX143)+1,"")</f>
        <v/>
      </c>
      <c r="WY144" s="59" t="str">
        <f t="shared" ca="1" si="230"/>
        <v/>
      </c>
      <c r="WZ144" s="59"/>
      <c r="XC144" s="59" t="str">
        <f t="shared" ca="1" si="232"/>
        <v/>
      </c>
    </row>
    <row r="145" spans="260:627" ht="9.9499999999999993" customHeight="1" x14ac:dyDescent="0.2">
      <c r="TJ145" s="18">
        <f t="shared" si="231"/>
        <v>143</v>
      </c>
      <c r="TK145" s="58" t="s">
        <v>596</v>
      </c>
      <c r="TL145" s="58" t="s">
        <v>459</v>
      </c>
      <c r="TM145" s="18">
        <v>2</v>
      </c>
      <c r="TN145" s="59" t="str">
        <f t="shared" si="218"/>
        <v xml:space="preserve">Flaming Sphere ᴴ </v>
      </c>
      <c r="TO145" s="350" t="s">
        <v>2991</v>
      </c>
      <c r="TP145" s="18" t="str">
        <f t="shared" si="219"/>
        <v/>
      </c>
      <c r="TQ145" s="18" t="str">
        <f>IF(OR(TK145=Spellcasting!$AC$18,TK145=Spellcasting!$AC$19),"ᵐ","")</f>
        <v/>
      </c>
      <c r="TR145" s="18" t="str">
        <f>IF(OR(TK145=Spellcasting!$AC$20,TK145=Spellcasting!$AC$21),"ˢ","")</f>
        <v/>
      </c>
      <c r="TS145" s="18" t="str">
        <f>""</f>
        <v/>
      </c>
      <c r="TT145" s="18" t="s">
        <v>484</v>
      </c>
      <c r="TU145" s="18" t="s">
        <v>850</v>
      </c>
      <c r="TV145" s="18" t="s">
        <v>558</v>
      </c>
      <c r="TW145" s="18" t="s">
        <v>495</v>
      </c>
      <c r="TX145" s="59" t="s">
        <v>1327</v>
      </c>
      <c r="TY145" s="18" t="s">
        <v>516</v>
      </c>
      <c r="TZ145" s="18" t="s">
        <v>517</v>
      </c>
      <c r="UA145" s="142" t="s">
        <v>3170</v>
      </c>
      <c r="UB145" s="319" t="s">
        <v>1328</v>
      </c>
      <c r="UI145" s="18" t="str">
        <f ca="1">IF(UI$1&gt;=$TM145,1,"0")</f>
        <v>0</v>
      </c>
      <c r="UL145" s="18" t="str">
        <f ca="1">IF(UL$1&gt;=$TM145,1,"0")</f>
        <v>0</v>
      </c>
      <c r="VA145" s="18" t="str">
        <f>IF(VA$1&gt;=$TM145,1,"0")</f>
        <v>0</v>
      </c>
      <c r="WD145" s="18" t="str">
        <f ca="1">IF(SUM($VZ$1:$WC$1)&gt;0,IF(AND(SUM($VZ145:$WC145)&gt;0,$TM145=WE$1),MAX(WD$2:WD144)+1,""),IF(AND(SUM($UC145:$VY145)&gt;0,$TM145=WE$1),MAX(WD$2:WD144)+1,""))</f>
        <v/>
      </c>
      <c r="WE145" s="59" t="str">
        <f t="shared" ca="1" si="220"/>
        <v/>
      </c>
      <c r="WF145" s="18" t="str">
        <f ca="1">IF(AND(SUM($UB145:$VY145)&gt;0,$TM145=WG$1),MAX(WF$2:WF144)+1,"")</f>
        <v/>
      </c>
      <c r="WG145" s="59" t="str">
        <f t="shared" ca="1" si="221"/>
        <v/>
      </c>
      <c r="WH145" s="18" t="str">
        <f ca="1">IF(AND(SUM($UB145:$VY145)&gt;0,$TM145=WI$1),MAX(WH$2:WH144)+1,"")</f>
        <v/>
      </c>
      <c r="WI145" s="59" t="str">
        <f t="shared" ca="1" si="222"/>
        <v/>
      </c>
      <c r="WJ145" s="18" t="str">
        <f ca="1">IF(AND(SUM($UB145:$VY145)&gt;0,$TM145=WK$1),MAX(WJ$2:WJ144)+1,"")</f>
        <v/>
      </c>
      <c r="WK145" s="59" t="str">
        <f t="shared" ca="1" si="223"/>
        <v/>
      </c>
      <c r="WL145" s="18" t="str">
        <f ca="1">IF(AND(SUM($UB145:$VY145)&gt;0,$TM145=WM$1),MAX(WL$2:WL144)+1,"")</f>
        <v/>
      </c>
      <c r="WM145" s="59" t="str">
        <f t="shared" ca="1" si="224"/>
        <v/>
      </c>
      <c r="WN145" s="18" t="str">
        <f ca="1">IF(AND(SUM($UB145:$VY145)&gt;0,$TM145=WO$1),MAX(WN$2:WN144)+1,"")</f>
        <v/>
      </c>
      <c r="WO145" s="59" t="str">
        <f t="shared" ca="1" si="225"/>
        <v/>
      </c>
      <c r="WP145" s="18" t="str">
        <f ca="1">IF(AND(SUM($UB145:$VY145)&gt;0,$TM145=WQ$1),MAX(WP$2:WP144)+1,"")</f>
        <v/>
      </c>
      <c r="WQ145" s="59" t="str">
        <f t="shared" ca="1" si="226"/>
        <v/>
      </c>
      <c r="WR145" s="18" t="str">
        <f ca="1">IF(AND(SUM($UB145:$VY145)&gt;0,$TM145=WS$1),MAX(WR$2:WR144)+1,"")</f>
        <v/>
      </c>
      <c r="WS145" s="59" t="str">
        <f t="shared" ca="1" si="227"/>
        <v/>
      </c>
      <c r="WT145" s="18" t="str">
        <f ca="1">IF(AND(SUM($UB145:$VY145)&gt;0,$TM145=WU$1),MAX(WT$2:WT144)+1,"")</f>
        <v/>
      </c>
      <c r="WU145" s="59" t="str">
        <f t="shared" ca="1" si="228"/>
        <v/>
      </c>
      <c r="WV145" s="18" t="str">
        <f ca="1">IF(AND(SUM($UB145:$VY145)&gt;0,$TM145=WW$1),MAX(WV$2:WV144)+1,"")</f>
        <v/>
      </c>
      <c r="WW145" s="59" t="str">
        <f t="shared" ca="1" si="229"/>
        <v/>
      </c>
      <c r="WX145" s="18" t="str">
        <f ca="1">IF(AND(SUM($UB145:$VY145)&gt;0,$TM145=WY$1),MAX(WX$2:WX144)+1,"")</f>
        <v/>
      </c>
      <c r="WY145" s="59" t="str">
        <f t="shared" ca="1" si="230"/>
        <v/>
      </c>
      <c r="WZ145" s="59"/>
      <c r="XC145" s="59" t="str">
        <f t="shared" ca="1" si="232"/>
        <v/>
      </c>
    </row>
    <row r="146" spans="260:627" ht="9.9499999999999993" customHeight="1" x14ac:dyDescent="0.2">
      <c r="TJ146" s="18">
        <f t="shared" si="231"/>
        <v>144</v>
      </c>
      <c r="TK146" s="58" t="s">
        <v>597</v>
      </c>
      <c r="TL146" s="58" t="s">
        <v>463</v>
      </c>
      <c r="TM146" s="18">
        <v>6</v>
      </c>
      <c r="TN146" s="59" t="str">
        <f t="shared" si="218"/>
        <v xml:space="preserve">Flesh to Stone </v>
      </c>
      <c r="TO146" s="18" t="str">
        <f>""</f>
        <v/>
      </c>
      <c r="TP146" s="18" t="str">
        <f t="shared" si="219"/>
        <v/>
      </c>
      <c r="TQ146" s="18" t="str">
        <f>IF(OR(TK146=Spellcasting!$AC$18,TK146=Spellcasting!$AC$19),"ᵐ","")</f>
        <v/>
      </c>
      <c r="TR146" s="18" t="str">
        <f>IF(OR(TK146=Spellcasting!$AC$20,TK146=Spellcasting!$AC$21),"ˢ","")</f>
        <v/>
      </c>
      <c r="TS146" s="18" t="str">
        <f>""</f>
        <v/>
      </c>
      <c r="TT146" s="18" t="s">
        <v>484</v>
      </c>
      <c r="TU146" s="18" t="s">
        <v>850</v>
      </c>
      <c r="TV146" s="18" t="s">
        <v>558</v>
      </c>
      <c r="TW146" s="18" t="s">
        <v>495</v>
      </c>
      <c r="TX146" s="59" t="s">
        <v>2144</v>
      </c>
      <c r="TY146" s="18" t="s">
        <v>491</v>
      </c>
      <c r="TZ146" s="18" t="s">
        <v>492</v>
      </c>
      <c r="UA146" s="142" t="s">
        <v>2143</v>
      </c>
      <c r="UB146" s="319" t="s">
        <v>3221</v>
      </c>
      <c r="UG146" s="18" t="str">
        <f ca="1">IF(UG$1&gt;=$TM146,1,"0")</f>
        <v>0</v>
      </c>
      <c r="UL146" s="18" t="str">
        <f ca="1">IF(UL$1&gt;=$TM146,1,"0")</f>
        <v>0</v>
      </c>
      <c r="WD146" s="18" t="str">
        <f ca="1">IF(SUM($VZ$1:$WC$1)&gt;0,IF(AND(SUM($VZ146:$WC146)&gt;0,$TM146=WE$1),MAX(WD$2:WD145)+1,""),IF(AND(SUM($UC146:$VY146)&gt;0,$TM146=WE$1),MAX(WD$2:WD145)+1,""))</f>
        <v/>
      </c>
      <c r="WE146" s="59" t="str">
        <f t="shared" ca="1" si="220"/>
        <v/>
      </c>
      <c r="WF146" s="18" t="str">
        <f ca="1">IF(AND(SUM($UB146:$VY146)&gt;0,$TM146=WG$1),MAX(WF$2:WF145)+1,"")</f>
        <v/>
      </c>
      <c r="WG146" s="59" t="str">
        <f t="shared" ca="1" si="221"/>
        <v/>
      </c>
      <c r="WH146" s="18" t="str">
        <f ca="1">IF(AND(SUM($UB146:$VY146)&gt;0,$TM146=WI$1),MAX(WH$2:WH145)+1,"")</f>
        <v/>
      </c>
      <c r="WI146" s="59" t="str">
        <f t="shared" ca="1" si="222"/>
        <v/>
      </c>
      <c r="WJ146" s="18" t="str">
        <f ca="1">IF(AND(SUM($UB146:$VY146)&gt;0,$TM146=WK$1),MAX(WJ$2:WJ145)+1,"")</f>
        <v/>
      </c>
      <c r="WK146" s="59" t="str">
        <f t="shared" ca="1" si="223"/>
        <v/>
      </c>
      <c r="WL146" s="18" t="str">
        <f ca="1">IF(AND(SUM($UB146:$VY146)&gt;0,$TM146=WM$1),MAX(WL$2:WL145)+1,"")</f>
        <v/>
      </c>
      <c r="WM146" s="59" t="str">
        <f t="shared" ca="1" si="224"/>
        <v/>
      </c>
      <c r="WN146" s="18" t="str">
        <f ca="1">IF(AND(SUM($UB146:$VY146)&gt;0,$TM146=WO$1),MAX(WN$2:WN145)+1,"")</f>
        <v/>
      </c>
      <c r="WO146" s="59" t="str">
        <f t="shared" ca="1" si="225"/>
        <v/>
      </c>
      <c r="WP146" s="18" t="str">
        <f ca="1">IF(AND(SUM($UB146:$VY146)&gt;0,$TM146=WQ$1),MAX(WP$2:WP145)+1,"")</f>
        <v/>
      </c>
      <c r="WQ146" s="59" t="str">
        <f t="shared" ca="1" si="226"/>
        <v/>
      </c>
      <c r="WR146" s="18" t="str">
        <f ca="1">IF(AND(SUM($UB146:$VY146)&gt;0,$TM146=WS$1),MAX(WR$2:WR145)+1,"")</f>
        <v/>
      </c>
      <c r="WS146" s="59" t="str">
        <f t="shared" ca="1" si="227"/>
        <v/>
      </c>
      <c r="WT146" s="18" t="str">
        <f ca="1">IF(AND(SUM($UB146:$VY146)&gt;0,$TM146=WU$1),MAX(WT$2:WT145)+1,"")</f>
        <v/>
      </c>
      <c r="WU146" s="59" t="str">
        <f t="shared" ca="1" si="228"/>
        <v/>
      </c>
      <c r="WV146" s="18" t="str">
        <f ca="1">IF(AND(SUM($UB146:$VY146)&gt;0,$TM146=WW$1),MAX(WV$2:WV145)+1,"")</f>
        <v/>
      </c>
      <c r="WW146" s="59" t="str">
        <f t="shared" ca="1" si="229"/>
        <v/>
      </c>
      <c r="WX146" s="18" t="str">
        <f ca="1">IF(AND(SUM($UB146:$VY146)&gt;0,$TM146=WY$1),MAX(WX$2:WX145)+1,"")</f>
        <v/>
      </c>
      <c r="WY146" s="59" t="str">
        <f t="shared" ca="1" si="230"/>
        <v/>
      </c>
      <c r="WZ146" s="59"/>
      <c r="XC146" s="59" t="str">
        <f t="shared" ca="1" si="232"/>
        <v/>
      </c>
    </row>
    <row r="147" spans="260:627" ht="9.9499999999999993" customHeight="1" x14ac:dyDescent="0.2">
      <c r="TJ147" s="18">
        <f t="shared" si="231"/>
        <v>145</v>
      </c>
      <c r="TK147" s="58" t="s">
        <v>598</v>
      </c>
      <c r="TL147" s="58" t="s">
        <v>460</v>
      </c>
      <c r="TM147" s="18">
        <v>3</v>
      </c>
      <c r="TN147" s="59" t="str">
        <f t="shared" si="218"/>
        <v xml:space="preserve">Fly ᴴ </v>
      </c>
      <c r="TO147" s="350" t="s">
        <v>2991</v>
      </c>
      <c r="TP147" s="18" t="str">
        <f t="shared" si="219"/>
        <v/>
      </c>
      <c r="TQ147" s="18" t="str">
        <f>IF(OR(TK147=Spellcasting!$AC$18,TK147=Spellcasting!$AC$19),"ᵐ","")</f>
        <v/>
      </c>
      <c r="TR147" s="18" t="str">
        <f>IF(OR(TK147=Spellcasting!$AC$20,TK147=Spellcasting!$AC$21),"ˢ","")</f>
        <v/>
      </c>
      <c r="TS147" s="18" t="str">
        <f>""</f>
        <v/>
      </c>
      <c r="TT147" s="18" t="s">
        <v>484</v>
      </c>
      <c r="TU147" s="18" t="s">
        <v>519</v>
      </c>
      <c r="TV147" s="18" t="s">
        <v>515</v>
      </c>
      <c r="TW147" s="18" t="s">
        <v>495</v>
      </c>
      <c r="TX147" s="59" t="s">
        <v>1454</v>
      </c>
      <c r="TY147" s="18" t="s">
        <v>491</v>
      </c>
      <c r="TZ147" s="18" t="s">
        <v>492</v>
      </c>
      <c r="UA147" s="142" t="s">
        <v>3171</v>
      </c>
      <c r="UB147" s="319" t="s">
        <v>1455</v>
      </c>
      <c r="UF147" s="18" t="str">
        <f ca="1">IF(UF$1&gt;=$TM147,1,"0")</f>
        <v>0</v>
      </c>
      <c r="UG147" s="18" t="str">
        <f ca="1">IF(UG$1&gt;=$TM147,1,"0")</f>
        <v>0</v>
      </c>
      <c r="UL147" s="18" t="str">
        <f ca="1">IF(UL$1&gt;=$TM147,1,"0")</f>
        <v>0</v>
      </c>
      <c r="WD147" s="18" t="str">
        <f ca="1">IF(SUM($VZ$1:$WC$1)&gt;0,IF(AND(SUM($VZ147:$WC147)&gt;0,$TM147=WE$1),MAX(WD$2:WD146)+1,""),IF(AND(SUM($UC147:$VY147)&gt;0,$TM147=WE$1),MAX(WD$2:WD146)+1,""))</f>
        <v/>
      </c>
      <c r="WE147" s="59" t="str">
        <f t="shared" ca="1" si="220"/>
        <v/>
      </c>
      <c r="WF147" s="18" t="str">
        <f ca="1">IF(AND(SUM($UB147:$VY147)&gt;0,$TM147=WG$1),MAX(WF$2:WF146)+1,"")</f>
        <v/>
      </c>
      <c r="WG147" s="59" t="str">
        <f t="shared" ca="1" si="221"/>
        <v/>
      </c>
      <c r="WH147" s="18" t="str">
        <f ca="1">IF(AND(SUM($UB147:$VY147)&gt;0,$TM147=WI$1),MAX(WH$2:WH146)+1,"")</f>
        <v/>
      </c>
      <c r="WI147" s="59" t="str">
        <f t="shared" ca="1" si="222"/>
        <v/>
      </c>
      <c r="WJ147" s="18" t="str">
        <f ca="1">IF(AND(SUM($UB147:$VY147)&gt;0,$TM147=WK$1),MAX(WJ$2:WJ146)+1,"")</f>
        <v/>
      </c>
      <c r="WK147" s="59" t="str">
        <f t="shared" ca="1" si="223"/>
        <v/>
      </c>
      <c r="WL147" s="18" t="str">
        <f ca="1">IF(AND(SUM($UB147:$VY147)&gt;0,$TM147=WM$1),MAX(WL$2:WL146)+1,"")</f>
        <v/>
      </c>
      <c r="WM147" s="59" t="str">
        <f t="shared" ca="1" si="224"/>
        <v/>
      </c>
      <c r="WN147" s="18" t="str">
        <f ca="1">IF(AND(SUM($UB147:$VY147)&gt;0,$TM147=WO$1),MAX(WN$2:WN146)+1,"")</f>
        <v/>
      </c>
      <c r="WO147" s="59" t="str">
        <f t="shared" ca="1" si="225"/>
        <v/>
      </c>
      <c r="WP147" s="18" t="str">
        <f ca="1">IF(AND(SUM($UB147:$VY147)&gt;0,$TM147=WQ$1),MAX(WP$2:WP146)+1,"")</f>
        <v/>
      </c>
      <c r="WQ147" s="59" t="str">
        <f t="shared" ca="1" si="226"/>
        <v/>
      </c>
      <c r="WR147" s="18" t="str">
        <f ca="1">IF(AND(SUM($UB147:$VY147)&gt;0,$TM147=WS$1),MAX(WR$2:WR146)+1,"")</f>
        <v/>
      </c>
      <c r="WS147" s="59" t="str">
        <f t="shared" ca="1" si="227"/>
        <v/>
      </c>
      <c r="WT147" s="18" t="str">
        <f ca="1">IF(AND(SUM($UB147:$VY147)&gt;0,$TM147=WU$1),MAX(WT$2:WT146)+1,"")</f>
        <v/>
      </c>
      <c r="WU147" s="59" t="str">
        <f t="shared" ca="1" si="228"/>
        <v/>
      </c>
      <c r="WV147" s="18" t="str">
        <f ca="1">IF(AND(SUM($UB147:$VY147)&gt;0,$TM147=WW$1),MAX(WV$2:WV146)+1,"")</f>
        <v/>
      </c>
      <c r="WW147" s="59" t="str">
        <f t="shared" ca="1" si="229"/>
        <v/>
      </c>
      <c r="WX147" s="18" t="str">
        <f ca="1">IF(AND(SUM($UB147:$VY147)&gt;0,$TM147=WY$1),MAX(WX$2:WX146)+1,"")</f>
        <v/>
      </c>
      <c r="WY147" s="59" t="str">
        <f t="shared" ca="1" si="230"/>
        <v/>
      </c>
      <c r="WZ147" s="59"/>
      <c r="XC147" s="59" t="str">
        <f t="shared" ca="1" si="232"/>
        <v/>
      </c>
    </row>
    <row r="148" spans="260:627" ht="9.9499999999999993" customHeight="1" x14ac:dyDescent="0.2">
      <c r="TJ148" s="18">
        <f t="shared" si="231"/>
        <v>146</v>
      </c>
      <c r="TK148" s="58" t="s">
        <v>599</v>
      </c>
      <c r="TL148" s="58" t="s">
        <v>448</v>
      </c>
      <c r="TM148" s="18">
        <v>1</v>
      </c>
      <c r="TN148" s="59" t="str">
        <f t="shared" si="218"/>
        <v xml:space="preserve">Fog Cloud ᴴ </v>
      </c>
      <c r="TO148" s="350" t="s">
        <v>2991</v>
      </c>
      <c r="TP148" s="18" t="str">
        <f t="shared" si="219"/>
        <v/>
      </c>
      <c r="TQ148" s="18" t="str">
        <f>IF(OR(TK148=Spellcasting!$AC$18,TK148=Spellcasting!$AC$19),"ᵐ","")</f>
        <v/>
      </c>
      <c r="TR148" s="18" t="str">
        <f>IF(OR(TK148=Spellcasting!$AC$20,TK148=Spellcasting!$AC$21),"ˢ","")</f>
        <v/>
      </c>
      <c r="TS148" s="18" t="str">
        <f>""</f>
        <v/>
      </c>
      <c r="TT148" s="18" t="s">
        <v>484</v>
      </c>
      <c r="TU148" s="18" t="s">
        <v>848</v>
      </c>
      <c r="TV148" s="18" t="s">
        <v>490</v>
      </c>
      <c r="TW148" s="18" t="s">
        <v>486</v>
      </c>
      <c r="TX148" s="59" t="str">
        <f>""</f>
        <v/>
      </c>
      <c r="TY148" s="18" t="s">
        <v>516</v>
      </c>
      <c r="TZ148" s="18" t="s">
        <v>517</v>
      </c>
      <c r="UA148" s="142" t="s">
        <v>3172</v>
      </c>
      <c r="UB148" s="319" t="s">
        <v>2091</v>
      </c>
      <c r="UE148" s="18" t="str">
        <f ca="1">IF(UE$1&gt;=$TM148,1,"0")</f>
        <v>0</v>
      </c>
      <c r="UF148" s="18" t="str">
        <f ca="1">IF(UF$1&gt;=$TM148,1,"0")</f>
        <v>0</v>
      </c>
      <c r="UI148" s="18" t="str">
        <f ca="1">IF(UI$1&gt;=$TM148,1,"0")</f>
        <v>0</v>
      </c>
      <c r="UL148" s="18" t="str">
        <f ca="1">IF(UL$1&gt;=$TM148,1,"0")</f>
        <v>0</v>
      </c>
      <c r="VC148" s="18" t="str">
        <f>IF(VC$1&gt;=$TM148,1,"0")</f>
        <v>0</v>
      </c>
      <c r="WD148" s="18" t="str">
        <f ca="1">IF(SUM($VZ$1:$WC$1)&gt;0,IF(AND(SUM($VZ148:$WC148)&gt;0,$TM148=WE$1),MAX(WD$2:WD147)+1,""),IF(AND(SUM($UC148:$VY148)&gt;0,$TM148=WE$1),MAX(WD$2:WD147)+1,""))</f>
        <v/>
      </c>
      <c r="WE148" s="59" t="str">
        <f t="shared" ca="1" si="220"/>
        <v/>
      </c>
      <c r="WF148" s="18" t="str">
        <f ca="1">IF(AND(SUM($UB148:$VY148)&gt;0,$TM148=WG$1),MAX(WF$2:WF147)+1,"")</f>
        <v/>
      </c>
      <c r="WG148" s="59" t="str">
        <f t="shared" ca="1" si="221"/>
        <v/>
      </c>
      <c r="WH148" s="18" t="str">
        <f ca="1">IF(AND(SUM($UB148:$VY148)&gt;0,$TM148=WI$1),MAX(WH$2:WH147)+1,"")</f>
        <v/>
      </c>
      <c r="WI148" s="59" t="str">
        <f t="shared" ca="1" si="222"/>
        <v/>
      </c>
      <c r="WJ148" s="18" t="str">
        <f ca="1">IF(AND(SUM($UB148:$VY148)&gt;0,$TM148=WK$1),MAX(WJ$2:WJ147)+1,"")</f>
        <v/>
      </c>
      <c r="WK148" s="59" t="str">
        <f t="shared" ca="1" si="223"/>
        <v/>
      </c>
      <c r="WL148" s="18" t="str">
        <f ca="1">IF(AND(SUM($UB148:$VY148)&gt;0,$TM148=WM$1),MAX(WL$2:WL147)+1,"")</f>
        <v/>
      </c>
      <c r="WM148" s="59" t="str">
        <f t="shared" ca="1" si="224"/>
        <v/>
      </c>
      <c r="WN148" s="18" t="str">
        <f ca="1">IF(AND(SUM($UB148:$VY148)&gt;0,$TM148=WO$1),MAX(WN$2:WN147)+1,"")</f>
        <v/>
      </c>
      <c r="WO148" s="59" t="str">
        <f t="shared" ca="1" si="225"/>
        <v/>
      </c>
      <c r="WP148" s="18" t="str">
        <f ca="1">IF(AND(SUM($UB148:$VY148)&gt;0,$TM148=WQ$1),MAX(WP$2:WP147)+1,"")</f>
        <v/>
      </c>
      <c r="WQ148" s="59" t="str">
        <f t="shared" ca="1" si="226"/>
        <v/>
      </c>
      <c r="WR148" s="18" t="str">
        <f ca="1">IF(AND(SUM($UB148:$VY148)&gt;0,$TM148=WS$1),MAX(WR$2:WR147)+1,"")</f>
        <v/>
      </c>
      <c r="WS148" s="59" t="str">
        <f t="shared" ca="1" si="227"/>
        <v/>
      </c>
      <c r="WT148" s="18" t="str">
        <f ca="1">IF(AND(SUM($UB148:$VY148)&gt;0,$TM148=WU$1),MAX(WT$2:WT147)+1,"")</f>
        <v/>
      </c>
      <c r="WU148" s="59" t="str">
        <f t="shared" ca="1" si="228"/>
        <v/>
      </c>
      <c r="WV148" s="18" t="str">
        <f ca="1">IF(AND(SUM($UB148:$VY148)&gt;0,$TM148=WW$1),MAX(WV$2:WV147)+1,"")</f>
        <v/>
      </c>
      <c r="WW148" s="59" t="str">
        <f t="shared" ca="1" si="229"/>
        <v/>
      </c>
      <c r="WX148" s="18" t="str">
        <f ca="1">IF(AND(SUM($UB148:$VY148)&gt;0,$TM148=WY$1),MAX(WX$2:WX147)+1,"")</f>
        <v/>
      </c>
      <c r="WY148" s="59" t="str">
        <f t="shared" ca="1" si="230"/>
        <v/>
      </c>
      <c r="WZ148" s="59"/>
      <c r="XC148" s="59" t="str">
        <f t="shared" ca="1" si="232"/>
        <v/>
      </c>
    </row>
    <row r="149" spans="260:627" ht="9.9499999999999993" customHeight="1" x14ac:dyDescent="0.2">
      <c r="TJ149" s="18">
        <f t="shared" si="231"/>
        <v>147</v>
      </c>
      <c r="TK149" s="58" t="s">
        <v>2755</v>
      </c>
      <c r="TL149" s="58" t="s">
        <v>463</v>
      </c>
      <c r="TM149" s="18">
        <v>6</v>
      </c>
      <c r="TN149" s="59" t="str">
        <f t="shared" si="218"/>
        <v xml:space="preserve">Forbiddance </v>
      </c>
      <c r="TO149" s="18" t="str">
        <f>""</f>
        <v/>
      </c>
      <c r="TP149" s="18" t="str">
        <f t="shared" si="219"/>
        <v/>
      </c>
      <c r="TQ149" s="18" t="str">
        <f>IF(OR(TK149=Spellcasting!$AC$18,TK149=Spellcasting!$AC$19),"ᵐ","")</f>
        <v/>
      </c>
      <c r="TR149" s="18" t="str">
        <f>IF(OR(TK149=Spellcasting!$AC$20,TK149=Spellcasting!$AC$21),"ˢ","")</f>
        <v/>
      </c>
      <c r="TS149" s="18" t="s">
        <v>477</v>
      </c>
      <c r="TT149" s="18" t="s">
        <v>2063</v>
      </c>
      <c r="TU149" s="18" t="s">
        <v>519</v>
      </c>
      <c r="TV149" s="18" t="s">
        <v>2007</v>
      </c>
      <c r="TW149" s="18" t="s">
        <v>495</v>
      </c>
      <c r="TX149" s="59" t="s">
        <v>2145</v>
      </c>
      <c r="TY149" s="18" t="s">
        <v>487</v>
      </c>
      <c r="TZ149" s="18" t="s">
        <v>488</v>
      </c>
      <c r="UA149" s="142" t="s">
        <v>2146</v>
      </c>
      <c r="UB149" s="319" t="s">
        <v>3014</v>
      </c>
      <c r="UH149" s="18" t="str">
        <f ca="1">IF(UH$1&gt;=$TM149,1,"0")</f>
        <v>0</v>
      </c>
      <c r="WD149" s="18" t="str">
        <f ca="1">IF(SUM($VZ$1:$WC$1)&gt;0,IF(AND(SUM($VZ149:$WC149)&gt;0,$TM149=WE$1),MAX(WD$2:WD148)+1,""),IF(AND(SUM($UC149:$VY149)&gt;0,$TM149=WE$1),MAX(WD$2:WD148)+1,""))</f>
        <v/>
      </c>
      <c r="WE149" s="59" t="str">
        <f t="shared" ca="1" si="220"/>
        <v/>
      </c>
      <c r="WF149" s="18" t="str">
        <f ca="1">IF(AND(SUM($UB149:$VY149)&gt;0,$TM149=WG$1),MAX(WF$2:WF148)+1,"")</f>
        <v/>
      </c>
      <c r="WG149" s="59" t="str">
        <f t="shared" ca="1" si="221"/>
        <v/>
      </c>
      <c r="WH149" s="18" t="str">
        <f ca="1">IF(AND(SUM($UB149:$VY149)&gt;0,$TM149=WI$1),MAX(WH$2:WH148)+1,"")</f>
        <v/>
      </c>
      <c r="WI149" s="59" t="str">
        <f t="shared" ca="1" si="222"/>
        <v/>
      </c>
      <c r="WJ149" s="18" t="str">
        <f ca="1">IF(AND(SUM($UB149:$VY149)&gt;0,$TM149=WK$1),MAX(WJ$2:WJ148)+1,"")</f>
        <v/>
      </c>
      <c r="WK149" s="59" t="str">
        <f t="shared" ca="1" si="223"/>
        <v/>
      </c>
      <c r="WL149" s="18" t="str">
        <f ca="1">IF(AND(SUM($UB149:$VY149)&gt;0,$TM149=WM$1),MAX(WL$2:WL148)+1,"")</f>
        <v/>
      </c>
      <c r="WM149" s="59" t="str">
        <f t="shared" ca="1" si="224"/>
        <v/>
      </c>
      <c r="WN149" s="18" t="str">
        <f ca="1">IF(AND(SUM($UB149:$VY149)&gt;0,$TM149=WO$1),MAX(WN$2:WN148)+1,"")</f>
        <v/>
      </c>
      <c r="WO149" s="59" t="str">
        <f t="shared" ca="1" si="225"/>
        <v/>
      </c>
      <c r="WP149" s="18" t="str">
        <f ca="1">IF(AND(SUM($UB149:$VY149)&gt;0,$TM149=WQ$1),MAX(WP$2:WP148)+1,"")</f>
        <v/>
      </c>
      <c r="WQ149" s="59" t="str">
        <f t="shared" ca="1" si="226"/>
        <v/>
      </c>
      <c r="WR149" s="18" t="str">
        <f ca="1">IF(AND(SUM($UB149:$VY149)&gt;0,$TM149=WS$1),MAX(WR$2:WR148)+1,"")</f>
        <v/>
      </c>
      <c r="WS149" s="59" t="str">
        <f t="shared" ca="1" si="227"/>
        <v/>
      </c>
      <c r="WT149" s="18" t="str">
        <f ca="1">IF(AND(SUM($UB149:$VY149)&gt;0,$TM149=WU$1),MAX(WT$2:WT148)+1,"")</f>
        <v/>
      </c>
      <c r="WU149" s="59" t="str">
        <f t="shared" ca="1" si="228"/>
        <v/>
      </c>
      <c r="WV149" s="18" t="str">
        <f ca="1">IF(AND(SUM($UB149:$VY149)&gt;0,$TM149=WW$1),MAX(WV$2:WV148)+1,"")</f>
        <v/>
      </c>
      <c r="WW149" s="59" t="str">
        <f t="shared" ca="1" si="229"/>
        <v/>
      </c>
      <c r="WX149" s="18" t="str">
        <f ca="1">IF(AND(SUM($UB149:$VY149)&gt;0,$TM149=WY$1),MAX(WX$2:WX148)+1,"")</f>
        <v/>
      </c>
      <c r="WY149" s="59" t="str">
        <f t="shared" ca="1" si="230"/>
        <v/>
      </c>
      <c r="WZ149" s="59"/>
      <c r="XC149" s="59" t="str">
        <f t="shared" ref="XC149:XC178" ca="1" si="233">IF(ISERROR(VLOOKUP($WZ150,$WH$1:$WI$5013,2,FALSE)),"",VLOOKUP($WZ150,$WH$1:$WI$5013,2,FALSE))</f>
        <v/>
      </c>
    </row>
    <row r="150" spans="260:627" ht="9.9499999999999993" customHeight="1" x14ac:dyDescent="0.2">
      <c r="TJ150" s="18">
        <f t="shared" si="231"/>
        <v>148</v>
      </c>
      <c r="TK150" s="58" t="s">
        <v>2756</v>
      </c>
      <c r="TL150" s="58" t="s">
        <v>464</v>
      </c>
      <c r="TM150" s="18">
        <v>7</v>
      </c>
      <c r="TN150" s="59" t="str">
        <f t="shared" si="218"/>
        <v xml:space="preserve">Forcecage </v>
      </c>
      <c r="TO150" s="18" t="str">
        <f>""</f>
        <v/>
      </c>
      <c r="TP150" s="18" t="str">
        <f t="shared" si="219"/>
        <v/>
      </c>
      <c r="TQ150" s="18" t="str">
        <f>IF(OR(TK150=Spellcasting!$AC$18,TK150=Spellcasting!$AC$19),"ᵐ","")</f>
        <v/>
      </c>
      <c r="TR150" s="18" t="str">
        <f>IF(OR(TK150=Spellcasting!$AC$20,TK150=Spellcasting!$AC$21),"ˢ","")</f>
        <v/>
      </c>
      <c r="TS150" s="18" t="str">
        <f>""</f>
        <v/>
      </c>
      <c r="TT150" s="18" t="s">
        <v>484</v>
      </c>
      <c r="TU150" s="18" t="s">
        <v>533</v>
      </c>
      <c r="TV150" s="18" t="s">
        <v>521</v>
      </c>
      <c r="TW150" s="18" t="s">
        <v>495</v>
      </c>
      <c r="TX150" s="59" t="s">
        <v>1998</v>
      </c>
      <c r="TY150" s="18" t="s">
        <v>534</v>
      </c>
      <c r="TZ150" s="18" t="s">
        <v>535</v>
      </c>
      <c r="UA150" s="142" t="s">
        <v>2042</v>
      </c>
      <c r="UB150" s="319" t="s">
        <v>2043</v>
      </c>
      <c r="UC150" s="18" t="str">
        <f ca="1">IF(UC$1&gt;=$TM150,1,"0")</f>
        <v>0</v>
      </c>
      <c r="UG150" s="18" t="str">
        <f ca="1">IF(UG$1&gt;=$TM150,1,"0")</f>
        <v>0</v>
      </c>
      <c r="UL150" s="18" t="str">
        <f ca="1">IF(UL$1&gt;=$TM150,1,"0")</f>
        <v>0</v>
      </c>
      <c r="WD150" s="18" t="str">
        <f ca="1">IF(SUM($VZ$1:$WC$1)&gt;0,IF(AND(SUM($VZ150:$WC150)&gt;0,$TM150=WE$1),MAX(WD$2:WD149)+1,""),IF(AND(SUM($UC150:$VY150)&gt;0,$TM150=WE$1),MAX(WD$2:WD149)+1,""))</f>
        <v/>
      </c>
      <c r="WE150" s="59" t="str">
        <f t="shared" ca="1" si="220"/>
        <v/>
      </c>
      <c r="WF150" s="18" t="str">
        <f ca="1">IF(AND(SUM($UB150:$VY150)&gt;0,$TM150=WG$1),MAX(WF$2:WF149)+1,"")</f>
        <v/>
      </c>
      <c r="WG150" s="59" t="str">
        <f t="shared" ca="1" si="221"/>
        <v/>
      </c>
      <c r="WH150" s="18" t="str">
        <f ca="1">IF(AND(SUM($UB150:$VY150)&gt;0,$TM150=WI$1),MAX(WH$2:WH149)+1,"")</f>
        <v/>
      </c>
      <c r="WI150" s="59" t="str">
        <f t="shared" ca="1" si="222"/>
        <v/>
      </c>
      <c r="WJ150" s="18" t="str">
        <f ca="1">IF(AND(SUM($UB150:$VY150)&gt;0,$TM150=WK$1),MAX(WJ$2:WJ149)+1,"")</f>
        <v/>
      </c>
      <c r="WK150" s="59" t="str">
        <f t="shared" ca="1" si="223"/>
        <v/>
      </c>
      <c r="WL150" s="18" t="str">
        <f ca="1">IF(AND(SUM($UB150:$VY150)&gt;0,$TM150=WM$1),MAX(WL$2:WL149)+1,"")</f>
        <v/>
      </c>
      <c r="WM150" s="59" t="str">
        <f t="shared" ca="1" si="224"/>
        <v/>
      </c>
      <c r="WN150" s="18" t="str">
        <f ca="1">IF(AND(SUM($UB150:$VY150)&gt;0,$TM150=WO$1),MAX(WN$2:WN149)+1,"")</f>
        <v/>
      </c>
      <c r="WO150" s="59" t="str">
        <f t="shared" ca="1" si="225"/>
        <v/>
      </c>
      <c r="WP150" s="18" t="str">
        <f ca="1">IF(AND(SUM($UB150:$VY150)&gt;0,$TM150=WQ$1),MAX(WP$2:WP149)+1,"")</f>
        <v/>
      </c>
      <c r="WQ150" s="59" t="str">
        <f t="shared" ca="1" si="226"/>
        <v/>
      </c>
      <c r="WR150" s="18" t="str">
        <f ca="1">IF(AND(SUM($UB150:$VY150)&gt;0,$TM150=WS$1),MAX(WR$2:WR149)+1,"")</f>
        <v/>
      </c>
      <c r="WS150" s="59" t="str">
        <f t="shared" ca="1" si="227"/>
        <v/>
      </c>
      <c r="WT150" s="18" t="str">
        <f ca="1">IF(AND(SUM($UB150:$VY150)&gt;0,$TM150=WU$1),MAX(WT$2:WT149)+1,"")</f>
        <v/>
      </c>
      <c r="WU150" s="59" t="str">
        <f t="shared" ca="1" si="228"/>
        <v/>
      </c>
      <c r="WV150" s="18" t="str">
        <f ca="1">IF(AND(SUM($UB150:$VY150)&gt;0,$TM150=WW$1),MAX(WV$2:WV149)+1,"")</f>
        <v/>
      </c>
      <c r="WW150" s="59" t="str">
        <f t="shared" ca="1" si="229"/>
        <v/>
      </c>
      <c r="WX150" s="18" t="str">
        <f ca="1">IF(AND(SUM($UB150:$VY150)&gt;0,$TM150=WY$1),MAX(WX$2:WX149)+1,"")</f>
        <v/>
      </c>
      <c r="WY150" s="59" t="str">
        <f t="shared" ca="1" si="230"/>
        <v/>
      </c>
      <c r="WZ150" s="59"/>
      <c r="XC150" s="59" t="str">
        <f t="shared" ca="1" si="233"/>
        <v/>
      </c>
    </row>
    <row r="151" spans="260:627" ht="9.9499999999999993" customHeight="1" x14ac:dyDescent="0.2">
      <c r="TJ151" s="18">
        <f t="shared" si="231"/>
        <v>149</v>
      </c>
      <c r="TK151" s="58" t="s">
        <v>600</v>
      </c>
      <c r="TL151" s="58" t="s">
        <v>466</v>
      </c>
      <c r="TM151" s="18">
        <v>9</v>
      </c>
      <c r="TN151" s="59" t="str">
        <f t="shared" si="218"/>
        <v xml:space="preserve">Foresight </v>
      </c>
      <c r="TO151" s="18" t="str">
        <f>""</f>
        <v/>
      </c>
      <c r="TP151" s="18" t="str">
        <f t="shared" si="219"/>
        <v/>
      </c>
      <c r="TQ151" s="18" t="str">
        <f>IF(OR(TK151=Spellcasting!$AC$18,TK151=Spellcasting!$AC$19),"ᵐ","")</f>
        <v/>
      </c>
      <c r="TR151" s="18" t="str">
        <f>IF(OR(TK151=Spellcasting!$AC$20,TK151=Spellcasting!$AC$21),"ˢ","")</f>
        <v/>
      </c>
      <c r="TS151" s="18" t="str">
        <f>""</f>
        <v/>
      </c>
      <c r="TT151" s="18" t="s">
        <v>503</v>
      </c>
      <c r="TU151" s="18" t="s">
        <v>519</v>
      </c>
      <c r="TV151" s="18" t="s">
        <v>485</v>
      </c>
      <c r="TW151" s="18" t="s">
        <v>495</v>
      </c>
      <c r="TX151" s="59" t="s">
        <v>1999</v>
      </c>
      <c r="TY151" s="18" t="s">
        <v>511</v>
      </c>
      <c r="TZ151" s="18" t="s">
        <v>512</v>
      </c>
      <c r="UA151" s="142" t="s">
        <v>2147</v>
      </c>
      <c r="UB151" s="319" t="s">
        <v>2148</v>
      </c>
      <c r="UC151" s="18" t="str">
        <f ca="1">IF(UC$1&gt;=$TM151,1,"0")</f>
        <v>0</v>
      </c>
      <c r="UG151" s="18" t="str">
        <f ca="1">IF(UG$1&gt;=$TM151,1,"0")</f>
        <v>0</v>
      </c>
      <c r="UI151" s="18" t="str">
        <f ca="1">IF(UI$1&gt;=$TM151,1,"0")</f>
        <v>0</v>
      </c>
      <c r="UL151" s="18" t="str">
        <f ca="1">IF(UL$1&gt;=$TM151,1,"0")</f>
        <v>0</v>
      </c>
      <c r="WD151" s="18" t="str">
        <f ca="1">IF(SUM($VZ$1:$WC$1)&gt;0,IF(AND(SUM($VZ151:$WC151)&gt;0,$TM151=WE$1),MAX(WD$2:WD150)+1,""),IF(AND(SUM($UC151:$VY151)&gt;0,$TM151=WE$1),MAX(WD$2:WD150)+1,""))</f>
        <v/>
      </c>
      <c r="WE151" s="59" t="str">
        <f t="shared" ca="1" si="220"/>
        <v/>
      </c>
      <c r="WF151" s="18" t="str">
        <f ca="1">IF(AND(SUM($UB151:$VY151)&gt;0,$TM151=WG$1),MAX(WF$2:WF150)+1,"")</f>
        <v/>
      </c>
      <c r="WG151" s="59" t="str">
        <f t="shared" ca="1" si="221"/>
        <v/>
      </c>
      <c r="WH151" s="18" t="str">
        <f ca="1">IF(AND(SUM($UB151:$VY151)&gt;0,$TM151=WI$1),MAX(WH$2:WH150)+1,"")</f>
        <v/>
      </c>
      <c r="WI151" s="59" t="str">
        <f t="shared" ca="1" si="222"/>
        <v/>
      </c>
      <c r="WJ151" s="18" t="str">
        <f ca="1">IF(AND(SUM($UB151:$VY151)&gt;0,$TM151=WK$1),MAX(WJ$2:WJ150)+1,"")</f>
        <v/>
      </c>
      <c r="WK151" s="59" t="str">
        <f t="shared" ca="1" si="223"/>
        <v/>
      </c>
      <c r="WL151" s="18" t="str">
        <f ca="1">IF(AND(SUM($UB151:$VY151)&gt;0,$TM151=WM$1),MAX(WL$2:WL150)+1,"")</f>
        <v/>
      </c>
      <c r="WM151" s="59" t="str">
        <f t="shared" ca="1" si="224"/>
        <v/>
      </c>
      <c r="WN151" s="18" t="str">
        <f ca="1">IF(AND(SUM($UB151:$VY151)&gt;0,$TM151=WO$1),MAX(WN$2:WN150)+1,"")</f>
        <v/>
      </c>
      <c r="WO151" s="59" t="str">
        <f t="shared" ca="1" si="225"/>
        <v/>
      </c>
      <c r="WP151" s="18" t="str">
        <f ca="1">IF(AND(SUM($UB151:$VY151)&gt;0,$TM151=WQ$1),MAX(WP$2:WP150)+1,"")</f>
        <v/>
      </c>
      <c r="WQ151" s="59" t="str">
        <f t="shared" ca="1" si="226"/>
        <v/>
      </c>
      <c r="WR151" s="18" t="str">
        <f ca="1">IF(AND(SUM($UB151:$VY151)&gt;0,$TM151=WS$1),MAX(WR$2:WR150)+1,"")</f>
        <v/>
      </c>
      <c r="WS151" s="59" t="str">
        <f t="shared" ca="1" si="227"/>
        <v/>
      </c>
      <c r="WT151" s="18" t="str">
        <f ca="1">IF(AND(SUM($UB151:$VY151)&gt;0,$TM151=WU$1),MAX(WT$2:WT150)+1,"")</f>
        <v/>
      </c>
      <c r="WU151" s="59" t="str">
        <f t="shared" ca="1" si="228"/>
        <v/>
      </c>
      <c r="WV151" s="18" t="str">
        <f ca="1">IF(AND(SUM($UB151:$VY151)&gt;0,$TM151=WW$1),MAX(WV$2:WV150)+1,"")</f>
        <v/>
      </c>
      <c r="WW151" s="59" t="str">
        <f t="shared" ca="1" si="229"/>
        <v/>
      </c>
      <c r="WX151" s="18" t="str">
        <f ca="1">IF(AND(SUM($UB151:$VY151)&gt;0,$TM151=WY$1),MAX(WX$2:WX150)+1,"")</f>
        <v/>
      </c>
      <c r="WY151" s="59" t="str">
        <f t="shared" ca="1" si="230"/>
        <v/>
      </c>
      <c r="WZ151" s="59"/>
      <c r="XC151" s="59" t="str">
        <f t="shared" ca="1" si="233"/>
        <v/>
      </c>
    </row>
    <row r="152" spans="260:627" ht="9.9499999999999993" customHeight="1" x14ac:dyDescent="0.2">
      <c r="TJ152" s="18">
        <f t="shared" si="231"/>
        <v>150</v>
      </c>
      <c r="TK152" s="58" t="s">
        <v>601</v>
      </c>
      <c r="TL152" s="58" t="s">
        <v>461</v>
      </c>
      <c r="TM152" s="18">
        <v>4</v>
      </c>
      <c r="TN152" s="59" t="str">
        <f t="shared" si="218"/>
        <v xml:space="preserve">Freedom of Movement </v>
      </c>
      <c r="TO152" s="18" t="str">
        <f>""</f>
        <v/>
      </c>
      <c r="TP152" s="18" t="str">
        <f t="shared" si="219"/>
        <v/>
      </c>
      <c r="TQ152" s="18" t="str">
        <f>IF(OR(TK152=Spellcasting!$AC$18,TK152=Spellcasting!$AC$19),"ᵐ","")</f>
        <v/>
      </c>
      <c r="TR152" s="18" t="str">
        <f>IF(OR(TK152=Spellcasting!$AC$20,TK152=Spellcasting!$AC$21),"ˢ","")</f>
        <v/>
      </c>
      <c r="TS152" s="18" t="str">
        <f>""</f>
        <v/>
      </c>
      <c r="TT152" s="18" t="s">
        <v>484</v>
      </c>
      <c r="TU152" s="18" t="s">
        <v>519</v>
      </c>
      <c r="TV152" s="18" t="s">
        <v>521</v>
      </c>
      <c r="TW152" s="18" t="s">
        <v>495</v>
      </c>
      <c r="TX152" s="59" t="s">
        <v>2149</v>
      </c>
      <c r="TY152" s="18" t="s">
        <v>487</v>
      </c>
      <c r="TZ152" s="18" t="s">
        <v>488</v>
      </c>
      <c r="UA152" s="142" t="s">
        <v>2150</v>
      </c>
      <c r="UB152" s="319" t="s">
        <v>2151</v>
      </c>
      <c r="UC152" s="18" t="str">
        <f ca="1">IF(UC$1&gt;=$TM152,1,"0")</f>
        <v>0</v>
      </c>
      <c r="UE152" s="18" t="str">
        <f ca="1">IF(UE$1&gt;=$TM152,1,"0")</f>
        <v>0</v>
      </c>
      <c r="UH152" s="18" t="str">
        <f ca="1">IF(UH$1&gt;=$TM152,1,"0")</f>
        <v>0</v>
      </c>
      <c r="UI152" s="18" t="str">
        <f ca="1">IF(UI$1&gt;=$TM152,1,"0")</f>
        <v>0</v>
      </c>
      <c r="UO152" s="18" t="str">
        <f>IF(UO$1&gt;=$TM152,1,"0")</f>
        <v>0</v>
      </c>
      <c r="VE152" s="18" t="str">
        <f>IF(VE$1&gt;=$TM152,1,"0")</f>
        <v>0</v>
      </c>
      <c r="VG152" s="18" t="str">
        <f>IF(VG$1&gt;=$TM152,1,"0")</f>
        <v>0</v>
      </c>
      <c r="VH152" s="18" t="str">
        <f>IF(VH$1&gt;=$TM152,1,"0")</f>
        <v>0</v>
      </c>
      <c r="VJ152" s="18" t="str">
        <f>IF(VJ$1&gt;=$TM152,1,"0")</f>
        <v>0</v>
      </c>
      <c r="VK152" s="18" t="str">
        <f>IF(VK$1&gt;=$TM152,1,"0")</f>
        <v>0</v>
      </c>
      <c r="VM152" s="18" t="str">
        <f>IF(VM$1&gt;=$TM152,1,"0")</f>
        <v>0</v>
      </c>
      <c r="WD152" s="18" t="str">
        <f ca="1">IF(SUM($VZ$1:$WC$1)&gt;0,IF(AND(SUM($VZ152:$WC152)&gt;0,$TM152=WE$1),MAX(WD$2:WD151)+1,""),IF(AND(SUM($UC152:$VY152)&gt;0,$TM152=WE$1),MAX(WD$2:WD151)+1,""))</f>
        <v/>
      </c>
      <c r="WE152" s="59" t="str">
        <f t="shared" ca="1" si="220"/>
        <v/>
      </c>
      <c r="WF152" s="18" t="str">
        <f ca="1">IF(AND(SUM($UB152:$VY152)&gt;0,$TM152=WG$1),MAX(WF$2:WF151)+1,"")</f>
        <v/>
      </c>
      <c r="WG152" s="59" t="str">
        <f t="shared" ca="1" si="221"/>
        <v/>
      </c>
      <c r="WH152" s="18" t="str">
        <f ca="1">IF(AND(SUM($UB152:$VY152)&gt;0,$TM152=WI$1),MAX(WH$2:WH151)+1,"")</f>
        <v/>
      </c>
      <c r="WI152" s="59" t="str">
        <f t="shared" ca="1" si="222"/>
        <v/>
      </c>
      <c r="WJ152" s="18" t="str">
        <f ca="1">IF(AND(SUM($UB152:$VY152)&gt;0,$TM152=WK$1),MAX(WJ$2:WJ151)+1,"")</f>
        <v/>
      </c>
      <c r="WK152" s="59" t="str">
        <f t="shared" ca="1" si="223"/>
        <v/>
      </c>
      <c r="WL152" s="18" t="str">
        <f ca="1">IF(AND(SUM($UB152:$VY152)&gt;0,$TM152=WM$1),MAX(WL$2:WL151)+1,"")</f>
        <v/>
      </c>
      <c r="WM152" s="59" t="str">
        <f t="shared" ca="1" si="224"/>
        <v/>
      </c>
      <c r="WN152" s="18" t="str">
        <f ca="1">IF(AND(SUM($UB152:$VY152)&gt;0,$TM152=WO$1),MAX(WN$2:WN151)+1,"")</f>
        <v/>
      </c>
      <c r="WO152" s="59" t="str">
        <f t="shared" ca="1" si="225"/>
        <v/>
      </c>
      <c r="WP152" s="18" t="str">
        <f ca="1">IF(AND(SUM($UB152:$VY152)&gt;0,$TM152=WQ$1),MAX(WP$2:WP151)+1,"")</f>
        <v/>
      </c>
      <c r="WQ152" s="59" t="str">
        <f t="shared" ca="1" si="226"/>
        <v/>
      </c>
      <c r="WR152" s="18" t="str">
        <f ca="1">IF(AND(SUM($UB152:$VY152)&gt;0,$TM152=WS$1),MAX(WR$2:WR151)+1,"")</f>
        <v/>
      </c>
      <c r="WS152" s="59" t="str">
        <f t="shared" ca="1" si="227"/>
        <v/>
      </c>
      <c r="WT152" s="18" t="str">
        <f ca="1">IF(AND(SUM($UB152:$VY152)&gt;0,$TM152=WU$1),MAX(WT$2:WT151)+1,"")</f>
        <v/>
      </c>
      <c r="WU152" s="59" t="str">
        <f t="shared" ca="1" si="228"/>
        <v/>
      </c>
      <c r="WV152" s="18" t="str">
        <f ca="1">IF(AND(SUM($UB152:$VY152)&gt;0,$TM152=WW$1),MAX(WV$2:WV151)+1,"")</f>
        <v/>
      </c>
      <c r="WW152" s="59" t="str">
        <f t="shared" ca="1" si="229"/>
        <v/>
      </c>
      <c r="WX152" s="18" t="str">
        <f ca="1">IF(AND(SUM($UB152:$VY152)&gt;0,$TM152=WY$1),MAX(WX$2:WX151)+1,"")</f>
        <v/>
      </c>
      <c r="WY152" s="59" t="str">
        <f t="shared" ca="1" si="230"/>
        <v/>
      </c>
      <c r="WZ152" s="59"/>
      <c r="XC152" s="59" t="str">
        <f t="shared" ca="1" si="233"/>
        <v/>
      </c>
    </row>
    <row r="153" spans="260:627" ht="9.9499999999999993" customHeight="1" x14ac:dyDescent="0.2">
      <c r="TJ153" s="18">
        <f t="shared" si="231"/>
        <v>151</v>
      </c>
      <c r="TK153" s="58" t="s">
        <v>1214</v>
      </c>
      <c r="TL153" s="58" t="s">
        <v>1840</v>
      </c>
      <c r="TM153" s="18">
        <v>0.5</v>
      </c>
      <c r="TN153" s="59" t="str">
        <f t="shared" si="218"/>
        <v xml:space="preserve">Friends </v>
      </c>
      <c r="TO153" s="18" t="str">
        <f>""</f>
        <v/>
      </c>
      <c r="TP153" s="18" t="str">
        <f t="shared" si="219"/>
        <v/>
      </c>
      <c r="TQ153" s="18" t="str">
        <f>IF(OR(TK153=Spellcasting!$AC$18,TK153=Spellcasting!$AC$19),"ᵐ","")</f>
        <v/>
      </c>
      <c r="TR153" s="18" t="str">
        <f>IF(OR(TK153=Spellcasting!$AC$20,TK153=Spellcasting!$AC$21),"ˢ","")</f>
        <v/>
      </c>
      <c r="TS153" s="18" t="str">
        <f>""</f>
        <v/>
      </c>
      <c r="TT153" s="18" t="s">
        <v>484</v>
      </c>
      <c r="TU153" s="18" t="s">
        <v>509</v>
      </c>
      <c r="TV153" s="18" t="s">
        <v>558</v>
      </c>
      <c r="TW153" s="18" t="s">
        <v>994</v>
      </c>
      <c r="TX153" s="59" t="s">
        <v>1259</v>
      </c>
      <c r="TY153" s="18" t="s">
        <v>498</v>
      </c>
      <c r="TZ153" s="18" t="s">
        <v>499</v>
      </c>
      <c r="UA153" s="59" t="s">
        <v>2238</v>
      </c>
      <c r="UB153" s="319" t="s">
        <v>2103</v>
      </c>
      <c r="UC153" s="18" t="str">
        <f ca="1">IF(UC$1&gt;=$TM153,1,"0")</f>
        <v>0</v>
      </c>
      <c r="UF153" s="18" t="str">
        <f ca="1">IF(UF$1&gt;=$TM153,1,"0")</f>
        <v>0</v>
      </c>
      <c r="UG153" s="18" t="str">
        <f ca="1">IF(UG$1&gt;=$TM153,1,"0")</f>
        <v>0</v>
      </c>
      <c r="UL153" s="18" t="str">
        <f ca="1">IF(UL$1&gt;=$TM153,1,"0")</f>
        <v>0</v>
      </c>
      <c r="VP153" s="18" t="str">
        <f>IF(VP$1&gt;=$TM153,1,"0")</f>
        <v>0</v>
      </c>
      <c r="VQ153" s="18" t="str">
        <f>IF(VQ$1&gt;=$TM153,1,"0")</f>
        <v>0</v>
      </c>
      <c r="WB153" s="18" t="str">
        <f>IF(WB$1&gt;=$TM153,1,"0")</f>
        <v>0</v>
      </c>
      <c r="WC153" s="18"/>
      <c r="WD153" s="18" t="str">
        <f ca="1">IF(SUM($VZ$1:$WC$1)&gt;0,IF(AND(SUM($VZ153:$WC153)&gt;0,$TM153=WE$1),MAX(WD$2:WD152)+1,""),IF(AND(SUM($UC153:$VY153)&gt;0,$TM153=WE$1),MAX(WD$2:WD152)+1,""))</f>
        <v/>
      </c>
      <c r="WE153" s="59" t="str">
        <f t="shared" ca="1" si="220"/>
        <v/>
      </c>
      <c r="WF153" s="18" t="str">
        <f ca="1">IF(AND(SUM($UB153:$VY153)&gt;0,$TM153=WG$1),MAX(WF$2:WF152)+1,"")</f>
        <v/>
      </c>
      <c r="WG153" s="59" t="str">
        <f t="shared" ca="1" si="221"/>
        <v/>
      </c>
      <c r="WH153" s="18" t="str">
        <f ca="1">IF(AND(SUM($UB153:$VY153)&gt;0,$TM153=WI$1),MAX(WH$2:WH152)+1,"")</f>
        <v/>
      </c>
      <c r="WI153" s="59" t="str">
        <f t="shared" ca="1" si="222"/>
        <v/>
      </c>
      <c r="WJ153" s="18" t="str">
        <f ca="1">IF(AND(SUM($UB153:$VY153)&gt;0,$TM153=WK$1),MAX(WJ$2:WJ152)+1,"")</f>
        <v/>
      </c>
      <c r="WK153" s="59" t="str">
        <f t="shared" ca="1" si="223"/>
        <v/>
      </c>
      <c r="WL153" s="18" t="str">
        <f ca="1">IF(AND(SUM($UB153:$VY153)&gt;0,$TM153=WM$1),MAX(WL$2:WL152)+1,"")</f>
        <v/>
      </c>
      <c r="WM153" s="59" t="str">
        <f t="shared" ca="1" si="224"/>
        <v/>
      </c>
      <c r="WN153" s="18" t="str">
        <f ca="1">IF(AND(SUM($UB153:$VY153)&gt;0,$TM153=WO$1),MAX(WN$2:WN152)+1,"")</f>
        <v/>
      </c>
      <c r="WO153" s="59" t="str">
        <f t="shared" ca="1" si="225"/>
        <v/>
      </c>
      <c r="WP153" s="18" t="str">
        <f ca="1">IF(AND(SUM($UB153:$VY153)&gt;0,$TM153=WQ$1),MAX(WP$2:WP152)+1,"")</f>
        <v/>
      </c>
      <c r="WQ153" s="59" t="str">
        <f t="shared" ca="1" si="226"/>
        <v/>
      </c>
      <c r="WR153" s="18" t="str">
        <f ca="1">IF(AND(SUM($UB153:$VY153)&gt;0,$TM153=WS$1),MAX(WR$2:WR152)+1,"")</f>
        <v/>
      </c>
      <c r="WS153" s="59" t="str">
        <f t="shared" ca="1" si="227"/>
        <v/>
      </c>
      <c r="WT153" s="18" t="str">
        <f ca="1">IF(AND(SUM($UB153:$VY153)&gt;0,$TM153=WU$1),MAX(WT$2:WT152)+1,"")</f>
        <v/>
      </c>
      <c r="WU153" s="59" t="str">
        <f t="shared" ca="1" si="228"/>
        <v/>
      </c>
      <c r="WV153" s="18" t="str">
        <f ca="1">IF(AND(SUM($UB153:$VY153)&gt;0,$TM153=WW$1),MAX(WV$2:WV152)+1,"")</f>
        <v/>
      </c>
      <c r="WW153" s="59" t="str">
        <f t="shared" ca="1" si="229"/>
        <v/>
      </c>
      <c r="WX153" s="18" t="str">
        <f ca="1">IF(AND(SUM($UB153:$VY153)&gt;0,$TM153=WY$1),MAX(WX$2:WX152)+1,"")</f>
        <v/>
      </c>
      <c r="WY153" s="59" t="str">
        <f t="shared" ca="1" si="230"/>
        <v/>
      </c>
      <c r="WZ153" s="59"/>
      <c r="XC153" s="59" t="str">
        <f t="shared" ca="1" si="233"/>
        <v/>
      </c>
    </row>
    <row r="154" spans="260:627" ht="9.9499999999999993" customHeight="1" x14ac:dyDescent="0.2">
      <c r="TJ154" s="18">
        <f t="shared" si="231"/>
        <v>152</v>
      </c>
      <c r="TK154" s="58" t="s">
        <v>1238</v>
      </c>
      <c r="TL154" s="58" t="s">
        <v>460</v>
      </c>
      <c r="TM154" s="18">
        <v>3</v>
      </c>
      <c r="TN154" s="59" t="str">
        <f t="shared" si="218"/>
        <v xml:space="preserve">Gaseous Form </v>
      </c>
      <c r="TO154" s="18" t="str">
        <f>""</f>
        <v/>
      </c>
      <c r="TP154" s="18" t="str">
        <f t="shared" si="219"/>
        <v/>
      </c>
      <c r="TQ154" s="18" t="str">
        <f>IF(OR(TK154=Spellcasting!$AC$18,TK154=Spellcasting!$AC$19),"ᵐ","")</f>
        <v/>
      </c>
      <c r="TR154" s="18" t="str">
        <f>IF(OR(TK154=Spellcasting!$AC$20,TK154=Spellcasting!$AC$21),"ˢ","")</f>
        <v/>
      </c>
      <c r="TS154" s="18" t="str">
        <f>""</f>
        <v/>
      </c>
      <c r="TT154" s="18" t="s">
        <v>484</v>
      </c>
      <c r="TU154" s="18" t="s">
        <v>519</v>
      </c>
      <c r="TV154" s="18" t="s">
        <v>490</v>
      </c>
      <c r="TW154" s="18" t="s">
        <v>495</v>
      </c>
      <c r="TX154" s="59" t="s">
        <v>1456</v>
      </c>
      <c r="TY154" s="18" t="s">
        <v>491</v>
      </c>
      <c r="TZ154" s="18" t="s">
        <v>492</v>
      </c>
      <c r="UA154" s="142" t="s">
        <v>1457</v>
      </c>
      <c r="UB154" s="319" t="s">
        <v>1458</v>
      </c>
      <c r="UF154" s="18" t="str">
        <f ca="1">IF(UF$1&gt;=$TM154,1,"0")</f>
        <v>0</v>
      </c>
      <c r="UG154" s="18" t="str">
        <f ca="1">IF(UG$1&gt;=$TM154,1,"0")</f>
        <v>0</v>
      </c>
      <c r="UL154" s="18" t="str">
        <f ca="1">IF(UL$1&gt;=$TM154,1,"0")</f>
        <v>0</v>
      </c>
      <c r="VN154" s="18" t="str">
        <f>IF(VN$1&gt;=$TM154,1,"0")</f>
        <v>0</v>
      </c>
      <c r="WD154" s="18" t="str">
        <f ca="1">IF(SUM($VZ$1:$WC$1)&gt;0,IF(AND(SUM($VZ154:$WC154)&gt;0,$TM154=WE$1),MAX(WD$2:WD153)+1,""),IF(AND(SUM($UC154:$VY154)&gt;0,$TM154=WE$1),MAX(WD$2:WD153)+1,""))</f>
        <v/>
      </c>
      <c r="WE154" s="59" t="str">
        <f t="shared" ca="1" si="220"/>
        <v/>
      </c>
      <c r="WF154" s="18" t="str">
        <f ca="1">IF(AND(SUM($UB154:$VY154)&gt;0,$TM154=WG$1),MAX(WF$2:WF153)+1,"")</f>
        <v/>
      </c>
      <c r="WG154" s="59" t="str">
        <f t="shared" ca="1" si="221"/>
        <v/>
      </c>
      <c r="WH154" s="18" t="str">
        <f ca="1">IF(AND(SUM($UB154:$VY154)&gt;0,$TM154=WI$1),MAX(WH$2:WH153)+1,"")</f>
        <v/>
      </c>
      <c r="WI154" s="59" t="str">
        <f t="shared" ca="1" si="222"/>
        <v/>
      </c>
      <c r="WJ154" s="18" t="str">
        <f ca="1">IF(AND(SUM($UB154:$VY154)&gt;0,$TM154=WK$1),MAX(WJ$2:WJ153)+1,"")</f>
        <v/>
      </c>
      <c r="WK154" s="59" t="str">
        <f t="shared" ca="1" si="223"/>
        <v/>
      </c>
      <c r="WL154" s="18" t="str">
        <f ca="1">IF(AND(SUM($UB154:$VY154)&gt;0,$TM154=WM$1),MAX(WL$2:WL153)+1,"")</f>
        <v/>
      </c>
      <c r="WM154" s="59" t="str">
        <f t="shared" ca="1" si="224"/>
        <v/>
      </c>
      <c r="WN154" s="18" t="str">
        <f ca="1">IF(AND(SUM($UB154:$VY154)&gt;0,$TM154=WO$1),MAX(WN$2:WN153)+1,"")</f>
        <v/>
      </c>
      <c r="WO154" s="59" t="str">
        <f t="shared" ca="1" si="225"/>
        <v/>
      </c>
      <c r="WP154" s="18" t="str">
        <f ca="1">IF(AND(SUM($UB154:$VY154)&gt;0,$TM154=WQ$1),MAX(WP$2:WP153)+1,"")</f>
        <v/>
      </c>
      <c r="WQ154" s="59" t="str">
        <f t="shared" ca="1" si="226"/>
        <v/>
      </c>
      <c r="WR154" s="18" t="str">
        <f ca="1">IF(AND(SUM($UB154:$VY154)&gt;0,$TM154=WS$1),MAX(WR$2:WR153)+1,"")</f>
        <v/>
      </c>
      <c r="WS154" s="59" t="str">
        <f t="shared" ca="1" si="227"/>
        <v/>
      </c>
      <c r="WT154" s="18" t="str">
        <f ca="1">IF(AND(SUM($UB154:$VY154)&gt;0,$TM154=WU$1),MAX(WT$2:WT153)+1,"")</f>
        <v/>
      </c>
      <c r="WU154" s="59" t="str">
        <f t="shared" ca="1" si="228"/>
        <v/>
      </c>
      <c r="WV154" s="18" t="str">
        <f ca="1">IF(AND(SUM($UB154:$VY154)&gt;0,$TM154=WW$1),MAX(WV$2:WV153)+1,"")</f>
        <v/>
      </c>
      <c r="WW154" s="59" t="str">
        <f t="shared" ca="1" si="229"/>
        <v/>
      </c>
      <c r="WX154" s="18" t="str">
        <f ca="1">IF(AND(SUM($UB154:$VY154)&gt;0,$TM154=WY$1),MAX(WX$2:WX153)+1,"")</f>
        <v/>
      </c>
      <c r="WY154" s="59" t="str">
        <f t="shared" ca="1" si="230"/>
        <v/>
      </c>
      <c r="WZ154" s="59"/>
      <c r="XC154" s="59" t="str">
        <f t="shared" ca="1" si="233"/>
        <v/>
      </c>
    </row>
    <row r="155" spans="260:627" ht="9.9499999999999993" customHeight="1" x14ac:dyDescent="0.2">
      <c r="TJ155" s="18">
        <f t="shared" si="231"/>
        <v>153</v>
      </c>
      <c r="TK155" s="58" t="s">
        <v>602</v>
      </c>
      <c r="TL155" s="58" t="s">
        <v>466</v>
      </c>
      <c r="TM155" s="18">
        <v>9</v>
      </c>
      <c r="TN155" s="59" t="str">
        <f t="shared" si="218"/>
        <v xml:space="preserve">Gate </v>
      </c>
      <c r="TO155" s="18" t="str">
        <f>""</f>
        <v/>
      </c>
      <c r="TP155" s="18" t="str">
        <f t="shared" si="219"/>
        <v/>
      </c>
      <c r="TQ155" s="18" t="str">
        <f>IF(OR(TK155=Spellcasting!$AC$18,TK155=Spellcasting!$AC$19),"ᵐ","")</f>
        <v/>
      </c>
      <c r="TR155" s="18" t="str">
        <f>IF(OR(TK155=Spellcasting!$AC$20,TK155=Spellcasting!$AC$21),"ˢ","")</f>
        <v/>
      </c>
      <c r="TS155" s="18" t="str">
        <f>""</f>
        <v/>
      </c>
      <c r="TT155" s="18" t="s">
        <v>484</v>
      </c>
      <c r="TU155" s="18" t="s">
        <v>850</v>
      </c>
      <c r="TV155" s="18" t="s">
        <v>558</v>
      </c>
      <c r="TW155" s="18" t="s">
        <v>495</v>
      </c>
      <c r="TX155" s="59" t="s">
        <v>2000</v>
      </c>
      <c r="TY155" s="18" t="s">
        <v>516</v>
      </c>
      <c r="TZ155" s="18" t="s">
        <v>517</v>
      </c>
      <c r="UA155" s="142" t="s">
        <v>2152</v>
      </c>
      <c r="UB155" s="319" t="s">
        <v>2153</v>
      </c>
      <c r="UF155" s="18" t="str">
        <f ca="1">IF(UF$1&gt;=$TM155,1,"0")</f>
        <v>0</v>
      </c>
      <c r="UH155" s="18" t="str">
        <f ca="1">IF(UH$1&gt;=$TM155,1,"0")</f>
        <v>0</v>
      </c>
      <c r="UL155" s="18" t="str">
        <f ca="1">IF(UL$1&gt;=$TM155,1,"0")</f>
        <v>0</v>
      </c>
      <c r="WD155" s="18" t="str">
        <f ca="1">IF(SUM($VZ$1:$WC$1)&gt;0,IF(AND(SUM($VZ155:$WC155)&gt;0,$TM155=WE$1),MAX(WD$2:WD154)+1,""),IF(AND(SUM($UC155:$VY155)&gt;0,$TM155=WE$1),MAX(WD$2:WD154)+1,""))</f>
        <v/>
      </c>
      <c r="WE155" s="59" t="str">
        <f t="shared" ca="1" si="220"/>
        <v/>
      </c>
      <c r="WF155" s="18" t="str">
        <f ca="1">IF(AND(SUM($UB155:$VY155)&gt;0,$TM155=WG$1),MAX(WF$2:WF154)+1,"")</f>
        <v/>
      </c>
      <c r="WG155" s="59" t="str">
        <f t="shared" ca="1" si="221"/>
        <v/>
      </c>
      <c r="WH155" s="18" t="str">
        <f ca="1">IF(AND(SUM($UB155:$VY155)&gt;0,$TM155=WI$1),MAX(WH$2:WH154)+1,"")</f>
        <v/>
      </c>
      <c r="WI155" s="59" t="str">
        <f t="shared" ca="1" si="222"/>
        <v/>
      </c>
      <c r="WJ155" s="18" t="str">
        <f ca="1">IF(AND(SUM($UB155:$VY155)&gt;0,$TM155=WK$1),MAX(WJ$2:WJ154)+1,"")</f>
        <v/>
      </c>
      <c r="WK155" s="59" t="str">
        <f t="shared" ca="1" si="223"/>
        <v/>
      </c>
      <c r="WL155" s="18" t="str">
        <f ca="1">IF(AND(SUM($UB155:$VY155)&gt;0,$TM155=WM$1),MAX(WL$2:WL154)+1,"")</f>
        <v/>
      </c>
      <c r="WM155" s="59" t="str">
        <f t="shared" ca="1" si="224"/>
        <v/>
      </c>
      <c r="WN155" s="18" t="str">
        <f ca="1">IF(AND(SUM($UB155:$VY155)&gt;0,$TM155=WO$1),MAX(WN$2:WN154)+1,"")</f>
        <v/>
      </c>
      <c r="WO155" s="59" t="str">
        <f t="shared" ca="1" si="225"/>
        <v/>
      </c>
      <c r="WP155" s="18" t="str">
        <f ca="1">IF(AND(SUM($UB155:$VY155)&gt;0,$TM155=WQ$1),MAX(WP$2:WP154)+1,"")</f>
        <v/>
      </c>
      <c r="WQ155" s="59" t="str">
        <f t="shared" ca="1" si="226"/>
        <v/>
      </c>
      <c r="WR155" s="18" t="str">
        <f ca="1">IF(AND(SUM($UB155:$VY155)&gt;0,$TM155=WS$1),MAX(WR$2:WR154)+1,"")</f>
        <v/>
      </c>
      <c r="WS155" s="59" t="str">
        <f t="shared" ca="1" si="227"/>
        <v/>
      </c>
      <c r="WT155" s="18" t="str">
        <f ca="1">IF(AND(SUM($UB155:$VY155)&gt;0,$TM155=WU$1),MAX(WT$2:WT154)+1,"")</f>
        <v/>
      </c>
      <c r="WU155" s="59" t="str">
        <f t="shared" ca="1" si="228"/>
        <v/>
      </c>
      <c r="WV155" s="18" t="str">
        <f ca="1">IF(AND(SUM($UB155:$VY155)&gt;0,$TM155=WW$1),MAX(WV$2:WV154)+1,"")</f>
        <v/>
      </c>
      <c r="WW155" s="59" t="str">
        <f t="shared" ca="1" si="229"/>
        <v/>
      </c>
      <c r="WX155" s="18" t="str">
        <f ca="1">IF(AND(SUM($UB155:$VY155)&gt;0,$TM155=WY$1),MAX(WX$2:WX154)+1,"")</f>
        <v/>
      </c>
      <c r="WY155" s="59" t="str">
        <f t="shared" ca="1" si="230"/>
        <v/>
      </c>
      <c r="WZ155" s="59"/>
      <c r="XC155" s="59" t="str">
        <f t="shared" ca="1" si="233"/>
        <v/>
      </c>
    </row>
    <row r="156" spans="260:627" ht="9.9499999999999993" customHeight="1" x14ac:dyDescent="0.2">
      <c r="TJ156" s="18">
        <f t="shared" si="231"/>
        <v>154</v>
      </c>
      <c r="TK156" s="58" t="s">
        <v>1937</v>
      </c>
      <c r="TL156" s="58" t="s">
        <v>462</v>
      </c>
      <c r="TM156" s="18">
        <v>5</v>
      </c>
      <c r="TN156" s="59" t="str">
        <f t="shared" si="218"/>
        <v xml:space="preserve">Geas ᴴ </v>
      </c>
      <c r="TO156" s="350" t="s">
        <v>2991</v>
      </c>
      <c r="TP156" s="18" t="str">
        <f t="shared" si="219"/>
        <v/>
      </c>
      <c r="TQ156" s="18" t="str">
        <f>IF(OR(TK156=Spellcasting!$AC$18,TK156=Spellcasting!$AC$19),"ᵐ","")</f>
        <v/>
      </c>
      <c r="TR156" s="18" t="str">
        <f>IF(OR(TK156=Spellcasting!$AC$20,TK156=Spellcasting!$AC$21),"ˢ","")</f>
        <v/>
      </c>
      <c r="TS156" s="18" t="str">
        <f>""</f>
        <v/>
      </c>
      <c r="TT156" s="18" t="s">
        <v>503</v>
      </c>
      <c r="TU156" s="18" t="s">
        <v>850</v>
      </c>
      <c r="TV156" s="18" t="s">
        <v>2001</v>
      </c>
      <c r="TW156" s="18" t="s">
        <v>541</v>
      </c>
      <c r="TX156" s="59" t="str">
        <f>""</f>
        <v/>
      </c>
      <c r="TY156" s="18" t="s">
        <v>498</v>
      </c>
      <c r="TZ156" s="18" t="s">
        <v>499</v>
      </c>
      <c r="UA156" s="142" t="s">
        <v>2231</v>
      </c>
      <c r="UB156" s="319" t="s">
        <v>2261</v>
      </c>
      <c r="UC156" s="18" t="str">
        <f ca="1">IF(UC$1&gt;=$TM156,1,"0")</f>
        <v>0</v>
      </c>
      <c r="UD156" s="18" t="str">
        <f ca="1">IF(UD$1&gt;=$TM156,1,"0")</f>
        <v>0</v>
      </c>
      <c r="UH156" s="18" t="str">
        <f ca="1">IF(UH$1&gt;=$TM156,1,"0")</f>
        <v>0</v>
      </c>
      <c r="UI156" s="18" t="str">
        <f ca="1">IF(UI$1&gt;=$TM156,1,"0")</f>
        <v>0</v>
      </c>
      <c r="UL156" s="18" t="str">
        <f ca="1">IF(UL$1&gt;=$TM156,1,"0")</f>
        <v>0</v>
      </c>
      <c r="WD156" s="18" t="str">
        <f ca="1">IF(SUM($VZ$1:$WC$1)&gt;0,IF(AND(SUM($VZ156:$WC156)&gt;0,$TM156=WE$1),MAX(WD$2:WD155)+1,""),IF(AND(SUM($UC156:$VY156)&gt;0,$TM156=WE$1),MAX(WD$2:WD155)+1,""))</f>
        <v/>
      </c>
      <c r="WE156" s="59" t="str">
        <f t="shared" ca="1" si="220"/>
        <v/>
      </c>
      <c r="WF156" s="18" t="str">
        <f ca="1">IF(AND(SUM($UB156:$VY156)&gt;0,$TM156=WG$1),MAX(WF$2:WF155)+1,"")</f>
        <v/>
      </c>
      <c r="WG156" s="59" t="str">
        <f t="shared" ca="1" si="221"/>
        <v/>
      </c>
      <c r="WH156" s="18" t="str">
        <f ca="1">IF(AND(SUM($UB156:$VY156)&gt;0,$TM156=WI$1),MAX(WH$2:WH155)+1,"")</f>
        <v/>
      </c>
      <c r="WI156" s="59" t="str">
        <f t="shared" ca="1" si="222"/>
        <v/>
      </c>
      <c r="WJ156" s="18" t="str">
        <f ca="1">IF(AND(SUM($UB156:$VY156)&gt;0,$TM156=WK$1),MAX(WJ$2:WJ155)+1,"")</f>
        <v/>
      </c>
      <c r="WK156" s="59" t="str">
        <f t="shared" ca="1" si="223"/>
        <v/>
      </c>
      <c r="WL156" s="18" t="str">
        <f ca="1">IF(AND(SUM($UB156:$VY156)&gt;0,$TM156=WM$1),MAX(WL$2:WL155)+1,"")</f>
        <v/>
      </c>
      <c r="WM156" s="59" t="str">
        <f t="shared" ca="1" si="224"/>
        <v/>
      </c>
      <c r="WN156" s="18" t="str">
        <f ca="1">IF(AND(SUM($UB156:$VY156)&gt;0,$TM156=WO$1),MAX(WN$2:WN155)+1,"")</f>
        <v/>
      </c>
      <c r="WO156" s="59" t="str">
        <f t="shared" ca="1" si="225"/>
        <v/>
      </c>
      <c r="WP156" s="18" t="str">
        <f ca="1">IF(AND(SUM($UB156:$VY156)&gt;0,$TM156=WQ$1),MAX(WP$2:WP155)+1,"")</f>
        <v/>
      </c>
      <c r="WQ156" s="59" t="str">
        <f t="shared" ca="1" si="226"/>
        <v/>
      </c>
      <c r="WR156" s="18" t="str">
        <f ca="1">IF(AND(SUM($UB156:$VY156)&gt;0,$TM156=WS$1),MAX(WR$2:WR155)+1,"")</f>
        <v/>
      </c>
      <c r="WS156" s="59" t="str">
        <f t="shared" ca="1" si="227"/>
        <v/>
      </c>
      <c r="WT156" s="18" t="str">
        <f ca="1">IF(AND(SUM($UB156:$VY156)&gt;0,$TM156=WU$1),MAX(WT$2:WT155)+1,"")</f>
        <v/>
      </c>
      <c r="WU156" s="59" t="str">
        <f t="shared" ca="1" si="228"/>
        <v/>
      </c>
      <c r="WV156" s="18" t="str">
        <f ca="1">IF(AND(SUM($UB156:$VY156)&gt;0,$TM156=WW$1),MAX(WV$2:WV155)+1,"")</f>
        <v/>
      </c>
      <c r="WW156" s="59" t="str">
        <f t="shared" ca="1" si="229"/>
        <v/>
      </c>
      <c r="WX156" s="18" t="str">
        <f ca="1">IF(AND(SUM($UB156:$VY156)&gt;0,$TM156=WY$1),MAX(WX$2:WX155)+1,"")</f>
        <v/>
      </c>
      <c r="WY156" s="59" t="str">
        <f t="shared" ca="1" si="230"/>
        <v/>
      </c>
      <c r="WZ156" s="59"/>
      <c r="XC156" s="59" t="str">
        <f t="shared" ca="1" si="233"/>
        <v/>
      </c>
    </row>
    <row r="157" spans="260:627" ht="9.9499999999999993" customHeight="1" x14ac:dyDescent="0.2">
      <c r="IZ157"/>
      <c r="TJ157" s="18">
        <f>TJ156+1</f>
        <v>155</v>
      </c>
      <c r="TK157" s="58" t="s">
        <v>603</v>
      </c>
      <c r="TL157" s="58" t="s">
        <v>459</v>
      </c>
      <c r="TM157" s="18">
        <v>2</v>
      </c>
      <c r="TN157" s="59" t="str">
        <f t="shared" si="218"/>
        <v xml:space="preserve">Gentle Repose </v>
      </c>
      <c r="TO157" s="18" t="str">
        <f>""</f>
        <v/>
      </c>
      <c r="TP157" s="18" t="str">
        <f t="shared" si="219"/>
        <v/>
      </c>
      <c r="TQ157" s="18" t="str">
        <f>IF(OR(TK157=Spellcasting!$AC$18,TK157=Spellcasting!$AC$19),"ᵐ","")</f>
        <v/>
      </c>
      <c r="TR157" s="18" t="str">
        <f>IF(OR(TK157=Spellcasting!$AC$20,TK157=Spellcasting!$AC$21),"ˢ","")</f>
        <v/>
      </c>
      <c r="TS157" s="18" t="s">
        <v>477</v>
      </c>
      <c r="TT157" s="18" t="s">
        <v>501</v>
      </c>
      <c r="TU157" s="18" t="s">
        <v>519</v>
      </c>
      <c r="TV157" s="18" t="s">
        <v>1260</v>
      </c>
      <c r="TW157" s="18" t="s">
        <v>495</v>
      </c>
      <c r="TX157" s="59" t="s">
        <v>1325</v>
      </c>
      <c r="TY157" s="18" t="s">
        <v>506</v>
      </c>
      <c r="TZ157" s="18" t="s">
        <v>507</v>
      </c>
      <c r="UA157" s="142" t="s">
        <v>1326</v>
      </c>
      <c r="UB157" s="319" t="s">
        <v>1329</v>
      </c>
      <c r="UH157" s="18" t="str">
        <f ca="1">IF(UH$1&gt;=$TM157,1,"0")</f>
        <v>0</v>
      </c>
      <c r="UL157" s="18" t="str">
        <f ca="1">IF(UL$1&gt;=$TM157,1,"0")</f>
        <v>0</v>
      </c>
      <c r="WD157" s="18" t="str">
        <f ca="1">IF(SUM($VZ$1:$WC$1)&gt;0,IF(AND(SUM($VZ157:$WC157)&gt;0,$TM157=WE$1),MAX(WD$2:WD156)+1,""),IF(AND(SUM($UC157:$VY157)&gt;0,$TM157=WE$1),MAX(WD$2:WD156)+1,""))</f>
        <v/>
      </c>
      <c r="WE157" s="59" t="str">
        <f t="shared" ca="1" si="220"/>
        <v/>
      </c>
      <c r="WF157" s="18" t="str">
        <f ca="1">IF(AND(SUM($UB157:$VY157)&gt;0,$TM157=WG$1),MAX(WF$2:WF156)+1,"")</f>
        <v/>
      </c>
      <c r="WG157" s="59" t="str">
        <f t="shared" ca="1" si="221"/>
        <v/>
      </c>
      <c r="WH157" s="18" t="str">
        <f ca="1">IF(AND(SUM($UB157:$VY157)&gt;0,$TM157=WI$1),MAX(WH$2:WH156)+1,"")</f>
        <v/>
      </c>
      <c r="WI157" s="59" t="str">
        <f t="shared" ca="1" si="222"/>
        <v/>
      </c>
      <c r="WJ157" s="18" t="str">
        <f ca="1">IF(AND(SUM($UB157:$VY157)&gt;0,$TM157=WK$1),MAX(WJ$2:WJ156)+1,"")</f>
        <v/>
      </c>
      <c r="WK157" s="59" t="str">
        <f t="shared" ca="1" si="223"/>
        <v/>
      </c>
      <c r="WL157" s="18" t="str">
        <f ca="1">IF(AND(SUM($UB157:$VY157)&gt;0,$TM157=WM$1),MAX(WL$2:WL156)+1,"")</f>
        <v/>
      </c>
      <c r="WM157" s="59" t="str">
        <f t="shared" ca="1" si="224"/>
        <v/>
      </c>
      <c r="WN157" s="18" t="str">
        <f ca="1">IF(AND(SUM($UB157:$VY157)&gt;0,$TM157=WO$1),MAX(WN$2:WN156)+1,"")</f>
        <v/>
      </c>
      <c r="WO157" s="59" t="str">
        <f t="shared" ca="1" si="225"/>
        <v/>
      </c>
      <c r="WP157" s="18" t="str">
        <f ca="1">IF(AND(SUM($UB157:$VY157)&gt;0,$TM157=WQ$1),MAX(WP$2:WP156)+1,"")</f>
        <v/>
      </c>
      <c r="WQ157" s="59" t="str">
        <f t="shared" ca="1" si="226"/>
        <v/>
      </c>
      <c r="WR157" s="18" t="str">
        <f ca="1">IF(AND(SUM($UB157:$VY157)&gt;0,$TM157=WS$1),MAX(WR$2:WR156)+1,"")</f>
        <v/>
      </c>
      <c r="WS157" s="59" t="str">
        <f t="shared" ca="1" si="227"/>
        <v/>
      </c>
      <c r="WT157" s="18" t="str">
        <f ca="1">IF(AND(SUM($UB157:$VY157)&gt;0,$TM157=WU$1),MAX(WT$2:WT156)+1,"")</f>
        <v/>
      </c>
      <c r="WU157" s="59" t="str">
        <f t="shared" ca="1" si="228"/>
        <v/>
      </c>
      <c r="WV157" s="18" t="str">
        <f ca="1">IF(AND(SUM($UB157:$VY157)&gt;0,$TM157=WW$1),MAX(WV$2:WV156)+1,"")</f>
        <v/>
      </c>
      <c r="WW157" s="59" t="str">
        <f t="shared" ca="1" si="229"/>
        <v/>
      </c>
      <c r="WX157" s="18" t="str">
        <f ca="1">IF(AND(SUM($UB157:$VY157)&gt;0,$TM157=WY$1),MAX(WX$2:WX156)+1,"")</f>
        <v/>
      </c>
      <c r="WY157" s="59" t="str">
        <f t="shared" ca="1" si="230"/>
        <v/>
      </c>
      <c r="WZ157" s="59"/>
      <c r="XC157" s="59" t="str">
        <f t="shared" ca="1" si="233"/>
        <v/>
      </c>
    </row>
    <row r="158" spans="260:627" ht="9.9499999999999993" customHeight="1" x14ac:dyDescent="0.2">
      <c r="IZ158"/>
      <c r="TJ158" s="18">
        <f t="shared" si="231"/>
        <v>156</v>
      </c>
      <c r="TK158" s="58" t="s">
        <v>2681</v>
      </c>
      <c r="TL158" s="58" t="s">
        <v>461</v>
      </c>
      <c r="TM158" s="18">
        <v>4</v>
      </c>
      <c r="TN158" s="59" t="str">
        <f t="shared" si="218"/>
        <v xml:space="preserve">Giant Insect </v>
      </c>
      <c r="TO158" s="18" t="str">
        <f>""</f>
        <v/>
      </c>
      <c r="TP158" s="18" t="str">
        <f t="shared" si="219"/>
        <v/>
      </c>
      <c r="TQ158" s="18" t="str">
        <f>IF(OR(TK158=Spellcasting!$AC$18,TK158=Spellcasting!$AC$19),"ᵐ","")</f>
        <v/>
      </c>
      <c r="TR158" s="18" t="str">
        <f>IF(OR(TK158=Spellcasting!$AC$20,TK158=Spellcasting!$AC$21),"ˢ","")</f>
        <v/>
      </c>
      <c r="TS158" s="18" t="str">
        <f>""</f>
        <v/>
      </c>
      <c r="TT158" s="18" t="s">
        <v>484</v>
      </c>
      <c r="TU158" s="18" t="s">
        <v>851</v>
      </c>
      <c r="TV158" s="18" t="s">
        <v>515</v>
      </c>
      <c r="TW158" s="18" t="s">
        <v>486</v>
      </c>
      <c r="TY158" s="18" t="s">
        <v>491</v>
      </c>
      <c r="TZ158" s="18" t="s">
        <v>492</v>
      </c>
      <c r="UA158" s="142" t="s">
        <v>2682</v>
      </c>
      <c r="UB158" s="319" t="s">
        <v>2683</v>
      </c>
      <c r="UI158" s="18" t="str">
        <f ca="1">IF(UI$1&gt;=$TM158,1,"0")</f>
        <v>0</v>
      </c>
      <c r="WD158" s="18" t="str">
        <f ca="1">IF(SUM($VZ$1:$WC$1)&gt;0,IF(AND(SUM($VZ158:$WC158)&gt;0,$TM158=WE$1),MAX(WD$2:WD157)+1,""),IF(AND(SUM($UC158:$VY158)&gt;0,$TM158=WE$1),MAX(WD$2:WD157)+1,""))</f>
        <v/>
      </c>
      <c r="WE158" s="59" t="str">
        <f t="shared" ca="1" si="220"/>
        <v/>
      </c>
      <c r="WF158" s="18" t="str">
        <f ca="1">IF(AND(SUM($UB158:$VY158)&gt;0,$TM158=WG$1),MAX(WF$2:WF157)+1,"")</f>
        <v/>
      </c>
      <c r="WG158" s="59" t="str">
        <f t="shared" ca="1" si="221"/>
        <v/>
      </c>
      <c r="WH158" s="18" t="str">
        <f ca="1">IF(AND(SUM($UB158:$VY158)&gt;0,$TM158=WI$1),MAX(WH$2:WH157)+1,"")</f>
        <v/>
      </c>
      <c r="WI158" s="59" t="str">
        <f t="shared" ca="1" si="222"/>
        <v/>
      </c>
      <c r="WJ158" s="18" t="str">
        <f ca="1">IF(AND(SUM($UB158:$VY158)&gt;0,$TM158=WK$1),MAX(WJ$2:WJ157)+1,"")</f>
        <v/>
      </c>
      <c r="WK158" s="59" t="str">
        <f t="shared" ca="1" si="223"/>
        <v/>
      </c>
      <c r="WL158" s="18" t="str">
        <f ca="1">IF(AND(SUM($UB158:$VY158)&gt;0,$TM158=WM$1),MAX(WL$2:WL157)+1,"")</f>
        <v/>
      </c>
      <c r="WM158" s="59" t="str">
        <f t="shared" ca="1" si="224"/>
        <v/>
      </c>
      <c r="WN158" s="18" t="str">
        <f ca="1">IF(AND(SUM($UB158:$VY158)&gt;0,$TM158=WO$1),MAX(WN$2:WN157)+1,"")</f>
        <v/>
      </c>
      <c r="WO158" s="59" t="str">
        <f t="shared" ca="1" si="225"/>
        <v/>
      </c>
      <c r="WP158" s="18" t="str">
        <f ca="1">IF(AND(SUM($UB158:$VY158)&gt;0,$TM158=WQ$1),MAX(WP$2:WP157)+1,"")</f>
        <v/>
      </c>
      <c r="WQ158" s="59" t="str">
        <f t="shared" ca="1" si="226"/>
        <v/>
      </c>
      <c r="WR158" s="18" t="str">
        <f ca="1">IF(AND(SUM($UB158:$VY158)&gt;0,$TM158=WS$1),MAX(WR$2:WR157)+1,"")</f>
        <v/>
      </c>
      <c r="WS158" s="59" t="str">
        <f t="shared" ca="1" si="227"/>
        <v/>
      </c>
      <c r="WT158" s="18" t="str">
        <f ca="1">IF(AND(SUM($UB158:$VY158)&gt;0,$TM158=WU$1),MAX(WT$2:WT157)+1,"")</f>
        <v/>
      </c>
      <c r="WU158" s="59" t="str">
        <f t="shared" ca="1" si="228"/>
        <v/>
      </c>
      <c r="WV158" s="18" t="str">
        <f ca="1">IF(AND(SUM($UB158:$VY158)&gt;0,$TM158=WW$1),MAX(WV$2:WV157)+1,"")</f>
        <v/>
      </c>
      <c r="WW158" s="59" t="str">
        <f t="shared" ca="1" si="229"/>
        <v/>
      </c>
      <c r="WX158" s="18" t="str">
        <f ca="1">IF(AND(SUM($UB158:$VY158)&gt;0,$TM158=WY$1),MAX(WX$2:WX157)+1,"")</f>
        <v/>
      </c>
      <c r="WY158" s="59" t="str">
        <f t="shared" ca="1" si="230"/>
        <v/>
      </c>
      <c r="WZ158" s="59"/>
      <c r="XC158" s="59" t="str">
        <f t="shared" ca="1" si="233"/>
        <v/>
      </c>
    </row>
    <row r="159" spans="260:627" ht="9.9499999999999993" customHeight="1" x14ac:dyDescent="0.2">
      <c r="IZ159"/>
      <c r="TJ159" s="18">
        <f t="shared" si="231"/>
        <v>157</v>
      </c>
      <c r="TK159" s="58" t="s">
        <v>2766</v>
      </c>
      <c r="TL159" s="58" t="s">
        <v>465</v>
      </c>
      <c r="TM159" s="18">
        <v>8</v>
      </c>
      <c r="TN159" s="59" t="str">
        <f t="shared" si="218"/>
        <v xml:space="preserve">Glibness </v>
      </c>
      <c r="TO159" s="18" t="str">
        <f>""</f>
        <v/>
      </c>
      <c r="TP159" s="18" t="str">
        <f t="shared" si="219"/>
        <v/>
      </c>
      <c r="TQ159" s="18" t="str">
        <f>IF(OR(TK159=Spellcasting!$AC$18,TK159=Spellcasting!$AC$19),"ᵐ","")</f>
        <v/>
      </c>
      <c r="TR159" s="18" t="str">
        <f>IF(OR(TK159=Spellcasting!$AC$20,TK159=Spellcasting!$AC$21),"ˢ","")</f>
        <v/>
      </c>
      <c r="TS159" s="18" t="str">
        <f>""</f>
        <v/>
      </c>
      <c r="TT159" s="18" t="s">
        <v>484</v>
      </c>
      <c r="TU159" s="18" t="s">
        <v>509</v>
      </c>
      <c r="TV159" s="18" t="s">
        <v>521</v>
      </c>
      <c r="TW159" s="18" t="s">
        <v>541</v>
      </c>
      <c r="TY159" s="18" t="s">
        <v>491</v>
      </c>
      <c r="TZ159" s="18" t="s">
        <v>492</v>
      </c>
      <c r="UA159" s="142" t="s">
        <v>2767</v>
      </c>
      <c r="UB159" s="319" t="s">
        <v>2768</v>
      </c>
      <c r="UG159" s="18" t="str">
        <f ca="1">IF(UG$1&gt;=$TM159,1,"0")</f>
        <v>0</v>
      </c>
      <c r="WD159" s="18" t="str">
        <f ca="1">IF(SUM($VZ$1:$WC$1)&gt;0,IF(AND(SUM($VZ159:$WC159)&gt;0,$TM159=WE$1),MAX(WD$2:WD158)+1,""),IF(AND(SUM($UC159:$VY159)&gt;0,$TM159=WE$1),MAX(WD$2:WD158)+1,""))</f>
        <v/>
      </c>
      <c r="WE159" s="59" t="str">
        <f t="shared" ca="1" si="220"/>
        <v/>
      </c>
      <c r="WF159" s="18" t="str">
        <f ca="1">IF(AND(SUM($UB159:$VY159)&gt;0,$TM159=WG$1),MAX(WF$2:WF158)+1,"")</f>
        <v/>
      </c>
      <c r="WG159" s="59" t="str">
        <f t="shared" ca="1" si="221"/>
        <v/>
      </c>
      <c r="WH159" s="18" t="str">
        <f ca="1">IF(AND(SUM($UB159:$VY159)&gt;0,$TM159=WI$1),MAX(WH$2:WH158)+1,"")</f>
        <v/>
      </c>
      <c r="WI159" s="59" t="str">
        <f t="shared" ca="1" si="222"/>
        <v/>
      </c>
      <c r="WJ159" s="18" t="str">
        <f ca="1">IF(AND(SUM($UB159:$VY159)&gt;0,$TM159=WK$1),MAX(WJ$2:WJ158)+1,"")</f>
        <v/>
      </c>
      <c r="WK159" s="59" t="str">
        <f t="shared" ca="1" si="223"/>
        <v/>
      </c>
      <c r="WL159" s="18" t="str">
        <f ca="1">IF(AND(SUM($UB159:$VY159)&gt;0,$TM159=WM$1),MAX(WL$2:WL158)+1,"")</f>
        <v/>
      </c>
      <c r="WM159" s="59" t="str">
        <f t="shared" ca="1" si="224"/>
        <v/>
      </c>
      <c r="WN159" s="18" t="str">
        <f ca="1">IF(AND(SUM($UB159:$VY159)&gt;0,$TM159=WO$1),MAX(WN$2:WN158)+1,"")</f>
        <v/>
      </c>
      <c r="WO159" s="59" t="str">
        <f t="shared" ca="1" si="225"/>
        <v/>
      </c>
      <c r="WP159" s="18" t="str">
        <f ca="1">IF(AND(SUM($UB159:$VY159)&gt;0,$TM159=WQ$1),MAX(WP$2:WP158)+1,"")</f>
        <v/>
      </c>
      <c r="WQ159" s="59" t="str">
        <f t="shared" ca="1" si="226"/>
        <v/>
      </c>
      <c r="WR159" s="18" t="str">
        <f ca="1">IF(AND(SUM($UB159:$VY159)&gt;0,$TM159=WS$1),MAX(WR$2:WR158)+1,"")</f>
        <v/>
      </c>
      <c r="WS159" s="59" t="str">
        <f t="shared" ca="1" si="227"/>
        <v/>
      </c>
      <c r="WT159" s="18" t="str">
        <f ca="1">IF(AND(SUM($UB159:$VY159)&gt;0,$TM159=WU$1),MAX(WT$2:WT158)+1,"")</f>
        <v/>
      </c>
      <c r="WU159" s="59" t="str">
        <f t="shared" ca="1" si="228"/>
        <v/>
      </c>
      <c r="WV159" s="18" t="str">
        <f ca="1">IF(AND(SUM($UB159:$VY159)&gt;0,$TM159=WW$1),MAX(WV$2:WV158)+1,"")</f>
        <v/>
      </c>
      <c r="WW159" s="59" t="str">
        <f t="shared" ca="1" si="229"/>
        <v/>
      </c>
      <c r="WX159" s="18" t="str">
        <f ca="1">IF(AND(SUM($UB159:$VY159)&gt;0,$TM159=WY$1),MAX(WX$2:WX158)+1,"")</f>
        <v/>
      </c>
      <c r="WY159" s="59" t="str">
        <f t="shared" ca="1" si="230"/>
        <v/>
      </c>
      <c r="WZ159" s="59"/>
      <c r="XC159" s="59" t="str">
        <f t="shared" ca="1" si="233"/>
        <v/>
      </c>
    </row>
    <row r="160" spans="260:627" ht="9.9499999999999993" customHeight="1" x14ac:dyDescent="0.2">
      <c r="IZ160"/>
      <c r="TJ160" s="18">
        <f t="shared" si="231"/>
        <v>158</v>
      </c>
      <c r="TK160" s="58" t="s">
        <v>2757</v>
      </c>
      <c r="TL160" s="58" t="s">
        <v>463</v>
      </c>
      <c r="TM160" s="18">
        <v>6</v>
      </c>
      <c r="TN160" s="59" t="str">
        <f t="shared" si="218"/>
        <v xml:space="preserve">Globe of Invulnerability ᴴ </v>
      </c>
      <c r="TO160" s="350" t="s">
        <v>2991</v>
      </c>
      <c r="TP160" s="18" t="str">
        <f t="shared" si="219"/>
        <v/>
      </c>
      <c r="TQ160" s="18" t="str">
        <f>IF(OR(TK160=Spellcasting!$AC$18,TK160=Spellcasting!$AC$19),"ᵐ","")</f>
        <v/>
      </c>
      <c r="TR160" s="18" t="str">
        <f>IF(OR(TK160=Spellcasting!$AC$20,TK160=Spellcasting!$AC$21),"ˢ","")</f>
        <v/>
      </c>
      <c r="TS160" s="18" t="str">
        <f>""</f>
        <v/>
      </c>
      <c r="TT160" s="18" t="s">
        <v>484</v>
      </c>
      <c r="TU160" s="18" t="s">
        <v>509</v>
      </c>
      <c r="TV160" s="18" t="s">
        <v>558</v>
      </c>
      <c r="TW160" s="18" t="s">
        <v>495</v>
      </c>
      <c r="TX160" s="59" t="s">
        <v>2002</v>
      </c>
      <c r="TY160" s="18" t="s">
        <v>487</v>
      </c>
      <c r="TZ160" s="18" t="s">
        <v>488</v>
      </c>
      <c r="UA160" s="142" t="s">
        <v>2154</v>
      </c>
      <c r="UB160" s="319" t="s">
        <v>2155</v>
      </c>
      <c r="UF160" s="18" t="str">
        <f ca="1">IF(UF$1&gt;=$TM160,1,"0")</f>
        <v>0</v>
      </c>
      <c r="UL160" s="18" t="str">
        <f ca="1">IF(UL$1&gt;=$TM160,1,"0")</f>
        <v>0</v>
      </c>
      <c r="WD160" s="18" t="str">
        <f ca="1">IF(SUM($VZ$1:$WC$1)&gt;0,IF(AND(SUM($VZ160:$WC160)&gt;0,$TM160=WE$1),MAX(WD$2:WD159)+1,""),IF(AND(SUM($UC160:$VY160)&gt;0,$TM160=WE$1),MAX(WD$2:WD159)+1,""))</f>
        <v/>
      </c>
      <c r="WE160" s="59" t="str">
        <f t="shared" ca="1" si="220"/>
        <v/>
      </c>
      <c r="WF160" s="18" t="str">
        <f ca="1">IF(AND(SUM($UB160:$VY160)&gt;0,$TM160=WG$1),MAX(WF$2:WF159)+1,"")</f>
        <v/>
      </c>
      <c r="WG160" s="59" t="str">
        <f t="shared" ca="1" si="221"/>
        <v/>
      </c>
      <c r="WH160" s="18" t="str">
        <f ca="1">IF(AND(SUM($UB160:$VY160)&gt;0,$TM160=WI$1),MAX(WH$2:WH159)+1,"")</f>
        <v/>
      </c>
      <c r="WI160" s="59" t="str">
        <f t="shared" ca="1" si="222"/>
        <v/>
      </c>
      <c r="WJ160" s="18" t="str">
        <f ca="1">IF(AND(SUM($UB160:$VY160)&gt;0,$TM160=WK$1),MAX(WJ$2:WJ159)+1,"")</f>
        <v/>
      </c>
      <c r="WK160" s="59" t="str">
        <f t="shared" ca="1" si="223"/>
        <v/>
      </c>
      <c r="WL160" s="18" t="str">
        <f ca="1">IF(AND(SUM($UB160:$VY160)&gt;0,$TM160=WM$1),MAX(WL$2:WL159)+1,"")</f>
        <v/>
      </c>
      <c r="WM160" s="59" t="str">
        <f t="shared" ca="1" si="224"/>
        <v/>
      </c>
      <c r="WN160" s="18" t="str">
        <f ca="1">IF(AND(SUM($UB160:$VY160)&gt;0,$TM160=WO$1),MAX(WN$2:WN159)+1,"")</f>
        <v/>
      </c>
      <c r="WO160" s="59" t="str">
        <f t="shared" ca="1" si="225"/>
        <v/>
      </c>
      <c r="WP160" s="18" t="str">
        <f ca="1">IF(AND(SUM($UB160:$VY160)&gt;0,$TM160=WQ$1),MAX(WP$2:WP159)+1,"")</f>
        <v/>
      </c>
      <c r="WQ160" s="59" t="str">
        <f t="shared" ca="1" si="226"/>
        <v/>
      </c>
      <c r="WR160" s="18" t="str">
        <f ca="1">IF(AND(SUM($UB160:$VY160)&gt;0,$TM160=WS$1),MAX(WR$2:WR159)+1,"")</f>
        <v/>
      </c>
      <c r="WS160" s="59" t="str">
        <f t="shared" ca="1" si="227"/>
        <v/>
      </c>
      <c r="WT160" s="18" t="str">
        <f ca="1">IF(AND(SUM($UB160:$VY160)&gt;0,$TM160=WU$1),MAX(WT$2:WT159)+1,"")</f>
        <v/>
      </c>
      <c r="WU160" s="59" t="str">
        <f t="shared" ca="1" si="228"/>
        <v/>
      </c>
      <c r="WV160" s="18" t="str">
        <f ca="1">IF(AND(SUM($UB160:$VY160)&gt;0,$TM160=WW$1),MAX(WV$2:WV159)+1,"")</f>
        <v/>
      </c>
      <c r="WW160" s="59" t="str">
        <f t="shared" ca="1" si="229"/>
        <v/>
      </c>
      <c r="WX160" s="18" t="str">
        <f ca="1">IF(AND(SUM($UB160:$VY160)&gt;0,$TM160=WY$1),MAX(WX$2:WX159)+1,"")</f>
        <v/>
      </c>
      <c r="WY160" s="59" t="str">
        <f t="shared" ca="1" si="230"/>
        <v/>
      </c>
      <c r="WZ160" s="59"/>
      <c r="XC160" s="59" t="str">
        <f t="shared" ca="1" si="233"/>
        <v/>
      </c>
    </row>
    <row r="161" spans="260:627" ht="9.9499999999999993" customHeight="1" x14ac:dyDescent="0.2">
      <c r="IZ161"/>
      <c r="TJ161" s="18">
        <f t="shared" si="231"/>
        <v>159</v>
      </c>
      <c r="TK161" s="58" t="s">
        <v>1239</v>
      </c>
      <c r="TL161" s="58" t="s">
        <v>460</v>
      </c>
      <c r="TM161" s="18">
        <v>3</v>
      </c>
      <c r="TN161" s="59" t="str">
        <f t="shared" si="218"/>
        <v xml:space="preserve">Glyph of Warding ᴴ </v>
      </c>
      <c r="TO161" s="350" t="s">
        <v>2991</v>
      </c>
      <c r="TP161" s="18" t="str">
        <f t="shared" si="219"/>
        <v/>
      </c>
      <c r="TQ161" s="18" t="str">
        <f>IF(OR(TK161=Spellcasting!$AC$18,TK161=Spellcasting!$AC$19),"ᵐ","")</f>
        <v/>
      </c>
      <c r="TR161" s="18" t="str">
        <f>IF(OR(TK161=Spellcasting!$AC$20,TK161=Spellcasting!$AC$21),"ˢ","")</f>
        <v/>
      </c>
      <c r="TS161" s="18" t="str">
        <f>""</f>
        <v/>
      </c>
      <c r="TT161" s="18" t="s">
        <v>521</v>
      </c>
      <c r="TU161" s="18" t="s">
        <v>519</v>
      </c>
      <c r="TV161" s="18" t="s">
        <v>1459</v>
      </c>
      <c r="TW161" s="18" t="s">
        <v>495</v>
      </c>
      <c r="TX161" s="59" t="s">
        <v>1460</v>
      </c>
      <c r="TY161" s="18" t="s">
        <v>487</v>
      </c>
      <c r="TZ161" s="18" t="s">
        <v>488</v>
      </c>
      <c r="UA161" s="142" t="s">
        <v>3173</v>
      </c>
      <c r="UB161" s="319" t="s">
        <v>3035</v>
      </c>
      <c r="UC161" s="18" t="str">
        <f ca="1">IF(UC$1&gt;=$TM161,1,"0")</f>
        <v>0</v>
      </c>
      <c r="UH161" s="18" t="str">
        <f ca="1">IF(UH$1&gt;=$TM161,1,"0")</f>
        <v>0</v>
      </c>
      <c r="UL161" s="18" t="str">
        <f ca="1">IF(UL$1&gt;=$TM161,1,"0")</f>
        <v>0</v>
      </c>
      <c r="VP161" s="18" t="str">
        <f>IF(VP$1&gt;=$TM161,1,"0")</f>
        <v>0</v>
      </c>
      <c r="WD161" s="18" t="str">
        <f ca="1">IF(SUM($VZ$1:$WC$1)&gt;0,IF(AND(SUM($VZ161:$WC161)&gt;0,$TM161=WE$1),MAX(WD$2:WD160)+1,""),IF(AND(SUM($UC161:$VY161)&gt;0,$TM161=WE$1),MAX(WD$2:WD160)+1,""))</f>
        <v/>
      </c>
      <c r="WE161" s="59" t="str">
        <f t="shared" ca="1" si="220"/>
        <v/>
      </c>
      <c r="WF161" s="18" t="str">
        <f ca="1">IF(AND(SUM($UB161:$VY161)&gt;0,$TM161=WG$1),MAX(WF$2:WF160)+1,"")</f>
        <v/>
      </c>
      <c r="WG161" s="59" t="str">
        <f t="shared" ca="1" si="221"/>
        <v/>
      </c>
      <c r="WH161" s="18" t="str">
        <f ca="1">IF(AND(SUM($UB161:$VY161)&gt;0,$TM161=WI$1),MAX(WH$2:WH160)+1,"")</f>
        <v/>
      </c>
      <c r="WI161" s="59" t="str">
        <f t="shared" ca="1" si="222"/>
        <v/>
      </c>
      <c r="WJ161" s="18" t="str">
        <f ca="1">IF(AND(SUM($UB161:$VY161)&gt;0,$TM161=WK$1),MAX(WJ$2:WJ160)+1,"")</f>
        <v/>
      </c>
      <c r="WK161" s="59" t="str">
        <f t="shared" ca="1" si="223"/>
        <v/>
      </c>
      <c r="WL161" s="18" t="str">
        <f ca="1">IF(AND(SUM($UB161:$VY161)&gt;0,$TM161=WM$1),MAX(WL$2:WL160)+1,"")</f>
        <v/>
      </c>
      <c r="WM161" s="59" t="str">
        <f t="shared" ca="1" si="224"/>
        <v/>
      </c>
      <c r="WN161" s="18" t="str">
        <f ca="1">IF(AND(SUM($UB161:$VY161)&gt;0,$TM161=WO$1),MAX(WN$2:WN160)+1,"")</f>
        <v/>
      </c>
      <c r="WO161" s="59" t="str">
        <f t="shared" ca="1" si="225"/>
        <v/>
      </c>
      <c r="WP161" s="18" t="str">
        <f ca="1">IF(AND(SUM($UB161:$VY161)&gt;0,$TM161=WQ$1),MAX(WP$2:WP160)+1,"")</f>
        <v/>
      </c>
      <c r="WQ161" s="59" t="str">
        <f t="shared" ca="1" si="226"/>
        <v/>
      </c>
      <c r="WR161" s="18" t="str">
        <f ca="1">IF(AND(SUM($UB161:$VY161)&gt;0,$TM161=WS$1),MAX(WR$2:WR160)+1,"")</f>
        <v/>
      </c>
      <c r="WS161" s="59" t="str">
        <f t="shared" ca="1" si="227"/>
        <v/>
      </c>
      <c r="WT161" s="18" t="str">
        <f ca="1">IF(AND(SUM($UB161:$VY161)&gt;0,$TM161=WU$1),MAX(WT$2:WT160)+1,"")</f>
        <v/>
      </c>
      <c r="WU161" s="59" t="str">
        <f t="shared" ca="1" si="228"/>
        <v/>
      </c>
      <c r="WV161" s="18" t="str">
        <f ca="1">IF(AND(SUM($UB161:$VY161)&gt;0,$TM161=WW$1),MAX(WV$2:WV160)+1,"")</f>
        <v/>
      </c>
      <c r="WW161" s="59" t="str">
        <f t="shared" ca="1" si="229"/>
        <v/>
      </c>
      <c r="WX161" s="18" t="str">
        <f ca="1">IF(AND(SUM($UB161:$VY161)&gt;0,$TM161=WY$1),MAX(WX$2:WX160)+1,"")</f>
        <v/>
      </c>
      <c r="WY161" s="59" t="str">
        <f t="shared" ca="1" si="230"/>
        <v/>
      </c>
      <c r="WZ161" s="59"/>
      <c r="XC161" s="59" t="str">
        <f t="shared" ca="1" si="233"/>
        <v/>
      </c>
    </row>
    <row r="162" spans="260:627" ht="9.9499999999999993" customHeight="1" x14ac:dyDescent="0.2">
      <c r="IZ162"/>
      <c r="TJ162" s="18">
        <f t="shared" si="231"/>
        <v>160</v>
      </c>
      <c r="TK162" s="58" t="s">
        <v>604</v>
      </c>
      <c r="TL162" s="58" t="s">
        <v>448</v>
      </c>
      <c r="TM162" s="18">
        <v>1</v>
      </c>
      <c r="TN162" s="59" t="str">
        <f t="shared" si="218"/>
        <v xml:space="preserve">Goodberry </v>
      </c>
      <c r="TO162" s="18" t="str">
        <f>""</f>
        <v/>
      </c>
      <c r="TP162" s="18" t="str">
        <f t="shared" si="219"/>
        <v/>
      </c>
      <c r="TQ162" s="18" t="str">
        <f>IF(OR(TK162=Spellcasting!$AC$18,TK162=Spellcasting!$AC$19),"ᵐ","")</f>
        <v/>
      </c>
      <c r="TR162" s="18" t="str">
        <f>IF(OR(TK162=Spellcasting!$AC$20,TK162=Spellcasting!$AC$21),"ˢ","")</f>
        <v/>
      </c>
      <c r="TS162" s="18" t="str">
        <f>""</f>
        <v/>
      </c>
      <c r="TT162" s="18" t="s">
        <v>484</v>
      </c>
      <c r="TU162" s="18" t="s">
        <v>519</v>
      </c>
      <c r="TV162" s="18" t="s">
        <v>505</v>
      </c>
      <c r="TW162" s="18" t="s">
        <v>495</v>
      </c>
      <c r="TX162" s="59" t="s">
        <v>1404</v>
      </c>
      <c r="TY162" s="18" t="s">
        <v>491</v>
      </c>
      <c r="TZ162" s="18" t="s">
        <v>492</v>
      </c>
      <c r="UA162" s="59" t="s">
        <v>1405</v>
      </c>
      <c r="UB162" s="319" t="s">
        <v>1406</v>
      </c>
      <c r="UE162" s="18" t="str">
        <f ca="1">IF(UE$1&gt;=$TM162,1,"0")</f>
        <v>0</v>
      </c>
      <c r="UI162" s="18" t="str">
        <f ca="1">IF(UI$1&gt;=$TM162,1,"0")</f>
        <v>0</v>
      </c>
      <c r="WD162" s="18" t="str">
        <f ca="1">IF(SUM($VZ$1:$WC$1)&gt;0,IF(AND(SUM($VZ162:$WC162)&gt;0,$TM162=WE$1),MAX(WD$2:WD161)+1,""),IF(AND(SUM($UC162:$VY162)&gt;0,$TM162=WE$1),MAX(WD$2:WD161)+1,""))</f>
        <v/>
      </c>
      <c r="WE162" s="59" t="str">
        <f t="shared" ca="1" si="220"/>
        <v/>
      </c>
      <c r="WF162" s="18" t="str">
        <f ca="1">IF(AND(SUM($UB162:$VY162)&gt;0,$TM162=WG$1),MAX(WF$2:WF161)+1,"")</f>
        <v/>
      </c>
      <c r="WG162" s="59" t="str">
        <f t="shared" ca="1" si="221"/>
        <v/>
      </c>
      <c r="WH162" s="18" t="str">
        <f ca="1">IF(AND(SUM($UB162:$VY162)&gt;0,$TM162=WI$1),MAX(WH$2:WH161)+1,"")</f>
        <v/>
      </c>
      <c r="WI162" s="59" t="str">
        <f t="shared" ca="1" si="222"/>
        <v/>
      </c>
      <c r="WJ162" s="18" t="str">
        <f ca="1">IF(AND(SUM($UB162:$VY162)&gt;0,$TM162=WK$1),MAX(WJ$2:WJ161)+1,"")</f>
        <v/>
      </c>
      <c r="WK162" s="59" t="str">
        <f t="shared" ca="1" si="223"/>
        <v/>
      </c>
      <c r="WL162" s="18" t="str">
        <f ca="1">IF(AND(SUM($UB162:$VY162)&gt;0,$TM162=WM$1),MAX(WL$2:WL161)+1,"")</f>
        <v/>
      </c>
      <c r="WM162" s="59" t="str">
        <f t="shared" ca="1" si="224"/>
        <v/>
      </c>
      <c r="WN162" s="18" t="str">
        <f ca="1">IF(AND(SUM($UB162:$VY162)&gt;0,$TM162=WO$1),MAX(WN$2:WN161)+1,"")</f>
        <v/>
      </c>
      <c r="WO162" s="59" t="str">
        <f t="shared" ca="1" si="225"/>
        <v/>
      </c>
      <c r="WP162" s="18" t="str">
        <f ca="1">IF(AND(SUM($UB162:$VY162)&gt;0,$TM162=WQ$1),MAX(WP$2:WP161)+1,"")</f>
        <v/>
      </c>
      <c r="WQ162" s="59" t="str">
        <f t="shared" ca="1" si="226"/>
        <v/>
      </c>
      <c r="WR162" s="18" t="str">
        <f ca="1">IF(AND(SUM($UB162:$VY162)&gt;0,$TM162=WS$1),MAX(WR$2:WR161)+1,"")</f>
        <v/>
      </c>
      <c r="WS162" s="59" t="str">
        <f t="shared" ca="1" si="227"/>
        <v/>
      </c>
      <c r="WT162" s="18" t="str">
        <f ca="1">IF(AND(SUM($UB162:$VY162)&gt;0,$TM162=WU$1),MAX(WT$2:WT161)+1,"")</f>
        <v/>
      </c>
      <c r="WU162" s="59" t="str">
        <f t="shared" ca="1" si="228"/>
        <v/>
      </c>
      <c r="WV162" s="18" t="str">
        <f ca="1">IF(AND(SUM($UB162:$VY162)&gt;0,$TM162=WW$1),MAX(WV$2:WV161)+1,"")</f>
        <v/>
      </c>
      <c r="WW162" s="59" t="str">
        <f t="shared" ca="1" si="229"/>
        <v/>
      </c>
      <c r="WX162" s="18" t="str">
        <f ca="1">IF(AND(SUM($UB162:$VY162)&gt;0,$TM162=WY$1),MAX(WX$2:WX161)+1,"")</f>
        <v/>
      </c>
      <c r="WY162" s="59" t="str">
        <f t="shared" ca="1" si="230"/>
        <v/>
      </c>
      <c r="WZ162" s="59"/>
      <c r="XC162" s="59" t="str">
        <f t="shared" ca="1" si="233"/>
        <v/>
      </c>
    </row>
    <row r="163" spans="260:627" ht="9.9499999999999993" customHeight="1" x14ac:dyDescent="0.2">
      <c r="IZ163"/>
      <c r="TJ163" s="18">
        <f t="shared" si="231"/>
        <v>161</v>
      </c>
      <c r="TK163" s="58" t="s">
        <v>605</v>
      </c>
      <c r="TL163" s="58" t="s">
        <v>461</v>
      </c>
      <c r="TM163" s="18">
        <v>4</v>
      </c>
      <c r="TN163" s="59" t="str">
        <f t="shared" si="218"/>
        <v xml:space="preserve">Grasping Vine </v>
      </c>
      <c r="TO163" s="18" t="str">
        <f>""</f>
        <v/>
      </c>
      <c r="TP163" s="18" t="str">
        <f t="shared" si="219"/>
        <v/>
      </c>
      <c r="TQ163" s="18" t="str">
        <f>IF(OR(TK163=Spellcasting!$AC$18,TK163=Spellcasting!$AC$19),"ᵐ","")</f>
        <v/>
      </c>
      <c r="TR163" s="18" t="str">
        <f>IF(OR(TK163=Spellcasting!$AC$20,TK163=Spellcasting!$AC$21),"ˢ","")</f>
        <v/>
      </c>
      <c r="TS163" s="18" t="str">
        <f>""</f>
        <v/>
      </c>
      <c r="TT163" s="18" t="s">
        <v>1256</v>
      </c>
      <c r="TU163" s="18" t="s">
        <v>851</v>
      </c>
      <c r="TV163" s="18" t="s">
        <v>558</v>
      </c>
      <c r="TW163" s="18" t="s">
        <v>486</v>
      </c>
      <c r="TX163" s="59" t="str">
        <f>""</f>
        <v/>
      </c>
      <c r="TY163" s="18" t="s">
        <v>516</v>
      </c>
      <c r="TZ163" s="18" t="s">
        <v>517</v>
      </c>
      <c r="UA163" s="142" t="s">
        <v>2156</v>
      </c>
      <c r="UB163" s="319" t="s">
        <v>2265</v>
      </c>
      <c r="UE163" s="18" t="str">
        <f ca="1">IF(UE$1&gt;=$TM163,1,"0")</f>
        <v>0</v>
      </c>
      <c r="UI163" s="18" t="str">
        <f ca="1">IF(UI$1&gt;=$TM163,1,"0")</f>
        <v>0</v>
      </c>
      <c r="VB163" s="18" t="str">
        <f>IF(VB$1&gt;=$TM163,1,"0")</f>
        <v>0</v>
      </c>
      <c r="WD163" s="18" t="str">
        <f ca="1">IF(SUM($VZ$1:$WC$1)&gt;0,IF(AND(SUM($VZ163:$WC163)&gt;0,$TM163=WE$1),MAX(WD$2:WD162)+1,""),IF(AND(SUM($UC163:$VY163)&gt;0,$TM163=WE$1),MAX(WD$2:WD162)+1,""))</f>
        <v/>
      </c>
      <c r="WE163" s="59" t="str">
        <f t="shared" ca="1" si="220"/>
        <v/>
      </c>
      <c r="WF163" s="18" t="str">
        <f ca="1">IF(AND(SUM($UB163:$VY163)&gt;0,$TM163=WG$1),MAX(WF$2:WF162)+1,"")</f>
        <v/>
      </c>
      <c r="WG163" s="59" t="str">
        <f t="shared" ca="1" si="221"/>
        <v/>
      </c>
      <c r="WH163" s="18" t="str">
        <f ca="1">IF(AND(SUM($UB163:$VY163)&gt;0,$TM163=WI$1),MAX(WH$2:WH162)+1,"")</f>
        <v/>
      </c>
      <c r="WI163" s="59" t="str">
        <f t="shared" ca="1" si="222"/>
        <v/>
      </c>
      <c r="WJ163" s="18" t="str">
        <f ca="1">IF(AND(SUM($UB163:$VY163)&gt;0,$TM163=WK$1),MAX(WJ$2:WJ162)+1,"")</f>
        <v/>
      </c>
      <c r="WK163" s="59" t="str">
        <f t="shared" ca="1" si="223"/>
        <v/>
      </c>
      <c r="WL163" s="18" t="str">
        <f ca="1">IF(AND(SUM($UB163:$VY163)&gt;0,$TM163=WM$1),MAX(WL$2:WL162)+1,"")</f>
        <v/>
      </c>
      <c r="WM163" s="59" t="str">
        <f t="shared" ca="1" si="224"/>
        <v/>
      </c>
      <c r="WN163" s="18" t="str">
        <f ca="1">IF(AND(SUM($UB163:$VY163)&gt;0,$TM163=WO$1),MAX(WN$2:WN162)+1,"")</f>
        <v/>
      </c>
      <c r="WO163" s="59" t="str">
        <f t="shared" ca="1" si="225"/>
        <v/>
      </c>
      <c r="WP163" s="18" t="str">
        <f ca="1">IF(AND(SUM($UB163:$VY163)&gt;0,$TM163=WQ$1),MAX(WP$2:WP162)+1,"")</f>
        <v/>
      </c>
      <c r="WQ163" s="59" t="str">
        <f t="shared" ca="1" si="226"/>
        <v/>
      </c>
      <c r="WR163" s="18" t="str">
        <f ca="1">IF(AND(SUM($UB163:$VY163)&gt;0,$TM163=WS$1),MAX(WR$2:WR162)+1,"")</f>
        <v/>
      </c>
      <c r="WS163" s="59" t="str">
        <f t="shared" ca="1" si="227"/>
        <v/>
      </c>
      <c r="WT163" s="18" t="str">
        <f ca="1">IF(AND(SUM($UB163:$VY163)&gt;0,$TM163=WU$1),MAX(WT$2:WT162)+1,"")</f>
        <v/>
      </c>
      <c r="WU163" s="59" t="str">
        <f t="shared" ca="1" si="228"/>
        <v/>
      </c>
      <c r="WV163" s="18" t="str">
        <f ca="1">IF(AND(SUM($UB163:$VY163)&gt;0,$TM163=WW$1),MAX(WV$2:WV162)+1,"")</f>
        <v/>
      </c>
      <c r="WW163" s="59" t="str">
        <f t="shared" ca="1" si="229"/>
        <v/>
      </c>
      <c r="WX163" s="18" t="str">
        <f ca="1">IF(AND(SUM($UB163:$VY163)&gt;0,$TM163=WY$1),MAX(WX$2:WX162)+1,"")</f>
        <v/>
      </c>
      <c r="WY163" s="59" t="str">
        <f t="shared" ca="1" si="230"/>
        <v/>
      </c>
      <c r="WZ163" s="59"/>
      <c r="XC163" s="59" t="str">
        <f t="shared" ca="1" si="233"/>
        <v/>
      </c>
    </row>
    <row r="164" spans="260:627" ht="9.9499999999999993" customHeight="1" x14ac:dyDescent="0.2">
      <c r="IZ164"/>
      <c r="TJ164" s="18">
        <f t="shared" si="231"/>
        <v>162</v>
      </c>
      <c r="TK164" s="58" t="s">
        <v>606</v>
      </c>
      <c r="TL164" s="58" t="s">
        <v>448</v>
      </c>
      <c r="TM164" s="18">
        <v>1</v>
      </c>
      <c r="TN164" s="59" t="str">
        <f t="shared" si="218"/>
        <v xml:space="preserve">Grease </v>
      </c>
      <c r="TO164" s="18" t="str">
        <f>""</f>
        <v/>
      </c>
      <c r="TP164" s="18" t="str">
        <f t="shared" si="219"/>
        <v/>
      </c>
      <c r="TQ164" s="18" t="str">
        <f>IF(OR(TK164=Spellcasting!$AC$18,TK164=Spellcasting!$AC$19),"ᵐ","")</f>
        <v/>
      </c>
      <c r="TR164" s="18" t="str">
        <f>IF(OR(TK164=Spellcasting!$AC$20,TK164=Spellcasting!$AC$21),"ˢ","")</f>
        <v/>
      </c>
      <c r="TS164" s="18" t="str">
        <f>""</f>
        <v/>
      </c>
      <c r="TT164" s="18" t="s">
        <v>484</v>
      </c>
      <c r="TU164" s="18" t="s">
        <v>850</v>
      </c>
      <c r="TV164" s="18" t="s">
        <v>503</v>
      </c>
      <c r="TW164" s="18" t="s">
        <v>495</v>
      </c>
      <c r="TX164" s="59" t="s">
        <v>1407</v>
      </c>
      <c r="TY164" s="18" t="s">
        <v>516</v>
      </c>
      <c r="TZ164" s="18" t="s">
        <v>517</v>
      </c>
      <c r="UA164" s="142" t="s">
        <v>1408</v>
      </c>
      <c r="UB164" s="319" t="s">
        <v>2266</v>
      </c>
      <c r="UL164" s="18" t="str">
        <f ca="1">IF(UL$1&gt;=$TM164,1,"0")</f>
        <v>0</v>
      </c>
      <c r="WD164" s="18" t="str">
        <f ca="1">IF(SUM($VZ$1:$WC$1)&gt;0,IF(AND(SUM($VZ164:$WC164)&gt;0,$TM164=WE$1),MAX(WD$2:WD163)+1,""),IF(AND(SUM($UC164:$VY164)&gt;0,$TM164=WE$1),MAX(WD$2:WD163)+1,""))</f>
        <v/>
      </c>
      <c r="WE164" s="59" t="str">
        <f t="shared" ca="1" si="220"/>
        <v/>
      </c>
      <c r="WF164" s="18" t="str">
        <f ca="1">IF(AND(SUM($UB164:$VY164)&gt;0,$TM164=WG$1),MAX(WF$2:WF163)+1,"")</f>
        <v/>
      </c>
      <c r="WG164" s="59" t="str">
        <f t="shared" ca="1" si="221"/>
        <v/>
      </c>
      <c r="WH164" s="18" t="str">
        <f ca="1">IF(AND(SUM($UB164:$VY164)&gt;0,$TM164=WI$1),MAX(WH$2:WH163)+1,"")</f>
        <v/>
      </c>
      <c r="WI164" s="59" t="str">
        <f t="shared" ca="1" si="222"/>
        <v/>
      </c>
      <c r="WJ164" s="18" t="str">
        <f ca="1">IF(AND(SUM($UB164:$VY164)&gt;0,$TM164=WK$1),MAX(WJ$2:WJ163)+1,"")</f>
        <v/>
      </c>
      <c r="WK164" s="59" t="str">
        <f t="shared" ca="1" si="223"/>
        <v/>
      </c>
      <c r="WL164" s="18" t="str">
        <f ca="1">IF(AND(SUM($UB164:$VY164)&gt;0,$TM164=WM$1),MAX(WL$2:WL163)+1,"")</f>
        <v/>
      </c>
      <c r="WM164" s="59" t="str">
        <f t="shared" ca="1" si="224"/>
        <v/>
      </c>
      <c r="WN164" s="18" t="str">
        <f ca="1">IF(AND(SUM($UB164:$VY164)&gt;0,$TM164=WO$1),MAX(WN$2:WN163)+1,"")</f>
        <v/>
      </c>
      <c r="WO164" s="59" t="str">
        <f t="shared" ca="1" si="225"/>
        <v/>
      </c>
      <c r="WP164" s="18" t="str">
        <f ca="1">IF(AND(SUM($UB164:$VY164)&gt;0,$TM164=WQ$1),MAX(WP$2:WP163)+1,"")</f>
        <v/>
      </c>
      <c r="WQ164" s="59" t="str">
        <f t="shared" ca="1" si="226"/>
        <v/>
      </c>
      <c r="WR164" s="18" t="str">
        <f ca="1">IF(AND(SUM($UB164:$VY164)&gt;0,$TM164=WS$1),MAX(WR$2:WR163)+1,"")</f>
        <v/>
      </c>
      <c r="WS164" s="59" t="str">
        <f t="shared" ca="1" si="227"/>
        <v/>
      </c>
      <c r="WT164" s="18" t="str">
        <f ca="1">IF(AND(SUM($UB164:$VY164)&gt;0,$TM164=WU$1),MAX(WT$2:WT163)+1,"")</f>
        <v/>
      </c>
      <c r="WU164" s="59" t="str">
        <f t="shared" ca="1" si="228"/>
        <v/>
      </c>
      <c r="WV164" s="18" t="str">
        <f ca="1">IF(AND(SUM($UB164:$VY164)&gt;0,$TM164=WW$1),MAX(WV$2:WV163)+1,"")</f>
        <v/>
      </c>
      <c r="WW164" s="59" t="str">
        <f t="shared" ca="1" si="229"/>
        <v/>
      </c>
      <c r="WX164" s="18" t="str">
        <f ca="1">IF(AND(SUM($UB164:$VY164)&gt;0,$TM164=WY$1),MAX(WX$2:WX163)+1,"")</f>
        <v/>
      </c>
      <c r="WY164" s="59" t="str">
        <f t="shared" ca="1" si="230"/>
        <v/>
      </c>
      <c r="WZ164" s="59"/>
      <c r="XC164" s="59" t="str">
        <f t="shared" ca="1" si="233"/>
        <v/>
      </c>
    </row>
    <row r="165" spans="260:627" ht="9.9499999999999993" customHeight="1" x14ac:dyDescent="0.2">
      <c r="IZ165"/>
      <c r="TJ165" s="18">
        <f t="shared" si="231"/>
        <v>163</v>
      </c>
      <c r="TK165" s="58" t="s">
        <v>1249</v>
      </c>
      <c r="TL165" s="58" t="s">
        <v>461</v>
      </c>
      <c r="TM165" s="18">
        <v>4</v>
      </c>
      <c r="TN165" s="59" t="str">
        <f t="shared" si="218"/>
        <v xml:space="preserve">Greater Invisibility </v>
      </c>
      <c r="TO165" s="18" t="str">
        <f>""</f>
        <v/>
      </c>
      <c r="TP165" s="18" t="str">
        <f t="shared" si="219"/>
        <v/>
      </c>
      <c r="TQ165" s="18" t="str">
        <f>IF(OR(TK165=Spellcasting!$AC$18,TK165=Spellcasting!$AC$19),"ᵐ","")</f>
        <v/>
      </c>
      <c r="TR165" s="18" t="str">
        <f>IF(OR(TK165=Spellcasting!$AC$20,TK165=Spellcasting!$AC$21),"ˢ","")</f>
        <v/>
      </c>
      <c r="TS165" s="18" t="str">
        <f>""</f>
        <v/>
      </c>
      <c r="TT165" s="18" t="s">
        <v>484</v>
      </c>
      <c r="TU165" s="18" t="s">
        <v>519</v>
      </c>
      <c r="TV165" s="18" t="s">
        <v>558</v>
      </c>
      <c r="TW165" s="18" t="s">
        <v>486</v>
      </c>
      <c r="TX165" s="59" t="str">
        <f>""</f>
        <v/>
      </c>
      <c r="TY165" s="18" t="s">
        <v>523</v>
      </c>
      <c r="TZ165" s="18" t="s">
        <v>524</v>
      </c>
      <c r="UA165" s="59" t="s">
        <v>2239</v>
      </c>
      <c r="UB165" s="319" t="s">
        <v>2157</v>
      </c>
      <c r="UC165" s="18" t="str">
        <f ca="1">IF(UC$1&gt;=$TM165,1,"0")</f>
        <v>0</v>
      </c>
      <c r="UF165" s="18" t="str">
        <f ca="1">IF(UF$1&gt;=$TM165,1,"0")</f>
        <v>0</v>
      </c>
      <c r="UL165" s="18" t="str">
        <f ca="1">IF(UL$1&gt;=$TM165,1,"0")</f>
        <v>0</v>
      </c>
      <c r="UV165" s="18" t="str">
        <f>IF(UV$1&gt;=$TM165,1,"0")</f>
        <v>0</v>
      </c>
      <c r="VN165" s="18" t="str">
        <f>IF(VN$1&gt;=$TM165,1,"0")</f>
        <v>0</v>
      </c>
      <c r="VQ165" s="18" t="str">
        <f>IF(VQ$1&gt;=$TM165,1,"0")</f>
        <v>0</v>
      </c>
      <c r="WD165" s="18" t="str">
        <f ca="1">IF(SUM($VZ$1:$WC$1)&gt;0,IF(AND(SUM($VZ165:$WC165)&gt;0,$TM165=WE$1),MAX(WD$2:WD164)+1,""),IF(AND(SUM($UC165:$VY165)&gt;0,$TM165=WE$1),MAX(WD$2:WD164)+1,""))</f>
        <v/>
      </c>
      <c r="WE165" s="59" t="str">
        <f t="shared" ca="1" si="220"/>
        <v/>
      </c>
      <c r="WF165" s="18" t="str">
        <f ca="1">IF(AND(SUM($UB165:$VY165)&gt;0,$TM165=WG$1),MAX(WF$2:WF164)+1,"")</f>
        <v/>
      </c>
      <c r="WG165" s="59" t="str">
        <f t="shared" ca="1" si="221"/>
        <v/>
      </c>
      <c r="WH165" s="18" t="str">
        <f ca="1">IF(AND(SUM($UB165:$VY165)&gt;0,$TM165=WI$1),MAX(WH$2:WH164)+1,"")</f>
        <v/>
      </c>
      <c r="WI165" s="59" t="str">
        <f t="shared" ca="1" si="222"/>
        <v/>
      </c>
      <c r="WJ165" s="18" t="str">
        <f ca="1">IF(AND(SUM($UB165:$VY165)&gt;0,$TM165=WK$1),MAX(WJ$2:WJ164)+1,"")</f>
        <v/>
      </c>
      <c r="WK165" s="59" t="str">
        <f t="shared" ca="1" si="223"/>
        <v/>
      </c>
      <c r="WL165" s="18" t="str">
        <f ca="1">IF(AND(SUM($UB165:$VY165)&gt;0,$TM165=WM$1),MAX(WL$2:WL164)+1,"")</f>
        <v/>
      </c>
      <c r="WM165" s="59" t="str">
        <f t="shared" ca="1" si="224"/>
        <v/>
      </c>
      <c r="WN165" s="18" t="str">
        <f ca="1">IF(AND(SUM($UB165:$VY165)&gt;0,$TM165=WO$1),MAX(WN$2:WN164)+1,"")</f>
        <v/>
      </c>
      <c r="WO165" s="59" t="str">
        <f t="shared" ca="1" si="225"/>
        <v/>
      </c>
      <c r="WP165" s="18" t="str">
        <f ca="1">IF(AND(SUM($UB165:$VY165)&gt;0,$TM165=WQ$1),MAX(WP$2:WP164)+1,"")</f>
        <v/>
      </c>
      <c r="WQ165" s="59" t="str">
        <f t="shared" ca="1" si="226"/>
        <v/>
      </c>
      <c r="WR165" s="18" t="str">
        <f ca="1">IF(AND(SUM($UB165:$VY165)&gt;0,$TM165=WS$1),MAX(WR$2:WR164)+1,"")</f>
        <v/>
      </c>
      <c r="WS165" s="59" t="str">
        <f t="shared" ca="1" si="227"/>
        <v/>
      </c>
      <c r="WT165" s="18" t="str">
        <f ca="1">IF(AND(SUM($UB165:$VY165)&gt;0,$TM165=WU$1),MAX(WT$2:WT164)+1,"")</f>
        <v/>
      </c>
      <c r="WU165" s="59" t="str">
        <f t="shared" ca="1" si="228"/>
        <v/>
      </c>
      <c r="WV165" s="18" t="str">
        <f ca="1">IF(AND(SUM($UB165:$VY165)&gt;0,$TM165=WW$1),MAX(WV$2:WV164)+1,"")</f>
        <v/>
      </c>
      <c r="WW165" s="59" t="str">
        <f t="shared" ca="1" si="229"/>
        <v/>
      </c>
      <c r="WX165" s="18" t="str">
        <f ca="1">IF(AND(SUM($UB165:$VY165)&gt;0,$TM165=WY$1),MAX(WX$2:WX164)+1,"")</f>
        <v/>
      </c>
      <c r="WY165" s="59" t="str">
        <f t="shared" ca="1" si="230"/>
        <v/>
      </c>
      <c r="WZ165" s="59"/>
      <c r="XC165" s="59" t="str">
        <f t="shared" ca="1" si="233"/>
        <v/>
      </c>
    </row>
    <row r="166" spans="260:627" ht="9.9499999999999993" customHeight="1" x14ac:dyDescent="0.2">
      <c r="IZ166"/>
      <c r="TJ166" s="18">
        <f t="shared" si="231"/>
        <v>164</v>
      </c>
      <c r="TK166" s="58" t="s">
        <v>607</v>
      </c>
      <c r="TL166" s="58" t="s">
        <v>462</v>
      </c>
      <c r="TM166" s="18">
        <v>5</v>
      </c>
      <c r="TN166" s="59" t="str">
        <f t="shared" si="218"/>
        <v xml:space="preserve">Greater Restoration </v>
      </c>
      <c r="TO166" s="18" t="str">
        <f>""</f>
        <v/>
      </c>
      <c r="TP166" s="18" t="str">
        <f t="shared" si="219"/>
        <v/>
      </c>
      <c r="TQ166" s="18" t="str">
        <f>IF(OR(TK166=Spellcasting!$AC$18,TK166=Spellcasting!$AC$19),"ᵐ","")</f>
        <v/>
      </c>
      <c r="TR166" s="18" t="str">
        <f>IF(OR(TK166=Spellcasting!$AC$20,TK166=Spellcasting!$AC$21),"ˢ","")</f>
        <v/>
      </c>
      <c r="TS166" s="18" t="str">
        <f>""</f>
        <v/>
      </c>
      <c r="TT166" s="18" t="s">
        <v>484</v>
      </c>
      <c r="TU166" s="18" t="s">
        <v>519</v>
      </c>
      <c r="TV166" s="18" t="s">
        <v>505</v>
      </c>
      <c r="TW166" s="18" t="s">
        <v>495</v>
      </c>
      <c r="TX166" s="59" t="s">
        <v>2064</v>
      </c>
      <c r="TY166" s="18" t="s">
        <v>487</v>
      </c>
      <c r="TZ166" s="18" t="s">
        <v>488</v>
      </c>
      <c r="UA166" s="142" t="s">
        <v>2158</v>
      </c>
      <c r="UB166" s="319" t="s">
        <v>2159</v>
      </c>
      <c r="UC166" s="18" t="str">
        <f ca="1">IF(UC$1&gt;=$TM166,1,"0")</f>
        <v>0</v>
      </c>
      <c r="UH166" s="18" t="str">
        <f ca="1">IF(UH$1&gt;=$TM166,1,"0")</f>
        <v>0</v>
      </c>
      <c r="UI166" s="18" t="str">
        <f ca="1">IF(UI$1&gt;=$TM166,1,"0")</f>
        <v>0</v>
      </c>
      <c r="WD166" s="18" t="str">
        <f ca="1">IF(SUM($VZ$1:$WC$1)&gt;0,IF(AND(SUM($VZ166:$WC166)&gt;0,$TM166=WE$1),MAX(WD$2:WD165)+1,""),IF(AND(SUM($UC166:$VY166)&gt;0,$TM166=WE$1),MAX(WD$2:WD165)+1,""))</f>
        <v/>
      </c>
      <c r="WE166" s="59" t="str">
        <f t="shared" ca="1" si="220"/>
        <v/>
      </c>
      <c r="WF166" s="18" t="str">
        <f ca="1">IF(AND(SUM($UB166:$VY166)&gt;0,$TM166=WG$1),MAX(WF$2:WF165)+1,"")</f>
        <v/>
      </c>
      <c r="WG166" s="59" t="str">
        <f t="shared" ca="1" si="221"/>
        <v/>
      </c>
      <c r="WH166" s="18" t="str">
        <f ca="1">IF(AND(SUM($UB166:$VY166)&gt;0,$TM166=WI$1),MAX(WH$2:WH165)+1,"")</f>
        <v/>
      </c>
      <c r="WI166" s="59" t="str">
        <f t="shared" ca="1" si="222"/>
        <v/>
      </c>
      <c r="WJ166" s="18" t="str">
        <f ca="1">IF(AND(SUM($UB166:$VY166)&gt;0,$TM166=WK$1),MAX(WJ$2:WJ165)+1,"")</f>
        <v/>
      </c>
      <c r="WK166" s="59" t="str">
        <f t="shared" ca="1" si="223"/>
        <v/>
      </c>
      <c r="WL166" s="18" t="str">
        <f ca="1">IF(AND(SUM($UB166:$VY166)&gt;0,$TM166=WM$1),MAX(WL$2:WL165)+1,"")</f>
        <v/>
      </c>
      <c r="WM166" s="59" t="str">
        <f t="shared" ca="1" si="224"/>
        <v/>
      </c>
      <c r="WN166" s="18" t="str">
        <f ca="1">IF(AND(SUM($UB166:$VY166)&gt;0,$TM166=WO$1),MAX(WN$2:WN165)+1,"")</f>
        <v/>
      </c>
      <c r="WO166" s="59" t="str">
        <f t="shared" ca="1" si="225"/>
        <v/>
      </c>
      <c r="WP166" s="18" t="str">
        <f ca="1">IF(AND(SUM($UB166:$VY166)&gt;0,$TM166=WQ$1),MAX(WP$2:WP165)+1,"")</f>
        <v/>
      </c>
      <c r="WQ166" s="59" t="str">
        <f t="shared" ca="1" si="226"/>
        <v/>
      </c>
      <c r="WR166" s="18" t="str">
        <f ca="1">IF(AND(SUM($UB166:$VY166)&gt;0,$TM166=WS$1),MAX(WR$2:WR165)+1,"")</f>
        <v/>
      </c>
      <c r="WS166" s="59" t="str">
        <f t="shared" ca="1" si="227"/>
        <v/>
      </c>
      <c r="WT166" s="18" t="str">
        <f ca="1">IF(AND(SUM($UB166:$VY166)&gt;0,$TM166=WU$1),MAX(WT$2:WT165)+1,"")</f>
        <v/>
      </c>
      <c r="WU166" s="59" t="str">
        <f t="shared" ca="1" si="228"/>
        <v/>
      </c>
      <c r="WV166" s="18" t="str">
        <f ca="1">IF(AND(SUM($UB166:$VY166)&gt;0,$TM166=WW$1),MAX(WV$2:WV165)+1,"")</f>
        <v/>
      </c>
      <c r="WW166" s="59" t="str">
        <f t="shared" ca="1" si="229"/>
        <v/>
      </c>
      <c r="WX166" s="18" t="str">
        <f ca="1">IF(AND(SUM($UB166:$VY166)&gt;0,$TM166=WY$1),MAX(WX$2:WX165)+1,"")</f>
        <v/>
      </c>
      <c r="WY166" s="59" t="str">
        <f t="shared" ca="1" si="230"/>
        <v/>
      </c>
      <c r="WZ166" s="59"/>
      <c r="XC166" s="59" t="str">
        <f t="shared" ca="1" si="233"/>
        <v/>
      </c>
    </row>
    <row r="167" spans="260:627" ht="9.9499999999999993" customHeight="1" x14ac:dyDescent="0.2">
      <c r="IZ167"/>
      <c r="TJ167" s="18">
        <f t="shared" si="231"/>
        <v>165</v>
      </c>
      <c r="TK167" s="58" t="s">
        <v>608</v>
      </c>
      <c r="TL167" s="58" t="s">
        <v>461</v>
      </c>
      <c r="TM167" s="18">
        <v>4</v>
      </c>
      <c r="TN167" s="59" t="str">
        <f t="shared" si="218"/>
        <v xml:space="preserve">Guardian of Faith </v>
      </c>
      <c r="TO167" s="18" t="str">
        <f>""</f>
        <v/>
      </c>
      <c r="TP167" s="18" t="str">
        <f t="shared" si="219"/>
        <v/>
      </c>
      <c r="TQ167" s="18" t="str">
        <f>IF(OR(TK167=Spellcasting!$AC$18,TK167=Spellcasting!$AC$19),"ᵐ","")</f>
        <v/>
      </c>
      <c r="TR167" s="18" t="str">
        <f>IF(OR(TK167=Spellcasting!$AC$20,TK167=Spellcasting!$AC$21),"ˢ","")</f>
        <v/>
      </c>
      <c r="TS167" s="18" t="str">
        <f>""</f>
        <v/>
      </c>
      <c r="TT167" s="18" t="s">
        <v>484</v>
      </c>
      <c r="TU167" s="18" t="s">
        <v>851</v>
      </c>
      <c r="TV167" s="18" t="s">
        <v>485</v>
      </c>
      <c r="TW167" s="18" t="s">
        <v>541</v>
      </c>
      <c r="TX167" s="59" t="str">
        <f>""</f>
        <v/>
      </c>
      <c r="TY167" s="18" t="s">
        <v>516</v>
      </c>
      <c r="TZ167" s="18" t="s">
        <v>517</v>
      </c>
      <c r="UA167" s="142" t="s">
        <v>2160</v>
      </c>
      <c r="UB167" s="319" t="s">
        <v>2161</v>
      </c>
      <c r="UH167" s="18" t="str">
        <f ca="1">IF(UH$1&gt;=$TM167,1,"0")</f>
        <v>0</v>
      </c>
      <c r="UO167" s="18" t="str">
        <f>IF(UO$1&gt;=$TM167,1,"0")</f>
        <v>0</v>
      </c>
      <c r="UZ167" s="18" t="str">
        <f>IF(UZ$1&gt;=$TM167,1,"0")</f>
        <v>0</v>
      </c>
      <c r="VA167" s="18" t="str">
        <f>IF(VA$1&gt;=$TM167,1,"0")</f>
        <v>0</v>
      </c>
      <c r="WD167" s="18" t="str">
        <f ca="1">IF(SUM($VZ$1:$WC$1)&gt;0,IF(AND(SUM($VZ167:$WC167)&gt;0,$TM167=WE$1),MAX(WD$2:WD166)+1,""),IF(AND(SUM($UC167:$VY167)&gt;0,$TM167=WE$1),MAX(WD$2:WD166)+1,""))</f>
        <v/>
      </c>
      <c r="WE167" s="59" t="str">
        <f t="shared" ca="1" si="220"/>
        <v/>
      </c>
      <c r="WF167" s="18" t="str">
        <f ca="1">IF(AND(SUM($UB167:$VY167)&gt;0,$TM167=WG$1),MAX(WF$2:WF166)+1,"")</f>
        <v/>
      </c>
      <c r="WG167" s="59" t="str">
        <f t="shared" ca="1" si="221"/>
        <v/>
      </c>
      <c r="WH167" s="18" t="str">
        <f ca="1">IF(AND(SUM($UB167:$VY167)&gt;0,$TM167=WI$1),MAX(WH$2:WH166)+1,"")</f>
        <v/>
      </c>
      <c r="WI167" s="59" t="str">
        <f t="shared" ca="1" si="222"/>
        <v/>
      </c>
      <c r="WJ167" s="18" t="str">
        <f ca="1">IF(AND(SUM($UB167:$VY167)&gt;0,$TM167=WK$1),MAX(WJ$2:WJ166)+1,"")</f>
        <v/>
      </c>
      <c r="WK167" s="59" t="str">
        <f t="shared" ca="1" si="223"/>
        <v/>
      </c>
      <c r="WL167" s="18" t="str">
        <f ca="1">IF(AND(SUM($UB167:$VY167)&gt;0,$TM167=WM$1),MAX(WL$2:WL166)+1,"")</f>
        <v/>
      </c>
      <c r="WM167" s="59" t="str">
        <f t="shared" ca="1" si="224"/>
        <v/>
      </c>
      <c r="WN167" s="18" t="str">
        <f ca="1">IF(AND(SUM($UB167:$VY167)&gt;0,$TM167=WO$1),MAX(WN$2:WN166)+1,"")</f>
        <v/>
      </c>
      <c r="WO167" s="59" t="str">
        <f t="shared" ca="1" si="225"/>
        <v/>
      </c>
      <c r="WP167" s="18" t="str">
        <f ca="1">IF(AND(SUM($UB167:$VY167)&gt;0,$TM167=WQ$1),MAX(WP$2:WP166)+1,"")</f>
        <v/>
      </c>
      <c r="WQ167" s="59" t="str">
        <f t="shared" ca="1" si="226"/>
        <v/>
      </c>
      <c r="WR167" s="18" t="str">
        <f ca="1">IF(AND(SUM($UB167:$VY167)&gt;0,$TM167=WS$1),MAX(WR$2:WR166)+1,"")</f>
        <v/>
      </c>
      <c r="WS167" s="59" t="str">
        <f t="shared" ca="1" si="227"/>
        <v/>
      </c>
      <c r="WT167" s="18" t="str">
        <f ca="1">IF(AND(SUM($UB167:$VY167)&gt;0,$TM167=WU$1),MAX(WT$2:WT166)+1,"")</f>
        <v/>
      </c>
      <c r="WU167" s="59" t="str">
        <f t="shared" ca="1" si="228"/>
        <v/>
      </c>
      <c r="WV167" s="18" t="str">
        <f ca="1">IF(AND(SUM($UB167:$VY167)&gt;0,$TM167=WW$1),MAX(WV$2:WV166)+1,"")</f>
        <v/>
      </c>
      <c r="WW167" s="59" t="str">
        <f t="shared" ca="1" si="229"/>
        <v/>
      </c>
      <c r="WX167" s="18" t="str">
        <f ca="1">IF(AND(SUM($UB167:$VY167)&gt;0,$TM167=WY$1),MAX(WX$2:WX166)+1,"")</f>
        <v/>
      </c>
      <c r="WY167" s="59" t="str">
        <f t="shared" ca="1" si="230"/>
        <v/>
      </c>
      <c r="WZ167" s="59"/>
      <c r="XC167" s="59" t="str">
        <f t="shared" ca="1" si="233"/>
        <v/>
      </c>
    </row>
    <row r="168" spans="260:627" ht="9.9499999999999993" customHeight="1" x14ac:dyDescent="0.2">
      <c r="IZ168"/>
      <c r="TJ168" s="18">
        <f t="shared" si="231"/>
        <v>166</v>
      </c>
      <c r="TK168" s="58" t="s">
        <v>1948</v>
      </c>
      <c r="TL168" s="58" t="s">
        <v>463</v>
      </c>
      <c r="TM168" s="18">
        <v>6</v>
      </c>
      <c r="TN168" s="59" t="str">
        <f t="shared" si="218"/>
        <v xml:space="preserve">Guards and Wards </v>
      </c>
      <c r="TO168" s="18" t="str">
        <f>""</f>
        <v/>
      </c>
      <c r="TP168" s="18" t="str">
        <f t="shared" si="219"/>
        <v/>
      </c>
      <c r="TQ168" s="18" t="str">
        <f>IF(OR(TK168=Spellcasting!$AC$18,TK168=Spellcasting!$AC$19),"ᵐ","")</f>
        <v/>
      </c>
      <c r="TR168" s="18" t="str">
        <f>IF(OR(TK168=Spellcasting!$AC$20,TK168=Spellcasting!$AC$21),"ˢ","")</f>
        <v/>
      </c>
      <c r="TS168" s="18" t="str">
        <f>""</f>
        <v/>
      </c>
      <c r="TT168" s="18" t="s">
        <v>582</v>
      </c>
      <c r="TU168" s="18" t="s">
        <v>519</v>
      </c>
      <c r="TV168" s="18" t="s">
        <v>497</v>
      </c>
      <c r="TW168" s="18" t="s">
        <v>495</v>
      </c>
      <c r="TX168" s="59" t="s">
        <v>2003</v>
      </c>
      <c r="TY168" s="18" t="s">
        <v>487</v>
      </c>
      <c r="TZ168" s="18" t="s">
        <v>488</v>
      </c>
      <c r="UA168" s="142" t="s">
        <v>2162</v>
      </c>
      <c r="UB168" s="319" t="s">
        <v>3015</v>
      </c>
      <c r="UC168" s="18" t="str">
        <f ca="1">IF(UC$1&gt;=$TM168,1,"0")</f>
        <v>0</v>
      </c>
      <c r="UL168" s="18" t="str">
        <f ca="1">IF(UL$1&gt;=$TM168,1,"0")</f>
        <v>0</v>
      </c>
      <c r="WD168" s="18" t="str">
        <f ca="1">IF(SUM($VZ$1:$WC$1)&gt;0,IF(AND(SUM($VZ168:$WC168)&gt;0,$TM168=WE$1),MAX(WD$2:WD167)+1,""),IF(AND(SUM($UC168:$VY168)&gt;0,$TM168=WE$1),MAX(WD$2:WD167)+1,""))</f>
        <v/>
      </c>
      <c r="WE168" s="59" t="str">
        <f t="shared" ca="1" si="220"/>
        <v/>
      </c>
      <c r="WF168" s="18" t="str">
        <f ca="1">IF(AND(SUM($UB168:$VY168)&gt;0,$TM168=WG$1),MAX(WF$2:WF167)+1,"")</f>
        <v/>
      </c>
      <c r="WG168" s="59" t="str">
        <f t="shared" ca="1" si="221"/>
        <v/>
      </c>
      <c r="WH168" s="18" t="str">
        <f ca="1">IF(AND(SUM($UB168:$VY168)&gt;0,$TM168=WI$1),MAX(WH$2:WH167)+1,"")</f>
        <v/>
      </c>
      <c r="WI168" s="59" t="str">
        <f t="shared" ca="1" si="222"/>
        <v/>
      </c>
      <c r="WJ168" s="18" t="str">
        <f ca="1">IF(AND(SUM($UB168:$VY168)&gt;0,$TM168=WK$1),MAX(WJ$2:WJ167)+1,"")</f>
        <v/>
      </c>
      <c r="WK168" s="59" t="str">
        <f t="shared" ca="1" si="223"/>
        <v/>
      </c>
      <c r="WL168" s="18" t="str">
        <f ca="1">IF(AND(SUM($UB168:$VY168)&gt;0,$TM168=WM$1),MAX(WL$2:WL167)+1,"")</f>
        <v/>
      </c>
      <c r="WM168" s="59" t="str">
        <f t="shared" ca="1" si="224"/>
        <v/>
      </c>
      <c r="WN168" s="18" t="str">
        <f ca="1">IF(AND(SUM($UB168:$VY168)&gt;0,$TM168=WO$1),MAX(WN$2:WN167)+1,"")</f>
        <v/>
      </c>
      <c r="WO168" s="59" t="str">
        <f t="shared" ca="1" si="225"/>
        <v/>
      </c>
      <c r="WP168" s="18" t="str">
        <f ca="1">IF(AND(SUM($UB168:$VY168)&gt;0,$TM168=WQ$1),MAX(WP$2:WP167)+1,"")</f>
        <v/>
      </c>
      <c r="WQ168" s="59" t="str">
        <f t="shared" ca="1" si="226"/>
        <v/>
      </c>
      <c r="WR168" s="18" t="str">
        <f ca="1">IF(AND(SUM($UB168:$VY168)&gt;0,$TM168=WS$1),MAX(WR$2:WR167)+1,"")</f>
        <v/>
      </c>
      <c r="WS168" s="59" t="str">
        <f t="shared" ca="1" si="227"/>
        <v/>
      </c>
      <c r="WT168" s="18" t="str">
        <f ca="1">IF(AND(SUM($UB168:$VY168)&gt;0,$TM168=WU$1),MAX(WT$2:WT167)+1,"")</f>
        <v/>
      </c>
      <c r="WU168" s="59" t="str">
        <f t="shared" ca="1" si="228"/>
        <v/>
      </c>
      <c r="WV168" s="18" t="str">
        <f ca="1">IF(AND(SUM($UB168:$VY168)&gt;0,$TM168=WW$1),MAX(WV$2:WV167)+1,"")</f>
        <v/>
      </c>
      <c r="WW168" s="59" t="str">
        <f t="shared" ca="1" si="229"/>
        <v/>
      </c>
      <c r="WX168" s="18" t="str">
        <f ca="1">IF(AND(SUM($UB168:$VY168)&gt;0,$TM168=WY$1),MAX(WX$2:WX167)+1,"")</f>
        <v/>
      </c>
      <c r="WY168" s="59" t="str">
        <f t="shared" ca="1" si="230"/>
        <v/>
      </c>
      <c r="WZ168" s="59"/>
      <c r="XC168" s="59" t="str">
        <f t="shared" ca="1" si="233"/>
        <v/>
      </c>
    </row>
    <row r="169" spans="260:627" ht="9.9499999999999993" customHeight="1" x14ac:dyDescent="0.2">
      <c r="IZ169"/>
      <c r="TJ169" s="18">
        <f t="shared" si="231"/>
        <v>167</v>
      </c>
      <c r="TK169" s="58" t="s">
        <v>609</v>
      </c>
      <c r="TL169" s="58" t="s">
        <v>1840</v>
      </c>
      <c r="TM169" s="18">
        <v>0.5</v>
      </c>
      <c r="TN169" s="59" t="str">
        <f t="shared" si="218"/>
        <v xml:space="preserve">Guidance </v>
      </c>
      <c r="TO169" s="18" t="str">
        <f>""</f>
        <v/>
      </c>
      <c r="TP169" s="18" t="str">
        <f t="shared" si="219"/>
        <v/>
      </c>
      <c r="TQ169" s="18" t="str">
        <f>IF(OR(TK169=Spellcasting!$AC$18,TK169=Spellcasting!$AC$19),"ᵐ","")</f>
        <v/>
      </c>
      <c r="TR169" s="18" t="str">
        <f>IF(OR(TK169=Spellcasting!$AC$20,TK169=Spellcasting!$AC$21),"ˢ","")</f>
        <v/>
      </c>
      <c r="TS169" s="18" t="str">
        <f>""</f>
        <v/>
      </c>
      <c r="TT169" s="18" t="s">
        <v>484</v>
      </c>
      <c r="TU169" s="18" t="s">
        <v>519</v>
      </c>
      <c r="TV169" s="18" t="s">
        <v>558</v>
      </c>
      <c r="TW169" s="18" t="s">
        <v>486</v>
      </c>
      <c r="TX169" s="59" t="str">
        <f>""</f>
        <v/>
      </c>
      <c r="TY169" s="18" t="s">
        <v>511</v>
      </c>
      <c r="TZ169" s="18" t="s">
        <v>512</v>
      </c>
      <c r="UA169" s="59" t="s">
        <v>988</v>
      </c>
      <c r="UB169" s="319" t="s">
        <v>989</v>
      </c>
      <c r="UH169" s="18" t="str">
        <f ca="1">IF(UH$1&gt;=$TM169,1,"0")</f>
        <v>0</v>
      </c>
      <c r="UI169" s="18" t="str">
        <f ca="1">IF(UI$1&gt;=$TM169,1,"0")</f>
        <v>0</v>
      </c>
      <c r="VB169" s="18" t="str">
        <f>IF(VB$1&gt;=$TM169,1,"0")</f>
        <v>0</v>
      </c>
      <c r="WD169" s="18" t="str">
        <f ca="1">IF(SUM($VZ$1:$WC$1)&gt;0,IF(AND(SUM($VZ169:$WC169)&gt;0,$TM169=WE$1),MAX(WD$2:WD168)+1,""),IF(AND(SUM($UC169:$VY169)&gt;0,$TM169=WE$1),MAX(WD$2:WD168)+1,""))</f>
        <v/>
      </c>
      <c r="WE169" s="59" t="str">
        <f t="shared" ca="1" si="220"/>
        <v/>
      </c>
      <c r="WF169" s="18" t="str">
        <f ca="1">IF(AND(SUM($UB169:$VY169)&gt;0,$TM169=WG$1),MAX(WF$2:WF168)+1,"")</f>
        <v/>
      </c>
      <c r="WG169" s="59" t="str">
        <f t="shared" ca="1" si="221"/>
        <v/>
      </c>
      <c r="WH169" s="18" t="str">
        <f ca="1">IF(AND(SUM($UB169:$VY169)&gt;0,$TM169=WI$1),MAX(WH$2:WH168)+1,"")</f>
        <v/>
      </c>
      <c r="WI169" s="59" t="str">
        <f t="shared" ca="1" si="222"/>
        <v/>
      </c>
      <c r="WJ169" s="18" t="str">
        <f ca="1">IF(AND(SUM($UB169:$VY169)&gt;0,$TM169=WK$1),MAX(WJ$2:WJ168)+1,"")</f>
        <v/>
      </c>
      <c r="WK169" s="59" t="str">
        <f t="shared" ca="1" si="223"/>
        <v/>
      </c>
      <c r="WL169" s="18" t="str">
        <f ca="1">IF(AND(SUM($UB169:$VY169)&gt;0,$TM169=WM$1),MAX(WL$2:WL168)+1,"")</f>
        <v/>
      </c>
      <c r="WM169" s="59" t="str">
        <f t="shared" ca="1" si="224"/>
        <v/>
      </c>
      <c r="WN169" s="18" t="str">
        <f ca="1">IF(AND(SUM($UB169:$VY169)&gt;0,$TM169=WO$1),MAX(WN$2:WN168)+1,"")</f>
        <v/>
      </c>
      <c r="WO169" s="59" t="str">
        <f t="shared" ca="1" si="225"/>
        <v/>
      </c>
      <c r="WP169" s="18" t="str">
        <f ca="1">IF(AND(SUM($UB169:$VY169)&gt;0,$TM169=WQ$1),MAX(WP$2:WP168)+1,"")</f>
        <v/>
      </c>
      <c r="WQ169" s="59" t="str">
        <f t="shared" ca="1" si="226"/>
        <v/>
      </c>
      <c r="WR169" s="18" t="str">
        <f ca="1">IF(AND(SUM($UB169:$VY169)&gt;0,$TM169=WS$1),MAX(WR$2:WR168)+1,"")</f>
        <v/>
      </c>
      <c r="WS169" s="59" t="str">
        <f t="shared" ca="1" si="227"/>
        <v/>
      </c>
      <c r="WT169" s="18" t="str">
        <f ca="1">IF(AND(SUM($UB169:$VY169)&gt;0,$TM169=WU$1),MAX(WT$2:WT168)+1,"")</f>
        <v/>
      </c>
      <c r="WU169" s="59" t="str">
        <f t="shared" ca="1" si="228"/>
        <v/>
      </c>
      <c r="WV169" s="18" t="str">
        <f ca="1">IF(AND(SUM($UB169:$VY169)&gt;0,$TM169=WW$1),MAX(WV$2:WV168)+1,"")</f>
        <v/>
      </c>
      <c r="WW169" s="59" t="str">
        <f t="shared" ca="1" si="229"/>
        <v/>
      </c>
      <c r="WX169" s="18" t="str">
        <f ca="1">IF(AND(SUM($UB169:$VY169)&gt;0,$TM169=WY$1),MAX(WX$2:WX168)+1,"")</f>
        <v/>
      </c>
      <c r="WY169" s="59" t="str">
        <f t="shared" ca="1" si="230"/>
        <v/>
      </c>
      <c r="WZ169" s="59"/>
      <c r="XC169" s="59" t="str">
        <f t="shared" ca="1" si="233"/>
        <v/>
      </c>
    </row>
    <row r="170" spans="260:627" ht="9.9499999999999993" customHeight="1" x14ac:dyDescent="0.2">
      <c r="IZ170"/>
      <c r="TJ170" s="18">
        <f t="shared" si="231"/>
        <v>168</v>
      </c>
      <c r="TK170" s="58" t="s">
        <v>1971</v>
      </c>
      <c r="TL170" s="58" t="s">
        <v>448</v>
      </c>
      <c r="TM170" s="18">
        <v>1</v>
      </c>
      <c r="TN170" s="59" t="str">
        <f t="shared" si="218"/>
        <v xml:space="preserve">Guiding Bolt ᴴ </v>
      </c>
      <c r="TO170" s="350" t="s">
        <v>2991</v>
      </c>
      <c r="TP170" s="18" t="str">
        <f t="shared" si="219"/>
        <v/>
      </c>
      <c r="TQ170" s="18" t="str">
        <f>IF(OR(TK170=Spellcasting!$AC$18,TK170=Spellcasting!$AC$19),"ᵐ","")</f>
        <v/>
      </c>
      <c r="TR170" s="18" t="str">
        <f>IF(OR(TK170=Spellcasting!$AC$20,TK170=Spellcasting!$AC$21),"ˢ","")</f>
        <v/>
      </c>
      <c r="TS170" s="18" t="str">
        <f>""</f>
        <v/>
      </c>
      <c r="TT170" s="18" t="s">
        <v>484</v>
      </c>
      <c r="TU170" s="18" t="s">
        <v>848</v>
      </c>
      <c r="TV170" s="18" t="s">
        <v>547</v>
      </c>
      <c r="TW170" s="18" t="s">
        <v>486</v>
      </c>
      <c r="TX170" s="59" t="str">
        <f>""</f>
        <v/>
      </c>
      <c r="TY170" s="18" t="s">
        <v>534</v>
      </c>
      <c r="TZ170" s="18" t="s">
        <v>535</v>
      </c>
      <c r="UA170" s="142" t="s">
        <v>2163</v>
      </c>
      <c r="UB170" s="319" t="s">
        <v>2164</v>
      </c>
      <c r="UH170" s="18" t="str">
        <f ca="1">IF(UH$1&gt;=$TM170,1,"0")</f>
        <v>0</v>
      </c>
      <c r="WD170" s="18" t="str">
        <f ca="1">IF(SUM($VZ$1:$WC$1)&gt;0,IF(AND(SUM($VZ170:$WC170)&gt;0,$TM170=WE$1),MAX(WD$2:WD169)+1,""),IF(AND(SUM($UC170:$VY170)&gt;0,$TM170=WE$1),MAX(WD$2:WD169)+1,""))</f>
        <v/>
      </c>
      <c r="WE170" s="59" t="str">
        <f t="shared" ca="1" si="220"/>
        <v/>
      </c>
      <c r="WF170" s="18" t="str">
        <f ca="1">IF(AND(SUM($UB170:$VY170)&gt;0,$TM170=WG$1),MAX(WF$2:WF169)+1,"")</f>
        <v/>
      </c>
      <c r="WG170" s="59" t="str">
        <f t="shared" ca="1" si="221"/>
        <v/>
      </c>
      <c r="WH170" s="18" t="str">
        <f ca="1">IF(AND(SUM($UB170:$VY170)&gt;0,$TM170=WI$1),MAX(WH$2:WH169)+1,"")</f>
        <v/>
      </c>
      <c r="WI170" s="59" t="str">
        <f t="shared" ca="1" si="222"/>
        <v/>
      </c>
      <c r="WJ170" s="18" t="str">
        <f ca="1">IF(AND(SUM($UB170:$VY170)&gt;0,$TM170=WK$1),MAX(WJ$2:WJ169)+1,"")</f>
        <v/>
      </c>
      <c r="WK170" s="59" t="str">
        <f t="shared" ca="1" si="223"/>
        <v/>
      </c>
      <c r="WL170" s="18" t="str">
        <f ca="1">IF(AND(SUM($UB170:$VY170)&gt;0,$TM170=WM$1),MAX(WL$2:WL169)+1,"")</f>
        <v/>
      </c>
      <c r="WM170" s="59" t="str">
        <f t="shared" ca="1" si="224"/>
        <v/>
      </c>
      <c r="WN170" s="18" t="str">
        <f ca="1">IF(AND(SUM($UB170:$VY170)&gt;0,$TM170=WO$1),MAX(WN$2:WN169)+1,"")</f>
        <v/>
      </c>
      <c r="WO170" s="59" t="str">
        <f t="shared" ca="1" si="225"/>
        <v/>
      </c>
      <c r="WP170" s="18" t="str">
        <f ca="1">IF(AND(SUM($UB170:$VY170)&gt;0,$TM170=WQ$1),MAX(WP$2:WP169)+1,"")</f>
        <v/>
      </c>
      <c r="WQ170" s="59" t="str">
        <f t="shared" ca="1" si="226"/>
        <v/>
      </c>
      <c r="WR170" s="18" t="str">
        <f ca="1">IF(AND(SUM($UB170:$VY170)&gt;0,$TM170=WS$1),MAX(WR$2:WR169)+1,"")</f>
        <v/>
      </c>
      <c r="WS170" s="59" t="str">
        <f t="shared" ca="1" si="227"/>
        <v/>
      </c>
      <c r="WT170" s="18" t="str">
        <f ca="1">IF(AND(SUM($UB170:$VY170)&gt;0,$TM170=WU$1),MAX(WT$2:WT169)+1,"")</f>
        <v/>
      </c>
      <c r="WU170" s="59" t="str">
        <f t="shared" ca="1" si="228"/>
        <v/>
      </c>
      <c r="WV170" s="18" t="str">
        <f ca="1">IF(AND(SUM($UB170:$VY170)&gt;0,$TM170=WW$1),MAX(WV$2:WV169)+1,"")</f>
        <v/>
      </c>
      <c r="WW170" s="59" t="str">
        <f t="shared" ca="1" si="229"/>
        <v/>
      </c>
      <c r="WX170" s="18" t="str">
        <f ca="1">IF(AND(SUM($UB170:$VY170)&gt;0,$TM170=WY$1),MAX(WX$2:WX169)+1,"")</f>
        <v/>
      </c>
      <c r="WY170" s="59" t="str">
        <f t="shared" ca="1" si="230"/>
        <v/>
      </c>
      <c r="WZ170" s="59"/>
      <c r="XC170" s="59" t="str">
        <f t="shared" ca="1" si="233"/>
        <v/>
      </c>
    </row>
    <row r="171" spans="260:627" ht="9.9499999999999993" customHeight="1" x14ac:dyDescent="0.2">
      <c r="IZ171"/>
      <c r="TJ171" s="18">
        <f t="shared" si="231"/>
        <v>169</v>
      </c>
      <c r="TK171" s="58" t="s">
        <v>610</v>
      </c>
      <c r="TL171" s="58" t="s">
        <v>459</v>
      </c>
      <c r="TM171" s="18">
        <v>2</v>
      </c>
      <c r="TN171" s="59" t="str">
        <f t="shared" si="218"/>
        <v xml:space="preserve">Gust of Wind </v>
      </c>
      <c r="TO171" s="18" t="str">
        <f>""</f>
        <v/>
      </c>
      <c r="TP171" s="18" t="str">
        <f t="shared" si="219"/>
        <v/>
      </c>
      <c r="TQ171" s="18" t="str">
        <f>IF(OR(TK171=Spellcasting!$AC$18,TK171=Spellcasting!$AC$19),"ᵐ","")</f>
        <v/>
      </c>
      <c r="TR171" s="18" t="str">
        <f>IF(OR(TK171=Spellcasting!$AC$20,TK171=Spellcasting!$AC$21),"ˢ","")</f>
        <v/>
      </c>
      <c r="TS171" s="18" t="str">
        <f>""</f>
        <v/>
      </c>
      <c r="TT171" s="18" t="s">
        <v>484</v>
      </c>
      <c r="TU171" s="18" t="s">
        <v>509</v>
      </c>
      <c r="TV171" s="18" t="s">
        <v>558</v>
      </c>
      <c r="TW171" s="18" t="s">
        <v>495</v>
      </c>
      <c r="TX171" s="59" t="s">
        <v>1331</v>
      </c>
      <c r="TY171" s="18" t="s">
        <v>534</v>
      </c>
      <c r="TZ171" s="18" t="s">
        <v>535</v>
      </c>
      <c r="UA171" s="142" t="s">
        <v>1330</v>
      </c>
      <c r="UB171" s="319" t="s">
        <v>3131</v>
      </c>
      <c r="UF171" s="18" t="str">
        <f ca="1">IF(UF$1&gt;=$TM171,1,"0")</f>
        <v>0</v>
      </c>
      <c r="UI171" s="18" t="str">
        <f ca="1">IF(UI$1&gt;=$TM171,1,"0")</f>
        <v>0</v>
      </c>
      <c r="UL171" s="18" t="str">
        <f ca="1">IF(UL$1&gt;=$TM171,1,"0")</f>
        <v>0</v>
      </c>
      <c r="VC171" s="18" t="str">
        <f>IF(VC$1&gt;=$TM171,1,"0")</f>
        <v>0</v>
      </c>
      <c r="VP171" s="18" t="str">
        <f>IF(VP$1&gt;=$TM171,1,"0")</f>
        <v>0</v>
      </c>
      <c r="WD171" s="18" t="str">
        <f ca="1">IF(SUM($VZ$1:$WC$1)&gt;0,IF(AND(SUM($VZ171:$WC171)&gt;0,$TM171=WE$1),MAX(WD$2:WD170)+1,""),IF(AND(SUM($UC171:$VY171)&gt;0,$TM171=WE$1),MAX(WD$2:WD170)+1,""))</f>
        <v/>
      </c>
      <c r="WE171" s="59" t="str">
        <f t="shared" ca="1" si="220"/>
        <v/>
      </c>
      <c r="WF171" s="18" t="str">
        <f ca="1">IF(AND(SUM($UB171:$VY171)&gt;0,$TM171=WG$1),MAX(WF$2:WF170)+1,"")</f>
        <v/>
      </c>
      <c r="WG171" s="59" t="str">
        <f t="shared" ca="1" si="221"/>
        <v/>
      </c>
      <c r="WH171" s="18" t="str">
        <f ca="1">IF(AND(SUM($UB171:$VY171)&gt;0,$TM171=WI$1),MAX(WH$2:WH170)+1,"")</f>
        <v/>
      </c>
      <c r="WI171" s="59" t="str">
        <f t="shared" ca="1" si="222"/>
        <v/>
      </c>
      <c r="WJ171" s="18" t="str">
        <f ca="1">IF(AND(SUM($UB171:$VY171)&gt;0,$TM171=WK$1),MAX(WJ$2:WJ170)+1,"")</f>
        <v/>
      </c>
      <c r="WK171" s="59" t="str">
        <f t="shared" ca="1" si="223"/>
        <v/>
      </c>
      <c r="WL171" s="18" t="str">
        <f ca="1">IF(AND(SUM($UB171:$VY171)&gt;0,$TM171=WM$1),MAX(WL$2:WL170)+1,"")</f>
        <v/>
      </c>
      <c r="WM171" s="59" t="str">
        <f t="shared" ca="1" si="224"/>
        <v/>
      </c>
      <c r="WN171" s="18" t="str">
        <f ca="1">IF(AND(SUM($UB171:$VY171)&gt;0,$TM171=WO$1),MAX(WN$2:WN170)+1,"")</f>
        <v/>
      </c>
      <c r="WO171" s="59" t="str">
        <f t="shared" ca="1" si="225"/>
        <v/>
      </c>
      <c r="WP171" s="18" t="str">
        <f ca="1">IF(AND(SUM($UB171:$VY171)&gt;0,$TM171=WQ$1),MAX(WP$2:WP170)+1,"")</f>
        <v/>
      </c>
      <c r="WQ171" s="59" t="str">
        <f t="shared" ca="1" si="226"/>
        <v/>
      </c>
      <c r="WR171" s="18" t="str">
        <f ca="1">IF(AND(SUM($UB171:$VY171)&gt;0,$TM171=WS$1),MAX(WR$2:WR170)+1,"")</f>
        <v/>
      </c>
      <c r="WS171" s="59" t="str">
        <f t="shared" ca="1" si="227"/>
        <v/>
      </c>
      <c r="WT171" s="18" t="str">
        <f ca="1">IF(AND(SUM($UB171:$VY171)&gt;0,$TM171=WU$1),MAX(WT$2:WT170)+1,"")</f>
        <v/>
      </c>
      <c r="WU171" s="59" t="str">
        <f t="shared" ca="1" si="228"/>
        <v/>
      </c>
      <c r="WV171" s="18" t="str">
        <f ca="1">IF(AND(SUM($UB171:$VY171)&gt;0,$TM171=WW$1),MAX(WV$2:WV170)+1,"")</f>
        <v/>
      </c>
      <c r="WW171" s="59" t="str">
        <f t="shared" ca="1" si="229"/>
        <v/>
      </c>
      <c r="WX171" s="18" t="str">
        <f ca="1">IF(AND(SUM($UB171:$VY171)&gt;0,$TM171=WY$1),MAX(WX$2:WX170)+1,"")</f>
        <v/>
      </c>
      <c r="WY171" s="59" t="str">
        <f t="shared" ca="1" si="230"/>
        <v/>
      </c>
      <c r="WZ171" s="59"/>
      <c r="XC171" s="59" t="str">
        <f t="shared" ca="1" si="233"/>
        <v/>
      </c>
    </row>
    <row r="172" spans="260:627" ht="9.9499999999999993" customHeight="1" x14ac:dyDescent="0.2">
      <c r="IZ172"/>
      <c r="TJ172" s="18">
        <f t="shared" si="231"/>
        <v>170</v>
      </c>
      <c r="TK172" s="58" t="s">
        <v>729</v>
      </c>
      <c r="TL172" s="58" t="s">
        <v>448</v>
      </c>
      <c r="TM172" s="18">
        <v>1</v>
      </c>
      <c r="TN172" s="59" t="str">
        <f t="shared" si="218"/>
        <v xml:space="preserve">Hail of Thorns ᴴ </v>
      </c>
      <c r="TO172" s="350" t="s">
        <v>2991</v>
      </c>
      <c r="TP172" s="18" t="str">
        <f t="shared" si="219"/>
        <v/>
      </c>
      <c r="TQ172" s="18" t="str">
        <f>IF(OR(TK172=Spellcasting!$AC$18,TK172=Spellcasting!$AC$19),"ᵐ","")</f>
        <v/>
      </c>
      <c r="TR172" s="18" t="str">
        <f>IF(OR(TK172=Spellcasting!$AC$20,TK172=Spellcasting!$AC$21),"ˢ","")</f>
        <v/>
      </c>
      <c r="TS172" s="18" t="str">
        <f>""</f>
        <v/>
      </c>
      <c r="TT172" s="18" t="s">
        <v>1256</v>
      </c>
      <c r="TU172" s="18" t="s">
        <v>509</v>
      </c>
      <c r="TV172" s="18" t="s">
        <v>558</v>
      </c>
      <c r="TW172" s="18" t="s">
        <v>541</v>
      </c>
      <c r="TX172" s="59" t="str">
        <f>""</f>
        <v/>
      </c>
      <c r="TY172" s="18" t="s">
        <v>516</v>
      </c>
      <c r="TZ172" s="18" t="s">
        <v>517</v>
      </c>
      <c r="UA172" s="142" t="s">
        <v>3174</v>
      </c>
      <c r="UB172" s="319" t="s">
        <v>3008</v>
      </c>
      <c r="UE172" s="18" t="str">
        <f ca="1">IF(UE$1&gt;=$TM172,1,"0")</f>
        <v>0</v>
      </c>
      <c r="WD172" s="18" t="str">
        <f ca="1">IF(SUM($VZ$1:$WC$1)&gt;0,IF(AND(SUM($VZ172:$WC172)&gt;0,$TM172=WE$1),MAX(WD$2:WD171)+1,""),IF(AND(SUM($UC172:$VY172)&gt;0,$TM172=WE$1),MAX(WD$2:WD171)+1,""))</f>
        <v/>
      </c>
      <c r="WE172" s="59" t="str">
        <f t="shared" ca="1" si="220"/>
        <v/>
      </c>
      <c r="WF172" s="18" t="str">
        <f ca="1">IF(AND(SUM($UB172:$VY172)&gt;0,$TM172=WG$1),MAX(WF$2:WF171)+1,"")</f>
        <v/>
      </c>
      <c r="WG172" s="59" t="str">
        <f t="shared" ca="1" si="221"/>
        <v/>
      </c>
      <c r="WH172" s="18" t="str">
        <f ca="1">IF(AND(SUM($UB172:$VY172)&gt;0,$TM172=WI$1),MAX(WH$2:WH171)+1,"")</f>
        <v/>
      </c>
      <c r="WI172" s="59" t="str">
        <f t="shared" ca="1" si="222"/>
        <v/>
      </c>
      <c r="WJ172" s="18" t="str">
        <f ca="1">IF(AND(SUM($UB172:$VY172)&gt;0,$TM172=WK$1),MAX(WJ$2:WJ171)+1,"")</f>
        <v/>
      </c>
      <c r="WK172" s="59" t="str">
        <f t="shared" ca="1" si="223"/>
        <v/>
      </c>
      <c r="WL172" s="18" t="str">
        <f ca="1">IF(AND(SUM($UB172:$VY172)&gt;0,$TM172=WM$1),MAX(WL$2:WL171)+1,"")</f>
        <v/>
      </c>
      <c r="WM172" s="59" t="str">
        <f t="shared" ca="1" si="224"/>
        <v/>
      </c>
      <c r="WN172" s="18" t="str">
        <f ca="1">IF(AND(SUM($UB172:$VY172)&gt;0,$TM172=WO$1),MAX(WN$2:WN171)+1,"")</f>
        <v/>
      </c>
      <c r="WO172" s="59" t="str">
        <f t="shared" ca="1" si="225"/>
        <v/>
      </c>
      <c r="WP172" s="18" t="str">
        <f ca="1">IF(AND(SUM($UB172:$VY172)&gt;0,$TM172=WQ$1),MAX(WP$2:WP171)+1,"")</f>
        <v/>
      </c>
      <c r="WQ172" s="59" t="str">
        <f t="shared" ca="1" si="226"/>
        <v/>
      </c>
      <c r="WR172" s="18" t="str">
        <f ca="1">IF(AND(SUM($UB172:$VY172)&gt;0,$TM172=WS$1),MAX(WR$2:WR171)+1,"")</f>
        <v/>
      </c>
      <c r="WS172" s="59" t="str">
        <f t="shared" ca="1" si="227"/>
        <v/>
      </c>
      <c r="WT172" s="18" t="str">
        <f ca="1">IF(AND(SUM($UB172:$VY172)&gt;0,$TM172=WU$1),MAX(WT$2:WT171)+1,"")</f>
        <v/>
      </c>
      <c r="WU172" s="59" t="str">
        <f t="shared" ca="1" si="228"/>
        <v/>
      </c>
      <c r="WV172" s="18" t="str">
        <f ca="1">IF(AND(SUM($UB172:$VY172)&gt;0,$TM172=WW$1),MAX(WV$2:WV171)+1,"")</f>
        <v/>
      </c>
      <c r="WW172" s="59" t="str">
        <f t="shared" ca="1" si="229"/>
        <v/>
      </c>
      <c r="WX172" s="18" t="str">
        <f ca="1">IF(AND(SUM($UB172:$VY172)&gt;0,$TM172=WY$1),MAX(WX$2:WX171)+1,"")</f>
        <v/>
      </c>
      <c r="WY172" s="59" t="str">
        <f t="shared" ca="1" si="230"/>
        <v/>
      </c>
      <c r="WZ172" s="59"/>
      <c r="XC172" s="59" t="str">
        <f t="shared" ca="1" si="233"/>
        <v/>
      </c>
    </row>
    <row r="173" spans="260:627" ht="9.9499999999999993" customHeight="1" x14ac:dyDescent="0.2">
      <c r="IZ173"/>
      <c r="TJ173" s="18">
        <f t="shared" si="231"/>
        <v>171</v>
      </c>
      <c r="TK173" s="58" t="s">
        <v>1980</v>
      </c>
      <c r="TL173" s="58" t="s">
        <v>462</v>
      </c>
      <c r="TM173" s="18">
        <v>5</v>
      </c>
      <c r="TN173" s="59" t="str">
        <f t="shared" si="218"/>
        <v xml:space="preserve">Hallow </v>
      </c>
      <c r="TO173" s="18" t="str">
        <f>""</f>
        <v/>
      </c>
      <c r="TP173" s="18" t="str">
        <f t="shared" si="219"/>
        <v/>
      </c>
      <c r="TQ173" s="18" t="str">
        <f>IF(OR(TK173=Spellcasting!$AC$18,TK173=Spellcasting!$AC$19),"ᵐ","")</f>
        <v/>
      </c>
      <c r="TR173" s="18" t="str">
        <f>IF(OR(TK173=Spellcasting!$AC$20,TK173=Spellcasting!$AC$21),"ˢ","")</f>
        <v/>
      </c>
      <c r="TS173" s="18" t="str">
        <f>""</f>
        <v/>
      </c>
      <c r="TT173" s="18" t="s">
        <v>497</v>
      </c>
      <c r="TU173" s="18" t="s">
        <v>519</v>
      </c>
      <c r="TV173" s="18" t="s">
        <v>857</v>
      </c>
      <c r="TW173" s="18" t="s">
        <v>495</v>
      </c>
      <c r="TX173" s="59" t="s">
        <v>2065</v>
      </c>
      <c r="TY173" s="18" t="s">
        <v>534</v>
      </c>
      <c r="TZ173" s="18" t="s">
        <v>535</v>
      </c>
      <c r="UA173" s="142" t="s">
        <v>2256</v>
      </c>
      <c r="UB173" s="319" t="s">
        <v>2165</v>
      </c>
      <c r="UH173" s="18" t="str">
        <f ca="1">IF(UH$1&gt;=$TM173,1,"0")</f>
        <v>0</v>
      </c>
      <c r="UW173" s="18" t="str">
        <f>IF(UW$1&gt;=$TM173,1,"0")</f>
        <v>0</v>
      </c>
      <c r="WD173" s="18" t="str">
        <f ca="1">IF(SUM($VZ$1:$WC$1)&gt;0,IF(AND(SUM($VZ173:$WC173)&gt;0,$TM173=WE$1),MAX(WD$2:WD172)+1,""),IF(AND(SUM($UC173:$VY173)&gt;0,$TM173=WE$1),MAX(WD$2:WD172)+1,""))</f>
        <v/>
      </c>
      <c r="WE173" s="59" t="str">
        <f t="shared" ca="1" si="220"/>
        <v/>
      </c>
      <c r="WF173" s="18" t="str">
        <f ca="1">IF(AND(SUM($UB173:$VY173)&gt;0,$TM173=WG$1),MAX(WF$2:WF172)+1,"")</f>
        <v/>
      </c>
      <c r="WG173" s="59" t="str">
        <f t="shared" ca="1" si="221"/>
        <v/>
      </c>
      <c r="WH173" s="18" t="str">
        <f ca="1">IF(AND(SUM($UB173:$VY173)&gt;0,$TM173=WI$1),MAX(WH$2:WH172)+1,"")</f>
        <v/>
      </c>
      <c r="WI173" s="59" t="str">
        <f t="shared" ca="1" si="222"/>
        <v/>
      </c>
      <c r="WJ173" s="18" t="str">
        <f ca="1">IF(AND(SUM($UB173:$VY173)&gt;0,$TM173=WK$1),MAX(WJ$2:WJ172)+1,"")</f>
        <v/>
      </c>
      <c r="WK173" s="59" t="str">
        <f t="shared" ca="1" si="223"/>
        <v/>
      </c>
      <c r="WL173" s="18" t="str">
        <f ca="1">IF(AND(SUM($UB173:$VY173)&gt;0,$TM173=WM$1),MAX(WL$2:WL172)+1,"")</f>
        <v/>
      </c>
      <c r="WM173" s="59" t="str">
        <f t="shared" ca="1" si="224"/>
        <v/>
      </c>
      <c r="WN173" s="18" t="str">
        <f ca="1">IF(AND(SUM($UB173:$VY173)&gt;0,$TM173=WO$1),MAX(WN$2:WN172)+1,"")</f>
        <v/>
      </c>
      <c r="WO173" s="59" t="str">
        <f t="shared" ca="1" si="225"/>
        <v/>
      </c>
      <c r="WP173" s="18" t="str">
        <f ca="1">IF(AND(SUM($UB173:$VY173)&gt;0,$TM173=WQ$1),MAX(WP$2:WP172)+1,"")</f>
        <v/>
      </c>
      <c r="WQ173" s="59" t="str">
        <f t="shared" ca="1" si="226"/>
        <v/>
      </c>
      <c r="WR173" s="18" t="str">
        <f ca="1">IF(AND(SUM($UB173:$VY173)&gt;0,$TM173=WS$1),MAX(WR$2:WR172)+1,"")</f>
        <v/>
      </c>
      <c r="WS173" s="59" t="str">
        <f t="shared" ca="1" si="227"/>
        <v/>
      </c>
      <c r="WT173" s="18" t="str">
        <f ca="1">IF(AND(SUM($UB173:$VY173)&gt;0,$TM173=WU$1),MAX(WT$2:WT172)+1,"")</f>
        <v/>
      </c>
      <c r="WU173" s="59" t="str">
        <f t="shared" ca="1" si="228"/>
        <v/>
      </c>
      <c r="WV173" s="18" t="str">
        <f ca="1">IF(AND(SUM($UB173:$VY173)&gt;0,$TM173=WW$1),MAX(WV$2:WV172)+1,"")</f>
        <v/>
      </c>
      <c r="WW173" s="59" t="str">
        <f t="shared" ca="1" si="229"/>
        <v/>
      </c>
      <c r="WX173" s="18" t="str">
        <f ca="1">IF(AND(SUM($UB173:$VY173)&gt;0,$TM173=WY$1),MAX(WX$2:WX172)+1,"")</f>
        <v/>
      </c>
      <c r="WY173" s="59" t="str">
        <f t="shared" ca="1" si="230"/>
        <v/>
      </c>
      <c r="WZ173" s="59"/>
      <c r="XC173" s="59" t="str">
        <f t="shared" ca="1" si="233"/>
        <v/>
      </c>
    </row>
    <row r="174" spans="260:627" ht="9.9499999999999993" customHeight="1" x14ac:dyDescent="0.2">
      <c r="IZ174"/>
      <c r="TJ174" s="18">
        <f t="shared" si="231"/>
        <v>172</v>
      </c>
      <c r="TK174" s="58" t="s">
        <v>1251</v>
      </c>
      <c r="TL174" s="58" t="s">
        <v>461</v>
      </c>
      <c r="TM174" s="18">
        <v>4</v>
      </c>
      <c r="TN174" s="59" t="str">
        <f t="shared" si="218"/>
        <v xml:space="preserve">Hallucinatory Terrain </v>
      </c>
      <c r="TO174" s="18" t="str">
        <f>""</f>
        <v/>
      </c>
      <c r="TP174" s="18" t="str">
        <f t="shared" si="219"/>
        <v/>
      </c>
      <c r="TQ174" s="18" t="str">
        <f>IF(OR(TK174=Spellcasting!$AC$18,TK174=Spellcasting!$AC$19),"ᵐ","")</f>
        <v/>
      </c>
      <c r="TR174" s="18" t="str">
        <f>IF(OR(TK174=Spellcasting!$AC$20,TK174=Spellcasting!$AC$21),"ˢ","")</f>
        <v/>
      </c>
      <c r="TS174" s="18" t="str">
        <f>""</f>
        <v/>
      </c>
      <c r="TT174" s="18" t="s">
        <v>582</v>
      </c>
      <c r="TU174" s="18" t="s">
        <v>1989</v>
      </c>
      <c r="TV174" s="18" t="s">
        <v>497</v>
      </c>
      <c r="TW174" s="18" t="s">
        <v>495</v>
      </c>
      <c r="TX174" s="59" t="s">
        <v>2004</v>
      </c>
      <c r="TY174" s="18" t="s">
        <v>523</v>
      </c>
      <c r="TZ174" s="18" t="s">
        <v>524</v>
      </c>
      <c r="UA174" s="142" t="s">
        <v>2166</v>
      </c>
      <c r="UB174" s="319" t="s">
        <v>2167</v>
      </c>
      <c r="UC174" s="18" t="str">
        <f ca="1">IF(UC$1&gt;=$TM174,1,"0")</f>
        <v>0</v>
      </c>
      <c r="UG174" s="18" t="str">
        <f ca="1">IF(UG$1&gt;=$TM174,1,"0")</f>
        <v>0</v>
      </c>
      <c r="UI174" s="18" t="str">
        <f ca="1">IF(UI$1&gt;=$TM174,1,"0")</f>
        <v>0</v>
      </c>
      <c r="UL174" s="18" t="str">
        <f ca="1">IF(UL$1&gt;=$TM174,1,"0")</f>
        <v>0</v>
      </c>
      <c r="VI174" s="18" t="str">
        <f>IF(VI$1&gt;=$TM174,1,"0")</f>
        <v>0</v>
      </c>
      <c r="VQ174" s="18" t="str">
        <f>IF(VQ$1&gt;=$TM174,1,"0")</f>
        <v>0</v>
      </c>
      <c r="WD174" s="18" t="str">
        <f ca="1">IF(SUM($VZ$1:$WC$1)&gt;0,IF(AND(SUM($VZ174:$WC174)&gt;0,$TM174=WE$1),MAX(WD$2:WD173)+1,""),IF(AND(SUM($UC174:$VY174)&gt;0,$TM174=WE$1),MAX(WD$2:WD173)+1,""))</f>
        <v/>
      </c>
      <c r="WE174" s="59" t="str">
        <f t="shared" ca="1" si="220"/>
        <v/>
      </c>
      <c r="WF174" s="18" t="str">
        <f ca="1">IF(AND(SUM($UB174:$VY174)&gt;0,$TM174=WG$1),MAX(WF$2:WF173)+1,"")</f>
        <v/>
      </c>
      <c r="WG174" s="59" t="str">
        <f t="shared" ca="1" si="221"/>
        <v/>
      </c>
      <c r="WH174" s="18" t="str">
        <f ca="1">IF(AND(SUM($UB174:$VY174)&gt;0,$TM174=WI$1),MAX(WH$2:WH173)+1,"")</f>
        <v/>
      </c>
      <c r="WI174" s="59" t="str">
        <f t="shared" ca="1" si="222"/>
        <v/>
      </c>
      <c r="WJ174" s="18" t="str">
        <f ca="1">IF(AND(SUM($UB174:$VY174)&gt;0,$TM174=WK$1),MAX(WJ$2:WJ173)+1,"")</f>
        <v/>
      </c>
      <c r="WK174" s="59" t="str">
        <f t="shared" ca="1" si="223"/>
        <v/>
      </c>
      <c r="WL174" s="18" t="str">
        <f ca="1">IF(AND(SUM($UB174:$VY174)&gt;0,$TM174=WM$1),MAX(WL$2:WL173)+1,"")</f>
        <v/>
      </c>
      <c r="WM174" s="59" t="str">
        <f t="shared" ca="1" si="224"/>
        <v/>
      </c>
      <c r="WN174" s="18" t="str">
        <f ca="1">IF(AND(SUM($UB174:$VY174)&gt;0,$TM174=WO$1),MAX(WN$2:WN173)+1,"")</f>
        <v/>
      </c>
      <c r="WO174" s="59" t="str">
        <f t="shared" ca="1" si="225"/>
        <v/>
      </c>
      <c r="WP174" s="18" t="str">
        <f ca="1">IF(AND(SUM($UB174:$VY174)&gt;0,$TM174=WQ$1),MAX(WP$2:WP173)+1,"")</f>
        <v/>
      </c>
      <c r="WQ174" s="59" t="str">
        <f t="shared" ca="1" si="226"/>
        <v/>
      </c>
      <c r="WR174" s="18" t="str">
        <f ca="1">IF(AND(SUM($UB174:$VY174)&gt;0,$TM174=WS$1),MAX(WR$2:WR173)+1,"")</f>
        <v/>
      </c>
      <c r="WS174" s="59" t="str">
        <f t="shared" ca="1" si="227"/>
        <v/>
      </c>
      <c r="WT174" s="18" t="str">
        <f ca="1">IF(AND(SUM($UB174:$VY174)&gt;0,$TM174=WU$1),MAX(WT$2:WT173)+1,"")</f>
        <v/>
      </c>
      <c r="WU174" s="59" t="str">
        <f t="shared" ca="1" si="228"/>
        <v/>
      </c>
      <c r="WV174" s="18" t="str">
        <f ca="1">IF(AND(SUM($UB174:$VY174)&gt;0,$TM174=WW$1),MAX(WV$2:WV173)+1,"")</f>
        <v/>
      </c>
      <c r="WW174" s="59" t="str">
        <f t="shared" ca="1" si="229"/>
        <v/>
      </c>
      <c r="WX174" s="18" t="str">
        <f ca="1">IF(AND(SUM($UB174:$VY174)&gt;0,$TM174=WY$1),MAX(WX$2:WX173)+1,"")</f>
        <v/>
      </c>
      <c r="WY174" s="59" t="str">
        <f t="shared" ca="1" si="230"/>
        <v/>
      </c>
      <c r="WZ174" s="59"/>
      <c r="XC174" s="59" t="str">
        <f t="shared" ca="1" si="233"/>
        <v/>
      </c>
    </row>
    <row r="175" spans="260:627" ht="9.9499999999999993" customHeight="1" x14ac:dyDescent="0.2">
      <c r="IZ175"/>
      <c r="TJ175" s="18">
        <f t="shared" si="231"/>
        <v>173</v>
      </c>
      <c r="TK175" s="58" t="s">
        <v>611</v>
      </c>
      <c r="TL175" s="58" t="s">
        <v>463</v>
      </c>
      <c r="TM175" s="18">
        <v>6</v>
      </c>
      <c r="TN175" s="59" t="str">
        <f t="shared" si="218"/>
        <v xml:space="preserve">Harm </v>
      </c>
      <c r="TO175" s="18" t="str">
        <f>""</f>
        <v/>
      </c>
      <c r="TP175" s="18" t="str">
        <f t="shared" si="219"/>
        <v/>
      </c>
      <c r="TQ175" s="18" t="str">
        <f>IF(OR(TK175=Spellcasting!$AC$18,TK175=Spellcasting!$AC$19),"ᵐ","")</f>
        <v/>
      </c>
      <c r="TR175" s="18" t="str">
        <f>IF(OR(TK175=Spellcasting!$AC$20,TK175=Spellcasting!$AC$21),"ˢ","")</f>
        <v/>
      </c>
      <c r="TS175" s="18" t="str">
        <f>""</f>
        <v/>
      </c>
      <c r="TT175" s="18" t="s">
        <v>484</v>
      </c>
      <c r="TU175" s="18" t="s">
        <v>850</v>
      </c>
      <c r="TV175" s="18" t="s">
        <v>505</v>
      </c>
      <c r="TW175" s="18" t="s">
        <v>486</v>
      </c>
      <c r="TX175" s="59" t="str">
        <f>""</f>
        <v/>
      </c>
      <c r="TY175" s="18" t="s">
        <v>506</v>
      </c>
      <c r="TZ175" s="18" t="s">
        <v>507</v>
      </c>
      <c r="UA175" s="59" t="s">
        <v>2168</v>
      </c>
      <c r="UB175" s="319" t="s">
        <v>3000</v>
      </c>
      <c r="UH175" s="18" t="str">
        <f ca="1">IF(UH$1&gt;=$TM175,1,"0")</f>
        <v>0</v>
      </c>
      <c r="WD175" s="18" t="str">
        <f ca="1">IF(SUM($VZ$1:$WC$1)&gt;0,IF(AND(SUM($VZ175:$WC175)&gt;0,$TM175=WE$1),MAX(WD$2:WD174)+1,""),IF(AND(SUM($UC175:$VY175)&gt;0,$TM175=WE$1),MAX(WD$2:WD174)+1,""))</f>
        <v/>
      </c>
      <c r="WE175" s="59" t="str">
        <f t="shared" ca="1" si="220"/>
        <v/>
      </c>
      <c r="WF175" s="18" t="str">
        <f ca="1">IF(AND(SUM($UB175:$VY175)&gt;0,$TM175=WG$1),MAX(WF$2:WF174)+1,"")</f>
        <v/>
      </c>
      <c r="WG175" s="59" t="str">
        <f t="shared" ca="1" si="221"/>
        <v/>
      </c>
      <c r="WH175" s="18" t="str">
        <f ca="1">IF(AND(SUM($UB175:$VY175)&gt;0,$TM175=WI$1),MAX(WH$2:WH174)+1,"")</f>
        <v/>
      </c>
      <c r="WI175" s="59" t="str">
        <f t="shared" ca="1" si="222"/>
        <v/>
      </c>
      <c r="WJ175" s="18" t="str">
        <f ca="1">IF(AND(SUM($UB175:$VY175)&gt;0,$TM175=WK$1),MAX(WJ$2:WJ174)+1,"")</f>
        <v/>
      </c>
      <c r="WK175" s="59" t="str">
        <f t="shared" ca="1" si="223"/>
        <v/>
      </c>
      <c r="WL175" s="18" t="str">
        <f ca="1">IF(AND(SUM($UB175:$VY175)&gt;0,$TM175=WM$1),MAX(WL$2:WL174)+1,"")</f>
        <v/>
      </c>
      <c r="WM175" s="59" t="str">
        <f t="shared" ca="1" si="224"/>
        <v/>
      </c>
      <c r="WN175" s="18" t="str">
        <f ca="1">IF(AND(SUM($UB175:$VY175)&gt;0,$TM175=WO$1),MAX(WN$2:WN174)+1,"")</f>
        <v/>
      </c>
      <c r="WO175" s="59" t="str">
        <f t="shared" ca="1" si="225"/>
        <v/>
      </c>
      <c r="WP175" s="18" t="str">
        <f ca="1">IF(AND(SUM($UB175:$VY175)&gt;0,$TM175=WQ$1),MAX(WP$2:WP174)+1,"")</f>
        <v/>
      </c>
      <c r="WQ175" s="59" t="str">
        <f t="shared" ca="1" si="226"/>
        <v/>
      </c>
      <c r="WR175" s="18" t="str">
        <f ca="1">IF(AND(SUM($UB175:$VY175)&gt;0,$TM175=WS$1),MAX(WR$2:WR174)+1,"")</f>
        <v/>
      </c>
      <c r="WS175" s="59" t="str">
        <f t="shared" ca="1" si="227"/>
        <v/>
      </c>
      <c r="WT175" s="18" t="str">
        <f ca="1">IF(AND(SUM($UB175:$VY175)&gt;0,$TM175=WU$1),MAX(WT$2:WT174)+1,"")</f>
        <v/>
      </c>
      <c r="WU175" s="59" t="str">
        <f t="shared" ca="1" si="228"/>
        <v/>
      </c>
      <c r="WV175" s="18" t="str">
        <f ca="1">IF(AND(SUM($UB175:$VY175)&gt;0,$TM175=WW$1),MAX(WV$2:WV174)+1,"")</f>
        <v/>
      </c>
      <c r="WW175" s="59" t="str">
        <f t="shared" ca="1" si="229"/>
        <v/>
      </c>
      <c r="WX175" s="18" t="str">
        <f ca="1">IF(AND(SUM($UB175:$VY175)&gt;0,$TM175=WY$1),MAX(WX$2:WX174)+1,"")</f>
        <v/>
      </c>
      <c r="WY175" s="59" t="str">
        <f t="shared" ca="1" si="230"/>
        <v/>
      </c>
      <c r="WZ175" s="59"/>
      <c r="XC175" s="59" t="str">
        <f t="shared" ca="1" si="233"/>
        <v/>
      </c>
    </row>
    <row r="176" spans="260:627" ht="9.9499999999999993" customHeight="1" x14ac:dyDescent="0.2">
      <c r="IZ176"/>
      <c r="TJ176" s="18">
        <f t="shared" si="231"/>
        <v>174</v>
      </c>
      <c r="TK176" s="58" t="s">
        <v>612</v>
      </c>
      <c r="TL176" s="58" t="s">
        <v>460</v>
      </c>
      <c r="TM176" s="18">
        <v>3</v>
      </c>
      <c r="TN176" s="59" t="str">
        <f t="shared" si="218"/>
        <v xml:space="preserve">Haste </v>
      </c>
      <c r="TO176" s="18" t="str">
        <f>""</f>
        <v/>
      </c>
      <c r="TP176" s="18" t="str">
        <f t="shared" si="219"/>
        <v/>
      </c>
      <c r="TQ176" s="18" t="str">
        <f>IF(OR(TK176=Spellcasting!$AC$18,TK176=Spellcasting!$AC$19),"ᵐ","")</f>
        <v/>
      </c>
      <c r="TR176" s="18" t="str">
        <f>IF(OR(TK176=Spellcasting!$AC$20,TK176=Spellcasting!$AC$21),"ˢ","")</f>
        <v/>
      </c>
      <c r="TS176" s="18" t="str">
        <f>""</f>
        <v/>
      </c>
      <c r="TT176" s="18" t="s">
        <v>484</v>
      </c>
      <c r="TU176" s="18" t="s">
        <v>851</v>
      </c>
      <c r="TV176" s="18" t="s">
        <v>558</v>
      </c>
      <c r="TW176" s="18" t="s">
        <v>495</v>
      </c>
      <c r="TX176" s="59" t="s">
        <v>1465</v>
      </c>
      <c r="TY176" s="18" t="s">
        <v>491</v>
      </c>
      <c r="TZ176" s="18" t="s">
        <v>492</v>
      </c>
      <c r="UA176" s="142" t="s">
        <v>1463</v>
      </c>
      <c r="UB176" s="537" t="s">
        <v>1464</v>
      </c>
      <c r="UF176" s="18" t="str">
        <f ca="1">IF(UF$1&gt;=$TM176,1,"0")</f>
        <v>0</v>
      </c>
      <c r="UL176" s="18" t="str">
        <f ca="1">IF(UL$1&gt;=$TM176,1,"0")</f>
        <v>0</v>
      </c>
      <c r="UQ176" s="18" t="str">
        <f>IF(UQ$1&gt;=$TM176,1,"0")</f>
        <v>0</v>
      </c>
      <c r="VK176" s="18" t="str">
        <f>IF(VK$1&gt;=$TM176,1,"0")</f>
        <v>0</v>
      </c>
      <c r="VZ176" s="258"/>
      <c r="WA176" s="258"/>
      <c r="WB176" s="258"/>
      <c r="WC176" s="258"/>
      <c r="WD176" s="18" t="str">
        <f ca="1">IF(SUM($VZ$1:$WC$1)&gt;0,IF(AND(SUM($VZ176:$WC176)&gt;0,$TM176=WE$1),MAX(WD$2:WD175)+1,""),IF(AND(SUM($UC176:$VY176)&gt;0,$TM176=WE$1),MAX(WD$2:WD175)+1,""))</f>
        <v/>
      </c>
      <c r="WE176" s="59" t="str">
        <f t="shared" ca="1" si="220"/>
        <v/>
      </c>
      <c r="WF176" s="18" t="str">
        <f ca="1">IF(AND(SUM($UB176:$VY176)&gt;0,$TM176=WG$1),MAX(WF$2:WF175)+1,"")</f>
        <v/>
      </c>
      <c r="WG176" s="59" t="str">
        <f t="shared" ca="1" si="221"/>
        <v/>
      </c>
      <c r="WH176" s="18" t="str">
        <f ca="1">IF(AND(SUM($UB176:$VY176)&gt;0,$TM176=WI$1),MAX(WH$2:WH175)+1,"")</f>
        <v/>
      </c>
      <c r="WI176" s="59" t="str">
        <f t="shared" ca="1" si="222"/>
        <v/>
      </c>
      <c r="WJ176" s="18" t="str">
        <f ca="1">IF(AND(SUM($UB176:$VY176)&gt;0,$TM176=WK$1),MAX(WJ$2:WJ175)+1,"")</f>
        <v/>
      </c>
      <c r="WK176" s="59" t="str">
        <f t="shared" ca="1" si="223"/>
        <v/>
      </c>
      <c r="WL176" s="18" t="str">
        <f ca="1">IF(AND(SUM($UB176:$VY176)&gt;0,$TM176=WM$1),MAX(WL$2:WL175)+1,"")</f>
        <v/>
      </c>
      <c r="WM176" s="59" t="str">
        <f t="shared" ca="1" si="224"/>
        <v/>
      </c>
      <c r="WN176" s="18" t="str">
        <f ca="1">IF(AND(SUM($UB176:$VY176)&gt;0,$TM176=WO$1),MAX(WN$2:WN175)+1,"")</f>
        <v/>
      </c>
      <c r="WO176" s="59" t="str">
        <f t="shared" ca="1" si="225"/>
        <v/>
      </c>
      <c r="WP176" s="18" t="str">
        <f ca="1">IF(AND(SUM($UB176:$VY176)&gt;0,$TM176=WQ$1),MAX(WP$2:WP175)+1,"")</f>
        <v/>
      </c>
      <c r="WQ176" s="59" t="str">
        <f t="shared" ca="1" si="226"/>
        <v/>
      </c>
      <c r="WR176" s="18" t="str">
        <f ca="1">IF(AND(SUM($UB176:$VY176)&gt;0,$TM176=WS$1),MAX(WR$2:WR175)+1,"")</f>
        <v/>
      </c>
      <c r="WS176" s="59" t="str">
        <f t="shared" ca="1" si="227"/>
        <v/>
      </c>
      <c r="WT176" s="18" t="str">
        <f ca="1">IF(AND(SUM($UB176:$VY176)&gt;0,$TM176=WU$1),MAX(WT$2:WT175)+1,"")</f>
        <v/>
      </c>
      <c r="WU176" s="59" t="str">
        <f t="shared" ca="1" si="228"/>
        <v/>
      </c>
      <c r="WV176" s="18" t="str">
        <f ca="1">IF(AND(SUM($UB176:$VY176)&gt;0,$TM176=WW$1),MAX(WV$2:WV175)+1,"")</f>
        <v/>
      </c>
      <c r="WW176" s="59" t="str">
        <f t="shared" ca="1" si="229"/>
        <v/>
      </c>
      <c r="WX176" s="18" t="str">
        <f ca="1">IF(AND(SUM($UB176:$VY176)&gt;0,$TM176=WY$1),MAX(WX$2:WX175)+1,"")</f>
        <v/>
      </c>
      <c r="WY176" s="59" t="str">
        <f t="shared" ca="1" si="230"/>
        <v/>
      </c>
      <c r="WZ176" s="59"/>
      <c r="XC176" s="59" t="str">
        <f t="shared" ca="1" si="233"/>
        <v/>
      </c>
    </row>
    <row r="177" spans="260:627" ht="9.9499999999999993" customHeight="1" x14ac:dyDescent="0.2">
      <c r="IZ177"/>
      <c r="TJ177" s="18">
        <f t="shared" si="231"/>
        <v>175</v>
      </c>
      <c r="TK177" s="58" t="s">
        <v>613</v>
      </c>
      <c r="TL177" s="58" t="s">
        <v>463</v>
      </c>
      <c r="TM177" s="18">
        <v>6</v>
      </c>
      <c r="TN177" s="59" t="str">
        <f t="shared" si="218"/>
        <v xml:space="preserve">Heal ᴴ </v>
      </c>
      <c r="TO177" s="350" t="s">
        <v>2991</v>
      </c>
      <c r="TP177" s="18" t="str">
        <f t="shared" si="219"/>
        <v/>
      </c>
      <c r="TQ177" s="18" t="str">
        <f>IF(OR(TK177=Spellcasting!$AC$18,TK177=Spellcasting!$AC$19),"ᵐ","")</f>
        <v/>
      </c>
      <c r="TR177" s="18" t="str">
        <f>IF(OR(TK177=Spellcasting!$AC$20,TK177=Spellcasting!$AC$21),"ˢ","")</f>
        <v/>
      </c>
      <c r="TS177" s="18" t="str">
        <f>""</f>
        <v/>
      </c>
      <c r="TT177" s="18" t="s">
        <v>484</v>
      </c>
      <c r="TU177" s="18" t="s">
        <v>850</v>
      </c>
      <c r="TV177" s="18" t="s">
        <v>505</v>
      </c>
      <c r="TW177" s="18" t="s">
        <v>486</v>
      </c>
      <c r="TX177" s="59" t="str">
        <f>""</f>
        <v/>
      </c>
      <c r="TY177" s="18" t="s">
        <v>534</v>
      </c>
      <c r="TZ177" s="18" t="s">
        <v>535</v>
      </c>
      <c r="UA177" s="142" t="s">
        <v>2169</v>
      </c>
      <c r="UB177" s="319" t="s">
        <v>2170</v>
      </c>
      <c r="UH177" s="18" t="str">
        <f ca="1">IF(UH$1&gt;=$TM177,1,"0")</f>
        <v>0</v>
      </c>
      <c r="UI177" s="18" t="str">
        <f ca="1">IF(UI$1&gt;=$TM177,1,"0")</f>
        <v>0</v>
      </c>
      <c r="WD177" s="18" t="str">
        <f ca="1">IF(SUM($VZ$1:$WC$1)&gt;0,IF(AND(SUM($VZ177:$WC177)&gt;0,$TM177=WE$1),MAX(WD$2:WD176)+1,""),IF(AND(SUM($UC177:$VY177)&gt;0,$TM177=WE$1),MAX(WD$2:WD176)+1,""))</f>
        <v/>
      </c>
      <c r="WE177" s="59" t="str">
        <f t="shared" ca="1" si="220"/>
        <v/>
      </c>
      <c r="WF177" s="18" t="str">
        <f ca="1">IF(AND(SUM($UB177:$VY177)&gt;0,$TM177=WG$1),MAX(WF$2:WF176)+1,"")</f>
        <v/>
      </c>
      <c r="WG177" s="59" t="str">
        <f t="shared" ca="1" si="221"/>
        <v/>
      </c>
      <c r="WH177" s="18" t="str">
        <f ca="1">IF(AND(SUM($UB177:$VY177)&gt;0,$TM177=WI$1),MAX(WH$2:WH176)+1,"")</f>
        <v/>
      </c>
      <c r="WI177" s="59" t="str">
        <f t="shared" ca="1" si="222"/>
        <v/>
      </c>
      <c r="WJ177" s="18" t="str">
        <f ca="1">IF(AND(SUM($UB177:$VY177)&gt;0,$TM177=WK$1),MAX(WJ$2:WJ176)+1,"")</f>
        <v/>
      </c>
      <c r="WK177" s="59" t="str">
        <f t="shared" ca="1" si="223"/>
        <v/>
      </c>
      <c r="WL177" s="18" t="str">
        <f ca="1">IF(AND(SUM($UB177:$VY177)&gt;0,$TM177=WM$1),MAX(WL$2:WL176)+1,"")</f>
        <v/>
      </c>
      <c r="WM177" s="59" t="str">
        <f t="shared" ca="1" si="224"/>
        <v/>
      </c>
      <c r="WN177" s="18" t="str">
        <f ca="1">IF(AND(SUM($UB177:$VY177)&gt;0,$TM177=WO$1),MAX(WN$2:WN176)+1,"")</f>
        <v/>
      </c>
      <c r="WO177" s="59" t="str">
        <f t="shared" ca="1" si="225"/>
        <v/>
      </c>
      <c r="WP177" s="18" t="str">
        <f ca="1">IF(AND(SUM($UB177:$VY177)&gt;0,$TM177=WQ$1),MAX(WP$2:WP176)+1,"")</f>
        <v/>
      </c>
      <c r="WQ177" s="59" t="str">
        <f t="shared" ca="1" si="226"/>
        <v/>
      </c>
      <c r="WR177" s="18" t="str">
        <f ca="1">IF(AND(SUM($UB177:$VY177)&gt;0,$TM177=WS$1),MAX(WR$2:WR176)+1,"")</f>
        <v/>
      </c>
      <c r="WS177" s="59" t="str">
        <f t="shared" ca="1" si="227"/>
        <v/>
      </c>
      <c r="WT177" s="18" t="str">
        <f ca="1">IF(AND(SUM($UB177:$VY177)&gt;0,$TM177=WU$1),MAX(WT$2:WT176)+1,"")</f>
        <v/>
      </c>
      <c r="WU177" s="59" t="str">
        <f t="shared" ca="1" si="228"/>
        <v/>
      </c>
      <c r="WV177" s="18" t="str">
        <f ca="1">IF(AND(SUM($UB177:$VY177)&gt;0,$TM177=WW$1),MAX(WV$2:WV176)+1,"")</f>
        <v/>
      </c>
      <c r="WW177" s="59" t="str">
        <f t="shared" ca="1" si="229"/>
        <v/>
      </c>
      <c r="WX177" s="18" t="str">
        <f ca="1">IF(AND(SUM($UB177:$VY177)&gt;0,$TM177=WY$1),MAX(WX$2:WX176)+1,"")</f>
        <v/>
      </c>
      <c r="WY177" s="59" t="str">
        <f t="shared" ca="1" si="230"/>
        <v/>
      </c>
      <c r="WZ177" s="59"/>
      <c r="XC177" s="59" t="str">
        <f t="shared" ca="1" si="233"/>
        <v/>
      </c>
    </row>
    <row r="178" spans="260:627" ht="9.9499999999999993" customHeight="1" x14ac:dyDescent="0.2">
      <c r="IZ178"/>
      <c r="TJ178" s="18">
        <f t="shared" si="231"/>
        <v>176</v>
      </c>
      <c r="TK178" s="58" t="s">
        <v>614</v>
      </c>
      <c r="TL178" s="58" t="s">
        <v>448</v>
      </c>
      <c r="TM178" s="18">
        <v>1</v>
      </c>
      <c r="TN178" s="59" t="str">
        <f t="shared" si="218"/>
        <v xml:space="preserve">Healing Word ᴴ </v>
      </c>
      <c r="TO178" s="350" t="s">
        <v>2991</v>
      </c>
      <c r="TP178" s="18" t="str">
        <f t="shared" si="219"/>
        <v/>
      </c>
      <c r="TQ178" s="18" t="str">
        <f>IF(OR(TK178=Spellcasting!$AC$18,TK178=Spellcasting!$AC$19),"ᵐ","")</f>
        <v/>
      </c>
      <c r="TR178" s="18" t="str">
        <f>IF(OR(TK178=Spellcasting!$AC$20,TK178=Spellcasting!$AC$21),"ˢ","")</f>
        <v/>
      </c>
      <c r="TS178" s="18" t="str">
        <f>""</f>
        <v/>
      </c>
      <c r="TT178" s="18" t="s">
        <v>1256</v>
      </c>
      <c r="TU178" s="18" t="s">
        <v>850</v>
      </c>
      <c r="TV178" s="18" t="s">
        <v>505</v>
      </c>
      <c r="TW178" s="18" t="s">
        <v>541</v>
      </c>
      <c r="TX178" s="59" t="str">
        <f>""</f>
        <v/>
      </c>
      <c r="TY178" s="18" t="s">
        <v>534</v>
      </c>
      <c r="TZ178" s="18" t="s">
        <v>535</v>
      </c>
      <c r="UA178" s="142" t="s">
        <v>3175</v>
      </c>
      <c r="UB178" s="319" t="s">
        <v>2313</v>
      </c>
      <c r="UC178" s="18" t="str">
        <f ca="1">IF(UC$1&gt;=$TM178,1,"0")</f>
        <v>0</v>
      </c>
      <c r="UH178" s="18" t="str">
        <f ca="1">IF(UH$1&gt;=$TM178,1,"0")</f>
        <v>0</v>
      </c>
      <c r="UI178" s="18" t="str">
        <f ca="1">IF(UI$1&gt;=$TM178,1,"0")</f>
        <v>0</v>
      </c>
      <c r="WD178" s="18" t="str">
        <f ca="1">IF(SUM($VZ$1:$WC$1)&gt;0,IF(AND(SUM($VZ178:$WC178)&gt;0,$TM178=WE$1),MAX(WD$2:WD177)+1,""),IF(AND(SUM($UC178:$VY178)&gt;0,$TM178=WE$1),MAX(WD$2:WD177)+1,""))</f>
        <v/>
      </c>
      <c r="WE178" s="59" t="str">
        <f t="shared" ca="1" si="220"/>
        <v/>
      </c>
      <c r="WF178" s="18" t="str">
        <f ca="1">IF(AND(SUM($UB178:$VY178)&gt;0,$TM178=WG$1),MAX(WF$2:WF177)+1,"")</f>
        <v/>
      </c>
      <c r="WG178" s="59" t="str">
        <f t="shared" ca="1" si="221"/>
        <v/>
      </c>
      <c r="WH178" s="18" t="str">
        <f ca="1">IF(AND(SUM($UB178:$VY178)&gt;0,$TM178=WI$1),MAX(WH$2:WH177)+1,"")</f>
        <v/>
      </c>
      <c r="WI178" s="59" t="str">
        <f t="shared" ca="1" si="222"/>
        <v/>
      </c>
      <c r="WJ178" s="18" t="str">
        <f ca="1">IF(AND(SUM($UB178:$VY178)&gt;0,$TM178=WK$1),MAX(WJ$2:WJ177)+1,"")</f>
        <v/>
      </c>
      <c r="WK178" s="59" t="str">
        <f t="shared" ca="1" si="223"/>
        <v/>
      </c>
      <c r="WL178" s="18" t="str">
        <f ca="1">IF(AND(SUM($UB178:$VY178)&gt;0,$TM178=WM$1),MAX(WL$2:WL177)+1,"")</f>
        <v/>
      </c>
      <c r="WM178" s="59" t="str">
        <f t="shared" ca="1" si="224"/>
        <v/>
      </c>
      <c r="WN178" s="18" t="str">
        <f ca="1">IF(AND(SUM($UB178:$VY178)&gt;0,$TM178=WO$1),MAX(WN$2:WN177)+1,"")</f>
        <v/>
      </c>
      <c r="WO178" s="59" t="str">
        <f t="shared" ca="1" si="225"/>
        <v/>
      </c>
      <c r="WP178" s="18" t="str">
        <f ca="1">IF(AND(SUM($UB178:$VY178)&gt;0,$TM178=WQ$1),MAX(WP$2:WP177)+1,"")</f>
        <v/>
      </c>
      <c r="WQ178" s="59" t="str">
        <f t="shared" ca="1" si="226"/>
        <v/>
      </c>
      <c r="WR178" s="18" t="str">
        <f ca="1">IF(AND(SUM($UB178:$VY178)&gt;0,$TM178=WS$1),MAX(WR$2:WR177)+1,"")</f>
        <v/>
      </c>
      <c r="WS178" s="59" t="str">
        <f t="shared" ca="1" si="227"/>
        <v/>
      </c>
      <c r="WT178" s="18" t="str">
        <f ca="1">IF(AND(SUM($UB178:$VY178)&gt;0,$TM178=WU$1),MAX(WT$2:WT177)+1,"")</f>
        <v/>
      </c>
      <c r="WU178" s="59" t="str">
        <f t="shared" ca="1" si="228"/>
        <v/>
      </c>
      <c r="WV178" s="18" t="str">
        <f ca="1">IF(AND(SUM($UB178:$VY178)&gt;0,$TM178=WW$1),MAX(WV$2:WV177)+1,"")</f>
        <v/>
      </c>
      <c r="WW178" s="59" t="str">
        <f t="shared" ca="1" si="229"/>
        <v/>
      </c>
      <c r="WX178" s="18" t="str">
        <f ca="1">IF(AND(SUM($UB178:$VY178)&gt;0,$TM178=WY$1),MAX(WX$2:WX177)+1,"")</f>
        <v/>
      </c>
      <c r="WY178" s="59" t="str">
        <f t="shared" ca="1" si="230"/>
        <v/>
      </c>
      <c r="WZ178" s="59"/>
      <c r="XC178" s="59" t="str">
        <f t="shared" ca="1" si="233"/>
        <v/>
      </c>
    </row>
    <row r="179" spans="260:627" ht="9.9499999999999993" customHeight="1" x14ac:dyDescent="0.2">
      <c r="IZ179"/>
      <c r="TJ179" s="18">
        <f t="shared" si="231"/>
        <v>177</v>
      </c>
      <c r="TK179" s="58" t="s">
        <v>615</v>
      </c>
      <c r="TL179" s="58" t="s">
        <v>459</v>
      </c>
      <c r="TM179" s="18">
        <v>2</v>
      </c>
      <c r="TN179" s="59" t="str">
        <f t="shared" si="218"/>
        <v xml:space="preserve">Heat Metal ᴴ </v>
      </c>
      <c r="TO179" s="350" t="s">
        <v>2991</v>
      </c>
      <c r="TP179" s="18" t="str">
        <f t="shared" si="219"/>
        <v/>
      </c>
      <c r="TQ179" s="18" t="str">
        <f>IF(OR(TK179=Spellcasting!$AC$18,TK179=Spellcasting!$AC$19),"ᵐ","")</f>
        <v/>
      </c>
      <c r="TR179" s="18" t="str">
        <f>IF(OR(TK179=Spellcasting!$AC$20,TK179=Spellcasting!$AC$21),"ˢ","")</f>
        <v/>
      </c>
      <c r="TS179" s="18" t="str">
        <f>""</f>
        <v/>
      </c>
      <c r="TT179" s="18" t="s">
        <v>484</v>
      </c>
      <c r="TU179" s="18" t="s">
        <v>850</v>
      </c>
      <c r="TV179" s="18" t="s">
        <v>558</v>
      </c>
      <c r="TW179" s="18" t="s">
        <v>495</v>
      </c>
      <c r="TX179" s="59" t="s">
        <v>1332</v>
      </c>
      <c r="TY179" s="18" t="s">
        <v>491</v>
      </c>
      <c r="TZ179" s="18" t="s">
        <v>492</v>
      </c>
      <c r="UA179" s="142" t="s">
        <v>3176</v>
      </c>
      <c r="UB179" s="319" t="s">
        <v>1334</v>
      </c>
      <c r="UC179" s="18" t="str">
        <f ca="1">IF(UC$1&gt;=$TM179,1,"0")</f>
        <v>0</v>
      </c>
      <c r="UI179" s="18" t="str">
        <f ca="1">IF(UI$1&gt;=$TM179,1,"0")</f>
        <v>0</v>
      </c>
      <c r="WD179" s="18" t="str">
        <f ca="1">IF(SUM($VZ$1:$WC$1)&gt;0,IF(AND(SUM($VZ179:$WC179)&gt;0,$TM179=WE$1),MAX(WD$2:WD178)+1,""),IF(AND(SUM($UC179:$VY179)&gt;0,$TM179=WE$1),MAX(WD$2:WD178)+1,""))</f>
        <v/>
      </c>
      <c r="WE179" s="59" t="str">
        <f t="shared" ca="1" si="220"/>
        <v/>
      </c>
      <c r="WF179" s="18" t="str">
        <f ca="1">IF(AND(SUM($UB179:$VY179)&gt;0,$TM179=WG$1),MAX(WF$2:WF178)+1,"")</f>
        <v/>
      </c>
      <c r="WG179" s="59" t="str">
        <f t="shared" ca="1" si="221"/>
        <v/>
      </c>
      <c r="WH179" s="18" t="str">
        <f ca="1">IF(AND(SUM($UB179:$VY179)&gt;0,$TM179=WI$1),MAX(WH$2:WH178)+1,"")</f>
        <v/>
      </c>
      <c r="WI179" s="59" t="str">
        <f t="shared" ca="1" si="222"/>
        <v/>
      </c>
      <c r="WJ179" s="18" t="str">
        <f ca="1">IF(AND(SUM($UB179:$VY179)&gt;0,$TM179=WK$1),MAX(WJ$2:WJ178)+1,"")</f>
        <v/>
      </c>
      <c r="WK179" s="59" t="str">
        <f t="shared" ca="1" si="223"/>
        <v/>
      </c>
      <c r="WL179" s="18" t="str">
        <f ca="1">IF(AND(SUM($UB179:$VY179)&gt;0,$TM179=WM$1),MAX(WL$2:WL178)+1,"")</f>
        <v/>
      </c>
      <c r="WM179" s="59" t="str">
        <f t="shared" ca="1" si="224"/>
        <v/>
      </c>
      <c r="WN179" s="18" t="str">
        <f ca="1">IF(AND(SUM($UB179:$VY179)&gt;0,$TM179=WO$1),MAX(WN$2:WN178)+1,"")</f>
        <v/>
      </c>
      <c r="WO179" s="59" t="str">
        <f t="shared" ca="1" si="225"/>
        <v/>
      </c>
      <c r="WP179" s="18" t="str">
        <f ca="1">IF(AND(SUM($UB179:$VY179)&gt;0,$TM179=WQ$1),MAX(WP$2:WP178)+1,"")</f>
        <v/>
      </c>
      <c r="WQ179" s="59" t="str">
        <f t="shared" ca="1" si="226"/>
        <v/>
      </c>
      <c r="WR179" s="18" t="str">
        <f ca="1">IF(AND(SUM($UB179:$VY179)&gt;0,$TM179=WS$1),MAX(WR$2:WR178)+1,"")</f>
        <v/>
      </c>
      <c r="WS179" s="59" t="str">
        <f t="shared" ca="1" si="227"/>
        <v/>
      </c>
      <c r="WT179" s="18" t="str">
        <f ca="1">IF(AND(SUM($UB179:$VY179)&gt;0,$TM179=WU$1),MAX(WT$2:WT178)+1,"")</f>
        <v/>
      </c>
      <c r="WU179" s="59" t="str">
        <f t="shared" ca="1" si="228"/>
        <v/>
      </c>
      <c r="WV179" s="18" t="str">
        <f ca="1">IF(AND(SUM($UB179:$VY179)&gt;0,$TM179=WW$1),MAX(WV$2:WV178)+1,"")</f>
        <v/>
      </c>
      <c r="WW179" s="59" t="str">
        <f t="shared" ca="1" si="229"/>
        <v/>
      </c>
      <c r="WX179" s="18" t="str">
        <f ca="1">IF(AND(SUM($UB179:$VY179)&gt;0,$TM179=WY$1),MAX(WX$2:WX178)+1,"")</f>
        <v/>
      </c>
      <c r="WY179" s="59" t="str">
        <f t="shared" ca="1" si="230"/>
        <v/>
      </c>
      <c r="WZ179" s="59"/>
      <c r="XC179" s="59" t="str">
        <f t="shared" ref="XC179:XC193" ca="1" si="234">IF(ISERROR(VLOOKUP($WZ181,$WH$1:$WI$5013,2,FALSE)),"",VLOOKUP($WZ181,$WH$1:$WI$5013,2,FALSE))</f>
        <v/>
      </c>
    </row>
    <row r="180" spans="260:627" ht="9.9499999999999993" customHeight="1" x14ac:dyDescent="0.2">
      <c r="IZ180"/>
      <c r="TJ180" s="18">
        <f t="shared" si="231"/>
        <v>178</v>
      </c>
      <c r="TK180" s="58" t="s">
        <v>2769</v>
      </c>
      <c r="TL180" s="58" t="s">
        <v>448</v>
      </c>
      <c r="TM180" s="18">
        <v>1</v>
      </c>
      <c r="TN180" s="59" t="str">
        <f t="shared" si="218"/>
        <v xml:space="preserve">Hellish Rebuke ᴴ </v>
      </c>
      <c r="TO180" s="350" t="s">
        <v>2991</v>
      </c>
      <c r="TP180" s="18" t="str">
        <f t="shared" si="219"/>
        <v/>
      </c>
      <c r="TQ180" s="18" t="str">
        <f>IF(OR(TK180=Spellcasting!$AC$18,TK180=Spellcasting!$AC$19),"ᵐ","")</f>
        <v/>
      </c>
      <c r="TR180" s="18" t="str">
        <f>IF(OR(TK180=Spellcasting!$AC$20,TK180=Spellcasting!$AC$21),"ˢ","")</f>
        <v/>
      </c>
      <c r="TS180" s="18" t="str">
        <f>""</f>
        <v/>
      </c>
      <c r="TT180" s="18" t="s">
        <v>475</v>
      </c>
      <c r="TU180" s="18" t="s">
        <v>850</v>
      </c>
      <c r="TV180" s="18" t="s">
        <v>505</v>
      </c>
      <c r="TW180" s="18" t="s">
        <v>486</v>
      </c>
      <c r="TY180" s="18" t="s">
        <v>534</v>
      </c>
      <c r="TZ180" s="18" t="s">
        <v>535</v>
      </c>
      <c r="UA180" s="142" t="s">
        <v>2770</v>
      </c>
      <c r="UB180" s="319" t="str">
        <f ca="1">" 2d10"&amp;IF(WizardEvocationLevel&gt;=10,"+"&amp;INTMod,"")&amp;" fire, dex save ½"</f>
        <v xml:space="preserve"> 2d10 fire, dex save ½</v>
      </c>
      <c r="UG180" s="18" t="str">
        <f ca="1">IF(UG$1&gt;=$TM180,1,"0")</f>
        <v>0</v>
      </c>
      <c r="WD180" s="18" t="str">
        <f ca="1">IF(SUM($VZ$1:$WC$1)&gt;0,IF(AND(SUM($VZ180:$WC180)&gt;0,$TM180=WE$1),MAX(WD$2:WD179)+1,""),IF(AND(SUM($UC180:$VY180)&gt;0,$TM180=WE$1),MAX(WD$2:WD179)+1,""))</f>
        <v/>
      </c>
      <c r="WE180" s="59" t="str">
        <f t="shared" ca="1" si="220"/>
        <v/>
      </c>
      <c r="WF180" s="18" t="str">
        <f ca="1">IF(AND(SUM($UB180:$VY180)&gt;0,$TM180=WG$1),MAX(WF$2:WF179)+1,"")</f>
        <v/>
      </c>
      <c r="WG180" s="59" t="str">
        <f t="shared" ca="1" si="221"/>
        <v/>
      </c>
      <c r="WH180" s="18" t="str">
        <f ca="1">IF(AND(SUM($UB180:$VY180)&gt;0,$TM180=WI$1),MAX(WH$2:WH179)+1,"")</f>
        <v/>
      </c>
      <c r="WI180" s="59" t="str">
        <f t="shared" ca="1" si="222"/>
        <v/>
      </c>
      <c r="WJ180" s="18" t="str">
        <f ca="1">IF(AND(SUM($UB180:$VY180)&gt;0,$TM180=WK$1),MAX(WJ$2:WJ179)+1,"")</f>
        <v/>
      </c>
      <c r="WK180" s="59" t="str">
        <f t="shared" ca="1" si="223"/>
        <v/>
      </c>
      <c r="WL180" s="18" t="str">
        <f ca="1">IF(AND(SUM($UB180:$VY180)&gt;0,$TM180=WM$1),MAX(WL$2:WL179)+1,"")</f>
        <v/>
      </c>
      <c r="WM180" s="59" t="str">
        <f t="shared" ca="1" si="224"/>
        <v/>
      </c>
      <c r="WN180" s="18" t="str">
        <f ca="1">IF(AND(SUM($UB180:$VY180)&gt;0,$TM180=WO$1),MAX(WN$2:WN179)+1,"")</f>
        <v/>
      </c>
      <c r="WO180" s="59" t="str">
        <f t="shared" ca="1" si="225"/>
        <v/>
      </c>
      <c r="WP180" s="18" t="str">
        <f ca="1">IF(AND(SUM($UB180:$VY180)&gt;0,$TM180=WQ$1),MAX(WP$2:WP179)+1,"")</f>
        <v/>
      </c>
      <c r="WQ180" s="59" t="str">
        <f t="shared" ca="1" si="226"/>
        <v/>
      </c>
      <c r="WR180" s="18" t="str">
        <f ca="1">IF(AND(SUM($UB180:$VY180)&gt;0,$TM180=WS$1),MAX(WR$2:WR179)+1,"")</f>
        <v/>
      </c>
      <c r="WS180" s="59" t="str">
        <f t="shared" ca="1" si="227"/>
        <v/>
      </c>
      <c r="WT180" s="18" t="str">
        <f ca="1">IF(AND(SUM($UB180:$VY180)&gt;0,$TM180=WU$1),MAX(WT$2:WT179)+1,"")</f>
        <v/>
      </c>
      <c r="WU180" s="59" t="str">
        <f t="shared" ca="1" si="228"/>
        <v/>
      </c>
      <c r="WV180" s="18" t="str">
        <f ca="1">IF(AND(SUM($UB180:$VY180)&gt;0,$TM180=WW$1),MAX(WV$2:WV179)+1,"")</f>
        <v/>
      </c>
      <c r="WW180" s="59" t="str">
        <f t="shared" ca="1" si="229"/>
        <v/>
      </c>
      <c r="WX180" s="18" t="str">
        <f ca="1">IF(AND(SUM($UB180:$VY180)&gt;0,$TM180=WY$1),MAX(WX$2:WX179)+1,"")</f>
        <v/>
      </c>
      <c r="WY180" s="59" t="str">
        <f t="shared" ca="1" si="230"/>
        <v/>
      </c>
      <c r="WZ180" s="59"/>
      <c r="XC180" s="59" t="str">
        <f t="shared" ca="1" si="234"/>
        <v/>
      </c>
    </row>
    <row r="181" spans="260:627" ht="9.9499999999999993" customHeight="1" x14ac:dyDescent="0.2">
      <c r="IZ181"/>
      <c r="TJ181" s="18">
        <f t="shared" si="231"/>
        <v>179</v>
      </c>
      <c r="TK181" s="58" t="s">
        <v>1981</v>
      </c>
      <c r="TL181" s="58" t="s">
        <v>463</v>
      </c>
      <c r="TM181" s="18">
        <v>6</v>
      </c>
      <c r="TN181" s="59" t="str">
        <f t="shared" si="218"/>
        <v xml:space="preserve">Heroes' Feast </v>
      </c>
      <c r="TO181" s="18" t="str">
        <f>""</f>
        <v/>
      </c>
      <c r="TP181" s="18" t="str">
        <f t="shared" si="219"/>
        <v/>
      </c>
      <c r="TQ181" s="18" t="str">
        <f>IF(OR(TK181=Spellcasting!$AC$18,TK181=Spellcasting!$AC$19),"ᵐ","")</f>
        <v/>
      </c>
      <c r="TR181" s="18" t="str">
        <f>IF(OR(TK181=Spellcasting!$AC$20,TK181=Spellcasting!$AC$21),"ˢ","")</f>
        <v/>
      </c>
      <c r="TS181" s="18" t="str">
        <f>""</f>
        <v/>
      </c>
      <c r="TT181" s="18" t="s">
        <v>582</v>
      </c>
      <c r="TU181" s="18" t="s">
        <v>851</v>
      </c>
      <c r="TV181" s="18" t="s">
        <v>505</v>
      </c>
      <c r="TW181" s="18" t="s">
        <v>495</v>
      </c>
      <c r="TX181" s="59" t="s">
        <v>2171</v>
      </c>
      <c r="TY181" s="18" t="s">
        <v>516</v>
      </c>
      <c r="TZ181" s="18" t="s">
        <v>517</v>
      </c>
      <c r="UA181" s="142" t="s">
        <v>2240</v>
      </c>
      <c r="UB181" s="319" t="s">
        <v>2172</v>
      </c>
      <c r="UH181" s="18" t="str">
        <f ca="1">IF(UH$1&gt;=$TM181,1,"0")</f>
        <v>0</v>
      </c>
      <c r="UI181" s="18" t="str">
        <f ca="1">IF(UI$1&gt;=$TM181,1,"0")</f>
        <v>0</v>
      </c>
      <c r="WD181" s="18" t="str">
        <f ca="1">IF(SUM($VZ$1:$WC$1)&gt;0,IF(AND(SUM($VZ181:$WC181)&gt;0,$TM181=WE$1),MAX(WD$2:WD180)+1,""),IF(AND(SUM($UC181:$VY181)&gt;0,$TM181=WE$1),MAX(WD$2:WD180)+1,""))</f>
        <v/>
      </c>
      <c r="WE181" s="59" t="str">
        <f t="shared" ca="1" si="220"/>
        <v/>
      </c>
      <c r="WF181" s="18" t="str">
        <f ca="1">IF(AND(SUM($UB181:$VY181)&gt;0,$TM181=WG$1),MAX(WF$2:WF180)+1,"")</f>
        <v/>
      </c>
      <c r="WG181" s="59" t="str">
        <f t="shared" ca="1" si="221"/>
        <v/>
      </c>
      <c r="WH181" s="18" t="str">
        <f ca="1">IF(AND(SUM($UB181:$VY181)&gt;0,$TM181=WI$1),MAX(WH$2:WH180)+1,"")</f>
        <v/>
      </c>
      <c r="WI181" s="59" t="str">
        <f t="shared" ca="1" si="222"/>
        <v/>
      </c>
      <c r="WJ181" s="18" t="str">
        <f ca="1">IF(AND(SUM($UB181:$VY181)&gt;0,$TM181=WK$1),MAX(WJ$2:WJ180)+1,"")</f>
        <v/>
      </c>
      <c r="WK181" s="59" t="str">
        <f t="shared" ca="1" si="223"/>
        <v/>
      </c>
      <c r="WL181" s="18" t="str">
        <f ca="1">IF(AND(SUM($UB181:$VY181)&gt;0,$TM181=WM$1),MAX(WL$2:WL180)+1,"")</f>
        <v/>
      </c>
      <c r="WM181" s="59" t="str">
        <f t="shared" ca="1" si="224"/>
        <v/>
      </c>
      <c r="WN181" s="18" t="str">
        <f ca="1">IF(AND(SUM($UB181:$VY181)&gt;0,$TM181=WO$1),MAX(WN$2:WN180)+1,"")</f>
        <v/>
      </c>
      <c r="WO181" s="59" t="str">
        <f t="shared" ca="1" si="225"/>
        <v/>
      </c>
      <c r="WP181" s="18" t="str">
        <f ca="1">IF(AND(SUM($UB181:$VY181)&gt;0,$TM181=WQ$1),MAX(WP$2:WP180)+1,"")</f>
        <v/>
      </c>
      <c r="WQ181" s="59" t="str">
        <f t="shared" ca="1" si="226"/>
        <v/>
      </c>
      <c r="WR181" s="18" t="str">
        <f ca="1">IF(AND(SUM($UB181:$VY181)&gt;0,$TM181=WS$1),MAX(WR$2:WR180)+1,"")</f>
        <v/>
      </c>
      <c r="WS181" s="59" t="str">
        <f t="shared" ca="1" si="227"/>
        <v/>
      </c>
      <c r="WT181" s="18" t="str">
        <f ca="1">IF(AND(SUM($UB181:$VY181)&gt;0,$TM181=WU$1),MAX(WT$2:WT180)+1,"")</f>
        <v/>
      </c>
      <c r="WU181" s="59" t="str">
        <f t="shared" ca="1" si="228"/>
        <v/>
      </c>
      <c r="WV181" s="18" t="str">
        <f ca="1">IF(AND(SUM($UB181:$VY181)&gt;0,$TM181=WW$1),MAX(WV$2:WV180)+1,"")</f>
        <v/>
      </c>
      <c r="WW181" s="59" t="str">
        <f t="shared" ca="1" si="229"/>
        <v/>
      </c>
      <c r="WX181" s="18" t="str">
        <f ca="1">IF(AND(SUM($UB181:$VY181)&gt;0,$TM181=WY$1),MAX(WX$2:WX180)+1,"")</f>
        <v/>
      </c>
      <c r="WY181" s="59" t="str">
        <f t="shared" ca="1" si="230"/>
        <v/>
      </c>
      <c r="WZ181" s="59"/>
      <c r="XC181" s="59" t="str">
        <f t="shared" ca="1" si="234"/>
        <v/>
      </c>
    </row>
    <row r="182" spans="260:627" ht="9.9499999999999993" customHeight="1" x14ac:dyDescent="0.2">
      <c r="IZ182"/>
      <c r="TJ182" s="18">
        <f t="shared" si="231"/>
        <v>180</v>
      </c>
      <c r="TK182" s="58" t="s">
        <v>2734</v>
      </c>
      <c r="TL182" s="58" t="s">
        <v>448</v>
      </c>
      <c r="TM182" s="18">
        <v>1</v>
      </c>
      <c r="TN182" s="59" t="str">
        <f t="shared" si="218"/>
        <v xml:space="preserve">Heroism ᴴ </v>
      </c>
      <c r="TO182" s="350" t="s">
        <v>2991</v>
      </c>
      <c r="TP182" s="18" t="str">
        <f t="shared" si="219"/>
        <v/>
      </c>
      <c r="TQ182" s="18" t="str">
        <f>IF(OR(TK182=Spellcasting!$AC$18,TK182=Spellcasting!$AC$19),"ᵐ","")</f>
        <v/>
      </c>
      <c r="TR182" s="18" t="str">
        <f>IF(OR(TK182=Spellcasting!$AC$20,TK182=Spellcasting!$AC$21),"ˢ","")</f>
        <v/>
      </c>
      <c r="TS182" s="18" t="str">
        <f>""</f>
        <v/>
      </c>
      <c r="TT182" s="18" t="s">
        <v>484</v>
      </c>
      <c r="TU182" s="18" t="s">
        <v>519</v>
      </c>
      <c r="TV182" s="18" t="s">
        <v>558</v>
      </c>
      <c r="TW182" s="18" t="s">
        <v>486</v>
      </c>
      <c r="TY182" s="18" t="s">
        <v>498</v>
      </c>
      <c r="TZ182" s="18" t="s">
        <v>499</v>
      </c>
      <c r="UA182" s="142" t="s">
        <v>2735</v>
      </c>
      <c r="UB182" s="319" t="str">
        <f>"immune to being frightened, "&amp;CHAMod&amp;" temp HP per round"</f>
        <v>immune to being frightened, -5 temp HP per round</v>
      </c>
      <c r="UC182" s="18" t="str">
        <f ca="1">IF(UC$1&gt;=$TM182,1,"0")</f>
        <v>0</v>
      </c>
      <c r="UD182" s="18" t="str">
        <f ca="1">IF(UD$1&gt;=$TM182,1,"0")</f>
        <v>0</v>
      </c>
      <c r="WD182" s="18" t="str">
        <f ca="1">IF(SUM($VZ$1:$WC$1)&gt;0,IF(AND(SUM($VZ182:$WC182)&gt;0,$TM182=WE$1),MAX(WD$2:WD181)+1,""),IF(AND(SUM($UC182:$VY182)&gt;0,$TM182=WE$1),MAX(WD$2:WD181)+1,""))</f>
        <v/>
      </c>
      <c r="WE182" s="59" t="str">
        <f t="shared" ca="1" si="220"/>
        <v/>
      </c>
      <c r="WF182" s="18" t="str">
        <f ca="1">IF(AND(SUM($UB182:$VY182)&gt;0,$TM182=WG$1),MAX(WF$2:WF181)+1,"")</f>
        <v/>
      </c>
      <c r="WG182" s="59" t="str">
        <f t="shared" ca="1" si="221"/>
        <v/>
      </c>
      <c r="WH182" s="18" t="str">
        <f ca="1">IF(AND(SUM($UB182:$VY182)&gt;0,$TM182=WI$1),MAX(WH$2:WH181)+1,"")</f>
        <v/>
      </c>
      <c r="WI182" s="59" t="str">
        <f t="shared" ca="1" si="222"/>
        <v/>
      </c>
      <c r="WJ182" s="18" t="str">
        <f ca="1">IF(AND(SUM($UB182:$VY182)&gt;0,$TM182=WK$1),MAX(WJ$2:WJ181)+1,"")</f>
        <v/>
      </c>
      <c r="WK182" s="59" t="str">
        <f t="shared" ca="1" si="223"/>
        <v/>
      </c>
      <c r="WL182" s="18" t="str">
        <f ca="1">IF(AND(SUM($UB182:$VY182)&gt;0,$TM182=WM$1),MAX(WL$2:WL181)+1,"")</f>
        <v/>
      </c>
      <c r="WM182" s="59" t="str">
        <f t="shared" ca="1" si="224"/>
        <v/>
      </c>
      <c r="WN182" s="18" t="str">
        <f ca="1">IF(AND(SUM($UB182:$VY182)&gt;0,$TM182=WO$1),MAX(WN$2:WN181)+1,"")</f>
        <v/>
      </c>
      <c r="WO182" s="59" t="str">
        <f t="shared" ca="1" si="225"/>
        <v/>
      </c>
      <c r="WP182" s="18" t="str">
        <f ca="1">IF(AND(SUM($UB182:$VY182)&gt;0,$TM182=WQ$1),MAX(WP$2:WP181)+1,"")</f>
        <v/>
      </c>
      <c r="WQ182" s="59" t="str">
        <f t="shared" ca="1" si="226"/>
        <v/>
      </c>
      <c r="WR182" s="18" t="str">
        <f ca="1">IF(AND(SUM($UB182:$VY182)&gt;0,$TM182=WS$1),MAX(WR$2:WR181)+1,"")</f>
        <v/>
      </c>
      <c r="WS182" s="59" t="str">
        <f t="shared" ca="1" si="227"/>
        <v/>
      </c>
      <c r="WT182" s="18" t="str">
        <f ca="1">IF(AND(SUM($UB182:$VY182)&gt;0,$TM182=WU$1),MAX(WT$2:WT181)+1,"")</f>
        <v/>
      </c>
      <c r="WU182" s="59" t="str">
        <f t="shared" ca="1" si="228"/>
        <v/>
      </c>
      <c r="WV182" s="18" t="str">
        <f ca="1">IF(AND(SUM($UB182:$VY182)&gt;0,$TM182=WW$1),MAX(WV$2:WV181)+1,"")</f>
        <v/>
      </c>
      <c r="WW182" s="59" t="str">
        <f t="shared" ca="1" si="229"/>
        <v/>
      </c>
      <c r="WX182" s="18" t="str">
        <f ca="1">IF(AND(SUM($UB182:$VY182)&gt;0,$TM182=WY$1),MAX(WX$2:WX181)+1,"")</f>
        <v/>
      </c>
      <c r="WY182" s="59" t="str">
        <f t="shared" ca="1" si="230"/>
        <v/>
      </c>
      <c r="WZ182" s="59"/>
      <c r="XC182" s="59" t="str">
        <f t="shared" ca="1" si="234"/>
        <v/>
      </c>
    </row>
    <row r="183" spans="260:627" ht="9.9499999999999993" customHeight="1" x14ac:dyDescent="0.2">
      <c r="IZ183"/>
      <c r="TJ183" s="18">
        <f t="shared" si="231"/>
        <v>181</v>
      </c>
      <c r="TK183" s="58" t="s">
        <v>2771</v>
      </c>
      <c r="TL183" s="58" t="s">
        <v>448</v>
      </c>
      <c r="TM183" s="18">
        <v>1</v>
      </c>
      <c r="TN183" s="59" t="str">
        <f t="shared" si="218"/>
        <v xml:space="preserve">Hex ᴴ </v>
      </c>
      <c r="TO183" s="350" t="s">
        <v>2991</v>
      </c>
      <c r="TP183" s="18" t="str">
        <f t="shared" si="219"/>
        <v/>
      </c>
      <c r="TQ183" s="18" t="str">
        <f>IF(OR(TK183=Spellcasting!$AC$18,TK183=Spellcasting!$AC$19),"ᵐ","")</f>
        <v/>
      </c>
      <c r="TR183" s="18" t="str">
        <f>IF(OR(TK183=Spellcasting!$AC$20,TK183=Spellcasting!$AC$21),"ˢ","")</f>
        <v/>
      </c>
      <c r="TS183" s="18" t="str">
        <f>""</f>
        <v/>
      </c>
      <c r="TT183" s="18" t="s">
        <v>1256</v>
      </c>
      <c r="TU183" s="18" t="s">
        <v>864</v>
      </c>
      <c r="TV183" s="18" t="s">
        <v>490</v>
      </c>
      <c r="TW183" s="18" t="s">
        <v>495</v>
      </c>
      <c r="TX183" s="59" t="s">
        <v>2772</v>
      </c>
      <c r="TY183" s="18" t="s">
        <v>498</v>
      </c>
      <c r="TZ183" s="18" t="s">
        <v>499</v>
      </c>
      <c r="UA183" s="142" t="s">
        <v>2773</v>
      </c>
      <c r="UB183" s="537" t="s">
        <v>2774</v>
      </c>
      <c r="UG183" s="18" t="str">
        <f ca="1">IF(UG$1&gt;=$TM183,1,"0")</f>
        <v>0</v>
      </c>
      <c r="WD183" s="18" t="str">
        <f ca="1">IF(SUM($VZ$1:$WC$1)&gt;0,IF(AND(SUM($VZ183:$WC183)&gt;0,$TM183=WE$1),MAX(WD$2:WD182)+1,""),IF(AND(SUM($UC183:$VY183)&gt;0,$TM183=WE$1),MAX(WD$2:WD182)+1,""))</f>
        <v/>
      </c>
      <c r="WE183" s="59" t="str">
        <f t="shared" ca="1" si="220"/>
        <v/>
      </c>
      <c r="WF183" s="18" t="str">
        <f ca="1">IF(AND(SUM($UB183:$VY183)&gt;0,$TM183=WG$1),MAX(WF$2:WF182)+1,"")</f>
        <v/>
      </c>
      <c r="WG183" s="59" t="str">
        <f t="shared" ca="1" si="221"/>
        <v/>
      </c>
      <c r="WH183" s="18" t="str">
        <f ca="1">IF(AND(SUM($UB183:$VY183)&gt;0,$TM183=WI$1),MAX(WH$2:WH182)+1,"")</f>
        <v/>
      </c>
      <c r="WI183" s="59" t="str">
        <f t="shared" ca="1" si="222"/>
        <v/>
      </c>
      <c r="WJ183" s="18" t="str">
        <f ca="1">IF(AND(SUM($UB183:$VY183)&gt;0,$TM183=WK$1),MAX(WJ$2:WJ182)+1,"")</f>
        <v/>
      </c>
      <c r="WK183" s="59" t="str">
        <f t="shared" ca="1" si="223"/>
        <v/>
      </c>
      <c r="WL183" s="18" t="str">
        <f ca="1">IF(AND(SUM($UB183:$VY183)&gt;0,$TM183=WM$1),MAX(WL$2:WL182)+1,"")</f>
        <v/>
      </c>
      <c r="WM183" s="59" t="str">
        <f t="shared" ca="1" si="224"/>
        <v/>
      </c>
      <c r="WN183" s="18" t="str">
        <f ca="1">IF(AND(SUM($UB183:$VY183)&gt;0,$TM183=WO$1),MAX(WN$2:WN182)+1,"")</f>
        <v/>
      </c>
      <c r="WO183" s="59" t="str">
        <f t="shared" ca="1" si="225"/>
        <v/>
      </c>
      <c r="WP183" s="18" t="str">
        <f ca="1">IF(AND(SUM($UB183:$VY183)&gt;0,$TM183=WQ$1),MAX(WP$2:WP182)+1,"")</f>
        <v/>
      </c>
      <c r="WQ183" s="59" t="str">
        <f t="shared" ca="1" si="226"/>
        <v/>
      </c>
      <c r="WR183" s="18" t="str">
        <f ca="1">IF(AND(SUM($UB183:$VY183)&gt;0,$TM183=WS$1),MAX(WR$2:WR182)+1,"")</f>
        <v/>
      </c>
      <c r="WS183" s="59" t="str">
        <f t="shared" ca="1" si="227"/>
        <v/>
      </c>
      <c r="WT183" s="18" t="str">
        <f ca="1">IF(AND(SUM($UB183:$VY183)&gt;0,$TM183=WU$1),MAX(WT$2:WT182)+1,"")</f>
        <v/>
      </c>
      <c r="WU183" s="59" t="str">
        <f t="shared" ca="1" si="228"/>
        <v/>
      </c>
      <c r="WV183" s="18" t="str">
        <f ca="1">IF(AND(SUM($UB183:$VY183)&gt;0,$TM183=WW$1),MAX(WV$2:WV182)+1,"")</f>
        <v/>
      </c>
      <c r="WW183" s="59" t="str">
        <f t="shared" ca="1" si="229"/>
        <v/>
      </c>
      <c r="WX183" s="18" t="str">
        <f ca="1">IF(AND(SUM($UB183:$VY183)&gt;0,$TM183=WY$1),MAX(WX$2:WX182)+1,"")</f>
        <v/>
      </c>
      <c r="WY183" s="59" t="str">
        <f t="shared" ca="1" si="230"/>
        <v/>
      </c>
      <c r="WZ183" s="59"/>
      <c r="XC183" s="59" t="str">
        <f t="shared" ca="1" si="234"/>
        <v/>
      </c>
    </row>
    <row r="184" spans="260:627" ht="9.9499999999999993" customHeight="1" x14ac:dyDescent="0.2">
      <c r="IZ184"/>
      <c r="TJ184" s="18">
        <f t="shared" si="231"/>
        <v>182</v>
      </c>
      <c r="TK184" s="58" t="s">
        <v>616</v>
      </c>
      <c r="TL184" s="58" t="s">
        <v>462</v>
      </c>
      <c r="TM184" s="18">
        <v>5</v>
      </c>
      <c r="TN184" s="59" t="str">
        <f t="shared" si="218"/>
        <v xml:space="preserve">Hold Monster ᴴ </v>
      </c>
      <c r="TO184" s="350" t="s">
        <v>2991</v>
      </c>
      <c r="TP184" s="18" t="str">
        <f t="shared" si="219"/>
        <v/>
      </c>
      <c r="TQ184" s="18" t="str">
        <f>IF(OR(TK184=Spellcasting!$AC$18,TK184=Spellcasting!$AC$19),"ᵐ","")</f>
        <v/>
      </c>
      <c r="TR184" s="18" t="str">
        <f>IF(OR(TK184=Spellcasting!$AC$20,TK184=Spellcasting!$AC$21),"ˢ","")</f>
        <v/>
      </c>
      <c r="TS184" s="18" t="str">
        <f>""</f>
        <v/>
      </c>
      <c r="TT184" s="18" t="s">
        <v>484</v>
      </c>
      <c r="TU184" s="18" t="s">
        <v>864</v>
      </c>
      <c r="TV184" s="18" t="s">
        <v>558</v>
      </c>
      <c r="TW184" s="18" t="s">
        <v>495</v>
      </c>
      <c r="TX184" s="59" t="s">
        <v>1333</v>
      </c>
      <c r="TY184" s="18" t="s">
        <v>498</v>
      </c>
      <c r="TZ184" s="18" t="s">
        <v>499</v>
      </c>
      <c r="UA184" s="142" t="s">
        <v>2223</v>
      </c>
      <c r="UB184" s="319" t="s">
        <v>2274</v>
      </c>
      <c r="UC184" s="18" t="str">
        <f ca="1">IF(UC$1&gt;=$TM184,1,"0")</f>
        <v>0</v>
      </c>
      <c r="UF184" s="18" t="str">
        <f ca="1">IF(UF$1&gt;=$TM184,1,"0")</f>
        <v>0</v>
      </c>
      <c r="UG184" s="18" t="str">
        <f ca="1">IF(UG$1&gt;=$TM184,1,"0")</f>
        <v>0</v>
      </c>
      <c r="UL184" s="18" t="str">
        <f ca="1">IF(UL$1&gt;=$TM184,1,"0")</f>
        <v>0</v>
      </c>
      <c r="UQ184" s="18" t="str">
        <f>IF(UQ$1&gt;=$TM184,1,"0")</f>
        <v>0</v>
      </c>
      <c r="VE184" s="18" t="str">
        <f>IF(VE$1&gt;=$TM184,1,"0")</f>
        <v>0</v>
      </c>
      <c r="WD184" s="18" t="str">
        <f ca="1">IF(SUM($VZ$1:$WC$1)&gt;0,IF(AND(SUM($VZ184:$WC184)&gt;0,$TM184=WE$1),MAX(WD$2:WD183)+1,""),IF(AND(SUM($UC184:$VY184)&gt;0,$TM184=WE$1),MAX(WD$2:WD183)+1,""))</f>
        <v/>
      </c>
      <c r="WE184" s="59" t="str">
        <f t="shared" ca="1" si="220"/>
        <v/>
      </c>
      <c r="WF184" s="18" t="str">
        <f ca="1">IF(AND(SUM($UB184:$VY184)&gt;0,$TM184=WG$1),MAX(WF$2:WF183)+1,"")</f>
        <v/>
      </c>
      <c r="WG184" s="59" t="str">
        <f t="shared" ca="1" si="221"/>
        <v/>
      </c>
      <c r="WH184" s="18" t="str">
        <f ca="1">IF(AND(SUM($UB184:$VY184)&gt;0,$TM184=WI$1),MAX(WH$2:WH183)+1,"")</f>
        <v/>
      </c>
      <c r="WI184" s="59" t="str">
        <f t="shared" ca="1" si="222"/>
        <v/>
      </c>
      <c r="WJ184" s="18" t="str">
        <f ca="1">IF(AND(SUM($UB184:$VY184)&gt;0,$TM184=WK$1),MAX(WJ$2:WJ183)+1,"")</f>
        <v/>
      </c>
      <c r="WK184" s="59" t="str">
        <f t="shared" ca="1" si="223"/>
        <v/>
      </c>
      <c r="WL184" s="18" t="str">
        <f ca="1">IF(AND(SUM($UB184:$VY184)&gt;0,$TM184=WM$1),MAX(WL$2:WL183)+1,"")</f>
        <v/>
      </c>
      <c r="WM184" s="59" t="str">
        <f t="shared" ca="1" si="224"/>
        <v/>
      </c>
      <c r="WN184" s="18" t="str">
        <f ca="1">IF(AND(SUM($UB184:$VY184)&gt;0,$TM184=WO$1),MAX(WN$2:WN183)+1,"")</f>
        <v/>
      </c>
      <c r="WO184" s="59" t="str">
        <f t="shared" ca="1" si="225"/>
        <v/>
      </c>
      <c r="WP184" s="18" t="str">
        <f ca="1">IF(AND(SUM($UB184:$VY184)&gt;0,$TM184=WQ$1),MAX(WP$2:WP183)+1,"")</f>
        <v/>
      </c>
      <c r="WQ184" s="59" t="str">
        <f t="shared" ca="1" si="226"/>
        <v/>
      </c>
      <c r="WR184" s="18" t="str">
        <f ca="1">IF(AND(SUM($UB184:$VY184)&gt;0,$TM184=WS$1),MAX(WR$2:WR183)+1,"")</f>
        <v/>
      </c>
      <c r="WS184" s="59" t="str">
        <f t="shared" ca="1" si="227"/>
        <v/>
      </c>
      <c r="WT184" s="18" t="str">
        <f ca="1">IF(AND(SUM($UB184:$VY184)&gt;0,$TM184=WU$1),MAX(WT$2:WT183)+1,"")</f>
        <v/>
      </c>
      <c r="WU184" s="59" t="str">
        <f t="shared" ca="1" si="228"/>
        <v/>
      </c>
      <c r="WV184" s="18" t="str">
        <f ca="1">IF(AND(SUM($UB184:$VY184)&gt;0,$TM184=WW$1),MAX(WV$2:WV183)+1,"")</f>
        <v/>
      </c>
      <c r="WW184" s="59" t="str">
        <f t="shared" ca="1" si="229"/>
        <v/>
      </c>
      <c r="WX184" s="18" t="str">
        <f ca="1">IF(AND(SUM($UB184:$VY184)&gt;0,$TM184=WY$1),MAX(WX$2:WX183)+1,"")</f>
        <v/>
      </c>
      <c r="WY184" s="59" t="str">
        <f t="shared" ca="1" si="230"/>
        <v/>
      </c>
      <c r="WZ184" s="59"/>
      <c r="XC184" s="59" t="str">
        <f t="shared" ca="1" si="234"/>
        <v/>
      </c>
    </row>
    <row r="185" spans="260:627" ht="9.9499999999999993" customHeight="1" x14ac:dyDescent="0.2">
      <c r="IZ185"/>
      <c r="TJ185" s="18">
        <f t="shared" si="231"/>
        <v>183</v>
      </c>
      <c r="TK185" s="58" t="s">
        <v>617</v>
      </c>
      <c r="TL185" s="58" t="s">
        <v>459</v>
      </c>
      <c r="TM185" s="18">
        <v>2</v>
      </c>
      <c r="TN185" s="59" t="str">
        <f t="shared" si="218"/>
        <v xml:space="preserve">Hold Person ᴴ </v>
      </c>
      <c r="TO185" s="350" t="s">
        <v>2991</v>
      </c>
      <c r="TP185" s="18" t="str">
        <f t="shared" si="219"/>
        <v/>
      </c>
      <c r="TQ185" s="18" t="str">
        <f>IF(OR(TK185=Spellcasting!$AC$18,TK185=Spellcasting!$AC$19),"ᵐ","")</f>
        <v/>
      </c>
      <c r="TR185" s="18" t="str">
        <f>IF(OR(TK185=Spellcasting!$AC$20,TK185=Spellcasting!$AC$21),"ˢ","")</f>
        <v/>
      </c>
      <c r="TS185" s="18" t="str">
        <f>""</f>
        <v/>
      </c>
      <c r="TT185" s="18" t="s">
        <v>484</v>
      </c>
      <c r="TU185" s="18" t="s">
        <v>850</v>
      </c>
      <c r="TV185" s="18" t="s">
        <v>558</v>
      </c>
      <c r="TW185" s="18" t="s">
        <v>495</v>
      </c>
      <c r="TX185" s="59" t="s">
        <v>1333</v>
      </c>
      <c r="TY185" s="18" t="s">
        <v>498</v>
      </c>
      <c r="TZ185" s="18" t="s">
        <v>499</v>
      </c>
      <c r="UA185" s="142" t="s">
        <v>3177</v>
      </c>
      <c r="UB185" s="319" t="s">
        <v>2725</v>
      </c>
      <c r="UC185" s="18" t="str">
        <f ca="1">IF(UC$1&gt;=$TM185,1,"0")</f>
        <v>0</v>
      </c>
      <c r="UF185" s="18" t="str">
        <f ca="1">IF(UF$1&gt;=$TM185,1,"0")</f>
        <v>0</v>
      </c>
      <c r="UG185" s="18" t="str">
        <f ca="1">IF(UG$1&gt;=$TM185,1,"0")</f>
        <v>0</v>
      </c>
      <c r="UH185" s="18" t="str">
        <f ca="1">IF(UH$1&gt;=$TM185,1,"0")</f>
        <v>0</v>
      </c>
      <c r="UI185" s="18" t="str">
        <f ca="1">IF(UI$1&gt;=$TM185,1,"0")</f>
        <v>0</v>
      </c>
      <c r="UL185" s="18" t="str">
        <f ca="1">IF(UL$1&gt;=$TM185,1,"0")</f>
        <v>0</v>
      </c>
      <c r="UQ185" s="18" t="str">
        <f>IF(UQ$1&gt;=$TM185,1,"0")</f>
        <v>0</v>
      </c>
      <c r="VG185" s="18" t="str">
        <f>IF(VG$1&gt;=$TM185,1,"0")</f>
        <v>0</v>
      </c>
      <c r="VQ185" s="18" t="str">
        <f>IF(VQ$1&gt;=$TM185,1,"0")</f>
        <v>0</v>
      </c>
      <c r="WD185" s="18" t="str">
        <f ca="1">IF(SUM($VZ$1:$WC$1)&gt;0,IF(AND(SUM($VZ185:$WC185)&gt;0,$TM185=WE$1),MAX(WD$2:WD184)+1,""),IF(AND(SUM($UC185:$VY185)&gt;0,$TM185=WE$1),MAX(WD$2:WD184)+1,""))</f>
        <v/>
      </c>
      <c r="WE185" s="59" t="str">
        <f t="shared" ca="1" si="220"/>
        <v/>
      </c>
      <c r="WF185" s="18" t="str">
        <f ca="1">IF(AND(SUM($UB185:$VY185)&gt;0,$TM185=WG$1),MAX(WF$2:WF184)+1,"")</f>
        <v/>
      </c>
      <c r="WG185" s="59" t="str">
        <f t="shared" ca="1" si="221"/>
        <v/>
      </c>
      <c r="WH185" s="18" t="str">
        <f ca="1">IF(AND(SUM($UB185:$VY185)&gt;0,$TM185=WI$1),MAX(WH$2:WH184)+1,"")</f>
        <v/>
      </c>
      <c r="WI185" s="59" t="str">
        <f t="shared" ca="1" si="222"/>
        <v/>
      </c>
      <c r="WJ185" s="18" t="str">
        <f ca="1">IF(AND(SUM($UB185:$VY185)&gt;0,$TM185=WK$1),MAX(WJ$2:WJ184)+1,"")</f>
        <v/>
      </c>
      <c r="WK185" s="59" t="str">
        <f t="shared" ca="1" si="223"/>
        <v/>
      </c>
      <c r="WL185" s="18" t="str">
        <f ca="1">IF(AND(SUM($UB185:$VY185)&gt;0,$TM185=WM$1),MAX(WL$2:WL184)+1,"")</f>
        <v/>
      </c>
      <c r="WM185" s="59" t="str">
        <f t="shared" ca="1" si="224"/>
        <v/>
      </c>
      <c r="WN185" s="18" t="str">
        <f ca="1">IF(AND(SUM($UB185:$VY185)&gt;0,$TM185=WO$1),MAX(WN$2:WN184)+1,"")</f>
        <v/>
      </c>
      <c r="WO185" s="59" t="str">
        <f t="shared" ca="1" si="225"/>
        <v/>
      </c>
      <c r="WP185" s="18" t="str">
        <f ca="1">IF(AND(SUM($UB185:$VY185)&gt;0,$TM185=WQ$1),MAX(WP$2:WP184)+1,"")</f>
        <v/>
      </c>
      <c r="WQ185" s="59" t="str">
        <f t="shared" ca="1" si="226"/>
        <v/>
      </c>
      <c r="WR185" s="18" t="str">
        <f ca="1">IF(AND(SUM($UB185:$VY185)&gt;0,$TM185=WS$1),MAX(WR$2:WR184)+1,"")</f>
        <v/>
      </c>
      <c r="WS185" s="59" t="str">
        <f t="shared" ca="1" si="227"/>
        <v/>
      </c>
      <c r="WT185" s="18" t="str">
        <f ca="1">IF(AND(SUM($UB185:$VY185)&gt;0,$TM185=WU$1),MAX(WT$2:WT184)+1,"")</f>
        <v/>
      </c>
      <c r="WU185" s="59" t="str">
        <f t="shared" ca="1" si="228"/>
        <v/>
      </c>
      <c r="WV185" s="18" t="str">
        <f ca="1">IF(AND(SUM($UB185:$VY185)&gt;0,$TM185=WW$1),MAX(WV$2:WV184)+1,"")</f>
        <v/>
      </c>
      <c r="WW185" s="59" t="str">
        <f t="shared" ca="1" si="229"/>
        <v/>
      </c>
      <c r="WX185" s="18" t="str">
        <f ca="1">IF(AND(SUM($UB185:$VY185)&gt;0,$TM185=WY$1),MAX(WX$2:WX184)+1,"")</f>
        <v/>
      </c>
      <c r="WY185" s="59" t="str">
        <f t="shared" ca="1" si="230"/>
        <v/>
      </c>
      <c r="WZ185" s="59"/>
      <c r="XC185" s="59" t="str">
        <f t="shared" ca="1" si="234"/>
        <v/>
      </c>
    </row>
    <row r="186" spans="260:627" ht="9.9499999999999993" customHeight="1" x14ac:dyDescent="0.2">
      <c r="IZ186"/>
      <c r="TJ186" s="18">
        <f t="shared" si="231"/>
        <v>184</v>
      </c>
      <c r="TK186" s="58" t="s">
        <v>618</v>
      </c>
      <c r="TL186" s="58" t="s">
        <v>465</v>
      </c>
      <c r="TM186" s="18">
        <v>8</v>
      </c>
      <c r="TN186" s="59" t="str">
        <f t="shared" si="218"/>
        <v xml:space="preserve">Holy Aura </v>
      </c>
      <c r="TO186" s="18" t="str">
        <f>""</f>
        <v/>
      </c>
      <c r="TP186" s="18" t="str">
        <f t="shared" si="219"/>
        <v/>
      </c>
      <c r="TQ186" s="18" t="str">
        <f>IF(OR(TK186=Spellcasting!$AC$18,TK186=Spellcasting!$AC$19),"ᵐ","")</f>
        <v/>
      </c>
      <c r="TR186" s="18" t="str">
        <f>IF(OR(TK186=Spellcasting!$AC$20,TK186=Spellcasting!$AC$21),"ˢ","")</f>
        <v/>
      </c>
      <c r="TS186" s="18" t="str">
        <f>""</f>
        <v/>
      </c>
      <c r="TT186" s="18" t="s">
        <v>484</v>
      </c>
      <c r="TU186" s="18" t="s">
        <v>509</v>
      </c>
      <c r="TV186" s="18" t="s">
        <v>558</v>
      </c>
      <c r="TW186" s="18" t="s">
        <v>495</v>
      </c>
      <c r="TX186" s="59" t="s">
        <v>2066</v>
      </c>
      <c r="TY186" s="18" t="s">
        <v>487</v>
      </c>
      <c r="TZ186" s="18" t="s">
        <v>488</v>
      </c>
      <c r="UA186" s="142" t="s">
        <v>2173</v>
      </c>
      <c r="UB186" s="319" t="s">
        <v>2174</v>
      </c>
      <c r="UH186" s="18" t="str">
        <f ca="1">IF(UH$1&gt;=$TM186,1,"0")</f>
        <v>0</v>
      </c>
      <c r="WD186" s="18" t="str">
        <f ca="1">IF(SUM($VZ$1:$WC$1)&gt;0,IF(AND(SUM($VZ186:$WC186)&gt;0,$TM186=WE$1),MAX(WD$2:WD185)+1,""),IF(AND(SUM($UC186:$VY186)&gt;0,$TM186=WE$1),MAX(WD$2:WD185)+1,""))</f>
        <v/>
      </c>
      <c r="WE186" s="59" t="str">
        <f t="shared" ca="1" si="220"/>
        <v/>
      </c>
      <c r="WF186" s="18" t="str">
        <f ca="1">IF(AND(SUM($UB186:$VY186)&gt;0,$TM186=WG$1),MAX(WF$2:WF185)+1,"")</f>
        <v/>
      </c>
      <c r="WG186" s="59" t="str">
        <f t="shared" ca="1" si="221"/>
        <v/>
      </c>
      <c r="WH186" s="18" t="str">
        <f ca="1">IF(AND(SUM($UB186:$VY186)&gt;0,$TM186=WI$1),MAX(WH$2:WH185)+1,"")</f>
        <v/>
      </c>
      <c r="WI186" s="59" t="str">
        <f t="shared" ca="1" si="222"/>
        <v/>
      </c>
      <c r="WJ186" s="18" t="str">
        <f ca="1">IF(AND(SUM($UB186:$VY186)&gt;0,$TM186=WK$1),MAX(WJ$2:WJ185)+1,"")</f>
        <v/>
      </c>
      <c r="WK186" s="59" t="str">
        <f t="shared" ca="1" si="223"/>
        <v/>
      </c>
      <c r="WL186" s="18" t="str">
        <f ca="1">IF(AND(SUM($UB186:$VY186)&gt;0,$TM186=WM$1),MAX(WL$2:WL185)+1,"")</f>
        <v/>
      </c>
      <c r="WM186" s="59" t="str">
        <f t="shared" ca="1" si="224"/>
        <v/>
      </c>
      <c r="WN186" s="18" t="str">
        <f ca="1">IF(AND(SUM($UB186:$VY186)&gt;0,$TM186=WO$1),MAX(WN$2:WN185)+1,"")</f>
        <v/>
      </c>
      <c r="WO186" s="59" t="str">
        <f t="shared" ca="1" si="225"/>
        <v/>
      </c>
      <c r="WP186" s="18" t="str">
        <f ca="1">IF(AND(SUM($UB186:$VY186)&gt;0,$TM186=WQ$1),MAX(WP$2:WP185)+1,"")</f>
        <v/>
      </c>
      <c r="WQ186" s="59" t="str">
        <f t="shared" ca="1" si="226"/>
        <v/>
      </c>
      <c r="WR186" s="18" t="str">
        <f ca="1">IF(AND(SUM($UB186:$VY186)&gt;0,$TM186=WS$1),MAX(WR$2:WR185)+1,"")</f>
        <v/>
      </c>
      <c r="WS186" s="59" t="str">
        <f t="shared" ca="1" si="227"/>
        <v/>
      </c>
      <c r="WT186" s="18" t="str">
        <f ca="1">IF(AND(SUM($UB186:$VY186)&gt;0,$TM186=WU$1),MAX(WT$2:WT185)+1,"")</f>
        <v/>
      </c>
      <c r="WU186" s="59" t="str">
        <f t="shared" ca="1" si="228"/>
        <v/>
      </c>
      <c r="WV186" s="18" t="str">
        <f ca="1">IF(AND(SUM($UB186:$VY186)&gt;0,$TM186=WW$1),MAX(WV$2:WV185)+1,"")</f>
        <v/>
      </c>
      <c r="WW186" s="59" t="str">
        <f t="shared" ca="1" si="229"/>
        <v/>
      </c>
      <c r="WX186" s="18" t="str">
        <f ca="1">IF(AND(SUM($UB186:$VY186)&gt;0,$TM186=WY$1),MAX(WX$2:WX185)+1,"")</f>
        <v/>
      </c>
      <c r="WY186" s="59" t="str">
        <f t="shared" ca="1" si="230"/>
        <v/>
      </c>
      <c r="WZ186" s="59"/>
      <c r="XC186" s="59" t="str">
        <f t="shared" ca="1" si="234"/>
        <v/>
      </c>
    </row>
    <row r="187" spans="260:627" ht="9.9499999999999993" customHeight="1" x14ac:dyDescent="0.2">
      <c r="IZ187"/>
      <c r="TJ187" s="18">
        <f t="shared" si="231"/>
        <v>185</v>
      </c>
      <c r="TK187" s="58" t="s">
        <v>2775</v>
      </c>
      <c r="TL187" s="58" t="s">
        <v>460</v>
      </c>
      <c r="TM187" s="18">
        <v>3</v>
      </c>
      <c r="TN187" s="59" t="str">
        <f t="shared" si="218"/>
        <v xml:space="preserve">Hunger of Hadar </v>
      </c>
      <c r="TO187" s="18" t="str">
        <f>""</f>
        <v/>
      </c>
      <c r="TP187" s="18" t="str">
        <f t="shared" si="219"/>
        <v/>
      </c>
      <c r="TQ187" s="18" t="str">
        <f>IF(OR(TK187=Spellcasting!$AC$18,TK187=Spellcasting!$AC$19),"ᵐ","")</f>
        <v/>
      </c>
      <c r="TR187" s="18" t="str">
        <f>IF(OR(TK187=Spellcasting!$AC$20,TK187=Spellcasting!$AC$21),"ˢ","")</f>
        <v/>
      </c>
      <c r="TS187" s="18" t="str">
        <f>""</f>
        <v/>
      </c>
      <c r="TT187" s="18" t="s">
        <v>484</v>
      </c>
      <c r="TU187" s="18" t="s">
        <v>660</v>
      </c>
      <c r="TV187" s="18" t="s">
        <v>558</v>
      </c>
      <c r="TW187" s="18" t="s">
        <v>495</v>
      </c>
      <c r="TX187" s="59" t="s">
        <v>2776</v>
      </c>
      <c r="TY187" s="18" t="s">
        <v>516</v>
      </c>
      <c r="TZ187" s="18" t="s">
        <v>517</v>
      </c>
      <c r="UA187" s="142" t="s">
        <v>2777</v>
      </c>
      <c r="UB187" s="319" t="s">
        <v>2778</v>
      </c>
      <c r="UG187" s="18" t="str">
        <f ca="1">IF(UG$1&gt;=$TM187,1,"0")</f>
        <v>0</v>
      </c>
      <c r="WD187" s="18" t="str">
        <f ca="1">IF(SUM($VZ$1:$WC$1)&gt;0,IF(AND(SUM($VZ187:$WC187)&gt;0,$TM187=WE$1),MAX(WD$2:WD186)+1,""),IF(AND(SUM($UC187:$VY187)&gt;0,$TM187=WE$1),MAX(WD$2:WD186)+1,""))</f>
        <v/>
      </c>
      <c r="WE187" s="59" t="str">
        <f t="shared" ca="1" si="220"/>
        <v/>
      </c>
      <c r="WF187" s="18" t="str">
        <f ca="1">IF(AND(SUM($UB187:$VY187)&gt;0,$TM187=WG$1),MAX(WF$2:WF186)+1,"")</f>
        <v/>
      </c>
      <c r="WG187" s="59" t="str">
        <f t="shared" ca="1" si="221"/>
        <v/>
      </c>
      <c r="WH187" s="18" t="str">
        <f ca="1">IF(AND(SUM($UB187:$VY187)&gt;0,$TM187=WI$1),MAX(WH$2:WH186)+1,"")</f>
        <v/>
      </c>
      <c r="WI187" s="59" t="str">
        <f t="shared" ca="1" si="222"/>
        <v/>
      </c>
      <c r="WJ187" s="18" t="str">
        <f ca="1">IF(AND(SUM($UB187:$VY187)&gt;0,$TM187=WK$1),MAX(WJ$2:WJ186)+1,"")</f>
        <v/>
      </c>
      <c r="WK187" s="59" t="str">
        <f t="shared" ca="1" si="223"/>
        <v/>
      </c>
      <c r="WL187" s="18" t="str">
        <f ca="1">IF(AND(SUM($UB187:$VY187)&gt;0,$TM187=WM$1),MAX(WL$2:WL186)+1,"")</f>
        <v/>
      </c>
      <c r="WM187" s="59" t="str">
        <f t="shared" ca="1" si="224"/>
        <v/>
      </c>
      <c r="WN187" s="18" t="str">
        <f ca="1">IF(AND(SUM($UB187:$VY187)&gt;0,$TM187=WO$1),MAX(WN$2:WN186)+1,"")</f>
        <v/>
      </c>
      <c r="WO187" s="59" t="str">
        <f t="shared" ca="1" si="225"/>
        <v/>
      </c>
      <c r="WP187" s="18" t="str">
        <f ca="1">IF(AND(SUM($UB187:$VY187)&gt;0,$TM187=WQ$1),MAX(WP$2:WP186)+1,"")</f>
        <v/>
      </c>
      <c r="WQ187" s="59" t="str">
        <f t="shared" ca="1" si="226"/>
        <v/>
      </c>
      <c r="WR187" s="18" t="str">
        <f ca="1">IF(AND(SUM($UB187:$VY187)&gt;0,$TM187=WS$1),MAX(WR$2:WR186)+1,"")</f>
        <v/>
      </c>
      <c r="WS187" s="59" t="str">
        <f t="shared" ca="1" si="227"/>
        <v/>
      </c>
      <c r="WT187" s="18" t="str">
        <f ca="1">IF(AND(SUM($UB187:$VY187)&gt;0,$TM187=WU$1),MAX(WT$2:WT186)+1,"")</f>
        <v/>
      </c>
      <c r="WU187" s="59" t="str">
        <f t="shared" ca="1" si="228"/>
        <v/>
      </c>
      <c r="WV187" s="18" t="str">
        <f ca="1">IF(AND(SUM($UB187:$VY187)&gt;0,$TM187=WW$1),MAX(WV$2:WV186)+1,"")</f>
        <v/>
      </c>
      <c r="WW187" s="59" t="str">
        <f t="shared" ca="1" si="229"/>
        <v/>
      </c>
      <c r="WX187" s="18" t="str">
        <f ca="1">IF(AND(SUM($UB187:$VY187)&gt;0,$TM187=WY$1),MAX(WX$2:WX186)+1,"")</f>
        <v/>
      </c>
      <c r="WY187" s="59" t="str">
        <f t="shared" ca="1" si="230"/>
        <v/>
      </c>
      <c r="WZ187" s="59"/>
      <c r="XC187" s="59" t="str">
        <f t="shared" ca="1" si="234"/>
        <v/>
      </c>
    </row>
    <row r="188" spans="260:627" ht="9.9499999999999993" customHeight="1" x14ac:dyDescent="0.2">
      <c r="IZ188"/>
      <c r="TJ188" s="18">
        <f t="shared" si="231"/>
        <v>186</v>
      </c>
      <c r="TK188" s="58" t="s">
        <v>619</v>
      </c>
      <c r="TL188" s="58" t="s">
        <v>448</v>
      </c>
      <c r="TM188" s="18">
        <v>1</v>
      </c>
      <c r="TN188" s="59" t="str">
        <f t="shared" si="218"/>
        <v xml:space="preserve">Hunter's Mark ᴴ </v>
      </c>
      <c r="TO188" s="350" t="s">
        <v>2991</v>
      </c>
      <c r="TP188" s="18" t="str">
        <f t="shared" si="219"/>
        <v/>
      </c>
      <c r="TQ188" s="18" t="str">
        <f>IF(OR(TK188=Spellcasting!$AC$18,TK188=Spellcasting!$AC$19),"ᵐ","")</f>
        <v/>
      </c>
      <c r="TR188" s="18" t="str">
        <f>IF(OR(TK188=Spellcasting!$AC$20,TK188=Spellcasting!$AC$21),"ˢ","")</f>
        <v/>
      </c>
      <c r="TS188" s="18" t="str">
        <f>""</f>
        <v/>
      </c>
      <c r="TT188" s="18" t="s">
        <v>1256</v>
      </c>
      <c r="TU188" s="18" t="s">
        <v>864</v>
      </c>
      <c r="TV188" s="18" t="s">
        <v>490</v>
      </c>
      <c r="TW188" s="18" t="s">
        <v>541</v>
      </c>
      <c r="TX188" s="59" t="str">
        <f>""</f>
        <v/>
      </c>
      <c r="TY188" s="18" t="s">
        <v>511</v>
      </c>
      <c r="TZ188" s="18" t="s">
        <v>512</v>
      </c>
      <c r="UA188" s="142" t="s">
        <v>3178</v>
      </c>
      <c r="UB188" s="537" t="s">
        <v>3220</v>
      </c>
      <c r="UE188" s="18" t="str">
        <f ca="1">IF(UE$1&gt;=$TM188,1,"0")</f>
        <v>0</v>
      </c>
      <c r="UQ188" s="18" t="str">
        <f>IF(UQ$1&gt;=$TM188,1,"0")</f>
        <v>0</v>
      </c>
      <c r="VZ188" s="258"/>
      <c r="WA188" s="258"/>
      <c r="WB188" s="258"/>
      <c r="WC188" s="258"/>
      <c r="WD188" s="18" t="str">
        <f ca="1">IF(SUM($VZ$1:$WC$1)&gt;0,IF(AND(SUM($VZ188:$WC188)&gt;0,$TM188=WE$1),MAX(WD$2:WD187)+1,""),IF(AND(SUM($UC188:$VY188)&gt;0,$TM188=WE$1),MAX(WD$2:WD187)+1,""))</f>
        <v/>
      </c>
      <c r="WE188" s="59" t="str">
        <f t="shared" ca="1" si="220"/>
        <v/>
      </c>
      <c r="WF188" s="18" t="str">
        <f ca="1">IF(AND(SUM($UB188:$VY188)&gt;0,$TM188=WG$1),MAX(WF$2:WF187)+1,"")</f>
        <v/>
      </c>
      <c r="WG188" s="59" t="str">
        <f t="shared" ca="1" si="221"/>
        <v/>
      </c>
      <c r="WH188" s="18" t="str">
        <f ca="1">IF(AND(SUM($UB188:$VY188)&gt;0,$TM188=WI$1),MAX(WH$2:WH187)+1,"")</f>
        <v/>
      </c>
      <c r="WI188" s="59" t="str">
        <f t="shared" ca="1" si="222"/>
        <v/>
      </c>
      <c r="WJ188" s="18" t="str">
        <f ca="1">IF(AND(SUM($UB188:$VY188)&gt;0,$TM188=WK$1),MAX(WJ$2:WJ187)+1,"")</f>
        <v/>
      </c>
      <c r="WK188" s="59" t="str">
        <f t="shared" ca="1" si="223"/>
        <v/>
      </c>
      <c r="WL188" s="18" t="str">
        <f ca="1">IF(AND(SUM($UB188:$VY188)&gt;0,$TM188=WM$1),MAX(WL$2:WL187)+1,"")</f>
        <v/>
      </c>
      <c r="WM188" s="59" t="str">
        <f t="shared" ca="1" si="224"/>
        <v/>
      </c>
      <c r="WN188" s="18" t="str">
        <f ca="1">IF(AND(SUM($UB188:$VY188)&gt;0,$TM188=WO$1),MAX(WN$2:WN187)+1,"")</f>
        <v/>
      </c>
      <c r="WO188" s="59" t="str">
        <f t="shared" ca="1" si="225"/>
        <v/>
      </c>
      <c r="WP188" s="18" t="str">
        <f ca="1">IF(AND(SUM($UB188:$VY188)&gt;0,$TM188=WQ$1),MAX(WP$2:WP187)+1,"")</f>
        <v/>
      </c>
      <c r="WQ188" s="59" t="str">
        <f t="shared" ca="1" si="226"/>
        <v/>
      </c>
      <c r="WR188" s="18" t="str">
        <f ca="1">IF(AND(SUM($UB188:$VY188)&gt;0,$TM188=WS$1),MAX(WR$2:WR187)+1,"")</f>
        <v/>
      </c>
      <c r="WS188" s="59" t="str">
        <f t="shared" ca="1" si="227"/>
        <v/>
      </c>
      <c r="WT188" s="18" t="str">
        <f ca="1">IF(AND(SUM($UB188:$VY188)&gt;0,$TM188=WU$1),MAX(WT$2:WT187)+1,"")</f>
        <v/>
      </c>
      <c r="WU188" s="59" t="str">
        <f t="shared" ca="1" si="228"/>
        <v/>
      </c>
      <c r="WV188" s="18" t="str">
        <f ca="1">IF(AND(SUM($UB188:$VY188)&gt;0,$TM188=WW$1),MAX(WV$2:WV187)+1,"")</f>
        <v/>
      </c>
      <c r="WW188" s="59" t="str">
        <f t="shared" ca="1" si="229"/>
        <v/>
      </c>
      <c r="WX188" s="18" t="str">
        <f ca="1">IF(AND(SUM($UB188:$VY188)&gt;0,$TM188=WY$1),MAX(WX$2:WX187)+1,"")</f>
        <v/>
      </c>
      <c r="WY188" s="59" t="str">
        <f t="shared" ca="1" si="230"/>
        <v/>
      </c>
      <c r="WZ188" s="59"/>
      <c r="XC188" s="59" t="str">
        <f t="shared" ca="1" si="234"/>
        <v/>
      </c>
    </row>
    <row r="189" spans="260:627" ht="9.9499999999999993" customHeight="1" x14ac:dyDescent="0.2">
      <c r="IZ189"/>
      <c r="TJ189" s="18">
        <f t="shared" si="231"/>
        <v>187</v>
      </c>
      <c r="TK189" s="58" t="s">
        <v>1245</v>
      </c>
      <c r="TL189" s="58" t="s">
        <v>460</v>
      </c>
      <c r="TM189" s="18">
        <v>3</v>
      </c>
      <c r="TN189" s="59" t="str">
        <f t="shared" si="218"/>
        <v xml:space="preserve">Hypnotic Pattern </v>
      </c>
      <c r="TO189" s="18" t="str">
        <f>""</f>
        <v/>
      </c>
      <c r="TP189" s="18" t="str">
        <f t="shared" si="219"/>
        <v/>
      </c>
      <c r="TQ189" s="18" t="str">
        <f>IF(OR(TK189=Spellcasting!$AC$18,TK189=Spellcasting!$AC$19),"ᵐ","")</f>
        <v/>
      </c>
      <c r="TR189" s="18" t="str">
        <f>IF(OR(TK189=Spellcasting!$AC$20,TK189=Spellcasting!$AC$21),"ˢ","")</f>
        <v/>
      </c>
      <c r="TS189" s="18" t="str">
        <f>""</f>
        <v/>
      </c>
      <c r="TT189" s="18" t="s">
        <v>484</v>
      </c>
      <c r="TU189" s="18" t="s">
        <v>848</v>
      </c>
      <c r="TV189" s="18" t="s">
        <v>558</v>
      </c>
      <c r="TW189" s="18" t="s">
        <v>994</v>
      </c>
      <c r="TX189" s="59" t="s">
        <v>1461</v>
      </c>
      <c r="TY189" s="18" t="s">
        <v>523</v>
      </c>
      <c r="TZ189" s="18" t="s">
        <v>524</v>
      </c>
      <c r="UA189" s="142" t="s">
        <v>2246</v>
      </c>
      <c r="UB189" s="319" t="s">
        <v>1462</v>
      </c>
      <c r="UC189" s="18" t="str">
        <f ca="1">IF(UC$1&gt;=$TM189,1,"0")</f>
        <v>0</v>
      </c>
      <c r="UF189" s="18" t="str">
        <f ca="1">IF(UF$1&gt;=$TM189,1,"0")</f>
        <v>0</v>
      </c>
      <c r="UG189" s="18" t="str">
        <f ca="1">IF(UG$1&gt;=$TM189,1,"0")</f>
        <v>0</v>
      </c>
      <c r="UL189" s="18" t="str">
        <f t="shared" ref="UL189:UL194" ca="1" si="235">IF(UL$1&gt;=$TM189,1,"0")</f>
        <v>0</v>
      </c>
      <c r="VQ189" s="18" t="str">
        <f>IF(VQ$1&gt;=$TM189,1,"0")</f>
        <v>0</v>
      </c>
      <c r="WD189" s="18" t="str">
        <f ca="1">IF(SUM($VZ$1:$WC$1)&gt;0,IF(AND(SUM($VZ189:$WC189)&gt;0,$TM189=WE$1),MAX(WD$2:WD188)+1,""),IF(AND(SUM($UC189:$VY189)&gt;0,$TM189=WE$1),MAX(WD$2:WD188)+1,""))</f>
        <v/>
      </c>
      <c r="WE189" s="59" t="str">
        <f t="shared" ca="1" si="220"/>
        <v/>
      </c>
      <c r="WF189" s="18" t="str">
        <f ca="1">IF(AND(SUM($UB189:$VY189)&gt;0,$TM189=WG$1),MAX(WF$2:WF188)+1,"")</f>
        <v/>
      </c>
      <c r="WG189" s="59" t="str">
        <f t="shared" ca="1" si="221"/>
        <v/>
      </c>
      <c r="WH189" s="18" t="str">
        <f ca="1">IF(AND(SUM($UB189:$VY189)&gt;0,$TM189=WI$1),MAX(WH$2:WH188)+1,"")</f>
        <v/>
      </c>
      <c r="WI189" s="59" t="str">
        <f t="shared" ca="1" si="222"/>
        <v/>
      </c>
      <c r="WJ189" s="18" t="str">
        <f ca="1">IF(AND(SUM($UB189:$VY189)&gt;0,$TM189=WK$1),MAX(WJ$2:WJ188)+1,"")</f>
        <v/>
      </c>
      <c r="WK189" s="59" t="str">
        <f t="shared" ca="1" si="223"/>
        <v/>
      </c>
      <c r="WL189" s="18" t="str">
        <f ca="1">IF(AND(SUM($UB189:$VY189)&gt;0,$TM189=WM$1),MAX(WL$2:WL188)+1,"")</f>
        <v/>
      </c>
      <c r="WM189" s="59" t="str">
        <f t="shared" ca="1" si="224"/>
        <v/>
      </c>
      <c r="WN189" s="18" t="str">
        <f ca="1">IF(AND(SUM($UB189:$VY189)&gt;0,$TM189=WO$1),MAX(WN$2:WN188)+1,"")</f>
        <v/>
      </c>
      <c r="WO189" s="59" t="str">
        <f t="shared" ca="1" si="225"/>
        <v/>
      </c>
      <c r="WP189" s="18" t="str">
        <f ca="1">IF(AND(SUM($UB189:$VY189)&gt;0,$TM189=WQ$1),MAX(WP$2:WP188)+1,"")</f>
        <v/>
      </c>
      <c r="WQ189" s="59" t="str">
        <f t="shared" ca="1" si="226"/>
        <v/>
      </c>
      <c r="WR189" s="18" t="str">
        <f ca="1">IF(AND(SUM($UB189:$VY189)&gt;0,$TM189=WS$1),MAX(WR$2:WR188)+1,"")</f>
        <v/>
      </c>
      <c r="WS189" s="59" t="str">
        <f t="shared" ca="1" si="227"/>
        <v/>
      </c>
      <c r="WT189" s="18" t="str">
        <f ca="1">IF(AND(SUM($UB189:$VY189)&gt;0,$TM189=WU$1),MAX(WT$2:WT188)+1,"")</f>
        <v/>
      </c>
      <c r="WU189" s="59" t="str">
        <f t="shared" ca="1" si="228"/>
        <v/>
      </c>
      <c r="WV189" s="18" t="str">
        <f ca="1">IF(AND(SUM($UB189:$VY189)&gt;0,$TM189=WW$1),MAX(WV$2:WV188)+1,"")</f>
        <v/>
      </c>
      <c r="WW189" s="59" t="str">
        <f t="shared" ca="1" si="229"/>
        <v/>
      </c>
      <c r="WX189" s="18" t="str">
        <f ca="1">IF(AND(SUM($UB189:$VY189)&gt;0,$TM189=WY$1),MAX(WX$2:WX188)+1,"")</f>
        <v/>
      </c>
      <c r="WY189" s="59" t="str">
        <f t="shared" ca="1" si="230"/>
        <v/>
      </c>
      <c r="WZ189" s="59"/>
      <c r="XC189" s="59" t="str">
        <f t="shared" ca="1" si="234"/>
        <v/>
      </c>
    </row>
    <row r="190" spans="260:627" ht="9.9499999999999993" customHeight="1" x14ac:dyDescent="0.2">
      <c r="IZ190"/>
      <c r="TJ190" s="18">
        <f t="shared" si="231"/>
        <v>188</v>
      </c>
      <c r="TK190" s="58" t="s">
        <v>620</v>
      </c>
      <c r="TL190" s="58" t="s">
        <v>461</v>
      </c>
      <c r="TM190" s="18">
        <v>4</v>
      </c>
      <c r="TN190" s="59" t="str">
        <f t="shared" si="218"/>
        <v xml:space="preserve">Ice Storm ᴴ </v>
      </c>
      <c r="TO190" s="350" t="s">
        <v>2991</v>
      </c>
      <c r="TP190" s="18" t="str">
        <f t="shared" si="219"/>
        <v/>
      </c>
      <c r="TQ190" s="18" t="str">
        <f>IF(OR(TK190=Spellcasting!$AC$18,TK190=Spellcasting!$AC$19),"ᵐ","")</f>
        <v/>
      </c>
      <c r="TR190" s="18" t="str">
        <f>IF(OR(TK190=Spellcasting!$AC$20,TK190=Spellcasting!$AC$21),"ˢ","")</f>
        <v/>
      </c>
      <c r="TS190" s="18" t="str">
        <f>""</f>
        <v/>
      </c>
      <c r="TT190" s="18" t="s">
        <v>484</v>
      </c>
      <c r="TU190" s="18" t="s">
        <v>1989</v>
      </c>
      <c r="TV190" s="18" t="s">
        <v>505</v>
      </c>
      <c r="TW190" s="18" t="s">
        <v>495</v>
      </c>
      <c r="TX190" s="59" t="s">
        <v>1717</v>
      </c>
      <c r="TY190" s="18" t="s">
        <v>534</v>
      </c>
      <c r="TZ190" s="18" t="s">
        <v>535</v>
      </c>
      <c r="UA190" s="142" t="s">
        <v>2044</v>
      </c>
      <c r="UB190" s="319" t="str">
        <f ca="1">"20x40ft rad cylinder, 2d8"&amp;IF(WizardEvocationLevel&gt;=10,"+"&amp;INTMod,"")&amp;" bludgeon &amp; 4d6"&amp;IF(WizardEvocationLevel&gt;=10,"+"&amp;INTMod,IF(AD5=TRUE,"+"&amp;CHAMod,""))&amp;" cold, dex save ½"</f>
        <v>20x40ft rad cylinder, 2d8 bludgeon &amp; 4d6 cold, dex save ½</v>
      </c>
      <c r="UF190" s="18" t="str">
        <f ca="1">IF(UF$1&gt;=$TM190,1,"0")</f>
        <v>0</v>
      </c>
      <c r="UI190" s="18" t="str">
        <f ca="1">IF(UI$1&gt;=$TM190,1,"0")</f>
        <v>0</v>
      </c>
      <c r="UL190" s="18" t="str">
        <f t="shared" ca="1" si="235"/>
        <v>0</v>
      </c>
      <c r="UP190" s="18" t="str">
        <f>IF(UP$1&gt;=$TM190,1,"0")</f>
        <v>0</v>
      </c>
      <c r="VC190" s="18" t="str">
        <f>IF(VC$1&gt;=$TM190,1,"0")</f>
        <v>0</v>
      </c>
      <c r="VG190" s="18" t="str">
        <f>IF(VG$1&gt;=$TM190,1,"0")</f>
        <v>0</v>
      </c>
      <c r="VP190" s="18" t="str">
        <f>IF(VP$1&gt;=$TM190,1,"0")</f>
        <v>0</v>
      </c>
      <c r="WD190" s="18" t="str">
        <f ca="1">IF(SUM($VZ$1:$WC$1)&gt;0,IF(AND(SUM($VZ190:$WC190)&gt;0,$TM190=WE$1),MAX(WD$2:WD189)+1,""),IF(AND(SUM($UC190:$VY190)&gt;0,$TM190=WE$1),MAX(WD$2:WD189)+1,""))</f>
        <v/>
      </c>
      <c r="WE190" s="59" t="str">
        <f t="shared" ca="1" si="220"/>
        <v/>
      </c>
      <c r="WF190" s="18" t="str">
        <f ca="1">IF(AND(SUM($UB190:$VY190)&gt;0,$TM190=WG$1),MAX(WF$2:WF189)+1,"")</f>
        <v/>
      </c>
      <c r="WG190" s="59" t="str">
        <f t="shared" ca="1" si="221"/>
        <v/>
      </c>
      <c r="WH190" s="18" t="str">
        <f ca="1">IF(AND(SUM($UB190:$VY190)&gt;0,$TM190=WI$1),MAX(WH$2:WH189)+1,"")</f>
        <v/>
      </c>
      <c r="WI190" s="59" t="str">
        <f t="shared" ca="1" si="222"/>
        <v/>
      </c>
      <c r="WJ190" s="18" t="str">
        <f ca="1">IF(AND(SUM($UB190:$VY190)&gt;0,$TM190=WK$1),MAX(WJ$2:WJ189)+1,"")</f>
        <v/>
      </c>
      <c r="WK190" s="59" t="str">
        <f t="shared" ca="1" si="223"/>
        <v/>
      </c>
      <c r="WL190" s="18" t="str">
        <f ca="1">IF(AND(SUM($UB190:$VY190)&gt;0,$TM190=WM$1),MAX(WL$2:WL189)+1,"")</f>
        <v/>
      </c>
      <c r="WM190" s="59" t="str">
        <f t="shared" ca="1" si="224"/>
        <v/>
      </c>
      <c r="WN190" s="18" t="str">
        <f ca="1">IF(AND(SUM($UB190:$VY190)&gt;0,$TM190=WO$1),MAX(WN$2:WN189)+1,"")</f>
        <v/>
      </c>
      <c r="WO190" s="59" t="str">
        <f t="shared" ca="1" si="225"/>
        <v/>
      </c>
      <c r="WP190" s="18" t="str">
        <f ca="1">IF(AND(SUM($UB190:$VY190)&gt;0,$TM190=WQ$1),MAX(WP$2:WP189)+1,"")</f>
        <v/>
      </c>
      <c r="WQ190" s="59" t="str">
        <f t="shared" ca="1" si="226"/>
        <v/>
      </c>
      <c r="WR190" s="18" t="str">
        <f ca="1">IF(AND(SUM($UB190:$VY190)&gt;0,$TM190=WS$1),MAX(WR$2:WR189)+1,"")</f>
        <v/>
      </c>
      <c r="WS190" s="59" t="str">
        <f t="shared" ca="1" si="227"/>
        <v/>
      </c>
      <c r="WT190" s="18" t="str">
        <f ca="1">IF(AND(SUM($UB190:$VY190)&gt;0,$TM190=WU$1),MAX(WT$2:WT189)+1,"")</f>
        <v/>
      </c>
      <c r="WU190" s="59" t="str">
        <f t="shared" ca="1" si="228"/>
        <v/>
      </c>
      <c r="WV190" s="18" t="str">
        <f ca="1">IF(AND(SUM($UB190:$VY190)&gt;0,$TM190=WW$1),MAX(WV$2:WV189)+1,"")</f>
        <v/>
      </c>
      <c r="WW190" s="59" t="str">
        <f t="shared" ca="1" si="229"/>
        <v/>
      </c>
      <c r="WX190" s="18" t="str">
        <f ca="1">IF(AND(SUM($UB190:$VY190)&gt;0,$TM190=WY$1),MAX(WX$2:WX189)+1,"")</f>
        <v/>
      </c>
      <c r="WY190" s="59" t="str">
        <f t="shared" ca="1" si="230"/>
        <v/>
      </c>
      <c r="WZ190" s="59"/>
      <c r="XC190" s="59" t="str">
        <f t="shared" ca="1" si="234"/>
        <v/>
      </c>
    </row>
    <row r="191" spans="260:627" ht="9.9499999999999993" customHeight="1" x14ac:dyDescent="0.2">
      <c r="IZ191"/>
      <c r="TJ191" s="18">
        <f t="shared" si="231"/>
        <v>189</v>
      </c>
      <c r="TK191" s="58" t="s">
        <v>621</v>
      </c>
      <c r="TL191" s="58" t="s">
        <v>448</v>
      </c>
      <c r="TM191" s="18">
        <v>1</v>
      </c>
      <c r="TN191" s="59" t="str">
        <f t="shared" si="218"/>
        <v xml:space="preserve">Identify </v>
      </c>
      <c r="TO191" s="18" t="str">
        <f>""</f>
        <v/>
      </c>
      <c r="TP191" s="18" t="str">
        <f t="shared" si="219"/>
        <v/>
      </c>
      <c r="TQ191" s="18" t="str">
        <f>IF(OR(TK191=Spellcasting!$AC$18,TK191=Spellcasting!$AC$19),"ᵐ","")</f>
        <v/>
      </c>
      <c r="TR191" s="18" t="str">
        <f>IF(OR(TK191=Spellcasting!$AC$20,TK191=Spellcasting!$AC$21),"ˢ","")</f>
        <v/>
      </c>
      <c r="TS191" s="18" t="s">
        <v>477</v>
      </c>
      <c r="TT191" s="18" t="s">
        <v>494</v>
      </c>
      <c r="TU191" s="18" t="s">
        <v>519</v>
      </c>
      <c r="TV191" s="18" t="s">
        <v>505</v>
      </c>
      <c r="TW191" s="18" t="s">
        <v>495</v>
      </c>
      <c r="TX191" s="59" t="s">
        <v>1409</v>
      </c>
      <c r="TY191" s="18" t="s">
        <v>511</v>
      </c>
      <c r="TZ191" s="18" t="s">
        <v>512</v>
      </c>
      <c r="UA191" s="142" t="s">
        <v>1410</v>
      </c>
      <c r="UB191" s="319" t="s">
        <v>1411</v>
      </c>
      <c r="UC191" s="18" t="str">
        <f ca="1">IF(UC$1&gt;=$TM191,1,"0")</f>
        <v>0</v>
      </c>
      <c r="UL191" s="18" t="str">
        <f t="shared" ca="1" si="235"/>
        <v>0</v>
      </c>
      <c r="UY191" s="18" t="str">
        <f>IF(UY$1&gt;=$TM191,1,"0")</f>
        <v>0</v>
      </c>
      <c r="WD191" s="18" t="str">
        <f ca="1">IF(SUM($VZ$1:$WC$1)&gt;0,IF(AND(SUM($VZ191:$WC191)&gt;0,$TM191=WE$1),MAX(WD$2:WD190)+1,""),IF(AND(SUM($UC191:$VY191)&gt;0,$TM191=WE$1),MAX(WD$2:WD190)+1,""))</f>
        <v/>
      </c>
      <c r="WE191" s="59" t="str">
        <f t="shared" ca="1" si="220"/>
        <v/>
      </c>
      <c r="WF191" s="18" t="str">
        <f ca="1">IF(AND(SUM($UB191:$VY191)&gt;0,$TM191=WG$1),MAX(WF$2:WF190)+1,"")</f>
        <v/>
      </c>
      <c r="WG191" s="59" t="str">
        <f t="shared" ca="1" si="221"/>
        <v/>
      </c>
      <c r="WH191" s="18" t="str">
        <f ca="1">IF(AND(SUM($UB191:$VY191)&gt;0,$TM191=WI$1),MAX(WH$2:WH190)+1,"")</f>
        <v/>
      </c>
      <c r="WI191" s="59" t="str">
        <f t="shared" ca="1" si="222"/>
        <v/>
      </c>
      <c r="WJ191" s="18" t="str">
        <f ca="1">IF(AND(SUM($UB191:$VY191)&gt;0,$TM191=WK$1),MAX(WJ$2:WJ190)+1,"")</f>
        <v/>
      </c>
      <c r="WK191" s="59" t="str">
        <f t="shared" ca="1" si="223"/>
        <v/>
      </c>
      <c r="WL191" s="18" t="str">
        <f ca="1">IF(AND(SUM($UB191:$VY191)&gt;0,$TM191=WM$1),MAX(WL$2:WL190)+1,"")</f>
        <v/>
      </c>
      <c r="WM191" s="59" t="str">
        <f t="shared" ca="1" si="224"/>
        <v/>
      </c>
      <c r="WN191" s="18" t="str">
        <f ca="1">IF(AND(SUM($UB191:$VY191)&gt;0,$TM191=WO$1),MAX(WN$2:WN190)+1,"")</f>
        <v/>
      </c>
      <c r="WO191" s="59" t="str">
        <f t="shared" ca="1" si="225"/>
        <v/>
      </c>
      <c r="WP191" s="18" t="str">
        <f ca="1">IF(AND(SUM($UB191:$VY191)&gt;0,$TM191=WQ$1),MAX(WP$2:WP190)+1,"")</f>
        <v/>
      </c>
      <c r="WQ191" s="59" t="str">
        <f t="shared" ca="1" si="226"/>
        <v/>
      </c>
      <c r="WR191" s="18" t="str">
        <f ca="1">IF(AND(SUM($UB191:$VY191)&gt;0,$TM191=WS$1),MAX(WR$2:WR190)+1,"")</f>
        <v/>
      </c>
      <c r="WS191" s="59" t="str">
        <f t="shared" ca="1" si="227"/>
        <v/>
      </c>
      <c r="WT191" s="18" t="str">
        <f ca="1">IF(AND(SUM($UB191:$VY191)&gt;0,$TM191=WU$1),MAX(WT$2:WT190)+1,"")</f>
        <v/>
      </c>
      <c r="WU191" s="59" t="str">
        <f t="shared" ca="1" si="228"/>
        <v/>
      </c>
      <c r="WV191" s="18" t="str">
        <f ca="1">IF(AND(SUM($UB191:$VY191)&gt;0,$TM191=WW$1),MAX(WV$2:WV190)+1,"")</f>
        <v/>
      </c>
      <c r="WW191" s="59" t="str">
        <f t="shared" ca="1" si="229"/>
        <v/>
      </c>
      <c r="WX191" s="18" t="str">
        <f ca="1">IF(AND(SUM($UB191:$VY191)&gt;0,$TM191=WY$1),MAX(WX$2:WX190)+1,"")</f>
        <v/>
      </c>
      <c r="WY191" s="59" t="str">
        <f t="shared" ca="1" si="230"/>
        <v/>
      </c>
      <c r="WZ191" s="59"/>
      <c r="XC191" s="59" t="str">
        <f t="shared" ca="1" si="234"/>
        <v/>
      </c>
    </row>
    <row r="192" spans="260:627" ht="9.9499999999999993" customHeight="1" x14ac:dyDescent="0.2">
      <c r="IZ192"/>
      <c r="TJ192" s="18">
        <f t="shared" si="231"/>
        <v>190</v>
      </c>
      <c r="TK192" s="58" t="s">
        <v>1216</v>
      </c>
      <c r="TL192" s="58" t="s">
        <v>448</v>
      </c>
      <c r="TM192" s="18">
        <v>1</v>
      </c>
      <c r="TN192" s="59" t="str">
        <f t="shared" si="218"/>
        <v xml:space="preserve">Illusory Script </v>
      </c>
      <c r="TO192" s="18" t="str">
        <f>""</f>
        <v/>
      </c>
      <c r="TP192" s="18" t="str">
        <f t="shared" si="219"/>
        <v/>
      </c>
      <c r="TQ192" s="18" t="str">
        <f>IF(OR(TK192=Spellcasting!$AC$18,TK192=Spellcasting!$AC$19),"ᵐ","")</f>
        <v/>
      </c>
      <c r="TR192" s="18" t="str">
        <f>IF(OR(TK192=Spellcasting!$AC$20,TK192=Spellcasting!$AC$21),"ˢ","")</f>
        <v/>
      </c>
      <c r="TS192" s="18" t="s">
        <v>477</v>
      </c>
      <c r="TT192" s="18" t="s">
        <v>494</v>
      </c>
      <c r="TU192" s="18" t="s">
        <v>519</v>
      </c>
      <c r="TV192" s="18" t="s">
        <v>1260</v>
      </c>
      <c r="TW192" s="18" t="s">
        <v>994</v>
      </c>
      <c r="TX192" s="59" t="s">
        <v>1261</v>
      </c>
      <c r="TY192" s="18" t="s">
        <v>523</v>
      </c>
      <c r="TZ192" s="18" t="s">
        <v>524</v>
      </c>
      <c r="UA192" s="142" t="s">
        <v>1262</v>
      </c>
      <c r="UB192" s="319" t="s">
        <v>1263</v>
      </c>
      <c r="UC192" s="18" t="str">
        <f ca="1">IF(UC$1&gt;=$TM192,1,"0")</f>
        <v>0</v>
      </c>
      <c r="UG192" s="18" t="str">
        <f ca="1">IF(UG$1&gt;=$TM192,1,"0")</f>
        <v>0</v>
      </c>
      <c r="UL192" s="18" t="str">
        <f t="shared" ca="1" si="235"/>
        <v>0</v>
      </c>
      <c r="VQ192" s="18" t="str">
        <f>IF(VQ$1&gt;=$TM192,1,"0")</f>
        <v>0</v>
      </c>
      <c r="WD192" s="18" t="str">
        <f ca="1">IF(SUM($VZ$1:$WC$1)&gt;0,IF(AND(SUM($VZ192:$WC192)&gt;0,$TM192=WE$1),MAX(WD$2:WD191)+1,""),IF(AND(SUM($UC192:$VY192)&gt;0,$TM192=WE$1),MAX(WD$2:WD191)+1,""))</f>
        <v/>
      </c>
      <c r="WE192" s="59" t="str">
        <f t="shared" ca="1" si="220"/>
        <v/>
      </c>
      <c r="WF192" s="18" t="str">
        <f ca="1">IF(AND(SUM($UB192:$VY192)&gt;0,$TM192=WG$1),MAX(WF$2:WF191)+1,"")</f>
        <v/>
      </c>
      <c r="WG192" s="59" t="str">
        <f t="shared" ca="1" si="221"/>
        <v/>
      </c>
      <c r="WH192" s="18" t="str">
        <f ca="1">IF(AND(SUM($UB192:$VY192)&gt;0,$TM192=WI$1),MAX(WH$2:WH191)+1,"")</f>
        <v/>
      </c>
      <c r="WI192" s="59" t="str">
        <f t="shared" ca="1" si="222"/>
        <v/>
      </c>
      <c r="WJ192" s="18" t="str">
        <f ca="1">IF(AND(SUM($UB192:$VY192)&gt;0,$TM192=WK$1),MAX(WJ$2:WJ191)+1,"")</f>
        <v/>
      </c>
      <c r="WK192" s="59" t="str">
        <f t="shared" ca="1" si="223"/>
        <v/>
      </c>
      <c r="WL192" s="18" t="str">
        <f ca="1">IF(AND(SUM($UB192:$VY192)&gt;0,$TM192=WM$1),MAX(WL$2:WL191)+1,"")</f>
        <v/>
      </c>
      <c r="WM192" s="59" t="str">
        <f t="shared" ca="1" si="224"/>
        <v/>
      </c>
      <c r="WN192" s="18" t="str">
        <f ca="1">IF(AND(SUM($UB192:$VY192)&gt;0,$TM192=WO$1),MAX(WN$2:WN191)+1,"")</f>
        <v/>
      </c>
      <c r="WO192" s="59" t="str">
        <f t="shared" ca="1" si="225"/>
        <v/>
      </c>
      <c r="WP192" s="18" t="str">
        <f ca="1">IF(AND(SUM($UB192:$VY192)&gt;0,$TM192=WQ$1),MAX(WP$2:WP191)+1,"")</f>
        <v/>
      </c>
      <c r="WQ192" s="59" t="str">
        <f t="shared" ca="1" si="226"/>
        <v/>
      </c>
      <c r="WR192" s="18" t="str">
        <f ca="1">IF(AND(SUM($UB192:$VY192)&gt;0,$TM192=WS$1),MAX(WR$2:WR191)+1,"")</f>
        <v/>
      </c>
      <c r="WS192" s="59" t="str">
        <f t="shared" ca="1" si="227"/>
        <v/>
      </c>
      <c r="WT192" s="18" t="str">
        <f ca="1">IF(AND(SUM($UB192:$VY192)&gt;0,$TM192=WU$1),MAX(WT$2:WT191)+1,"")</f>
        <v/>
      </c>
      <c r="WU192" s="59" t="str">
        <f t="shared" ca="1" si="228"/>
        <v/>
      </c>
      <c r="WV192" s="18" t="str">
        <f ca="1">IF(AND(SUM($UB192:$VY192)&gt;0,$TM192=WW$1),MAX(WV$2:WV191)+1,"")</f>
        <v/>
      </c>
      <c r="WW192" s="59" t="str">
        <f t="shared" ca="1" si="229"/>
        <v/>
      </c>
      <c r="WX192" s="18" t="str">
        <f ca="1">IF(AND(SUM($UB192:$VY192)&gt;0,$TM192=WY$1),MAX(WX$2:WX191)+1,"")</f>
        <v/>
      </c>
      <c r="WY192" s="59" t="str">
        <f t="shared" ca="1" si="230"/>
        <v/>
      </c>
      <c r="WZ192" s="59"/>
      <c r="XC192" s="59" t="str">
        <f t="shared" ca="1" si="234"/>
        <v/>
      </c>
    </row>
    <row r="193" spans="260:627" ht="9.9499999999999993" customHeight="1" x14ac:dyDescent="0.2">
      <c r="IZ193"/>
      <c r="TJ193" s="18">
        <f t="shared" si="231"/>
        <v>191</v>
      </c>
      <c r="TK193" s="58" t="s">
        <v>1964</v>
      </c>
      <c r="TL193" s="58" t="s">
        <v>466</v>
      </c>
      <c r="TM193" s="18">
        <v>9</v>
      </c>
      <c r="TN193" s="59" t="str">
        <f t="shared" si="218"/>
        <v xml:space="preserve">Imprisonment </v>
      </c>
      <c r="TO193" s="18" t="str">
        <f>""</f>
        <v/>
      </c>
      <c r="TP193" s="18" t="str">
        <f t="shared" si="219"/>
        <v/>
      </c>
      <c r="TQ193" s="18" t="str">
        <f>IF(OR(TK193=Spellcasting!$AC$18,TK193=Spellcasting!$AC$19),"ᵐ","")</f>
        <v/>
      </c>
      <c r="TR193" s="18" t="str">
        <f>IF(OR(TK193=Spellcasting!$AC$20,TK193=Spellcasting!$AC$21),"ˢ","")</f>
        <v/>
      </c>
      <c r="TS193" s="18" t="str">
        <f>""</f>
        <v/>
      </c>
      <c r="TT193" s="18" t="s">
        <v>503</v>
      </c>
      <c r="TU193" s="18" t="s">
        <v>851</v>
      </c>
      <c r="TV193" s="18" t="s">
        <v>857</v>
      </c>
      <c r="TW193" s="18" t="s">
        <v>495</v>
      </c>
      <c r="TX193" s="59" t="s">
        <v>2175</v>
      </c>
      <c r="TY193" s="18" t="s">
        <v>487</v>
      </c>
      <c r="TZ193" s="18" t="s">
        <v>488</v>
      </c>
      <c r="UA193" s="142" t="s">
        <v>2224</v>
      </c>
      <c r="UB193" s="319" t="s">
        <v>2267</v>
      </c>
      <c r="UG193" s="18" t="str">
        <f ca="1">IF(UG$1&gt;=$TM193,1,"0")</f>
        <v>0</v>
      </c>
      <c r="UL193" s="18" t="str">
        <f t="shared" ca="1" si="235"/>
        <v>0</v>
      </c>
      <c r="WD193" s="18" t="str">
        <f ca="1">IF(SUM($VZ$1:$WC$1)&gt;0,IF(AND(SUM($VZ193:$WC193)&gt;0,$TM193=WE$1),MAX(WD$2:WD192)+1,""),IF(AND(SUM($UC193:$VY193)&gt;0,$TM193=WE$1),MAX(WD$2:WD192)+1,""))</f>
        <v/>
      </c>
      <c r="WE193" s="59" t="str">
        <f t="shared" ca="1" si="220"/>
        <v/>
      </c>
      <c r="WF193" s="18" t="str">
        <f ca="1">IF(AND(SUM($UB193:$VY193)&gt;0,$TM193=WG$1),MAX(WF$2:WF192)+1,"")</f>
        <v/>
      </c>
      <c r="WG193" s="59" t="str">
        <f t="shared" ca="1" si="221"/>
        <v/>
      </c>
      <c r="WH193" s="18" t="str">
        <f ca="1">IF(AND(SUM($UB193:$VY193)&gt;0,$TM193=WI$1),MAX(WH$2:WH192)+1,"")</f>
        <v/>
      </c>
      <c r="WI193" s="59" t="str">
        <f t="shared" ca="1" si="222"/>
        <v/>
      </c>
      <c r="WJ193" s="18" t="str">
        <f ca="1">IF(AND(SUM($UB193:$VY193)&gt;0,$TM193=WK$1),MAX(WJ$2:WJ192)+1,"")</f>
        <v/>
      </c>
      <c r="WK193" s="59" t="str">
        <f t="shared" ca="1" si="223"/>
        <v/>
      </c>
      <c r="WL193" s="18" t="str">
        <f ca="1">IF(AND(SUM($UB193:$VY193)&gt;0,$TM193=WM$1),MAX(WL$2:WL192)+1,"")</f>
        <v/>
      </c>
      <c r="WM193" s="59" t="str">
        <f t="shared" ca="1" si="224"/>
        <v/>
      </c>
      <c r="WN193" s="18" t="str">
        <f ca="1">IF(AND(SUM($UB193:$VY193)&gt;0,$TM193=WO$1),MAX(WN$2:WN192)+1,"")</f>
        <v/>
      </c>
      <c r="WO193" s="59" t="str">
        <f t="shared" ca="1" si="225"/>
        <v/>
      </c>
      <c r="WP193" s="18" t="str">
        <f ca="1">IF(AND(SUM($UB193:$VY193)&gt;0,$TM193=WQ$1),MAX(WP$2:WP192)+1,"")</f>
        <v/>
      </c>
      <c r="WQ193" s="59" t="str">
        <f t="shared" ca="1" si="226"/>
        <v/>
      </c>
      <c r="WR193" s="18" t="str">
        <f ca="1">IF(AND(SUM($UB193:$VY193)&gt;0,$TM193=WS$1),MAX(WR$2:WR192)+1,"")</f>
        <v/>
      </c>
      <c r="WS193" s="59" t="str">
        <f t="shared" ca="1" si="227"/>
        <v/>
      </c>
      <c r="WT193" s="18" t="str">
        <f ca="1">IF(AND(SUM($UB193:$VY193)&gt;0,$TM193=WU$1),MAX(WT$2:WT192)+1,"")</f>
        <v/>
      </c>
      <c r="WU193" s="59" t="str">
        <f t="shared" ca="1" si="228"/>
        <v/>
      </c>
      <c r="WV193" s="18" t="str">
        <f ca="1">IF(AND(SUM($UB193:$VY193)&gt;0,$TM193=WW$1),MAX(WV$2:WV192)+1,"")</f>
        <v/>
      </c>
      <c r="WW193" s="59" t="str">
        <f t="shared" ca="1" si="229"/>
        <v/>
      </c>
      <c r="WX193" s="18" t="str">
        <f ca="1">IF(AND(SUM($UB193:$VY193)&gt;0,$TM193=WY$1),MAX(WX$2:WX192)+1,"")</f>
        <v/>
      </c>
      <c r="WY193" s="59" t="str">
        <f t="shared" ca="1" si="230"/>
        <v/>
      </c>
      <c r="WZ193" s="59"/>
      <c r="XC193" s="59" t="str">
        <f t="shared" ca="1" si="234"/>
        <v/>
      </c>
    </row>
    <row r="194" spans="260:627" ht="9.9499999999999993" customHeight="1" x14ac:dyDescent="0.2">
      <c r="IZ194"/>
      <c r="TJ194" s="18">
        <f t="shared" si="231"/>
        <v>192</v>
      </c>
      <c r="TK194" s="58" t="s">
        <v>1961</v>
      </c>
      <c r="TL194" s="58" t="s">
        <v>465</v>
      </c>
      <c r="TM194" s="18">
        <v>8</v>
      </c>
      <c r="TN194" s="59" t="str">
        <f t="shared" si="218"/>
        <v xml:space="preserve">Incendiary Cloud </v>
      </c>
      <c r="TO194" s="18" t="str">
        <f>""</f>
        <v/>
      </c>
      <c r="TP194" s="18" t="str">
        <f t="shared" si="219"/>
        <v/>
      </c>
      <c r="TQ194" s="18" t="str">
        <f>IF(OR(TK194=Spellcasting!$AC$18,TK194=Spellcasting!$AC$19),"ᵐ","")</f>
        <v/>
      </c>
      <c r="TR194" s="18" t="str">
        <f>IF(OR(TK194=Spellcasting!$AC$20,TK194=Spellcasting!$AC$21),"ˢ","")</f>
        <v/>
      </c>
      <c r="TS194" s="18" t="str">
        <f>""</f>
        <v/>
      </c>
      <c r="TT194" s="18" t="s">
        <v>484</v>
      </c>
      <c r="TU194" s="18" t="s">
        <v>660</v>
      </c>
      <c r="TV194" s="18" t="s">
        <v>558</v>
      </c>
      <c r="TW194" s="18" t="s">
        <v>486</v>
      </c>
      <c r="TX194" s="59" t="str">
        <f>""</f>
        <v/>
      </c>
      <c r="TY194" s="18" t="s">
        <v>516</v>
      </c>
      <c r="TZ194" s="18" t="s">
        <v>517</v>
      </c>
      <c r="UA194" s="142" t="s">
        <v>2176</v>
      </c>
      <c r="UB194" s="319" t="str">
        <f ca="1">"20ft rad sphere, 10d8"&amp;IF(AD6=TRUE,"+"&amp;CHAMod,"")&amp;" fire, dex save ½"</f>
        <v>20ft rad sphere, 10d8 fire, dex save ½</v>
      </c>
      <c r="UF194" s="18" t="str">
        <f ca="1">IF(UF$1&gt;=$TM194,1,"0")</f>
        <v>0</v>
      </c>
      <c r="UL194" s="18" t="str">
        <f t="shared" ca="1" si="235"/>
        <v>0</v>
      </c>
      <c r="WD194" s="18" t="str">
        <f ca="1">IF(SUM($VZ$1:$WC$1)&gt;0,IF(AND(SUM($VZ194:$WC194)&gt;0,$TM194=WE$1),MAX(WD$2:WD193)+1,""),IF(AND(SUM($UC194:$VY194)&gt;0,$TM194=WE$1),MAX(WD$2:WD193)+1,""))</f>
        <v/>
      </c>
      <c r="WE194" s="59" t="str">
        <f t="shared" ca="1" si="220"/>
        <v/>
      </c>
      <c r="WF194" s="18" t="str">
        <f ca="1">IF(AND(SUM($UB194:$VY194)&gt;0,$TM194=WG$1),MAX(WF$2:WF193)+1,"")</f>
        <v/>
      </c>
      <c r="WG194" s="59" t="str">
        <f t="shared" ca="1" si="221"/>
        <v/>
      </c>
      <c r="WH194" s="18" t="str">
        <f ca="1">IF(AND(SUM($UB194:$VY194)&gt;0,$TM194=WI$1),MAX(WH$2:WH193)+1,"")</f>
        <v/>
      </c>
      <c r="WI194" s="59" t="str">
        <f t="shared" ca="1" si="222"/>
        <v/>
      </c>
      <c r="WJ194" s="18" t="str">
        <f ca="1">IF(AND(SUM($UB194:$VY194)&gt;0,$TM194=WK$1),MAX(WJ$2:WJ193)+1,"")</f>
        <v/>
      </c>
      <c r="WK194" s="59" t="str">
        <f t="shared" ca="1" si="223"/>
        <v/>
      </c>
      <c r="WL194" s="18" t="str">
        <f ca="1">IF(AND(SUM($UB194:$VY194)&gt;0,$TM194=WM$1),MAX(WL$2:WL193)+1,"")</f>
        <v/>
      </c>
      <c r="WM194" s="59" t="str">
        <f t="shared" ca="1" si="224"/>
        <v/>
      </c>
      <c r="WN194" s="18" t="str">
        <f ca="1">IF(AND(SUM($UB194:$VY194)&gt;0,$TM194=WO$1),MAX(WN$2:WN193)+1,"")</f>
        <v/>
      </c>
      <c r="WO194" s="59" t="str">
        <f t="shared" ca="1" si="225"/>
        <v/>
      </c>
      <c r="WP194" s="18" t="str">
        <f ca="1">IF(AND(SUM($UB194:$VY194)&gt;0,$TM194=WQ$1),MAX(WP$2:WP193)+1,"")</f>
        <v/>
      </c>
      <c r="WQ194" s="59" t="str">
        <f t="shared" ca="1" si="226"/>
        <v/>
      </c>
      <c r="WR194" s="18" t="str">
        <f ca="1">IF(AND(SUM($UB194:$VY194)&gt;0,$TM194=WS$1),MAX(WR$2:WR193)+1,"")</f>
        <v/>
      </c>
      <c r="WS194" s="59" t="str">
        <f t="shared" ca="1" si="227"/>
        <v/>
      </c>
      <c r="WT194" s="18" t="str">
        <f ca="1">IF(AND(SUM($UB194:$VY194)&gt;0,$TM194=WU$1),MAX(WT$2:WT193)+1,"")</f>
        <v/>
      </c>
      <c r="WU194" s="59" t="str">
        <f t="shared" ca="1" si="228"/>
        <v/>
      </c>
      <c r="WV194" s="18" t="str">
        <f ca="1">IF(AND(SUM($UB194:$VY194)&gt;0,$TM194=WW$1),MAX(WV$2:WV193)+1,"")</f>
        <v/>
      </c>
      <c r="WW194" s="59" t="str">
        <f t="shared" ca="1" si="229"/>
        <v/>
      </c>
      <c r="WX194" s="18" t="str">
        <f ca="1">IF(AND(SUM($UB194:$VY194)&gt;0,$TM194=WY$1),MAX(WX$2:WX193)+1,"")</f>
        <v/>
      </c>
      <c r="WY194" s="59" t="str">
        <f t="shared" ca="1" si="230"/>
        <v/>
      </c>
      <c r="WZ194" s="59"/>
      <c r="XC194" s="59" t="str">
        <f t="shared" ref="XC194:XC202" ca="1" si="236">IF(ISERROR(VLOOKUP($WZ197,$WH$1:$WI$5013,2,FALSE)),"",VLOOKUP($WZ197,$WH$1:$WI$5013,2,FALSE))</f>
        <v/>
      </c>
    </row>
    <row r="195" spans="260:627" ht="9.9499999999999993" customHeight="1" x14ac:dyDescent="0.2">
      <c r="IZ195"/>
      <c r="TJ195" s="18">
        <f t="shared" si="231"/>
        <v>193</v>
      </c>
      <c r="TK195" s="58" t="s">
        <v>623</v>
      </c>
      <c r="TL195" s="58" t="s">
        <v>448</v>
      </c>
      <c r="TM195" s="18">
        <v>1</v>
      </c>
      <c r="TN195" s="59" t="str">
        <f t="shared" ref="TN195:TN258" si="237">TK195&amp;" "&amp;TO195&amp;TP195&amp;TQ195&amp;TR195</f>
        <v xml:space="preserve">Inflict Wounds ᴴ </v>
      </c>
      <c r="TO195" s="350" t="s">
        <v>2991</v>
      </c>
      <c r="TP195" s="18" t="str">
        <f t="shared" ref="TP195:TP258" si="238">IF(SUM(UY195:VE195)&gt;0,"ᵈ","")&amp;IF(SUM(UO195:UQ195)&gt;0,"ᵒ","")&amp;IF(SUM(VG195:VO195)&gt;0,"ᶜ","")</f>
        <v/>
      </c>
      <c r="TQ195" s="18" t="str">
        <f>IF(OR(TK195=Spellcasting!$AC$18,TK195=Spellcasting!$AC$19),"ᵐ","")</f>
        <v/>
      </c>
      <c r="TR195" s="18" t="str">
        <f>IF(OR(TK195=Spellcasting!$AC$20,TK195=Spellcasting!$AC$21),"ˢ","")</f>
        <v/>
      </c>
      <c r="TS195" s="18" t="str">
        <f>""</f>
        <v/>
      </c>
      <c r="TT195" s="18" t="s">
        <v>484</v>
      </c>
      <c r="TU195" s="18" t="s">
        <v>519</v>
      </c>
      <c r="TV195" s="18" t="s">
        <v>505</v>
      </c>
      <c r="TW195" s="18" t="s">
        <v>486</v>
      </c>
      <c r="TX195" s="59" t="str">
        <f>""</f>
        <v/>
      </c>
      <c r="TY195" s="18" t="s">
        <v>506</v>
      </c>
      <c r="TZ195" s="18" t="s">
        <v>507</v>
      </c>
      <c r="UA195" s="142" t="s">
        <v>3179</v>
      </c>
      <c r="UB195" s="319" t="s">
        <v>1412</v>
      </c>
      <c r="UH195" s="18" t="str">
        <f ca="1">IF(UH$1&gt;=$TM195,1,"0")</f>
        <v>0</v>
      </c>
      <c r="WD195" s="18" t="str">
        <f ca="1">IF(SUM($VZ$1:$WC$1)&gt;0,IF(AND(SUM($VZ195:$WC195)&gt;0,$TM195=WE$1),MAX(WD$2:WD194)+1,""),IF(AND(SUM($UC195:$VY195)&gt;0,$TM195=WE$1),MAX(WD$2:WD194)+1,""))</f>
        <v/>
      </c>
      <c r="WE195" s="59" t="str">
        <f t="shared" ca="1" si="220"/>
        <v/>
      </c>
      <c r="WF195" s="18" t="str">
        <f ca="1">IF(AND(SUM($UB195:$VY195)&gt;0,$TM195=WG$1),MAX(WF$2:WF194)+1,"")</f>
        <v/>
      </c>
      <c r="WG195" s="59" t="str">
        <f t="shared" ca="1" si="221"/>
        <v/>
      </c>
      <c r="WH195" s="18" t="str">
        <f ca="1">IF(AND(SUM($UB195:$VY195)&gt;0,$TM195=WI$1),MAX(WH$2:WH194)+1,"")</f>
        <v/>
      </c>
      <c r="WI195" s="59" t="str">
        <f t="shared" ca="1" si="222"/>
        <v/>
      </c>
      <c r="WJ195" s="18" t="str">
        <f ca="1">IF(AND(SUM($UB195:$VY195)&gt;0,$TM195=WK$1),MAX(WJ$2:WJ194)+1,"")</f>
        <v/>
      </c>
      <c r="WK195" s="59" t="str">
        <f t="shared" ca="1" si="223"/>
        <v/>
      </c>
      <c r="WL195" s="18" t="str">
        <f ca="1">IF(AND(SUM($UB195:$VY195)&gt;0,$TM195=WM$1),MAX(WL$2:WL194)+1,"")</f>
        <v/>
      </c>
      <c r="WM195" s="59" t="str">
        <f t="shared" ca="1" si="224"/>
        <v/>
      </c>
      <c r="WN195" s="18" t="str">
        <f ca="1">IF(AND(SUM($UB195:$VY195)&gt;0,$TM195=WO$1),MAX(WN$2:WN194)+1,"")</f>
        <v/>
      </c>
      <c r="WO195" s="59" t="str">
        <f t="shared" ca="1" si="225"/>
        <v/>
      </c>
      <c r="WP195" s="18" t="str">
        <f ca="1">IF(AND(SUM($UB195:$VY195)&gt;0,$TM195=WQ$1),MAX(WP$2:WP194)+1,"")</f>
        <v/>
      </c>
      <c r="WQ195" s="59" t="str">
        <f t="shared" ca="1" si="226"/>
        <v/>
      </c>
      <c r="WR195" s="18" t="str">
        <f ca="1">IF(AND(SUM($UB195:$VY195)&gt;0,$TM195=WS$1),MAX(WR$2:WR194)+1,"")</f>
        <v/>
      </c>
      <c r="WS195" s="59" t="str">
        <f t="shared" ca="1" si="227"/>
        <v/>
      </c>
      <c r="WT195" s="18" t="str">
        <f ca="1">IF(AND(SUM($UB195:$VY195)&gt;0,$TM195=WU$1),MAX(WT$2:WT194)+1,"")</f>
        <v/>
      </c>
      <c r="WU195" s="59" t="str">
        <f t="shared" ca="1" si="228"/>
        <v/>
      </c>
      <c r="WV195" s="18" t="str">
        <f ca="1">IF(AND(SUM($UB195:$VY195)&gt;0,$TM195=WW$1),MAX(WV$2:WV194)+1,"")</f>
        <v/>
      </c>
      <c r="WW195" s="59" t="str">
        <f t="shared" ca="1" si="229"/>
        <v/>
      </c>
      <c r="WX195" s="18" t="str">
        <f ca="1">IF(AND(SUM($UB195:$VY195)&gt;0,$TM195=WY$1),MAX(WX$2:WX194)+1,"")</f>
        <v/>
      </c>
      <c r="WY195" s="59" t="str">
        <f t="shared" ca="1" si="230"/>
        <v/>
      </c>
      <c r="WZ195" s="59"/>
      <c r="XC195" s="59" t="str">
        <f t="shared" ca="1" si="236"/>
        <v/>
      </c>
    </row>
    <row r="196" spans="260:627" ht="9.9499999999999993" customHeight="1" x14ac:dyDescent="0.2">
      <c r="IZ196"/>
      <c r="TJ196" s="18">
        <f t="shared" si="231"/>
        <v>194</v>
      </c>
      <c r="TK196" s="58" t="s">
        <v>624</v>
      </c>
      <c r="TL196" s="58" t="s">
        <v>462</v>
      </c>
      <c r="TM196" s="18">
        <v>5</v>
      </c>
      <c r="TN196" s="59" t="str">
        <f t="shared" si="237"/>
        <v xml:space="preserve">Insect Plague ᴴ </v>
      </c>
      <c r="TO196" s="350" t="s">
        <v>2991</v>
      </c>
      <c r="TP196" s="18" t="str">
        <f t="shared" si="238"/>
        <v/>
      </c>
      <c r="TQ196" s="18" t="str">
        <f>IF(OR(TK196=Spellcasting!$AC$18,TK196=Spellcasting!$AC$19),"ᵐ","")</f>
        <v/>
      </c>
      <c r="TR196" s="18" t="str">
        <f>IF(OR(TK196=Spellcasting!$AC$20,TK196=Spellcasting!$AC$21),"ˢ","")</f>
        <v/>
      </c>
      <c r="TS196" s="18" t="str">
        <f>""</f>
        <v/>
      </c>
      <c r="TT196" s="18" t="s">
        <v>484</v>
      </c>
      <c r="TU196" s="18" t="s">
        <v>1989</v>
      </c>
      <c r="TV196" s="18" t="s">
        <v>515</v>
      </c>
      <c r="TW196" s="18" t="s">
        <v>495</v>
      </c>
      <c r="TX196" s="59" t="s">
        <v>2067</v>
      </c>
      <c r="TY196" s="18" t="s">
        <v>516</v>
      </c>
      <c r="TZ196" s="18" t="s">
        <v>517</v>
      </c>
      <c r="UA196" s="142" t="s">
        <v>2177</v>
      </c>
      <c r="UB196" s="319" t="s">
        <v>3009</v>
      </c>
      <c r="UF196" s="18" t="str">
        <f ca="1">IF(UF$1&gt;=$TM196,1,"0")</f>
        <v>0</v>
      </c>
      <c r="UH196" s="18" t="str">
        <f ca="1">IF(UH$1&gt;=$TM196,1,"0")</f>
        <v>0</v>
      </c>
      <c r="UI196" s="18" t="str">
        <f ca="1">IF(UI$1&gt;=$TM196,1,"0")</f>
        <v>0</v>
      </c>
      <c r="VB196" s="18" t="str">
        <f>IF(VB$1&gt;=$TM196,1,"0")</f>
        <v>0</v>
      </c>
      <c r="VC196" s="18" t="str">
        <f>IF(VC$1&gt;=$TM196,1,"0")</f>
        <v>0</v>
      </c>
      <c r="VI196" s="18" t="str">
        <f>IF(VI$1&gt;=$TM196,1,"0")</f>
        <v>0</v>
      </c>
      <c r="VK196" s="18" t="str">
        <f>IF(VK$1&gt;=$TM196,1,"0")</f>
        <v>0</v>
      </c>
      <c r="VM196" s="18" t="str">
        <f>IF(VM$1&gt;=$TM196,1,"0")</f>
        <v>0</v>
      </c>
      <c r="VN196" s="18" t="str">
        <f>IF(VN$1&gt;=$TM196,1,"0")</f>
        <v>0</v>
      </c>
      <c r="WD196" s="18" t="str">
        <f ca="1">IF(SUM($VZ$1:$WC$1)&gt;0,IF(AND(SUM($VZ196:$WC196)&gt;0,$TM196=WE$1),MAX(WD$2:WD195)+1,""),IF(AND(SUM($UC196:$VY196)&gt;0,$TM196=WE$1),MAX(WD$2:WD195)+1,""))</f>
        <v/>
      </c>
      <c r="WE196" s="59" t="str">
        <f t="shared" ref="WE196:WE259" ca="1" si="239">IF(AND(WD196&lt;&gt;"",$TM196=WE$1),$TK196,"")</f>
        <v/>
      </c>
      <c r="WF196" s="18" t="str">
        <f ca="1">IF(AND(SUM($UB196:$VY196)&gt;0,$TM196=WG$1),MAX(WF$2:WF195)+1,"")</f>
        <v/>
      </c>
      <c r="WG196" s="59" t="str">
        <f t="shared" ref="WG196:WG259" ca="1" si="240">IF(AND(WF196&lt;&gt;"",$TM196=WG$1),$TK196,"")</f>
        <v/>
      </c>
      <c r="WH196" s="18" t="str">
        <f ca="1">IF(AND(SUM($UB196:$VY196)&gt;0,$TM196=WI$1),MAX(WH$2:WH195)+1,"")</f>
        <v/>
      </c>
      <c r="WI196" s="59" t="str">
        <f t="shared" ref="WI196:WI259" ca="1" si="241">IF(AND(WH196&lt;&gt;"",$TM196=WI$1),$TK196,"")</f>
        <v/>
      </c>
      <c r="WJ196" s="18" t="str">
        <f ca="1">IF(AND(SUM($UB196:$VY196)&gt;0,$TM196=WK$1),MAX(WJ$2:WJ195)+1,"")</f>
        <v/>
      </c>
      <c r="WK196" s="59" t="str">
        <f t="shared" ref="WK196:WK259" ca="1" si="242">IF(AND(WJ196&lt;&gt;"",$TM196=WK$1),$TK196,"")</f>
        <v/>
      </c>
      <c r="WL196" s="18" t="str">
        <f ca="1">IF(AND(SUM($UB196:$VY196)&gt;0,$TM196=WM$1),MAX(WL$2:WL195)+1,"")</f>
        <v/>
      </c>
      <c r="WM196" s="59" t="str">
        <f t="shared" ref="WM196:WM259" ca="1" si="243">IF(AND(WL196&lt;&gt;"",$TM196=WM$1),$TK196,"")</f>
        <v/>
      </c>
      <c r="WN196" s="18" t="str">
        <f ca="1">IF(AND(SUM($UB196:$VY196)&gt;0,$TM196=WO$1),MAX(WN$2:WN195)+1,"")</f>
        <v/>
      </c>
      <c r="WO196" s="59" t="str">
        <f t="shared" ref="WO196:WO259" ca="1" si="244">IF(AND(WN196&lt;&gt;"",$TM196=WO$1),$TK196,"")</f>
        <v/>
      </c>
      <c r="WP196" s="18" t="str">
        <f ca="1">IF(AND(SUM($UB196:$VY196)&gt;0,$TM196=WQ$1),MAX(WP$2:WP195)+1,"")</f>
        <v/>
      </c>
      <c r="WQ196" s="59" t="str">
        <f t="shared" ref="WQ196:WQ259" ca="1" si="245">IF(AND(WP196&lt;&gt;"",$TM196=WQ$1),$TK196,"")</f>
        <v/>
      </c>
      <c r="WR196" s="18" t="str">
        <f ca="1">IF(AND(SUM($UB196:$VY196)&gt;0,$TM196=WS$1),MAX(WR$2:WR195)+1,"")</f>
        <v/>
      </c>
      <c r="WS196" s="59" t="str">
        <f t="shared" ref="WS196:WS259" ca="1" si="246">IF(AND(WR196&lt;&gt;"",$TM196=WS$1),$TK196,"")</f>
        <v/>
      </c>
      <c r="WT196" s="18" t="str">
        <f ca="1">IF(AND(SUM($UB196:$VY196)&gt;0,$TM196=WU$1),MAX(WT$2:WT195)+1,"")</f>
        <v/>
      </c>
      <c r="WU196" s="59" t="str">
        <f t="shared" ref="WU196:WU259" ca="1" si="247">IF(AND(WT196&lt;&gt;"",$TM196=WU$1),$TK196,"")</f>
        <v/>
      </c>
      <c r="WV196" s="18" t="str">
        <f ca="1">IF(AND(SUM($UB196:$VY196)&gt;0,$TM196=WW$1),MAX(WV$2:WV195)+1,"")</f>
        <v/>
      </c>
      <c r="WW196" s="59" t="str">
        <f t="shared" ref="WW196:WW259" ca="1" si="248">IF(AND(WV196&lt;&gt;"",$TM196=WW$1),$TK196,"")</f>
        <v/>
      </c>
      <c r="WX196" s="18" t="str">
        <f ca="1">IF(AND(SUM($UB196:$VY196)&gt;0,$TM196=WY$1),MAX(WX$2:WX195)+1,"")</f>
        <v/>
      </c>
      <c r="WY196" s="59" t="str">
        <f t="shared" ref="WY196:WY259" ca="1" si="249">IF(AND(WX196&lt;&gt;"",$TM196=WY$1),$TK196,"")</f>
        <v/>
      </c>
      <c r="WZ196" s="59"/>
      <c r="XC196" s="59" t="str">
        <f t="shared" ca="1" si="236"/>
        <v/>
      </c>
    </row>
    <row r="197" spans="260:627" ht="9.9499999999999993" customHeight="1" x14ac:dyDescent="0.2">
      <c r="IZ197"/>
      <c r="TJ197" s="18">
        <f t="shared" si="231"/>
        <v>195</v>
      </c>
      <c r="TK197" s="58" t="s">
        <v>625</v>
      </c>
      <c r="TL197" s="58" t="s">
        <v>459</v>
      </c>
      <c r="TM197" s="18">
        <v>2</v>
      </c>
      <c r="TN197" s="59" t="str">
        <f t="shared" si="237"/>
        <v xml:space="preserve">Invisibility ᴴ </v>
      </c>
      <c r="TO197" s="350" t="s">
        <v>2991</v>
      </c>
      <c r="TP197" s="18" t="str">
        <f t="shared" si="238"/>
        <v/>
      </c>
      <c r="TQ197" s="18" t="str">
        <f>IF(OR(TK197=Spellcasting!$AC$18,TK197=Spellcasting!$AC$19),"ᵐ","")</f>
        <v/>
      </c>
      <c r="TR197" s="18" t="str">
        <f>IF(OR(TK197=Spellcasting!$AC$20,TK197=Spellcasting!$AC$21),"ˢ","")</f>
        <v/>
      </c>
      <c r="TS197" s="18" t="str">
        <f>""</f>
        <v/>
      </c>
      <c r="TT197" s="18" t="s">
        <v>484</v>
      </c>
      <c r="TU197" s="18" t="s">
        <v>519</v>
      </c>
      <c r="TV197" s="18" t="s">
        <v>490</v>
      </c>
      <c r="TW197" s="18" t="s">
        <v>495</v>
      </c>
      <c r="TX197" s="59" t="s">
        <v>1335</v>
      </c>
      <c r="TY197" s="18" t="s">
        <v>523</v>
      </c>
      <c r="TZ197" s="18" t="s">
        <v>524</v>
      </c>
      <c r="UA197" s="142" t="s">
        <v>3180</v>
      </c>
      <c r="UB197" s="319" t="s">
        <v>1336</v>
      </c>
      <c r="UC197" s="18" t="str">
        <f ca="1">IF(UC$1&gt;=$TM197,1,"0")</f>
        <v>0</v>
      </c>
      <c r="UF197" s="18" t="str">
        <f ca="1">IF(UF$1&gt;=$TM197,1,"0")</f>
        <v>0</v>
      </c>
      <c r="UG197" s="18" t="str">
        <f ca="1">IF(UG$1&gt;=$TM197,1,"0")</f>
        <v>0</v>
      </c>
      <c r="UL197" s="18" t="str">
        <f t="shared" ref="UL197:UL202" ca="1" si="250">IF(UL$1&gt;=$TM197,1,"0")</f>
        <v>0</v>
      </c>
      <c r="VK197" s="18" t="str">
        <f>IF(VK$1&gt;=$TM197,1,"0")</f>
        <v>0</v>
      </c>
      <c r="VQ197" s="18" t="str">
        <f>IF(VQ$1&gt;=$TM197,1,"0")</f>
        <v>0</v>
      </c>
      <c r="WD197" s="18" t="str">
        <f ca="1">IF(SUM($VZ$1:$WC$1)&gt;0,IF(AND(SUM($VZ197:$WC197)&gt;0,$TM197=WE$1),MAX(WD$2:WD196)+1,""),IF(AND(SUM($UC197:$VY197)&gt;0,$TM197=WE$1),MAX(WD$2:WD196)+1,""))</f>
        <v/>
      </c>
      <c r="WE197" s="59" t="str">
        <f t="shared" ca="1" si="239"/>
        <v/>
      </c>
      <c r="WF197" s="18" t="str">
        <f ca="1">IF(AND(SUM($UB197:$VY197)&gt;0,$TM197=WG$1),MAX(WF$2:WF196)+1,"")</f>
        <v/>
      </c>
      <c r="WG197" s="59" t="str">
        <f t="shared" ca="1" si="240"/>
        <v/>
      </c>
      <c r="WH197" s="18" t="str">
        <f ca="1">IF(AND(SUM($UB197:$VY197)&gt;0,$TM197=WI$1),MAX(WH$2:WH196)+1,"")</f>
        <v/>
      </c>
      <c r="WI197" s="59" t="str">
        <f t="shared" ca="1" si="241"/>
        <v/>
      </c>
      <c r="WJ197" s="18" t="str">
        <f ca="1">IF(AND(SUM($UB197:$VY197)&gt;0,$TM197=WK$1),MAX(WJ$2:WJ196)+1,"")</f>
        <v/>
      </c>
      <c r="WK197" s="59" t="str">
        <f t="shared" ca="1" si="242"/>
        <v/>
      </c>
      <c r="WL197" s="18" t="str">
        <f ca="1">IF(AND(SUM($UB197:$VY197)&gt;0,$TM197=WM$1),MAX(WL$2:WL196)+1,"")</f>
        <v/>
      </c>
      <c r="WM197" s="59" t="str">
        <f t="shared" ca="1" si="243"/>
        <v/>
      </c>
      <c r="WN197" s="18" t="str">
        <f ca="1">IF(AND(SUM($UB197:$VY197)&gt;0,$TM197=WO$1),MAX(WN$2:WN196)+1,"")</f>
        <v/>
      </c>
      <c r="WO197" s="59" t="str">
        <f t="shared" ca="1" si="244"/>
        <v/>
      </c>
      <c r="WP197" s="18" t="str">
        <f ca="1">IF(AND(SUM($UB197:$VY197)&gt;0,$TM197=WQ$1),MAX(WP$2:WP196)+1,"")</f>
        <v/>
      </c>
      <c r="WQ197" s="59" t="str">
        <f t="shared" ca="1" si="245"/>
        <v/>
      </c>
      <c r="WR197" s="18" t="str">
        <f ca="1">IF(AND(SUM($UB197:$VY197)&gt;0,$TM197=WS$1),MAX(WR$2:WR196)+1,"")</f>
        <v/>
      </c>
      <c r="WS197" s="59" t="str">
        <f t="shared" ca="1" si="246"/>
        <v/>
      </c>
      <c r="WT197" s="18" t="str">
        <f ca="1">IF(AND(SUM($UB197:$VY197)&gt;0,$TM197=WU$1),MAX(WT$2:WT196)+1,"")</f>
        <v/>
      </c>
      <c r="WU197" s="59" t="str">
        <f t="shared" ca="1" si="247"/>
        <v/>
      </c>
      <c r="WV197" s="18" t="str">
        <f ca="1">IF(AND(SUM($UB197:$VY197)&gt;0,$TM197=WW$1),MAX(WV$2:WV196)+1,"")</f>
        <v/>
      </c>
      <c r="WW197" s="59" t="str">
        <f t="shared" ca="1" si="248"/>
        <v/>
      </c>
      <c r="WX197" s="18" t="str">
        <f ca="1">IF(AND(SUM($UB197:$VY197)&gt;0,$TM197=WY$1),MAX(WX$2:WX196)+1,"")</f>
        <v/>
      </c>
      <c r="WY197" s="59" t="str">
        <f t="shared" ca="1" si="249"/>
        <v/>
      </c>
      <c r="WZ197" s="59"/>
      <c r="XC197" s="59" t="str">
        <f t="shared" ca="1" si="236"/>
        <v/>
      </c>
    </row>
    <row r="198" spans="260:627" ht="9.9499999999999993" customHeight="1" x14ac:dyDescent="0.2">
      <c r="IZ198"/>
      <c r="TJ198" s="18">
        <f t="shared" ref="TJ198:TJ206" si="251">TJ197+1</f>
        <v>196</v>
      </c>
      <c r="TK198" s="58" t="s">
        <v>1217</v>
      </c>
      <c r="TL198" s="58" t="s">
        <v>448</v>
      </c>
      <c r="TM198" s="18">
        <v>1</v>
      </c>
      <c r="TN198" s="59" t="str">
        <f t="shared" si="237"/>
        <v xml:space="preserve">Jump </v>
      </c>
      <c r="TO198" s="18" t="str">
        <f>""</f>
        <v/>
      </c>
      <c r="TP198" s="18" t="str">
        <f t="shared" si="238"/>
        <v/>
      </c>
      <c r="TQ198" s="18" t="str">
        <f>IF(OR(TK198=Spellcasting!$AC$18,TK198=Spellcasting!$AC$19),"ᵐ","")</f>
        <v/>
      </c>
      <c r="TR198" s="18" t="str">
        <f>IF(OR(TK198=Spellcasting!$AC$20,TK198=Spellcasting!$AC$21),"ˢ","")</f>
        <v/>
      </c>
      <c r="TS198" s="18" t="str">
        <f>""</f>
        <v/>
      </c>
      <c r="TT198" s="18" t="s">
        <v>484</v>
      </c>
      <c r="TU198" s="18" t="s">
        <v>519</v>
      </c>
      <c r="TV198" s="18" t="s">
        <v>503</v>
      </c>
      <c r="TW198" s="18" t="s">
        <v>495</v>
      </c>
      <c r="TX198" s="59" t="s">
        <v>1264</v>
      </c>
      <c r="TY198" s="18" t="s">
        <v>491</v>
      </c>
      <c r="TZ198" s="18" t="s">
        <v>492</v>
      </c>
      <c r="UA198" s="142" t="s">
        <v>1265</v>
      </c>
      <c r="UB198" s="319" t="s">
        <v>1266</v>
      </c>
      <c r="UF198" s="18" t="str">
        <f ca="1">IF(UF$1&gt;=$TM198,1,"0")</f>
        <v>0</v>
      </c>
      <c r="UI198" s="18" t="str">
        <f ca="1">IF(UI$1&gt;=$TM198,1,"0")</f>
        <v>0</v>
      </c>
      <c r="UL198" s="18" t="str">
        <f t="shared" ca="1" si="250"/>
        <v>0</v>
      </c>
      <c r="WD198" s="18" t="str">
        <f ca="1">IF(SUM($VZ$1:$WC$1)&gt;0,IF(AND(SUM($VZ198:$WC198)&gt;0,$TM198=WE$1),MAX(WD$2:WD197)+1,""),IF(AND(SUM($UC198:$VY198)&gt;0,$TM198=WE$1),MAX(WD$2:WD197)+1,""))</f>
        <v/>
      </c>
      <c r="WE198" s="59" t="str">
        <f t="shared" ca="1" si="239"/>
        <v/>
      </c>
      <c r="WF198" s="18" t="str">
        <f ca="1">IF(AND(SUM($UB198:$VY198)&gt;0,$TM198=WG$1),MAX(WF$2:WF197)+1,"")</f>
        <v/>
      </c>
      <c r="WG198" s="59" t="str">
        <f t="shared" ca="1" si="240"/>
        <v/>
      </c>
      <c r="WH198" s="18" t="str">
        <f ca="1">IF(AND(SUM($UB198:$VY198)&gt;0,$TM198=WI$1),MAX(WH$2:WH197)+1,"")</f>
        <v/>
      </c>
      <c r="WI198" s="59" t="str">
        <f t="shared" ca="1" si="241"/>
        <v/>
      </c>
      <c r="WJ198" s="18" t="str">
        <f ca="1">IF(AND(SUM($UB198:$VY198)&gt;0,$TM198=WK$1),MAX(WJ$2:WJ197)+1,"")</f>
        <v/>
      </c>
      <c r="WK198" s="59" t="str">
        <f t="shared" ca="1" si="242"/>
        <v/>
      </c>
      <c r="WL198" s="18" t="str">
        <f ca="1">IF(AND(SUM($UB198:$VY198)&gt;0,$TM198=WM$1),MAX(WL$2:WL197)+1,"")</f>
        <v/>
      </c>
      <c r="WM198" s="59" t="str">
        <f t="shared" ca="1" si="243"/>
        <v/>
      </c>
      <c r="WN198" s="18" t="str">
        <f ca="1">IF(AND(SUM($UB198:$VY198)&gt;0,$TM198=WO$1),MAX(WN$2:WN197)+1,"")</f>
        <v/>
      </c>
      <c r="WO198" s="59" t="str">
        <f t="shared" ca="1" si="244"/>
        <v/>
      </c>
      <c r="WP198" s="18" t="str">
        <f ca="1">IF(AND(SUM($UB198:$VY198)&gt;0,$TM198=WQ$1),MAX(WP$2:WP197)+1,"")</f>
        <v/>
      </c>
      <c r="WQ198" s="59" t="str">
        <f t="shared" ca="1" si="245"/>
        <v/>
      </c>
      <c r="WR198" s="18" t="str">
        <f ca="1">IF(AND(SUM($UB198:$VY198)&gt;0,$TM198=WS$1),MAX(WR$2:WR197)+1,"")</f>
        <v/>
      </c>
      <c r="WS198" s="59" t="str">
        <f t="shared" ca="1" si="246"/>
        <v/>
      </c>
      <c r="WT198" s="18" t="str">
        <f ca="1">IF(AND(SUM($UB198:$VY198)&gt;0,$TM198=WU$1),MAX(WT$2:WT197)+1,"")</f>
        <v/>
      </c>
      <c r="WU198" s="59" t="str">
        <f t="shared" ca="1" si="247"/>
        <v/>
      </c>
      <c r="WV198" s="18" t="str">
        <f ca="1">IF(AND(SUM($UB198:$VY198)&gt;0,$TM198=WW$1),MAX(WV$2:WV197)+1,"")</f>
        <v/>
      </c>
      <c r="WW198" s="59" t="str">
        <f t="shared" ca="1" si="248"/>
        <v/>
      </c>
      <c r="WX198" s="18" t="str">
        <f ca="1">IF(AND(SUM($UB198:$VY198)&gt;0,$TM198=WY$1),MAX(WX$2:WX197)+1,"")</f>
        <v/>
      </c>
      <c r="WY198" s="59" t="str">
        <f t="shared" ca="1" si="249"/>
        <v/>
      </c>
      <c r="WZ198" s="59"/>
      <c r="XC198" s="59" t="str">
        <f t="shared" ca="1" si="236"/>
        <v/>
      </c>
    </row>
    <row r="199" spans="260:627" ht="9.9499999999999993" customHeight="1" x14ac:dyDescent="0.2">
      <c r="IZ199"/>
      <c r="TJ199" s="18">
        <f t="shared" si="251"/>
        <v>197</v>
      </c>
      <c r="TK199" s="58" t="s">
        <v>626</v>
      </c>
      <c r="TL199" s="58" t="s">
        <v>459</v>
      </c>
      <c r="TM199" s="18">
        <v>2</v>
      </c>
      <c r="TN199" s="59" t="str">
        <f t="shared" si="237"/>
        <v xml:space="preserve">Knock </v>
      </c>
      <c r="TO199" s="18" t="str">
        <f>""</f>
        <v/>
      </c>
      <c r="TP199" s="18" t="str">
        <f t="shared" si="238"/>
        <v/>
      </c>
      <c r="TQ199" s="18" t="str">
        <f>IF(OR(TK199=Spellcasting!$AC$18,TK199=Spellcasting!$AC$19),"ᵐ","")</f>
        <v/>
      </c>
      <c r="TR199" s="18" t="str">
        <f>IF(OR(TK199=Spellcasting!$AC$20,TK199=Spellcasting!$AC$21),"ˢ","")</f>
        <v/>
      </c>
      <c r="TS199" s="18" t="str">
        <f>""</f>
        <v/>
      </c>
      <c r="TT199" s="18" t="s">
        <v>484</v>
      </c>
      <c r="TU199" s="18" t="s">
        <v>850</v>
      </c>
      <c r="TV199" s="18" t="s">
        <v>505</v>
      </c>
      <c r="TW199" s="18" t="s">
        <v>541</v>
      </c>
      <c r="TX199" s="59" t="str">
        <f>""</f>
        <v/>
      </c>
      <c r="TY199" s="18" t="s">
        <v>491</v>
      </c>
      <c r="TZ199" s="18" t="s">
        <v>492</v>
      </c>
      <c r="UA199" s="142" t="s">
        <v>1348</v>
      </c>
      <c r="UB199" s="319" t="s">
        <v>1337</v>
      </c>
      <c r="UC199" s="18" t="str">
        <f ca="1">IF(UC$1&gt;=$TM199,1,"0")</f>
        <v>0</v>
      </c>
      <c r="UF199" s="18" t="str">
        <f ca="1">IF(UF$1&gt;=$TM199,1,"0")</f>
        <v>0</v>
      </c>
      <c r="UL199" s="18" t="str">
        <f t="shared" ca="1" si="250"/>
        <v>0</v>
      </c>
      <c r="WD199" s="18" t="str">
        <f ca="1">IF(SUM($VZ$1:$WC$1)&gt;0,IF(AND(SUM($VZ199:$WC199)&gt;0,$TM199=WE$1),MAX(WD$2:WD198)+1,""),IF(AND(SUM($UC199:$VY199)&gt;0,$TM199=WE$1),MAX(WD$2:WD198)+1,""))</f>
        <v/>
      </c>
      <c r="WE199" s="59" t="str">
        <f t="shared" ca="1" si="239"/>
        <v/>
      </c>
      <c r="WF199" s="18" t="str">
        <f ca="1">IF(AND(SUM($UB199:$VY199)&gt;0,$TM199=WG$1),MAX(WF$2:WF198)+1,"")</f>
        <v/>
      </c>
      <c r="WG199" s="59" t="str">
        <f t="shared" ca="1" si="240"/>
        <v/>
      </c>
      <c r="WH199" s="18" t="str">
        <f ca="1">IF(AND(SUM($UB199:$VY199)&gt;0,$TM199=WI$1),MAX(WH$2:WH198)+1,"")</f>
        <v/>
      </c>
      <c r="WI199" s="59" t="str">
        <f t="shared" ca="1" si="241"/>
        <v/>
      </c>
      <c r="WJ199" s="18" t="str">
        <f ca="1">IF(AND(SUM($UB199:$VY199)&gt;0,$TM199=WK$1),MAX(WJ$2:WJ198)+1,"")</f>
        <v/>
      </c>
      <c r="WK199" s="59" t="str">
        <f t="shared" ca="1" si="242"/>
        <v/>
      </c>
      <c r="WL199" s="18" t="str">
        <f ca="1">IF(AND(SUM($UB199:$VY199)&gt;0,$TM199=WM$1),MAX(WL$2:WL198)+1,"")</f>
        <v/>
      </c>
      <c r="WM199" s="59" t="str">
        <f t="shared" ca="1" si="243"/>
        <v/>
      </c>
      <c r="WN199" s="18" t="str">
        <f ca="1">IF(AND(SUM($UB199:$VY199)&gt;0,$TM199=WO$1),MAX(WN$2:WN198)+1,"")</f>
        <v/>
      </c>
      <c r="WO199" s="59" t="str">
        <f t="shared" ca="1" si="244"/>
        <v/>
      </c>
      <c r="WP199" s="18" t="str">
        <f ca="1">IF(AND(SUM($UB199:$VY199)&gt;0,$TM199=WQ$1),MAX(WP$2:WP198)+1,"")</f>
        <v/>
      </c>
      <c r="WQ199" s="59" t="str">
        <f t="shared" ca="1" si="245"/>
        <v/>
      </c>
      <c r="WR199" s="18" t="str">
        <f ca="1">IF(AND(SUM($UB199:$VY199)&gt;0,$TM199=WS$1),MAX(WR$2:WR198)+1,"")</f>
        <v/>
      </c>
      <c r="WS199" s="59" t="str">
        <f t="shared" ca="1" si="246"/>
        <v/>
      </c>
      <c r="WT199" s="18" t="str">
        <f ca="1">IF(AND(SUM($UB199:$VY199)&gt;0,$TM199=WU$1),MAX(WT$2:WT198)+1,"")</f>
        <v/>
      </c>
      <c r="WU199" s="59" t="str">
        <f t="shared" ca="1" si="247"/>
        <v/>
      </c>
      <c r="WV199" s="18" t="str">
        <f ca="1">IF(AND(SUM($UB199:$VY199)&gt;0,$TM199=WW$1),MAX(WV$2:WV198)+1,"")</f>
        <v/>
      </c>
      <c r="WW199" s="59" t="str">
        <f t="shared" ca="1" si="248"/>
        <v/>
      </c>
      <c r="WX199" s="18" t="str">
        <f ca="1">IF(AND(SUM($UB199:$VY199)&gt;0,$TM199=WY$1),MAX(WX$2:WX198)+1,"")</f>
        <v/>
      </c>
      <c r="WY199" s="59" t="str">
        <f t="shared" ca="1" si="249"/>
        <v/>
      </c>
      <c r="WZ199" s="59"/>
      <c r="XC199" s="59" t="str">
        <f t="shared" ca="1" si="236"/>
        <v/>
      </c>
    </row>
    <row r="200" spans="260:627" ht="9.9499999999999993" customHeight="1" x14ac:dyDescent="0.2">
      <c r="IZ200"/>
      <c r="TJ200" s="18">
        <f t="shared" si="251"/>
        <v>198</v>
      </c>
      <c r="TK200" s="58" t="s">
        <v>1938</v>
      </c>
      <c r="TL200" s="58" t="s">
        <v>462</v>
      </c>
      <c r="TM200" s="18">
        <v>5</v>
      </c>
      <c r="TN200" s="59" t="str">
        <f t="shared" si="237"/>
        <v xml:space="preserve">Legend Lore </v>
      </c>
      <c r="TO200" s="18" t="str">
        <f>""</f>
        <v/>
      </c>
      <c r="TP200" s="18" t="str">
        <f t="shared" si="238"/>
        <v/>
      </c>
      <c r="TQ200" s="18" t="str">
        <f>IF(OR(TK200=Spellcasting!$AC$18,TK200=Spellcasting!$AC$19),"ᵐ","")</f>
        <v/>
      </c>
      <c r="TR200" s="18" t="str">
        <f>IF(OR(TK200=Spellcasting!$AC$20,TK200=Spellcasting!$AC$21),"ˢ","")</f>
        <v/>
      </c>
      <c r="TS200" s="18" t="str">
        <f>""</f>
        <v/>
      </c>
      <c r="TT200" s="18" t="s">
        <v>582</v>
      </c>
      <c r="TU200" s="18" t="s">
        <v>509</v>
      </c>
      <c r="TV200" s="18" t="s">
        <v>505</v>
      </c>
      <c r="TW200" s="18" t="s">
        <v>495</v>
      </c>
      <c r="TX200" s="59" t="s">
        <v>2005</v>
      </c>
      <c r="TY200" s="18" t="s">
        <v>511</v>
      </c>
      <c r="TZ200" s="18" t="s">
        <v>512</v>
      </c>
      <c r="UA200" s="142" t="s">
        <v>2178</v>
      </c>
      <c r="UB200" s="319" t="s">
        <v>2179</v>
      </c>
      <c r="UC200" s="18" t="str">
        <f ca="1">IF(UC$1&gt;=$TM200,1,"0")</f>
        <v>0</v>
      </c>
      <c r="UH200" s="18" t="str">
        <f ca="1">IF(UH$1&gt;=$TM200,1,"0")</f>
        <v>0</v>
      </c>
      <c r="UL200" s="18" t="str">
        <f t="shared" ca="1" si="250"/>
        <v>0</v>
      </c>
      <c r="UY200" s="18" t="str">
        <f>IF(UY$1&gt;=$TM200,1,"0")</f>
        <v>0</v>
      </c>
      <c r="WD200" s="18" t="str">
        <f ca="1">IF(SUM($VZ$1:$WC$1)&gt;0,IF(AND(SUM($VZ200:$WC200)&gt;0,$TM200=WE$1),MAX(WD$2:WD199)+1,""),IF(AND(SUM($UC200:$VY200)&gt;0,$TM200=WE$1),MAX(WD$2:WD199)+1,""))</f>
        <v/>
      </c>
      <c r="WE200" s="59" t="str">
        <f t="shared" ca="1" si="239"/>
        <v/>
      </c>
      <c r="WF200" s="18" t="str">
        <f ca="1">IF(AND(SUM($UB200:$VY200)&gt;0,$TM200=WG$1),MAX(WF$2:WF199)+1,"")</f>
        <v/>
      </c>
      <c r="WG200" s="59" t="str">
        <f t="shared" ca="1" si="240"/>
        <v/>
      </c>
      <c r="WH200" s="18" t="str">
        <f ca="1">IF(AND(SUM($UB200:$VY200)&gt;0,$TM200=WI$1),MAX(WH$2:WH199)+1,"")</f>
        <v/>
      </c>
      <c r="WI200" s="59" t="str">
        <f t="shared" ca="1" si="241"/>
        <v/>
      </c>
      <c r="WJ200" s="18" t="str">
        <f ca="1">IF(AND(SUM($UB200:$VY200)&gt;0,$TM200=WK$1),MAX(WJ$2:WJ199)+1,"")</f>
        <v/>
      </c>
      <c r="WK200" s="59" t="str">
        <f t="shared" ca="1" si="242"/>
        <v/>
      </c>
      <c r="WL200" s="18" t="str">
        <f ca="1">IF(AND(SUM($UB200:$VY200)&gt;0,$TM200=WM$1),MAX(WL$2:WL199)+1,"")</f>
        <v/>
      </c>
      <c r="WM200" s="59" t="str">
        <f t="shared" ca="1" si="243"/>
        <v/>
      </c>
      <c r="WN200" s="18" t="str">
        <f ca="1">IF(AND(SUM($UB200:$VY200)&gt;0,$TM200=WO$1),MAX(WN$2:WN199)+1,"")</f>
        <v/>
      </c>
      <c r="WO200" s="59" t="str">
        <f t="shared" ca="1" si="244"/>
        <v/>
      </c>
      <c r="WP200" s="18" t="str">
        <f ca="1">IF(AND(SUM($UB200:$VY200)&gt;0,$TM200=WQ$1),MAX(WP$2:WP199)+1,"")</f>
        <v/>
      </c>
      <c r="WQ200" s="59" t="str">
        <f t="shared" ca="1" si="245"/>
        <v/>
      </c>
      <c r="WR200" s="18" t="str">
        <f ca="1">IF(AND(SUM($UB200:$VY200)&gt;0,$TM200=WS$1),MAX(WR$2:WR199)+1,"")</f>
        <v/>
      </c>
      <c r="WS200" s="59" t="str">
        <f t="shared" ca="1" si="246"/>
        <v/>
      </c>
      <c r="WT200" s="18" t="str">
        <f ca="1">IF(AND(SUM($UB200:$VY200)&gt;0,$TM200=WU$1),MAX(WT$2:WT199)+1,"")</f>
        <v/>
      </c>
      <c r="WU200" s="59" t="str">
        <f t="shared" ca="1" si="247"/>
        <v/>
      </c>
      <c r="WV200" s="18" t="str">
        <f ca="1">IF(AND(SUM($UB200:$VY200)&gt;0,$TM200=WW$1),MAX(WV$2:WV199)+1,"")</f>
        <v/>
      </c>
      <c r="WW200" s="59" t="str">
        <f t="shared" ca="1" si="248"/>
        <v/>
      </c>
      <c r="WX200" s="18" t="str">
        <f ca="1">IF(AND(SUM($UB200:$VY200)&gt;0,$TM200=WY$1),MAX(WX$2:WX199)+1,"")</f>
        <v/>
      </c>
      <c r="WY200" s="59" t="str">
        <f t="shared" ca="1" si="249"/>
        <v/>
      </c>
      <c r="WZ200" s="59"/>
      <c r="XC200" s="59" t="str">
        <f t="shared" ca="1" si="236"/>
        <v/>
      </c>
    </row>
    <row r="201" spans="260:627" ht="9.9499999999999993" customHeight="1" x14ac:dyDescent="0.2">
      <c r="TJ201" s="18">
        <f t="shared" si="251"/>
        <v>199</v>
      </c>
      <c r="TK201" s="58" t="s">
        <v>1821</v>
      </c>
      <c r="TL201" s="58" t="s">
        <v>461</v>
      </c>
      <c r="TM201" s="18">
        <v>4</v>
      </c>
      <c r="TN201" s="59" t="str">
        <f t="shared" si="237"/>
        <v xml:space="preserve">Leomund's Secret Chest </v>
      </c>
      <c r="TO201" s="18" t="str">
        <f>""</f>
        <v/>
      </c>
      <c r="TP201" s="18" t="str">
        <f t="shared" si="238"/>
        <v/>
      </c>
      <c r="TQ201" s="18" t="str">
        <f>IF(OR(TK201=Spellcasting!$AC$18,TK201=Spellcasting!$AC$19),"ᵐ","")</f>
        <v/>
      </c>
      <c r="TR201" s="18" t="str">
        <f>IF(OR(TK201=Spellcasting!$AC$20,TK201=Spellcasting!$AC$21),"ˢ","")</f>
        <v/>
      </c>
      <c r="TS201" s="18" t="str">
        <f>""</f>
        <v/>
      </c>
      <c r="TT201" s="18" t="s">
        <v>484</v>
      </c>
      <c r="TU201" s="18" t="s">
        <v>519</v>
      </c>
      <c r="TV201" s="18" t="s">
        <v>505</v>
      </c>
      <c r="TW201" s="18" t="s">
        <v>495</v>
      </c>
      <c r="TX201" s="59" t="s">
        <v>2180</v>
      </c>
      <c r="TY201" s="18" t="s">
        <v>516</v>
      </c>
      <c r="TZ201" s="18" t="s">
        <v>517</v>
      </c>
      <c r="UA201" s="142" t="s">
        <v>2181</v>
      </c>
      <c r="UB201" s="319" t="s">
        <v>2182</v>
      </c>
      <c r="UL201" s="18" t="str">
        <f t="shared" ca="1" si="250"/>
        <v>0</v>
      </c>
      <c r="WD201" s="18" t="str">
        <f ca="1">IF(SUM($VZ$1:$WC$1)&gt;0,IF(AND(SUM($VZ201:$WC201)&gt;0,$TM201=WE$1),MAX(WD$2:WD200)+1,""),IF(AND(SUM($UC201:$VY201)&gt;0,$TM201=WE$1),MAX(WD$2:WD200)+1,""))</f>
        <v/>
      </c>
      <c r="WE201" s="59" t="str">
        <f t="shared" ca="1" si="239"/>
        <v/>
      </c>
      <c r="WF201" s="18" t="str">
        <f ca="1">IF(AND(SUM($UB201:$VY201)&gt;0,$TM201=WG$1),MAX(WF$2:WF200)+1,"")</f>
        <v/>
      </c>
      <c r="WG201" s="59" t="str">
        <f t="shared" ca="1" si="240"/>
        <v/>
      </c>
      <c r="WH201" s="18" t="str">
        <f ca="1">IF(AND(SUM($UB201:$VY201)&gt;0,$TM201=WI$1),MAX(WH$2:WH200)+1,"")</f>
        <v/>
      </c>
      <c r="WI201" s="59" t="str">
        <f t="shared" ca="1" si="241"/>
        <v/>
      </c>
      <c r="WJ201" s="18" t="str">
        <f ca="1">IF(AND(SUM($UB201:$VY201)&gt;0,$TM201=WK$1),MAX(WJ$2:WJ200)+1,"")</f>
        <v/>
      </c>
      <c r="WK201" s="59" t="str">
        <f t="shared" ca="1" si="242"/>
        <v/>
      </c>
      <c r="WL201" s="18" t="str">
        <f ca="1">IF(AND(SUM($UB201:$VY201)&gt;0,$TM201=WM$1),MAX(WL$2:WL200)+1,"")</f>
        <v/>
      </c>
      <c r="WM201" s="59" t="str">
        <f t="shared" ca="1" si="243"/>
        <v/>
      </c>
      <c r="WN201" s="18" t="str">
        <f ca="1">IF(AND(SUM($UB201:$VY201)&gt;0,$TM201=WO$1),MAX(WN$2:WN200)+1,"")</f>
        <v/>
      </c>
      <c r="WO201" s="59" t="str">
        <f t="shared" ca="1" si="244"/>
        <v/>
      </c>
      <c r="WP201" s="18" t="str">
        <f ca="1">IF(AND(SUM($UB201:$VY201)&gt;0,$TM201=WQ$1),MAX(WP$2:WP200)+1,"")</f>
        <v/>
      </c>
      <c r="WQ201" s="59" t="str">
        <f t="shared" ca="1" si="245"/>
        <v/>
      </c>
      <c r="WR201" s="18" t="str">
        <f ca="1">IF(AND(SUM($UB201:$VY201)&gt;0,$TM201=WS$1),MAX(WR$2:WR200)+1,"")</f>
        <v/>
      </c>
      <c r="WS201" s="59" t="str">
        <f t="shared" ca="1" si="246"/>
        <v/>
      </c>
      <c r="WT201" s="18" t="str">
        <f ca="1">IF(AND(SUM($UB201:$VY201)&gt;0,$TM201=WU$1),MAX(WT$2:WT200)+1,"")</f>
        <v/>
      </c>
      <c r="WU201" s="59" t="str">
        <f t="shared" ca="1" si="247"/>
        <v/>
      </c>
      <c r="WV201" s="18" t="str">
        <f ca="1">IF(AND(SUM($UB201:$VY201)&gt;0,$TM201=WW$1),MAX(WV$2:WV200)+1,"")</f>
        <v/>
      </c>
      <c r="WW201" s="59" t="str">
        <f t="shared" ca="1" si="248"/>
        <v/>
      </c>
      <c r="WX201" s="18" t="str">
        <f ca="1">IF(AND(SUM($UB201:$VY201)&gt;0,$TM201=WY$1),MAX(WX$2:WX200)+1,"")</f>
        <v/>
      </c>
      <c r="WY201" s="59" t="str">
        <f t="shared" ca="1" si="249"/>
        <v/>
      </c>
      <c r="WZ201" s="59"/>
      <c r="XC201" s="59" t="str">
        <f t="shared" ca="1" si="236"/>
        <v/>
      </c>
    </row>
    <row r="202" spans="260:627" ht="9.9499999999999993" customHeight="1" x14ac:dyDescent="0.2">
      <c r="TJ202" s="18">
        <f t="shared" si="251"/>
        <v>200</v>
      </c>
      <c r="TK202" s="58" t="s">
        <v>1822</v>
      </c>
      <c r="TL202" s="58" t="s">
        <v>460</v>
      </c>
      <c r="TM202" s="18">
        <v>3</v>
      </c>
      <c r="TN202" s="59" t="str">
        <f t="shared" si="237"/>
        <v xml:space="preserve">Leomund's Tiny Hut </v>
      </c>
      <c r="TO202" s="18" t="str">
        <f>""</f>
        <v/>
      </c>
      <c r="TP202" s="18" t="str">
        <f t="shared" si="238"/>
        <v/>
      </c>
      <c r="TQ202" s="18" t="str">
        <f>IF(OR(TK202=Spellcasting!$AC$18,TK202=Spellcasting!$AC$19),"ᵐ","")</f>
        <v/>
      </c>
      <c r="TR202" s="18" t="str">
        <f>IF(OR(TK202=Spellcasting!$AC$20,TK202=Spellcasting!$AC$21),"ˢ","")</f>
        <v/>
      </c>
      <c r="TS202" s="18" t="s">
        <v>477</v>
      </c>
      <c r="TT202" s="18" t="s">
        <v>494</v>
      </c>
      <c r="TU202" s="18" t="s">
        <v>509</v>
      </c>
      <c r="TV202" s="18" t="s">
        <v>485</v>
      </c>
      <c r="TW202" s="18" t="s">
        <v>495</v>
      </c>
      <c r="TX202" s="59" t="s">
        <v>1467</v>
      </c>
      <c r="TY202" s="18" t="s">
        <v>534</v>
      </c>
      <c r="TZ202" s="18" t="s">
        <v>535</v>
      </c>
      <c r="UA202" s="142" t="s">
        <v>2241</v>
      </c>
      <c r="UB202" s="319" t="s">
        <v>1466</v>
      </c>
      <c r="UC202" s="18" t="str">
        <f ca="1">IF(UC$1&gt;=$TM202,1,"0")</f>
        <v>0</v>
      </c>
      <c r="UL202" s="18" t="str">
        <f t="shared" ca="1" si="250"/>
        <v>0</v>
      </c>
      <c r="VP202" s="18" t="str">
        <f>IF(VP$1&gt;=$TM202,1,"0")</f>
        <v>0</v>
      </c>
      <c r="WD202" s="18" t="str">
        <f ca="1">IF(SUM($VZ$1:$WC$1)&gt;0,IF(AND(SUM($VZ202:$WC202)&gt;0,$TM202=WE$1),MAX(WD$2:WD201)+1,""),IF(AND(SUM($UC202:$VY202)&gt;0,$TM202=WE$1),MAX(WD$2:WD201)+1,""))</f>
        <v/>
      </c>
      <c r="WE202" s="59" t="str">
        <f t="shared" ca="1" si="239"/>
        <v/>
      </c>
      <c r="WF202" s="18" t="str">
        <f ca="1">IF(AND(SUM($UB202:$VY202)&gt;0,$TM202=WG$1),MAX(WF$2:WF201)+1,"")</f>
        <v/>
      </c>
      <c r="WG202" s="59" t="str">
        <f t="shared" ca="1" si="240"/>
        <v/>
      </c>
      <c r="WH202" s="18" t="str">
        <f ca="1">IF(AND(SUM($UB202:$VY202)&gt;0,$TM202=WI$1),MAX(WH$2:WH201)+1,"")</f>
        <v/>
      </c>
      <c r="WI202" s="59" t="str">
        <f t="shared" ca="1" si="241"/>
        <v/>
      </c>
      <c r="WJ202" s="18" t="str">
        <f ca="1">IF(AND(SUM($UB202:$VY202)&gt;0,$TM202=WK$1),MAX(WJ$2:WJ201)+1,"")</f>
        <v/>
      </c>
      <c r="WK202" s="59" t="str">
        <f t="shared" ca="1" si="242"/>
        <v/>
      </c>
      <c r="WL202" s="18" t="str">
        <f ca="1">IF(AND(SUM($UB202:$VY202)&gt;0,$TM202=WM$1),MAX(WL$2:WL201)+1,"")</f>
        <v/>
      </c>
      <c r="WM202" s="59" t="str">
        <f t="shared" ca="1" si="243"/>
        <v/>
      </c>
      <c r="WN202" s="18" t="str">
        <f ca="1">IF(AND(SUM($UB202:$VY202)&gt;0,$TM202=WO$1),MAX(WN$2:WN201)+1,"")</f>
        <v/>
      </c>
      <c r="WO202" s="59" t="str">
        <f t="shared" ca="1" si="244"/>
        <v/>
      </c>
      <c r="WP202" s="18" t="str">
        <f ca="1">IF(AND(SUM($UB202:$VY202)&gt;0,$TM202=WQ$1),MAX(WP$2:WP201)+1,"")</f>
        <v/>
      </c>
      <c r="WQ202" s="59" t="str">
        <f t="shared" ca="1" si="245"/>
        <v/>
      </c>
      <c r="WR202" s="18" t="str">
        <f ca="1">IF(AND(SUM($UB202:$VY202)&gt;0,$TM202=WS$1),MAX(WR$2:WR201)+1,"")</f>
        <v/>
      </c>
      <c r="WS202" s="59" t="str">
        <f t="shared" ca="1" si="246"/>
        <v/>
      </c>
      <c r="WT202" s="18" t="str">
        <f ca="1">IF(AND(SUM($UB202:$VY202)&gt;0,$TM202=WU$1),MAX(WT$2:WT201)+1,"")</f>
        <v/>
      </c>
      <c r="WU202" s="59" t="str">
        <f t="shared" ca="1" si="247"/>
        <v/>
      </c>
      <c r="WV202" s="18" t="str">
        <f ca="1">IF(AND(SUM($UB202:$VY202)&gt;0,$TM202=WW$1),MAX(WV$2:WV201)+1,"")</f>
        <v/>
      </c>
      <c r="WW202" s="59" t="str">
        <f t="shared" ca="1" si="248"/>
        <v/>
      </c>
      <c r="WX202" s="18" t="str">
        <f ca="1">IF(AND(SUM($UB202:$VY202)&gt;0,$TM202=WY$1),MAX(WX$2:WX201)+1,"")</f>
        <v/>
      </c>
      <c r="WY202" s="59" t="str">
        <f t="shared" ca="1" si="249"/>
        <v/>
      </c>
      <c r="WZ202" s="59"/>
      <c r="XC202" s="59" t="str">
        <f t="shared" ca="1" si="236"/>
        <v/>
      </c>
    </row>
    <row r="203" spans="260:627" ht="9.9499999999999993" customHeight="1" x14ac:dyDescent="0.2">
      <c r="TJ203" s="18">
        <f t="shared" si="251"/>
        <v>201</v>
      </c>
      <c r="TK203" s="58" t="s">
        <v>627</v>
      </c>
      <c r="TL203" s="58" t="s">
        <v>459</v>
      </c>
      <c r="TM203" s="18">
        <v>2</v>
      </c>
      <c r="TN203" s="59" t="str">
        <f t="shared" si="237"/>
        <v xml:space="preserve">Lesser Restoration </v>
      </c>
      <c r="TO203" s="18" t="str">
        <f>""</f>
        <v/>
      </c>
      <c r="TP203" s="18" t="str">
        <f t="shared" si="238"/>
        <v/>
      </c>
      <c r="TQ203" s="18" t="str">
        <f>IF(OR(TK203=Spellcasting!$AC$18,TK203=Spellcasting!$AC$19),"ᵐ","")</f>
        <v/>
      </c>
      <c r="TR203" s="18" t="str">
        <f>IF(OR(TK203=Spellcasting!$AC$20,TK203=Spellcasting!$AC$21),"ˢ","")</f>
        <v/>
      </c>
      <c r="TS203" s="18" t="str">
        <f>""</f>
        <v/>
      </c>
      <c r="TT203" s="18" t="s">
        <v>484</v>
      </c>
      <c r="TU203" s="18" t="s">
        <v>519</v>
      </c>
      <c r="TV203" s="18" t="s">
        <v>505</v>
      </c>
      <c r="TW203" s="18" t="s">
        <v>486</v>
      </c>
      <c r="TX203" s="59" t="str">
        <f>""</f>
        <v/>
      </c>
      <c r="TY203" s="18" t="s">
        <v>487</v>
      </c>
      <c r="TZ203" s="18" t="s">
        <v>488</v>
      </c>
      <c r="UA203" s="142" t="s">
        <v>1338</v>
      </c>
      <c r="UB203" s="319" t="s">
        <v>1339</v>
      </c>
      <c r="UC203" s="18" t="str">
        <f ca="1">IF(UC$1&gt;=$TM203,1,"0")</f>
        <v>0</v>
      </c>
      <c r="UD203" s="18" t="str">
        <f ca="1">IF(UD$1&gt;=$TM203,1,"0")</f>
        <v>0</v>
      </c>
      <c r="UE203" s="18" t="str">
        <f ca="1">IF(UE$1&gt;=$TM203,1,"0")</f>
        <v>0</v>
      </c>
      <c r="UH203" s="18" t="str">
        <f ca="1">IF(UH$1&gt;=$TM203,1,"0")</f>
        <v>0</v>
      </c>
      <c r="UI203" s="18" t="str">
        <f ca="1">IF(UI$1&gt;=$TM203,1,"0")</f>
        <v>0</v>
      </c>
      <c r="UO203" s="18" t="str">
        <f>IF(UO$1&gt;=$TM203,1,"0")</f>
        <v>0</v>
      </c>
      <c r="UZ203" s="18" t="str">
        <f>IF(UZ$1&gt;=$TM203,1,"0")</f>
        <v>0</v>
      </c>
      <c r="WD203" s="18" t="str">
        <f ca="1">IF(SUM($VZ$1:$WC$1)&gt;0,IF(AND(SUM($VZ203:$WC203)&gt;0,$TM203=WE$1),MAX(WD$2:WD202)+1,""),IF(AND(SUM($UC203:$VY203)&gt;0,$TM203=WE$1),MAX(WD$2:WD202)+1,""))</f>
        <v/>
      </c>
      <c r="WE203" s="59" t="str">
        <f t="shared" ca="1" si="239"/>
        <v/>
      </c>
      <c r="WF203" s="18" t="str">
        <f ca="1">IF(AND(SUM($UB203:$VY203)&gt;0,$TM203=WG$1),MAX(WF$2:WF202)+1,"")</f>
        <v/>
      </c>
      <c r="WG203" s="59" t="str">
        <f t="shared" ca="1" si="240"/>
        <v/>
      </c>
      <c r="WH203" s="18" t="str">
        <f ca="1">IF(AND(SUM($UB203:$VY203)&gt;0,$TM203=WI$1),MAX(WH$2:WH202)+1,"")</f>
        <v/>
      </c>
      <c r="WI203" s="59" t="str">
        <f t="shared" ca="1" si="241"/>
        <v/>
      </c>
      <c r="WJ203" s="18" t="str">
        <f ca="1">IF(AND(SUM($UB203:$VY203)&gt;0,$TM203=WK$1),MAX(WJ$2:WJ202)+1,"")</f>
        <v/>
      </c>
      <c r="WK203" s="59" t="str">
        <f t="shared" ca="1" si="242"/>
        <v/>
      </c>
      <c r="WL203" s="18" t="str">
        <f ca="1">IF(AND(SUM($UB203:$VY203)&gt;0,$TM203=WM$1),MAX(WL$2:WL202)+1,"")</f>
        <v/>
      </c>
      <c r="WM203" s="59" t="str">
        <f t="shared" ca="1" si="243"/>
        <v/>
      </c>
      <c r="WN203" s="18" t="str">
        <f ca="1">IF(AND(SUM($UB203:$VY203)&gt;0,$TM203=WO$1),MAX(WN$2:WN202)+1,"")</f>
        <v/>
      </c>
      <c r="WO203" s="59" t="str">
        <f t="shared" ca="1" si="244"/>
        <v/>
      </c>
      <c r="WP203" s="18" t="str">
        <f ca="1">IF(AND(SUM($UB203:$VY203)&gt;0,$TM203=WQ$1),MAX(WP$2:WP202)+1,"")</f>
        <v/>
      </c>
      <c r="WQ203" s="59" t="str">
        <f t="shared" ca="1" si="245"/>
        <v/>
      </c>
      <c r="WR203" s="18" t="str">
        <f ca="1">IF(AND(SUM($UB203:$VY203)&gt;0,$TM203=WS$1),MAX(WR$2:WR202)+1,"")</f>
        <v/>
      </c>
      <c r="WS203" s="59" t="str">
        <f t="shared" ca="1" si="246"/>
        <v/>
      </c>
      <c r="WT203" s="18" t="str">
        <f ca="1">IF(AND(SUM($UB203:$VY203)&gt;0,$TM203=WU$1),MAX(WT$2:WT202)+1,"")</f>
        <v/>
      </c>
      <c r="WU203" s="59" t="str">
        <f t="shared" ca="1" si="247"/>
        <v/>
      </c>
      <c r="WV203" s="18" t="str">
        <f ca="1">IF(AND(SUM($UB203:$VY203)&gt;0,$TM203=WW$1),MAX(WV$2:WV202)+1,"")</f>
        <v/>
      </c>
      <c r="WW203" s="59" t="str">
        <f t="shared" ca="1" si="248"/>
        <v/>
      </c>
      <c r="WX203" s="18" t="str">
        <f ca="1">IF(AND(SUM($UB203:$VY203)&gt;0,$TM203=WY$1),MAX(WX$2:WX202)+1,"")</f>
        <v/>
      </c>
      <c r="WY203" s="59" t="str">
        <f t="shared" ca="1" si="249"/>
        <v/>
      </c>
      <c r="WZ203" s="59"/>
      <c r="XC203" s="59" t="str">
        <f t="shared" ref="XC203:XC234" ca="1" si="252">IF(ISERROR(VLOOKUP($WZ207,$WH$1:$WI$5013,2,FALSE)),"",VLOOKUP($WZ207,$WH$1:$WI$5013,2,FALSE))</f>
        <v/>
      </c>
    </row>
    <row r="204" spans="260:627" ht="9.9499999999999993" customHeight="1" x14ac:dyDescent="0.2">
      <c r="TJ204" s="18">
        <f t="shared" si="251"/>
        <v>202</v>
      </c>
      <c r="TK204" s="58" t="s">
        <v>628</v>
      </c>
      <c r="TL204" s="58" t="s">
        <v>459</v>
      </c>
      <c r="TM204" s="18">
        <v>2</v>
      </c>
      <c r="TN204" s="59" t="str">
        <f t="shared" si="237"/>
        <v xml:space="preserve">Levitate </v>
      </c>
      <c r="TO204" s="18" t="str">
        <f>""</f>
        <v/>
      </c>
      <c r="TP204" s="18" t="str">
        <f t="shared" si="238"/>
        <v/>
      </c>
      <c r="TQ204" s="18" t="str">
        <f>IF(OR(TK204=Spellcasting!$AC$18,TK204=Spellcasting!$AC$19),"ᵐ","")</f>
        <v/>
      </c>
      <c r="TR204" s="18" t="str">
        <f>IF(OR(TK204=Spellcasting!$AC$20,TK204=Spellcasting!$AC$21),"ˢ","")</f>
        <v/>
      </c>
      <c r="TS204" s="18" t="str">
        <f>""</f>
        <v/>
      </c>
      <c r="TT204" s="18" t="s">
        <v>484</v>
      </c>
      <c r="TU204" s="18" t="s">
        <v>850</v>
      </c>
      <c r="TV204" s="18" t="s">
        <v>515</v>
      </c>
      <c r="TW204" s="18" t="s">
        <v>495</v>
      </c>
      <c r="TX204" s="59" t="s">
        <v>1384</v>
      </c>
      <c r="TY204" s="18" t="s">
        <v>491</v>
      </c>
      <c r="TZ204" s="18" t="s">
        <v>492</v>
      </c>
      <c r="UA204" s="142" t="s">
        <v>1385</v>
      </c>
      <c r="UB204" s="319" t="s">
        <v>1340</v>
      </c>
      <c r="UF204" s="18" t="str">
        <f ca="1">IF(UF$1&gt;=$TM204,1,"0")</f>
        <v>0</v>
      </c>
      <c r="UL204" s="18" t="str">
        <f ca="1">IF(UL$1&gt;=$TM204,1,"0")</f>
        <v>0</v>
      </c>
      <c r="WD204" s="18" t="str">
        <f ca="1">IF(SUM($VZ$1:$WC$1)&gt;0,IF(AND(SUM($VZ204:$WC204)&gt;0,$TM204=WE$1),MAX(WD$2:WD203)+1,""),IF(AND(SUM($UC204:$VY204)&gt;0,$TM204=WE$1),MAX(WD$2:WD203)+1,""))</f>
        <v/>
      </c>
      <c r="WE204" s="59" t="str">
        <f t="shared" ca="1" si="239"/>
        <v/>
      </c>
      <c r="WF204" s="18" t="str">
        <f ca="1">IF(AND(SUM($UB204:$VY204)&gt;0,$TM204=WG$1),MAX(WF$2:WF203)+1,"")</f>
        <v/>
      </c>
      <c r="WG204" s="59" t="str">
        <f t="shared" ca="1" si="240"/>
        <v/>
      </c>
      <c r="WH204" s="18" t="str">
        <f ca="1">IF(AND(SUM($UB204:$VY204)&gt;0,$TM204=WI$1),MAX(WH$2:WH203)+1,"")</f>
        <v/>
      </c>
      <c r="WI204" s="59" t="str">
        <f t="shared" ca="1" si="241"/>
        <v/>
      </c>
      <c r="WJ204" s="18" t="str">
        <f ca="1">IF(AND(SUM($UB204:$VY204)&gt;0,$TM204=WK$1),MAX(WJ$2:WJ203)+1,"")</f>
        <v/>
      </c>
      <c r="WK204" s="59" t="str">
        <f t="shared" ca="1" si="242"/>
        <v/>
      </c>
      <c r="WL204" s="18" t="str">
        <f ca="1">IF(AND(SUM($UB204:$VY204)&gt;0,$TM204=WM$1),MAX(WL$2:WL203)+1,"")</f>
        <v/>
      </c>
      <c r="WM204" s="59" t="str">
        <f t="shared" ca="1" si="243"/>
        <v/>
      </c>
      <c r="WN204" s="18" t="str">
        <f ca="1">IF(AND(SUM($UB204:$VY204)&gt;0,$TM204=WO$1),MAX(WN$2:WN203)+1,"")</f>
        <v/>
      </c>
      <c r="WO204" s="59" t="str">
        <f t="shared" ca="1" si="244"/>
        <v/>
      </c>
      <c r="WP204" s="18" t="str">
        <f ca="1">IF(AND(SUM($UB204:$VY204)&gt;0,$TM204=WQ$1),MAX(WP$2:WP203)+1,"")</f>
        <v/>
      </c>
      <c r="WQ204" s="59" t="str">
        <f t="shared" ca="1" si="245"/>
        <v/>
      </c>
      <c r="WR204" s="18" t="str">
        <f ca="1">IF(AND(SUM($UB204:$VY204)&gt;0,$TM204=WS$1),MAX(WR$2:WR203)+1,"")</f>
        <v/>
      </c>
      <c r="WS204" s="59" t="str">
        <f t="shared" ca="1" si="246"/>
        <v/>
      </c>
      <c r="WT204" s="18" t="str">
        <f ca="1">IF(AND(SUM($UB204:$VY204)&gt;0,$TM204=WU$1),MAX(WT$2:WT203)+1,"")</f>
        <v/>
      </c>
      <c r="WU204" s="59" t="str">
        <f t="shared" ca="1" si="247"/>
        <v/>
      </c>
      <c r="WV204" s="18" t="str">
        <f ca="1">IF(AND(SUM($UB204:$VY204)&gt;0,$TM204=WW$1),MAX(WV$2:WV203)+1,"")</f>
        <v/>
      </c>
      <c r="WW204" s="59" t="str">
        <f t="shared" ca="1" si="248"/>
        <v/>
      </c>
      <c r="WX204" s="18" t="str">
        <f ca="1">IF(AND(SUM($UB204:$VY204)&gt;0,$TM204=WY$1),MAX(WX$2:WX203)+1,"")</f>
        <v/>
      </c>
      <c r="WY204" s="59" t="str">
        <f t="shared" ca="1" si="249"/>
        <v/>
      </c>
      <c r="WZ204" s="59"/>
      <c r="XC204" s="59" t="str">
        <f t="shared" ca="1" si="252"/>
        <v/>
      </c>
    </row>
    <row r="205" spans="260:627" ht="9.9499999999999993" customHeight="1" x14ac:dyDescent="0.2">
      <c r="TJ205" s="18">
        <f t="shared" si="251"/>
        <v>203</v>
      </c>
      <c r="TK205" s="58" t="s">
        <v>91</v>
      </c>
      <c r="TL205" s="58" t="s">
        <v>1840</v>
      </c>
      <c r="TM205" s="18">
        <v>0.5</v>
      </c>
      <c r="TN205" s="59" t="str">
        <f t="shared" si="237"/>
        <v xml:space="preserve">Light </v>
      </c>
      <c r="TO205" s="18" t="str">
        <f>""</f>
        <v/>
      </c>
      <c r="TP205" s="18" t="str">
        <f t="shared" si="238"/>
        <v/>
      </c>
      <c r="TQ205" s="18" t="str">
        <f>IF(OR(TK205=Spellcasting!$AC$18,TK205=Spellcasting!$AC$19),"ᵐ","")</f>
        <v/>
      </c>
      <c r="TR205" s="18" t="str">
        <f>IF(OR(TK205=Spellcasting!$AC$20,TK205=Spellcasting!$AC$21),"ˢ","")</f>
        <v/>
      </c>
      <c r="TS205" s="18" t="str">
        <f>""</f>
        <v/>
      </c>
      <c r="TT205" s="18" t="s">
        <v>484</v>
      </c>
      <c r="TU205" s="18" t="s">
        <v>519</v>
      </c>
      <c r="TV205" s="18" t="s">
        <v>521</v>
      </c>
      <c r="TW205" s="18" t="s">
        <v>686</v>
      </c>
      <c r="TX205" s="59" t="s">
        <v>991</v>
      </c>
      <c r="TY205" s="18" t="s">
        <v>534</v>
      </c>
      <c r="TZ205" s="18" t="s">
        <v>535</v>
      </c>
      <c r="UA205" s="142" t="s">
        <v>990</v>
      </c>
      <c r="UB205" s="319" t="s">
        <v>3057</v>
      </c>
      <c r="UC205" s="18" t="str">
        <f ca="1">IF(UC$1&gt;=$TM205,1,"0")</f>
        <v>0</v>
      </c>
      <c r="UF205" s="18" t="str">
        <f ca="1">IF(UF$1&gt;=$TM205,1,"0")</f>
        <v>0</v>
      </c>
      <c r="UH205" s="18" t="str">
        <f ca="1">IF(UH$1&gt;=$TM205,1,"0")</f>
        <v>0</v>
      </c>
      <c r="UL205" s="18" t="str">
        <f ca="1">IF(UL$1&gt;=$TM205,1,"0")</f>
        <v>0</v>
      </c>
      <c r="VP205" s="18" t="str">
        <f>IF(VP$1&gt;=$TM205,1,"0")</f>
        <v>0</v>
      </c>
      <c r="VQ205" s="18" t="str">
        <f>IF(VQ$1&gt;=$TM205,1,"0")</f>
        <v>0</v>
      </c>
      <c r="WA205" s="18" t="str">
        <f>IF(WA$1&gt;=$TM205,1,"0")</f>
        <v>0</v>
      </c>
      <c r="WB205" s="18" t="str">
        <f>IF(WB$1&gt;=$TM205,1,"0")</f>
        <v>0</v>
      </c>
      <c r="WC205" s="18"/>
      <c r="WD205" s="18" t="str">
        <f ca="1">IF(SUM($VZ$1:$WC$1)&gt;0,IF(AND(SUM($VZ205:$WC205)&gt;0,$TM205=WE$1),MAX(WD$2:WD204)+1,""),IF(AND(SUM($UC205:$VY205)&gt;0,$TM205=WE$1),MAX(WD$2:WD204)+1,""))</f>
        <v/>
      </c>
      <c r="WE205" s="59" t="str">
        <f t="shared" ca="1" si="239"/>
        <v/>
      </c>
      <c r="WF205" s="18" t="str">
        <f ca="1">IF(AND(SUM($UB205:$VY205)&gt;0,$TM205=WG$1),MAX(WF$2:WF204)+1,"")</f>
        <v/>
      </c>
      <c r="WG205" s="59" t="str">
        <f t="shared" ca="1" si="240"/>
        <v/>
      </c>
      <c r="WH205" s="18" t="str">
        <f ca="1">IF(AND(SUM($UB205:$VY205)&gt;0,$TM205=WI$1),MAX(WH$2:WH204)+1,"")</f>
        <v/>
      </c>
      <c r="WI205" s="59" t="str">
        <f t="shared" ca="1" si="241"/>
        <v/>
      </c>
      <c r="WJ205" s="18" t="str">
        <f ca="1">IF(AND(SUM($UB205:$VY205)&gt;0,$TM205=WK$1),MAX(WJ$2:WJ204)+1,"")</f>
        <v/>
      </c>
      <c r="WK205" s="59" t="str">
        <f t="shared" ca="1" si="242"/>
        <v/>
      </c>
      <c r="WL205" s="18" t="str">
        <f ca="1">IF(AND(SUM($UB205:$VY205)&gt;0,$TM205=WM$1),MAX(WL$2:WL204)+1,"")</f>
        <v/>
      </c>
      <c r="WM205" s="59" t="str">
        <f t="shared" ca="1" si="243"/>
        <v/>
      </c>
      <c r="WN205" s="18" t="str">
        <f ca="1">IF(AND(SUM($UB205:$VY205)&gt;0,$TM205=WO$1),MAX(WN$2:WN204)+1,"")</f>
        <v/>
      </c>
      <c r="WO205" s="59" t="str">
        <f t="shared" ca="1" si="244"/>
        <v/>
      </c>
      <c r="WP205" s="18" t="str">
        <f ca="1">IF(AND(SUM($UB205:$VY205)&gt;0,$TM205=WQ$1),MAX(WP$2:WP204)+1,"")</f>
        <v/>
      </c>
      <c r="WQ205" s="59" t="str">
        <f t="shared" ca="1" si="245"/>
        <v/>
      </c>
      <c r="WR205" s="18" t="str">
        <f ca="1">IF(AND(SUM($UB205:$VY205)&gt;0,$TM205=WS$1),MAX(WR$2:WR204)+1,"")</f>
        <v/>
      </c>
      <c r="WS205" s="59" t="str">
        <f t="shared" ca="1" si="246"/>
        <v/>
      </c>
      <c r="WT205" s="18" t="str">
        <f ca="1">IF(AND(SUM($UB205:$VY205)&gt;0,$TM205=WU$1),MAX(WT$2:WT204)+1,"")</f>
        <v/>
      </c>
      <c r="WU205" s="59" t="str">
        <f t="shared" ca="1" si="247"/>
        <v/>
      </c>
      <c r="WV205" s="18" t="str">
        <f ca="1">IF(AND(SUM($UB205:$VY205)&gt;0,$TM205=WW$1),MAX(WV$2:WV204)+1,"")</f>
        <v/>
      </c>
      <c r="WW205" s="59" t="str">
        <f t="shared" ca="1" si="248"/>
        <v/>
      </c>
      <c r="WX205" s="18" t="str">
        <f ca="1">IF(AND(SUM($UB205:$VY205)&gt;0,$TM205=WY$1),MAX(WX$2:WX204)+1,"")</f>
        <v/>
      </c>
      <c r="WY205" s="59" t="str">
        <f t="shared" ca="1" si="249"/>
        <v/>
      </c>
      <c r="WZ205" s="59"/>
      <c r="XC205" s="59" t="str">
        <f t="shared" ca="1" si="252"/>
        <v/>
      </c>
    </row>
    <row r="206" spans="260:627" ht="9.9499999999999993" customHeight="1" x14ac:dyDescent="0.2">
      <c r="TJ206" s="18">
        <f t="shared" si="251"/>
        <v>204</v>
      </c>
      <c r="TK206" s="58" t="s">
        <v>2779</v>
      </c>
      <c r="TL206" s="58" t="s">
        <v>460</v>
      </c>
      <c r="TM206" s="18">
        <v>3</v>
      </c>
      <c r="TN206" s="59" t="str">
        <f t="shared" si="237"/>
        <v xml:space="preserve">Lightning Arrow ᴴ </v>
      </c>
      <c r="TO206" s="350" t="s">
        <v>2991</v>
      </c>
      <c r="TP206" s="18" t="str">
        <f t="shared" si="238"/>
        <v/>
      </c>
      <c r="TQ206" s="18" t="str">
        <f>IF(OR(TK206=Spellcasting!$AC$18,TK206=Spellcasting!$AC$19),"ᵐ","")</f>
        <v/>
      </c>
      <c r="TR206" s="18" t="str">
        <f>IF(OR(TK206=Spellcasting!$AC$20,TK206=Spellcasting!$AC$21),"ˢ","")</f>
        <v/>
      </c>
      <c r="TS206" s="18" t="str">
        <f>""</f>
        <v/>
      </c>
      <c r="TT206" s="18" t="s">
        <v>1256</v>
      </c>
      <c r="TU206" s="18" t="s">
        <v>509</v>
      </c>
      <c r="TV206" s="18" t="s">
        <v>558</v>
      </c>
      <c r="TW206" s="18" t="s">
        <v>486</v>
      </c>
      <c r="TY206" s="18" t="s">
        <v>491</v>
      </c>
      <c r="TZ206" s="18" t="s">
        <v>492</v>
      </c>
      <c r="UA206" s="142" t="s">
        <v>2780</v>
      </c>
      <c r="UB206" s="319" t="s">
        <v>3018</v>
      </c>
      <c r="WD206" s="18" t="str">
        <f>IF(SUM($VZ$1:$WC$1)&gt;0,IF(AND(SUM($VZ206:$WC206)&gt;0,$TM206=WE$1),MAX(WD$2:WD205)+1,""),IF(AND(SUM($UC206:$VY206)&gt;0,$TM206=WE$1),MAX(WD$2:WD205)+1,""))</f>
        <v/>
      </c>
      <c r="WE206" s="59" t="str">
        <f t="shared" si="239"/>
        <v/>
      </c>
      <c r="WF206" s="18" t="str">
        <f>IF(AND(SUM($UB206:$VY206)&gt;0,$TM206=WG$1),MAX(WF$2:WF205)+1,"")</f>
        <v/>
      </c>
      <c r="WG206" s="59" t="str">
        <f t="shared" si="240"/>
        <v/>
      </c>
      <c r="WH206" s="18" t="str">
        <f>IF(AND(SUM($UB206:$VY206)&gt;0,$TM206=WI$1),MAX(WH$2:WH205)+1,"")</f>
        <v/>
      </c>
      <c r="WI206" s="59" t="str">
        <f t="shared" si="241"/>
        <v/>
      </c>
      <c r="WJ206" s="18" t="str">
        <f>IF(AND(SUM($UB206:$VY206)&gt;0,$TM206=WK$1),MAX(WJ$2:WJ205)+1,"")</f>
        <v/>
      </c>
      <c r="WK206" s="59" t="str">
        <f t="shared" si="242"/>
        <v/>
      </c>
      <c r="WL206" s="18" t="str">
        <f>IF(AND(SUM($UB206:$VY206)&gt;0,$TM206=WM$1),MAX(WL$2:WL205)+1,"")</f>
        <v/>
      </c>
      <c r="WM206" s="59" t="str">
        <f t="shared" si="243"/>
        <v/>
      </c>
      <c r="WN206" s="18" t="str">
        <f>IF(AND(SUM($UB206:$VY206)&gt;0,$TM206=WO$1),MAX(WN$2:WN205)+1,"")</f>
        <v/>
      </c>
      <c r="WO206" s="59" t="str">
        <f t="shared" si="244"/>
        <v/>
      </c>
      <c r="WP206" s="18" t="str">
        <f>IF(AND(SUM($UB206:$VY206)&gt;0,$TM206=WQ$1),MAX(WP$2:WP205)+1,"")</f>
        <v/>
      </c>
      <c r="WQ206" s="59" t="str">
        <f t="shared" si="245"/>
        <v/>
      </c>
      <c r="WR206" s="18" t="str">
        <f>IF(AND(SUM($UB206:$VY206)&gt;0,$TM206=WS$1),MAX(WR$2:WR205)+1,"")</f>
        <v/>
      </c>
      <c r="WS206" s="59" t="str">
        <f t="shared" si="246"/>
        <v/>
      </c>
      <c r="WT206" s="18" t="str">
        <f>IF(AND(SUM($UB206:$VY206)&gt;0,$TM206=WU$1),MAX(WT$2:WT205)+1,"")</f>
        <v/>
      </c>
      <c r="WU206" s="59" t="str">
        <f t="shared" si="247"/>
        <v/>
      </c>
      <c r="WV206" s="18" t="str">
        <f>IF(AND(SUM($UB206:$VY206)&gt;0,$TM206=WW$1),MAX(WV$2:WV205)+1,"")</f>
        <v/>
      </c>
      <c r="WW206" s="59" t="str">
        <f t="shared" si="248"/>
        <v/>
      </c>
      <c r="WX206" s="18" t="str">
        <f>IF(AND(SUM($UB206:$VY206)&gt;0,$TM206=WY$1),MAX(WX$2:WX205)+1,"")</f>
        <v/>
      </c>
      <c r="WY206" s="59" t="str">
        <f t="shared" si="249"/>
        <v/>
      </c>
      <c r="WZ206" s="59"/>
      <c r="XC206" s="59" t="str">
        <f t="shared" ca="1" si="252"/>
        <v/>
      </c>
    </row>
    <row r="207" spans="260:627" ht="9.9499999999999993" customHeight="1" x14ac:dyDescent="0.2">
      <c r="TJ207" s="18">
        <f>TJ206+1</f>
        <v>205</v>
      </c>
      <c r="TK207" s="58" t="s">
        <v>629</v>
      </c>
      <c r="TL207" s="58" t="s">
        <v>460</v>
      </c>
      <c r="TM207" s="18">
        <v>3</v>
      </c>
      <c r="TN207" s="59" t="str">
        <f t="shared" si="237"/>
        <v xml:space="preserve">Lightning Bolt </v>
      </c>
      <c r="TO207" s="18" t="str">
        <f>""</f>
        <v/>
      </c>
      <c r="TP207" s="18" t="str">
        <f t="shared" si="238"/>
        <v/>
      </c>
      <c r="TQ207" s="18" t="str">
        <f>IF(OR(TK207=Spellcasting!$AC$18,TK207=Spellcasting!$AC$19),"ᵐ","")</f>
        <v/>
      </c>
      <c r="TR207" s="18" t="str">
        <f>IF(OR(TK207=Spellcasting!$AC$20,TK207=Spellcasting!$AC$21),"ˢ","")</f>
        <v/>
      </c>
      <c r="TS207" s="18" t="str">
        <f>""</f>
        <v/>
      </c>
      <c r="TT207" s="18" t="s">
        <v>484</v>
      </c>
      <c r="TU207" s="18" t="s">
        <v>533</v>
      </c>
      <c r="TV207" s="18" t="s">
        <v>505</v>
      </c>
      <c r="TW207" s="18" t="s">
        <v>495</v>
      </c>
      <c r="TX207" s="59" t="s">
        <v>1468</v>
      </c>
      <c r="TY207" s="18" t="s">
        <v>534</v>
      </c>
      <c r="TZ207" s="18" t="s">
        <v>535</v>
      </c>
      <c r="UA207" s="142" t="s">
        <v>3181</v>
      </c>
      <c r="UB207" s="319" t="str">
        <f ca="1">"100x5ft, 8d6"&amp;IF(WizardEvocationLevel&gt;=10,"+"&amp;INTMod,IF(AD36=TRUE,"+"&amp;CHAMod,""))&amp;" lightning, dex save ½"</f>
        <v>100x5ft, 8d6 lightning, dex save ½</v>
      </c>
      <c r="UF207" s="18" t="str">
        <f ca="1">IF(UF$1&gt;=$TM207,1,"0")</f>
        <v>0</v>
      </c>
      <c r="UL207" s="18" t="str">
        <f ca="1">IF(UL$1&gt;=$TM207,1,"0")</f>
        <v>0</v>
      </c>
      <c r="VL207" s="18" t="str">
        <f>IF(VL$1&gt;=$TM207,1,"0")</f>
        <v>0</v>
      </c>
      <c r="VP207" s="18" t="str">
        <f>IF(VP$1&gt;=$TM207,1,"0")</f>
        <v>0</v>
      </c>
      <c r="WD207" s="18" t="str">
        <f ca="1">IF(SUM($VZ$1:$WC$1)&gt;0,IF(AND(SUM($VZ207:$WC207)&gt;0,$TM207=WE$1),MAX(WD$2:WD206)+1,""),IF(AND(SUM($UC207:$VY207)&gt;0,$TM207=WE$1),MAX(WD$2:WD206)+1,""))</f>
        <v/>
      </c>
      <c r="WE207" s="59" t="str">
        <f t="shared" ca="1" si="239"/>
        <v/>
      </c>
      <c r="WF207" s="18" t="str">
        <f ca="1">IF(AND(SUM($UB207:$VY207)&gt;0,$TM207=WG$1),MAX(WF$2:WF206)+1,"")</f>
        <v/>
      </c>
      <c r="WG207" s="59" t="str">
        <f t="shared" ca="1" si="240"/>
        <v/>
      </c>
      <c r="WH207" s="18" t="str">
        <f ca="1">IF(AND(SUM($UB207:$VY207)&gt;0,$TM207=WI$1),MAX(WH$2:WH206)+1,"")</f>
        <v/>
      </c>
      <c r="WI207" s="59" t="str">
        <f t="shared" ca="1" si="241"/>
        <v/>
      </c>
      <c r="WJ207" s="18" t="str">
        <f ca="1">IF(AND(SUM($UB207:$VY207)&gt;0,$TM207=WK$1),MAX(WJ$2:WJ206)+1,"")</f>
        <v/>
      </c>
      <c r="WK207" s="59" t="str">
        <f t="shared" ca="1" si="242"/>
        <v/>
      </c>
      <c r="WL207" s="18" t="str">
        <f ca="1">IF(AND(SUM($UB207:$VY207)&gt;0,$TM207=WM$1),MAX(WL$2:WL206)+1,"")</f>
        <v/>
      </c>
      <c r="WM207" s="59" t="str">
        <f t="shared" ca="1" si="243"/>
        <v/>
      </c>
      <c r="WN207" s="18" t="str">
        <f ca="1">IF(AND(SUM($UB207:$VY207)&gt;0,$TM207=WO$1),MAX(WN$2:WN206)+1,"")</f>
        <v/>
      </c>
      <c r="WO207" s="59" t="str">
        <f t="shared" ca="1" si="244"/>
        <v/>
      </c>
      <c r="WP207" s="18" t="str">
        <f ca="1">IF(AND(SUM($UB207:$VY207)&gt;0,$TM207=WQ$1),MAX(WP$2:WP206)+1,"")</f>
        <v/>
      </c>
      <c r="WQ207" s="59" t="str">
        <f t="shared" ca="1" si="245"/>
        <v/>
      </c>
      <c r="WR207" s="18" t="str">
        <f ca="1">IF(AND(SUM($UB207:$VY207)&gt;0,$TM207=WS$1),MAX(WR$2:WR206)+1,"")</f>
        <v/>
      </c>
      <c r="WS207" s="59" t="str">
        <f t="shared" ca="1" si="246"/>
        <v/>
      </c>
      <c r="WT207" s="18" t="str">
        <f ca="1">IF(AND(SUM($UB207:$VY207)&gt;0,$TM207=WU$1),MAX(WT$2:WT206)+1,"")</f>
        <v/>
      </c>
      <c r="WU207" s="59" t="str">
        <f t="shared" ca="1" si="247"/>
        <v/>
      </c>
      <c r="WV207" s="18" t="str">
        <f ca="1">IF(AND(SUM($UB207:$VY207)&gt;0,$TM207=WW$1),MAX(WV$2:WV206)+1,"")</f>
        <v/>
      </c>
      <c r="WW207" s="59" t="str">
        <f t="shared" ca="1" si="248"/>
        <v/>
      </c>
      <c r="WX207" s="18" t="str">
        <f ca="1">IF(AND(SUM($UB207:$VY207)&gt;0,$TM207=WY$1),MAX(WX$2:WX206)+1,"")</f>
        <v/>
      </c>
      <c r="WY207" s="59" t="str">
        <f t="shared" ca="1" si="249"/>
        <v/>
      </c>
      <c r="WZ207" s="59"/>
      <c r="XC207" s="59" t="str">
        <f t="shared" ca="1" si="252"/>
        <v/>
      </c>
    </row>
    <row r="208" spans="260:627" ht="9.9499999999999993" customHeight="1" x14ac:dyDescent="0.2">
      <c r="TJ208" s="18">
        <f t="shared" ref="TJ208:TJ271" si="253">TJ207+1</f>
        <v>206</v>
      </c>
      <c r="TK208" s="58" t="s">
        <v>630</v>
      </c>
      <c r="TL208" s="58" t="s">
        <v>459</v>
      </c>
      <c r="TM208" s="18">
        <v>2</v>
      </c>
      <c r="TN208" s="59" t="str">
        <f t="shared" si="237"/>
        <v xml:space="preserve">Locate Animals or Plants </v>
      </c>
      <c r="TO208" s="18" t="str">
        <f>""</f>
        <v/>
      </c>
      <c r="TP208" s="18" t="str">
        <f t="shared" si="238"/>
        <v/>
      </c>
      <c r="TQ208" s="18" t="str">
        <f>IF(OR(TK208=Spellcasting!$AC$18,TK208=Spellcasting!$AC$19),"ᵐ","")</f>
        <v/>
      </c>
      <c r="TR208" s="18" t="str">
        <f>IF(OR(TK208=Spellcasting!$AC$20,TK208=Spellcasting!$AC$21),"ˢ","")</f>
        <v/>
      </c>
      <c r="TS208" s="18" t="s">
        <v>477</v>
      </c>
      <c r="TT208" s="18" t="s">
        <v>501</v>
      </c>
      <c r="TU208" s="18" t="s">
        <v>509</v>
      </c>
      <c r="TV208" s="18" t="s">
        <v>505</v>
      </c>
      <c r="TW208" s="18" t="s">
        <v>495</v>
      </c>
      <c r="TX208" s="59" t="s">
        <v>1342</v>
      </c>
      <c r="TY208" s="18" t="s">
        <v>511</v>
      </c>
      <c r="TZ208" s="18" t="s">
        <v>512</v>
      </c>
      <c r="UA208" s="142" t="s">
        <v>1341</v>
      </c>
      <c r="UB208" s="319" t="s">
        <v>1343</v>
      </c>
      <c r="UC208" s="18" t="str">
        <f ca="1">IF(UC$1&gt;=$TM208,1,"0")</f>
        <v>0</v>
      </c>
      <c r="UE208" s="18" t="str">
        <f ca="1">IF(UE$1&gt;=$TM208,1,"0")</f>
        <v>0</v>
      </c>
      <c r="UI208" s="18" t="str">
        <f ca="1">IF(UI$1&gt;=$TM208,1,"0")</f>
        <v>0</v>
      </c>
      <c r="WD208" s="18" t="str">
        <f ca="1">IF(SUM($VZ$1:$WC$1)&gt;0,IF(AND(SUM($VZ208:$WC208)&gt;0,$TM208=WE$1),MAX(WD$2:WD207)+1,""),IF(AND(SUM($UC208:$VY208)&gt;0,$TM208=WE$1),MAX(WD$2:WD207)+1,""))</f>
        <v/>
      </c>
      <c r="WE208" s="59" t="str">
        <f t="shared" ca="1" si="239"/>
        <v/>
      </c>
      <c r="WF208" s="18" t="str">
        <f ca="1">IF(AND(SUM($UB208:$VY208)&gt;0,$TM208=WG$1),MAX(WF$2:WF207)+1,"")</f>
        <v/>
      </c>
      <c r="WG208" s="59" t="str">
        <f t="shared" ca="1" si="240"/>
        <v/>
      </c>
      <c r="WH208" s="18" t="str">
        <f ca="1">IF(AND(SUM($UB208:$VY208)&gt;0,$TM208=WI$1),MAX(WH$2:WH207)+1,"")</f>
        <v/>
      </c>
      <c r="WI208" s="59" t="str">
        <f t="shared" ca="1" si="241"/>
        <v/>
      </c>
      <c r="WJ208" s="18" t="str">
        <f ca="1">IF(AND(SUM($UB208:$VY208)&gt;0,$TM208=WK$1),MAX(WJ$2:WJ207)+1,"")</f>
        <v/>
      </c>
      <c r="WK208" s="59" t="str">
        <f t="shared" ca="1" si="242"/>
        <v/>
      </c>
      <c r="WL208" s="18" t="str">
        <f ca="1">IF(AND(SUM($UB208:$VY208)&gt;0,$TM208=WM$1),MAX(WL$2:WL207)+1,"")</f>
        <v/>
      </c>
      <c r="WM208" s="59" t="str">
        <f t="shared" ca="1" si="243"/>
        <v/>
      </c>
      <c r="WN208" s="18" t="str">
        <f ca="1">IF(AND(SUM($UB208:$VY208)&gt;0,$TM208=WO$1),MAX(WN$2:WN207)+1,"")</f>
        <v/>
      </c>
      <c r="WO208" s="59" t="str">
        <f t="shared" ca="1" si="244"/>
        <v/>
      </c>
      <c r="WP208" s="18" t="str">
        <f ca="1">IF(AND(SUM($UB208:$VY208)&gt;0,$TM208=WQ$1),MAX(WP$2:WP207)+1,"")</f>
        <v/>
      </c>
      <c r="WQ208" s="59" t="str">
        <f t="shared" ca="1" si="245"/>
        <v/>
      </c>
      <c r="WR208" s="18" t="str">
        <f ca="1">IF(AND(SUM($UB208:$VY208)&gt;0,$TM208=WS$1),MAX(WR$2:WR207)+1,"")</f>
        <v/>
      </c>
      <c r="WS208" s="59" t="str">
        <f t="shared" ca="1" si="246"/>
        <v/>
      </c>
      <c r="WT208" s="18" t="str">
        <f ca="1">IF(AND(SUM($UB208:$VY208)&gt;0,$TM208=WU$1),MAX(WT$2:WT207)+1,"")</f>
        <v/>
      </c>
      <c r="WU208" s="59" t="str">
        <f t="shared" ca="1" si="247"/>
        <v/>
      </c>
      <c r="WV208" s="18" t="str">
        <f ca="1">IF(AND(SUM($UB208:$VY208)&gt;0,$TM208=WW$1),MAX(WV$2:WV207)+1,"")</f>
        <v/>
      </c>
      <c r="WW208" s="59" t="str">
        <f t="shared" ca="1" si="248"/>
        <v/>
      </c>
      <c r="WX208" s="18" t="str">
        <f ca="1">IF(AND(SUM($UB208:$VY208)&gt;0,$TM208=WY$1),MAX(WX$2:WX207)+1,"")</f>
        <v/>
      </c>
      <c r="WY208" s="59" t="str">
        <f t="shared" ca="1" si="249"/>
        <v/>
      </c>
      <c r="WZ208" s="59"/>
      <c r="XC208" s="59" t="str">
        <f t="shared" ca="1" si="252"/>
        <v/>
      </c>
    </row>
    <row r="209" spans="530:627" ht="9.9499999999999993" customHeight="1" x14ac:dyDescent="0.2">
      <c r="TJ209" s="18">
        <f t="shared" si="253"/>
        <v>207</v>
      </c>
      <c r="TK209" s="58" t="s">
        <v>1254</v>
      </c>
      <c r="TL209" s="58" t="s">
        <v>461</v>
      </c>
      <c r="TM209" s="18">
        <v>4</v>
      </c>
      <c r="TN209" s="59" t="str">
        <f t="shared" si="237"/>
        <v xml:space="preserve">Locate Creature </v>
      </c>
      <c r="TO209" s="18" t="str">
        <f>""</f>
        <v/>
      </c>
      <c r="TP209" s="18" t="str">
        <f t="shared" si="238"/>
        <v/>
      </c>
      <c r="TQ209" s="18" t="str">
        <f>IF(OR(TK209=Spellcasting!$AC$18,TK209=Spellcasting!$AC$19),"ᵐ","")</f>
        <v/>
      </c>
      <c r="TR209" s="18" t="str">
        <f>IF(OR(TK209=Spellcasting!$AC$20,TK209=Spellcasting!$AC$21),"ˢ","")</f>
        <v/>
      </c>
      <c r="TS209" s="18" t="str">
        <f>""</f>
        <v/>
      </c>
      <c r="TT209" s="18" t="s">
        <v>484</v>
      </c>
      <c r="TU209" s="18" t="s">
        <v>509</v>
      </c>
      <c r="TV209" s="18" t="s">
        <v>490</v>
      </c>
      <c r="TW209" s="18" t="s">
        <v>495</v>
      </c>
      <c r="TX209" s="59" t="s">
        <v>1342</v>
      </c>
      <c r="TY209" s="18" t="s">
        <v>511</v>
      </c>
      <c r="TZ209" s="18" t="s">
        <v>512</v>
      </c>
      <c r="UA209" s="142" t="s">
        <v>2183</v>
      </c>
      <c r="UB209" s="319" t="s">
        <v>2184</v>
      </c>
      <c r="UC209" s="18" t="str">
        <f ca="1">IF(UC$1&gt;=$TM209,1,"0")</f>
        <v>0</v>
      </c>
      <c r="UD209" s="18" t="str">
        <f ca="1">IF(UD$1&gt;=$TM209,1,"0")</f>
        <v>0</v>
      </c>
      <c r="UH209" s="18" t="str">
        <f ca="1">IF(UH$1&gt;=$TM209,1,"0")</f>
        <v>0</v>
      </c>
      <c r="UL209" s="18" t="str">
        <f t="shared" ref="UL209:UL219" ca="1" si="254">IF(UL$1&gt;=$TM209,1,"0")</f>
        <v>0</v>
      </c>
      <c r="VM209" s="18" t="str">
        <f>IF(VM$1&gt;=$TM209,1,"0")</f>
        <v>0</v>
      </c>
      <c r="WD209" s="18" t="str">
        <f ca="1">IF(SUM($VZ$1:$WC$1)&gt;0,IF(AND(SUM($VZ209:$WC209)&gt;0,$TM209=WE$1),MAX(WD$2:WD208)+1,""),IF(AND(SUM($UC209:$VY209)&gt;0,$TM209=WE$1),MAX(WD$2:WD208)+1,""))</f>
        <v/>
      </c>
      <c r="WE209" s="59" t="str">
        <f t="shared" ca="1" si="239"/>
        <v/>
      </c>
      <c r="WF209" s="18" t="str">
        <f ca="1">IF(AND(SUM($UB209:$VY209)&gt;0,$TM209=WG$1),MAX(WF$2:WF208)+1,"")</f>
        <v/>
      </c>
      <c r="WG209" s="59" t="str">
        <f t="shared" ca="1" si="240"/>
        <v/>
      </c>
      <c r="WH209" s="18" t="str">
        <f ca="1">IF(AND(SUM($UB209:$VY209)&gt;0,$TM209=WI$1),MAX(WH$2:WH208)+1,"")</f>
        <v/>
      </c>
      <c r="WI209" s="59" t="str">
        <f t="shared" ca="1" si="241"/>
        <v/>
      </c>
      <c r="WJ209" s="18" t="str">
        <f ca="1">IF(AND(SUM($UB209:$VY209)&gt;0,$TM209=WK$1),MAX(WJ$2:WJ208)+1,"")</f>
        <v/>
      </c>
      <c r="WK209" s="59" t="str">
        <f t="shared" ca="1" si="242"/>
        <v/>
      </c>
      <c r="WL209" s="18" t="str">
        <f ca="1">IF(AND(SUM($UB209:$VY209)&gt;0,$TM209=WM$1),MAX(WL$2:WL208)+1,"")</f>
        <v/>
      </c>
      <c r="WM209" s="59" t="str">
        <f t="shared" ca="1" si="243"/>
        <v/>
      </c>
      <c r="WN209" s="18" t="str">
        <f ca="1">IF(AND(SUM($UB209:$VY209)&gt;0,$TM209=WO$1),MAX(WN$2:WN208)+1,"")</f>
        <v/>
      </c>
      <c r="WO209" s="59" t="str">
        <f t="shared" ca="1" si="244"/>
        <v/>
      </c>
      <c r="WP209" s="18" t="str">
        <f ca="1">IF(AND(SUM($UB209:$VY209)&gt;0,$TM209=WQ$1),MAX(WP$2:WP208)+1,"")</f>
        <v/>
      </c>
      <c r="WQ209" s="59" t="str">
        <f t="shared" ca="1" si="245"/>
        <v/>
      </c>
      <c r="WR209" s="18" t="str">
        <f ca="1">IF(AND(SUM($UB209:$VY209)&gt;0,$TM209=WS$1),MAX(WR$2:WR208)+1,"")</f>
        <v/>
      </c>
      <c r="WS209" s="59" t="str">
        <f t="shared" ca="1" si="246"/>
        <v/>
      </c>
      <c r="WT209" s="18" t="str">
        <f ca="1">IF(AND(SUM($UB209:$VY209)&gt;0,$TM209=WU$1),MAX(WT$2:WT208)+1,"")</f>
        <v/>
      </c>
      <c r="WU209" s="59" t="str">
        <f t="shared" ca="1" si="247"/>
        <v/>
      </c>
      <c r="WV209" s="18" t="str">
        <f ca="1">IF(AND(SUM($UB209:$VY209)&gt;0,$TM209=WW$1),MAX(WV$2:WV208)+1,"")</f>
        <v/>
      </c>
      <c r="WW209" s="59" t="str">
        <f t="shared" ca="1" si="248"/>
        <v/>
      </c>
      <c r="WX209" s="18" t="str">
        <f ca="1">IF(AND(SUM($UB209:$VY209)&gt;0,$TM209=WY$1),MAX(WX$2:WX208)+1,"")</f>
        <v/>
      </c>
      <c r="WY209" s="59" t="str">
        <f t="shared" ca="1" si="249"/>
        <v/>
      </c>
      <c r="WZ209" s="59"/>
      <c r="XC209" s="59" t="str">
        <f t="shared" ca="1" si="252"/>
        <v/>
      </c>
    </row>
    <row r="210" spans="530:627" ht="9.9499999999999993" customHeight="1" x14ac:dyDescent="0.2">
      <c r="TJ210" s="18">
        <f t="shared" si="253"/>
        <v>208</v>
      </c>
      <c r="TK210" s="58" t="s">
        <v>1229</v>
      </c>
      <c r="TL210" s="58" t="s">
        <v>459</v>
      </c>
      <c r="TM210" s="18">
        <v>2</v>
      </c>
      <c r="TN210" s="59" t="str">
        <f t="shared" si="237"/>
        <v xml:space="preserve">Locate Object </v>
      </c>
      <c r="TO210" s="18" t="str">
        <f>""</f>
        <v/>
      </c>
      <c r="TP210" s="18" t="str">
        <f t="shared" si="238"/>
        <v/>
      </c>
      <c r="TQ210" s="18" t="str">
        <f>IF(OR(TK210=Spellcasting!$AC$18,TK210=Spellcasting!$AC$19),"ᵐ","")</f>
        <v/>
      </c>
      <c r="TR210" s="18" t="str">
        <f>IF(OR(TK210=Spellcasting!$AC$20,TK210=Spellcasting!$AC$21),"ˢ","")</f>
        <v/>
      </c>
      <c r="TS210" s="18" t="str">
        <f>""</f>
        <v/>
      </c>
      <c r="TT210" s="18" t="s">
        <v>484</v>
      </c>
      <c r="TU210" s="18" t="s">
        <v>509</v>
      </c>
      <c r="TV210" s="18" t="s">
        <v>515</v>
      </c>
      <c r="TW210" s="18" t="s">
        <v>495</v>
      </c>
      <c r="TX210" s="59" t="s">
        <v>1344</v>
      </c>
      <c r="TY210" s="18" t="s">
        <v>511</v>
      </c>
      <c r="TZ210" s="18" t="s">
        <v>512</v>
      </c>
      <c r="UA210" s="142" t="s">
        <v>1345</v>
      </c>
      <c r="UB210" s="319" t="s">
        <v>1346</v>
      </c>
      <c r="UC210" s="18" t="str">
        <f ca="1">IF(UC$1&gt;=$TM210,1,"0")</f>
        <v>0</v>
      </c>
      <c r="UD210" s="18" t="str">
        <f ca="1">IF(UD$1&gt;=$TM210,1,"0")</f>
        <v>0</v>
      </c>
      <c r="UH210" s="18" t="str">
        <f ca="1">IF(UH$1&gt;=$TM210,1,"0")</f>
        <v>0</v>
      </c>
      <c r="UL210" s="18" t="str">
        <f t="shared" ca="1" si="254"/>
        <v>0</v>
      </c>
      <c r="WD210" s="18" t="str">
        <f ca="1">IF(SUM($VZ$1:$WC$1)&gt;0,IF(AND(SUM($VZ210:$WC210)&gt;0,$TM210=WE$1),MAX(WD$2:WD209)+1,""),IF(AND(SUM($UC210:$VY210)&gt;0,$TM210=WE$1),MAX(WD$2:WD209)+1,""))</f>
        <v/>
      </c>
      <c r="WE210" s="59" t="str">
        <f t="shared" ca="1" si="239"/>
        <v/>
      </c>
      <c r="WF210" s="18" t="str">
        <f ca="1">IF(AND(SUM($UB210:$VY210)&gt;0,$TM210=WG$1),MAX(WF$2:WF209)+1,"")</f>
        <v/>
      </c>
      <c r="WG210" s="59" t="str">
        <f t="shared" ca="1" si="240"/>
        <v/>
      </c>
      <c r="WH210" s="18" t="str">
        <f ca="1">IF(AND(SUM($UB210:$VY210)&gt;0,$TM210=WI$1),MAX(WH$2:WH209)+1,"")</f>
        <v/>
      </c>
      <c r="WI210" s="59" t="str">
        <f t="shared" ca="1" si="241"/>
        <v/>
      </c>
      <c r="WJ210" s="18" t="str">
        <f ca="1">IF(AND(SUM($UB210:$VY210)&gt;0,$TM210=WK$1),MAX(WJ$2:WJ209)+1,"")</f>
        <v/>
      </c>
      <c r="WK210" s="59" t="str">
        <f t="shared" ca="1" si="242"/>
        <v/>
      </c>
      <c r="WL210" s="18" t="str">
        <f ca="1">IF(AND(SUM($UB210:$VY210)&gt;0,$TM210=WM$1),MAX(WL$2:WL209)+1,"")</f>
        <v/>
      </c>
      <c r="WM210" s="59" t="str">
        <f t="shared" ca="1" si="243"/>
        <v/>
      </c>
      <c r="WN210" s="18" t="str">
        <f ca="1">IF(AND(SUM($UB210:$VY210)&gt;0,$TM210=WO$1),MAX(WN$2:WN209)+1,"")</f>
        <v/>
      </c>
      <c r="WO210" s="59" t="str">
        <f t="shared" ca="1" si="244"/>
        <v/>
      </c>
      <c r="WP210" s="18" t="str">
        <f ca="1">IF(AND(SUM($UB210:$VY210)&gt;0,$TM210=WQ$1),MAX(WP$2:WP209)+1,"")</f>
        <v/>
      </c>
      <c r="WQ210" s="59" t="str">
        <f t="shared" ca="1" si="245"/>
        <v/>
      </c>
      <c r="WR210" s="18" t="str">
        <f ca="1">IF(AND(SUM($UB210:$VY210)&gt;0,$TM210=WS$1),MAX(WR$2:WR209)+1,"")</f>
        <v/>
      </c>
      <c r="WS210" s="59" t="str">
        <f t="shared" ca="1" si="246"/>
        <v/>
      </c>
      <c r="WT210" s="18" t="str">
        <f ca="1">IF(AND(SUM($UB210:$VY210)&gt;0,$TM210=WU$1),MAX(WT$2:WT209)+1,"")</f>
        <v/>
      </c>
      <c r="WU210" s="59" t="str">
        <f t="shared" ca="1" si="247"/>
        <v/>
      </c>
      <c r="WV210" s="18" t="str">
        <f ca="1">IF(AND(SUM($UB210:$VY210)&gt;0,$TM210=WW$1),MAX(WV$2:WV209)+1,"")</f>
        <v/>
      </c>
      <c r="WW210" s="59" t="str">
        <f t="shared" ca="1" si="248"/>
        <v/>
      </c>
      <c r="WX210" s="18" t="str">
        <f ca="1">IF(AND(SUM($UB210:$VY210)&gt;0,$TM210=WY$1),MAX(WX$2:WX209)+1,"")</f>
        <v/>
      </c>
      <c r="WY210" s="59" t="str">
        <f t="shared" ca="1" si="249"/>
        <v/>
      </c>
      <c r="WZ210" s="59"/>
      <c r="XC210" s="59" t="str">
        <f t="shared" ca="1" si="252"/>
        <v/>
      </c>
    </row>
    <row r="211" spans="530:627" ht="9.9499999999999993" customHeight="1" x14ac:dyDescent="0.2">
      <c r="TJ211" s="18">
        <f t="shared" si="253"/>
        <v>209</v>
      </c>
      <c r="TK211" s="58" t="s">
        <v>631</v>
      </c>
      <c r="TL211" s="58" t="s">
        <v>448</v>
      </c>
      <c r="TM211" s="18">
        <v>1</v>
      </c>
      <c r="TN211" s="59" t="str">
        <f t="shared" si="237"/>
        <v xml:space="preserve">Longstrider </v>
      </c>
      <c r="TO211" s="18" t="str">
        <f>""</f>
        <v/>
      </c>
      <c r="TP211" s="18" t="str">
        <f t="shared" si="238"/>
        <v/>
      </c>
      <c r="TQ211" s="18" t="str">
        <f>IF(OR(TK211=Spellcasting!$AC$18,TK211=Spellcasting!$AC$19),"ᵐ","")</f>
        <v/>
      </c>
      <c r="TR211" s="18" t="str">
        <f>IF(OR(TK211=Spellcasting!$AC$20,TK211=Spellcasting!$AC$21),"ˢ","")</f>
        <v/>
      </c>
      <c r="TS211" s="18" t="str">
        <f>""</f>
        <v/>
      </c>
      <c r="TT211" s="18" t="s">
        <v>484</v>
      </c>
      <c r="TU211" s="18" t="s">
        <v>519</v>
      </c>
      <c r="TV211" s="18" t="s">
        <v>521</v>
      </c>
      <c r="TW211" s="18" t="s">
        <v>495</v>
      </c>
      <c r="TX211" s="59" t="s">
        <v>1413</v>
      </c>
      <c r="TY211" s="18" t="s">
        <v>491</v>
      </c>
      <c r="TZ211" s="18" t="s">
        <v>492</v>
      </c>
      <c r="UA211" s="59" t="s">
        <v>1414</v>
      </c>
      <c r="UB211" s="537" t="s">
        <v>3016</v>
      </c>
      <c r="UC211" s="18" t="str">
        <f ca="1">IF(UC$1&gt;=$TM211,1,"0")</f>
        <v>0</v>
      </c>
      <c r="UE211" s="18" t="str">
        <f ca="1">IF(UE$1&gt;=$TM211,1,"0")</f>
        <v>0</v>
      </c>
      <c r="UI211" s="18" t="str">
        <f ca="1">IF(UI$1&gt;=$TM211,1,"0")</f>
        <v>0</v>
      </c>
      <c r="UL211" s="18" t="str">
        <f t="shared" ca="1" si="254"/>
        <v>0</v>
      </c>
      <c r="VZ211" s="258"/>
      <c r="WA211" s="258"/>
      <c r="WB211" s="258"/>
      <c r="WC211" s="258"/>
      <c r="WD211" s="18" t="str">
        <f ca="1">IF(SUM($VZ$1:$WC$1)&gt;0,IF(AND(SUM($VZ211:$WC211)&gt;0,$TM211=WE$1),MAX(WD$2:WD210)+1,""),IF(AND(SUM($UC211:$VY211)&gt;0,$TM211=WE$1),MAX(WD$2:WD210)+1,""))</f>
        <v/>
      </c>
      <c r="WE211" s="59" t="str">
        <f t="shared" ca="1" si="239"/>
        <v/>
      </c>
      <c r="WF211" s="18" t="str">
        <f ca="1">IF(AND(SUM($UB211:$VY211)&gt;0,$TM211=WG$1),MAX(WF$2:WF210)+1,"")</f>
        <v/>
      </c>
      <c r="WG211" s="59" t="str">
        <f t="shared" ca="1" si="240"/>
        <v/>
      </c>
      <c r="WH211" s="18" t="str">
        <f ca="1">IF(AND(SUM($UB211:$VY211)&gt;0,$TM211=WI$1),MAX(WH$2:WH210)+1,"")</f>
        <v/>
      </c>
      <c r="WI211" s="59" t="str">
        <f t="shared" ca="1" si="241"/>
        <v/>
      </c>
      <c r="WJ211" s="18" t="str">
        <f ca="1">IF(AND(SUM($UB211:$VY211)&gt;0,$TM211=WK$1),MAX(WJ$2:WJ210)+1,"")</f>
        <v/>
      </c>
      <c r="WK211" s="59" t="str">
        <f t="shared" ca="1" si="242"/>
        <v/>
      </c>
      <c r="WL211" s="18" t="str">
        <f ca="1">IF(AND(SUM($UB211:$VY211)&gt;0,$TM211=WM$1),MAX(WL$2:WL210)+1,"")</f>
        <v/>
      </c>
      <c r="WM211" s="59" t="str">
        <f t="shared" ca="1" si="243"/>
        <v/>
      </c>
      <c r="WN211" s="18" t="str">
        <f ca="1">IF(AND(SUM($UB211:$VY211)&gt;0,$TM211=WO$1),MAX(WN$2:WN210)+1,"")</f>
        <v/>
      </c>
      <c r="WO211" s="59" t="str">
        <f t="shared" ca="1" si="244"/>
        <v/>
      </c>
      <c r="WP211" s="18" t="str">
        <f ca="1">IF(AND(SUM($UB211:$VY211)&gt;0,$TM211=WQ$1),MAX(WP$2:WP210)+1,"")</f>
        <v/>
      </c>
      <c r="WQ211" s="59" t="str">
        <f t="shared" ca="1" si="245"/>
        <v/>
      </c>
      <c r="WR211" s="18" t="str">
        <f ca="1">IF(AND(SUM($UB211:$VY211)&gt;0,$TM211=WS$1),MAX(WR$2:WR210)+1,"")</f>
        <v/>
      </c>
      <c r="WS211" s="59" t="str">
        <f t="shared" ca="1" si="246"/>
        <v/>
      </c>
      <c r="WT211" s="18" t="str">
        <f ca="1">IF(AND(SUM($UB211:$VY211)&gt;0,$TM211=WU$1),MAX(WT$2:WT210)+1,"")</f>
        <v/>
      </c>
      <c r="WU211" s="59" t="str">
        <f t="shared" ca="1" si="247"/>
        <v/>
      </c>
      <c r="WV211" s="18" t="str">
        <f ca="1">IF(AND(SUM($UB211:$VY211)&gt;0,$TM211=WW$1),MAX(WV$2:WV210)+1,"")</f>
        <v/>
      </c>
      <c r="WW211" s="59" t="str">
        <f t="shared" ca="1" si="248"/>
        <v/>
      </c>
      <c r="WX211" s="18" t="str">
        <f ca="1">IF(AND(SUM($UB211:$VY211)&gt;0,$TM211=WY$1),MAX(WX$2:WX210)+1,"")</f>
        <v/>
      </c>
      <c r="WY211" s="59" t="str">
        <f t="shared" ca="1" si="249"/>
        <v/>
      </c>
      <c r="WZ211" s="59"/>
      <c r="XC211" s="59" t="str">
        <f t="shared" ca="1" si="252"/>
        <v/>
      </c>
    </row>
    <row r="212" spans="530:627" ht="9.9499999999999993" customHeight="1" x14ac:dyDescent="0.2">
      <c r="TJ212" s="18">
        <f t="shared" si="253"/>
        <v>210</v>
      </c>
      <c r="TK212" s="58" t="s">
        <v>632</v>
      </c>
      <c r="TL212" s="58" t="s">
        <v>448</v>
      </c>
      <c r="TM212" s="18">
        <v>1</v>
      </c>
      <c r="TN212" s="59" t="str">
        <f t="shared" si="237"/>
        <v xml:space="preserve">Mage Armor </v>
      </c>
      <c r="TO212" s="18" t="str">
        <f>""</f>
        <v/>
      </c>
      <c r="TP212" s="18" t="str">
        <f t="shared" si="238"/>
        <v/>
      </c>
      <c r="TQ212" s="18" t="str">
        <f>IF(OR(TK212=Spellcasting!$AC$18,TK212=Spellcasting!$AC$19),"ᵐ","")</f>
        <v/>
      </c>
      <c r="TR212" s="18" t="str">
        <f>IF(OR(TK212=Spellcasting!$AC$20,TK212=Spellcasting!$AC$21),"ˢ","")</f>
        <v/>
      </c>
      <c r="TS212" s="18" t="str">
        <f>""</f>
        <v/>
      </c>
      <c r="TT212" s="18" t="s">
        <v>484</v>
      </c>
      <c r="TU212" s="18" t="s">
        <v>519</v>
      </c>
      <c r="TV212" s="18" t="s">
        <v>485</v>
      </c>
      <c r="TW212" s="18" t="s">
        <v>495</v>
      </c>
      <c r="TX212" s="59" t="s">
        <v>1415</v>
      </c>
      <c r="TY212" s="18" t="s">
        <v>487</v>
      </c>
      <c r="TZ212" s="18" t="s">
        <v>488</v>
      </c>
      <c r="UA212" s="142" t="s">
        <v>2242</v>
      </c>
      <c r="UB212" s="319" t="s">
        <v>3217</v>
      </c>
      <c r="UF212" s="18" t="str">
        <f ca="1">IF(UF$1&gt;=$TM212,1,"0")</f>
        <v>0</v>
      </c>
      <c r="UL212" s="18" t="str">
        <f t="shared" ca="1" si="254"/>
        <v>0</v>
      </c>
      <c r="VP212" s="18" t="str">
        <f>IF(VP$1&gt;=$TM212,1,"0")</f>
        <v>0</v>
      </c>
      <c r="WD212" s="18" t="str">
        <f ca="1">IF(SUM($VZ$1:$WC$1)&gt;0,IF(AND(SUM($VZ212:$WC212)&gt;0,$TM212=WE$1),MAX(WD$2:WD211)+1,""),IF(AND(SUM($UC212:$VY212)&gt;0,$TM212=WE$1),MAX(WD$2:WD211)+1,""))</f>
        <v/>
      </c>
      <c r="WE212" s="59" t="str">
        <f t="shared" ca="1" si="239"/>
        <v/>
      </c>
      <c r="WF212" s="18" t="str">
        <f ca="1">IF(AND(SUM($UB212:$VY212)&gt;0,$TM212=WG$1),MAX(WF$2:WF211)+1,"")</f>
        <v/>
      </c>
      <c r="WG212" s="59" t="str">
        <f t="shared" ca="1" si="240"/>
        <v/>
      </c>
      <c r="WH212" s="18" t="str">
        <f ca="1">IF(AND(SUM($UB212:$VY212)&gt;0,$TM212=WI$1),MAX(WH$2:WH211)+1,"")</f>
        <v/>
      </c>
      <c r="WI212" s="59" t="str">
        <f t="shared" ca="1" si="241"/>
        <v/>
      </c>
      <c r="WJ212" s="18" t="str">
        <f ca="1">IF(AND(SUM($UB212:$VY212)&gt;0,$TM212=WK$1),MAX(WJ$2:WJ211)+1,"")</f>
        <v/>
      </c>
      <c r="WK212" s="59" t="str">
        <f t="shared" ca="1" si="242"/>
        <v/>
      </c>
      <c r="WL212" s="18" t="str">
        <f ca="1">IF(AND(SUM($UB212:$VY212)&gt;0,$TM212=WM$1),MAX(WL$2:WL211)+1,"")</f>
        <v/>
      </c>
      <c r="WM212" s="59" t="str">
        <f t="shared" ca="1" si="243"/>
        <v/>
      </c>
      <c r="WN212" s="18" t="str">
        <f ca="1">IF(AND(SUM($UB212:$VY212)&gt;0,$TM212=WO$1),MAX(WN$2:WN211)+1,"")</f>
        <v/>
      </c>
      <c r="WO212" s="59" t="str">
        <f t="shared" ca="1" si="244"/>
        <v/>
      </c>
      <c r="WP212" s="18" t="str">
        <f ca="1">IF(AND(SUM($UB212:$VY212)&gt;0,$TM212=WQ$1),MAX(WP$2:WP211)+1,"")</f>
        <v/>
      </c>
      <c r="WQ212" s="59" t="str">
        <f t="shared" ca="1" si="245"/>
        <v/>
      </c>
      <c r="WR212" s="18" t="str">
        <f ca="1">IF(AND(SUM($UB212:$VY212)&gt;0,$TM212=WS$1),MAX(WR$2:WR211)+1,"")</f>
        <v/>
      </c>
      <c r="WS212" s="59" t="str">
        <f t="shared" ca="1" si="246"/>
        <v/>
      </c>
      <c r="WT212" s="18" t="str">
        <f ca="1">IF(AND(SUM($UB212:$VY212)&gt;0,$TM212=WU$1),MAX(WT$2:WT211)+1,"")</f>
        <v/>
      </c>
      <c r="WU212" s="59" t="str">
        <f t="shared" ca="1" si="247"/>
        <v/>
      </c>
      <c r="WV212" s="18" t="str">
        <f ca="1">IF(AND(SUM($UB212:$VY212)&gt;0,$TM212=WW$1),MAX(WV$2:WV211)+1,"")</f>
        <v/>
      </c>
      <c r="WW212" s="59" t="str">
        <f t="shared" ca="1" si="248"/>
        <v/>
      </c>
      <c r="WX212" s="18" t="str">
        <f ca="1">IF(AND(SUM($UB212:$VY212)&gt;0,$TM212=WY$1),MAX(WX$2:WX211)+1,"")</f>
        <v/>
      </c>
      <c r="WY212" s="59" t="str">
        <f t="shared" ca="1" si="249"/>
        <v/>
      </c>
      <c r="WZ212" s="59"/>
      <c r="XC212" s="59" t="str">
        <f t="shared" ca="1" si="252"/>
        <v/>
      </c>
    </row>
    <row r="213" spans="530:627" ht="9.9499999999999993" customHeight="1" x14ac:dyDescent="0.2">
      <c r="TJ213" s="18">
        <f t="shared" si="253"/>
        <v>211</v>
      </c>
      <c r="TK213" s="58" t="s">
        <v>633</v>
      </c>
      <c r="TL213" s="58" t="s">
        <v>1840</v>
      </c>
      <c r="TM213" s="18">
        <v>0.5</v>
      </c>
      <c r="TN213" s="59" t="str">
        <f t="shared" si="237"/>
        <v xml:space="preserve">Mage Hand </v>
      </c>
      <c r="TO213" s="18" t="str">
        <f>""</f>
        <v/>
      </c>
      <c r="TP213" s="18" t="str">
        <f t="shared" si="238"/>
        <v/>
      </c>
      <c r="TQ213" s="18" t="str">
        <f>IF(OR(TK213=Spellcasting!$AC$18,TK213=Spellcasting!$AC$19),"ᵐ","")</f>
        <v/>
      </c>
      <c r="TR213" s="18" t="str">
        <f>IF(OR(TK213=Spellcasting!$AC$20,TK213=Spellcasting!$AC$21),"ˢ","")</f>
        <v/>
      </c>
      <c r="TS213" s="18" t="str">
        <f>""</f>
        <v/>
      </c>
      <c r="TT213" s="18" t="s">
        <v>484</v>
      </c>
      <c r="TU213" s="18" t="s">
        <v>851</v>
      </c>
      <c r="TV213" s="18" t="s">
        <v>503</v>
      </c>
      <c r="TW213" s="18" t="s">
        <v>486</v>
      </c>
      <c r="TX213" s="59" t="str">
        <f>""</f>
        <v/>
      </c>
      <c r="TY213" s="18" t="s">
        <v>516</v>
      </c>
      <c r="TZ213" s="18" t="s">
        <v>517</v>
      </c>
      <c r="UA213" s="142" t="s">
        <v>992</v>
      </c>
      <c r="UB213" s="319" t="s">
        <v>993</v>
      </c>
      <c r="UC213" s="18" t="str">
        <f ca="1">IF(UC$1&gt;=$TM213,1,"0")</f>
        <v>0</v>
      </c>
      <c r="UF213" s="18" t="str">
        <f ca="1">IF(UF$1&gt;=$TM213,1,"0")</f>
        <v>0</v>
      </c>
      <c r="UG213" s="18" t="str">
        <f ca="1">IF(UG$1&gt;=$TM213,1,"0")</f>
        <v>0</v>
      </c>
      <c r="UL213" s="18" t="str">
        <f t="shared" ca="1" si="254"/>
        <v>0</v>
      </c>
      <c r="VP213" s="18" t="str">
        <f>IF(VP$1&gt;=$TM213,1,"0")</f>
        <v>0</v>
      </c>
      <c r="VQ213" s="18" t="str">
        <f>IF(VQ$1&gt;=$TM213,1,"0")</f>
        <v>0</v>
      </c>
      <c r="WB213" s="18" t="str">
        <f>IF(WB$1&gt;=$TM213,1,"0")</f>
        <v>0</v>
      </c>
      <c r="WC213" s="18"/>
      <c r="WD213" s="18" t="str">
        <f ca="1">IF(SUM($VZ$1:$WC$1)&gt;0,IF(AND(SUM($VZ213:$WC213)&gt;0,$TM213=WE$1),MAX(WD$2:WD212)+1,""),IF(AND(SUM($UC213:$VY213)&gt;0,$TM213=WE$1),MAX(WD$2:WD212)+1,""))</f>
        <v/>
      </c>
      <c r="WE213" s="59" t="str">
        <f t="shared" ca="1" si="239"/>
        <v/>
      </c>
      <c r="WF213" s="18" t="str">
        <f ca="1">IF(AND(SUM($UB213:$VY213)&gt;0,$TM213=WG$1),MAX(WF$2:WF212)+1,"")</f>
        <v/>
      </c>
      <c r="WG213" s="59" t="str">
        <f t="shared" ca="1" si="240"/>
        <v/>
      </c>
      <c r="WH213" s="18" t="str">
        <f ca="1">IF(AND(SUM($UB213:$VY213)&gt;0,$TM213=WI$1),MAX(WH$2:WH212)+1,"")</f>
        <v/>
      </c>
      <c r="WI213" s="59" t="str">
        <f t="shared" ca="1" si="241"/>
        <v/>
      </c>
      <c r="WJ213" s="18" t="str">
        <f ca="1">IF(AND(SUM($UB213:$VY213)&gt;0,$TM213=WK$1),MAX(WJ$2:WJ212)+1,"")</f>
        <v/>
      </c>
      <c r="WK213" s="59" t="str">
        <f t="shared" ca="1" si="242"/>
        <v/>
      </c>
      <c r="WL213" s="18" t="str">
        <f ca="1">IF(AND(SUM($UB213:$VY213)&gt;0,$TM213=WM$1),MAX(WL$2:WL212)+1,"")</f>
        <v/>
      </c>
      <c r="WM213" s="59" t="str">
        <f t="shared" ca="1" si="243"/>
        <v/>
      </c>
      <c r="WN213" s="18" t="str">
        <f ca="1">IF(AND(SUM($UB213:$VY213)&gt;0,$TM213=WO$1),MAX(WN$2:WN212)+1,"")</f>
        <v/>
      </c>
      <c r="WO213" s="59" t="str">
        <f t="shared" ca="1" si="244"/>
        <v/>
      </c>
      <c r="WP213" s="18" t="str">
        <f ca="1">IF(AND(SUM($UB213:$VY213)&gt;0,$TM213=WQ$1),MAX(WP$2:WP212)+1,"")</f>
        <v/>
      </c>
      <c r="WQ213" s="59" t="str">
        <f t="shared" ca="1" si="245"/>
        <v/>
      </c>
      <c r="WR213" s="18" t="str">
        <f ca="1">IF(AND(SUM($UB213:$VY213)&gt;0,$TM213=WS$1),MAX(WR$2:WR212)+1,"")</f>
        <v/>
      </c>
      <c r="WS213" s="59" t="str">
        <f t="shared" ca="1" si="246"/>
        <v/>
      </c>
      <c r="WT213" s="18" t="str">
        <f ca="1">IF(AND(SUM($UB213:$VY213)&gt;0,$TM213=WU$1),MAX(WT$2:WT212)+1,"")</f>
        <v/>
      </c>
      <c r="WU213" s="59" t="str">
        <f t="shared" ca="1" si="247"/>
        <v/>
      </c>
      <c r="WV213" s="18" t="str">
        <f ca="1">IF(AND(SUM($UB213:$VY213)&gt;0,$TM213=WW$1),MAX(WV$2:WV212)+1,"")</f>
        <v/>
      </c>
      <c r="WW213" s="59" t="str">
        <f t="shared" ca="1" si="248"/>
        <v/>
      </c>
      <c r="WX213" s="18" t="str">
        <f ca="1">IF(AND(SUM($UB213:$VY213)&gt;0,$TM213=WY$1),MAX(WX$2:WX212)+1,"")</f>
        <v/>
      </c>
      <c r="WY213" s="59" t="str">
        <f t="shared" ca="1" si="249"/>
        <v/>
      </c>
      <c r="WZ213" s="59"/>
      <c r="XC213" s="59" t="str">
        <f t="shared" ca="1" si="252"/>
        <v/>
      </c>
    </row>
    <row r="214" spans="530:627" ht="9.9499999999999993" customHeight="1" x14ac:dyDescent="0.2">
      <c r="TJ214" s="18">
        <f t="shared" si="253"/>
        <v>212</v>
      </c>
      <c r="TK214" s="58" t="s">
        <v>1977</v>
      </c>
      <c r="TL214" s="58" t="s">
        <v>460</v>
      </c>
      <c r="TM214" s="18">
        <v>3</v>
      </c>
      <c r="TN214" s="59" t="str">
        <f t="shared" si="237"/>
        <v xml:space="preserve">Magic Circle ᴴ </v>
      </c>
      <c r="TO214" s="350" t="s">
        <v>2991</v>
      </c>
      <c r="TP214" s="18" t="str">
        <f t="shared" si="238"/>
        <v/>
      </c>
      <c r="TQ214" s="18" t="str">
        <f>IF(OR(TK214=Spellcasting!$AC$18,TK214=Spellcasting!$AC$19),"ᵐ","")</f>
        <v/>
      </c>
      <c r="TR214" s="18" t="str">
        <f>IF(OR(TK214=Spellcasting!$AC$20,TK214=Spellcasting!$AC$21),"ˢ","")</f>
        <v/>
      </c>
      <c r="TS214" s="18" t="str">
        <f>""</f>
        <v/>
      </c>
      <c r="TT214" s="18" t="s">
        <v>503</v>
      </c>
      <c r="TU214" s="18" t="s">
        <v>504</v>
      </c>
      <c r="TV214" s="18" t="s">
        <v>521</v>
      </c>
      <c r="TW214" s="18" t="s">
        <v>495</v>
      </c>
      <c r="TX214" s="59" t="s">
        <v>1469</v>
      </c>
      <c r="TY214" s="18" t="s">
        <v>487</v>
      </c>
      <c r="TZ214" s="18" t="s">
        <v>488</v>
      </c>
      <c r="UA214" s="142" t="s">
        <v>3182</v>
      </c>
      <c r="UB214" s="319" t="s">
        <v>1470</v>
      </c>
      <c r="UD214" s="18" t="str">
        <f ca="1">IF(UD$1&gt;=$TM214,1,"0")</f>
        <v>0</v>
      </c>
      <c r="UG214" s="18" t="str">
        <f ca="1">IF(UG$1&gt;=$TM214,1,"0")</f>
        <v>0</v>
      </c>
      <c r="UH214" s="18" t="str">
        <f ca="1">IF(UH$1&gt;=$TM214,1,"0")</f>
        <v>0</v>
      </c>
      <c r="UL214" s="18" t="str">
        <f t="shared" ca="1" si="254"/>
        <v>0</v>
      </c>
      <c r="VP214" s="18" t="str">
        <f>IF(VP$1&gt;=$TM214,1,"0")</f>
        <v>0</v>
      </c>
      <c r="WD214" s="18" t="str">
        <f ca="1">IF(SUM($VZ$1:$WC$1)&gt;0,IF(AND(SUM($VZ214:$WC214)&gt;0,$TM214=WE$1),MAX(WD$2:WD213)+1,""),IF(AND(SUM($UC214:$VY214)&gt;0,$TM214=WE$1),MAX(WD$2:WD213)+1,""))</f>
        <v/>
      </c>
      <c r="WE214" s="59" t="str">
        <f t="shared" ca="1" si="239"/>
        <v/>
      </c>
      <c r="WF214" s="18" t="str">
        <f ca="1">IF(AND(SUM($UB214:$VY214)&gt;0,$TM214=WG$1),MAX(WF$2:WF213)+1,"")</f>
        <v/>
      </c>
      <c r="WG214" s="59" t="str">
        <f t="shared" ca="1" si="240"/>
        <v/>
      </c>
      <c r="WH214" s="18" t="str">
        <f ca="1">IF(AND(SUM($UB214:$VY214)&gt;0,$TM214=WI$1),MAX(WH$2:WH213)+1,"")</f>
        <v/>
      </c>
      <c r="WI214" s="59" t="str">
        <f t="shared" ca="1" si="241"/>
        <v/>
      </c>
      <c r="WJ214" s="18" t="str">
        <f ca="1">IF(AND(SUM($UB214:$VY214)&gt;0,$TM214=WK$1),MAX(WJ$2:WJ213)+1,"")</f>
        <v/>
      </c>
      <c r="WK214" s="59" t="str">
        <f t="shared" ca="1" si="242"/>
        <v/>
      </c>
      <c r="WL214" s="18" t="str">
        <f ca="1">IF(AND(SUM($UB214:$VY214)&gt;0,$TM214=WM$1),MAX(WL$2:WL213)+1,"")</f>
        <v/>
      </c>
      <c r="WM214" s="59" t="str">
        <f t="shared" ca="1" si="243"/>
        <v/>
      </c>
      <c r="WN214" s="18" t="str">
        <f ca="1">IF(AND(SUM($UB214:$VY214)&gt;0,$TM214=WO$1),MAX(WN$2:WN213)+1,"")</f>
        <v/>
      </c>
      <c r="WO214" s="59" t="str">
        <f t="shared" ca="1" si="244"/>
        <v/>
      </c>
      <c r="WP214" s="18" t="str">
        <f ca="1">IF(AND(SUM($UB214:$VY214)&gt;0,$TM214=WQ$1),MAX(WP$2:WP213)+1,"")</f>
        <v/>
      </c>
      <c r="WQ214" s="59" t="str">
        <f t="shared" ca="1" si="245"/>
        <v/>
      </c>
      <c r="WR214" s="18" t="str">
        <f ca="1">IF(AND(SUM($UB214:$VY214)&gt;0,$TM214=WS$1),MAX(WR$2:WR213)+1,"")</f>
        <v/>
      </c>
      <c r="WS214" s="59" t="str">
        <f t="shared" ca="1" si="246"/>
        <v/>
      </c>
      <c r="WT214" s="18" t="str">
        <f ca="1">IF(AND(SUM($UB214:$VY214)&gt;0,$TM214=WU$1),MAX(WT$2:WT213)+1,"")</f>
        <v/>
      </c>
      <c r="WU214" s="59" t="str">
        <f t="shared" ca="1" si="247"/>
        <v/>
      </c>
      <c r="WV214" s="18" t="str">
        <f ca="1">IF(AND(SUM($UB214:$VY214)&gt;0,$TM214=WW$1),MAX(WV$2:WV213)+1,"")</f>
        <v/>
      </c>
      <c r="WW214" s="59" t="str">
        <f t="shared" ca="1" si="248"/>
        <v/>
      </c>
      <c r="WX214" s="18" t="str">
        <f ca="1">IF(AND(SUM($UB214:$VY214)&gt;0,$TM214=WY$1),MAX(WX$2:WX213)+1,"")</f>
        <v/>
      </c>
      <c r="WY214" s="59" t="str">
        <f t="shared" ca="1" si="249"/>
        <v/>
      </c>
      <c r="WZ214" s="59"/>
      <c r="XC214" s="59" t="str">
        <f t="shared" ca="1" si="252"/>
        <v/>
      </c>
    </row>
    <row r="215" spans="530:627" ht="9.9499999999999993" customHeight="1" x14ac:dyDescent="0.2">
      <c r="TJ215" s="18">
        <f t="shared" si="253"/>
        <v>213</v>
      </c>
      <c r="TK215" s="58" t="s">
        <v>1949</v>
      </c>
      <c r="TL215" s="58" t="s">
        <v>463</v>
      </c>
      <c r="TM215" s="18">
        <v>6</v>
      </c>
      <c r="TN215" s="59" t="str">
        <f t="shared" si="237"/>
        <v xml:space="preserve">Magic Jar </v>
      </c>
      <c r="TO215" s="18" t="str">
        <f>""</f>
        <v/>
      </c>
      <c r="TP215" s="18" t="str">
        <f t="shared" si="238"/>
        <v/>
      </c>
      <c r="TQ215" s="18" t="str">
        <f>IF(OR(TK215=Spellcasting!$AC$18,TK215=Spellcasting!$AC$19),"ᵐ","")</f>
        <v/>
      </c>
      <c r="TR215" s="18" t="str">
        <f>IF(OR(TK215=Spellcasting!$AC$20,TK215=Spellcasting!$AC$21),"ˢ","")</f>
        <v/>
      </c>
      <c r="TS215" s="18" t="str">
        <f>""</f>
        <v/>
      </c>
      <c r="TT215" s="18" t="s">
        <v>503</v>
      </c>
      <c r="TU215" s="18" t="s">
        <v>509</v>
      </c>
      <c r="TV215" s="18" t="s">
        <v>857</v>
      </c>
      <c r="TW215" s="18" t="s">
        <v>495</v>
      </c>
      <c r="TX215" s="59" t="s">
        <v>2006</v>
      </c>
      <c r="TY215" s="18" t="s">
        <v>506</v>
      </c>
      <c r="TZ215" s="18" t="s">
        <v>507</v>
      </c>
      <c r="UA215" s="142" t="s">
        <v>2243</v>
      </c>
      <c r="UB215" s="319" t="s">
        <v>2185</v>
      </c>
      <c r="UL215" s="18" t="str">
        <f t="shared" ca="1" si="254"/>
        <v>0</v>
      </c>
      <c r="WD215" s="18" t="str">
        <f ca="1">IF(SUM($VZ$1:$WC$1)&gt;0,IF(AND(SUM($VZ215:$WC215)&gt;0,$TM215=WE$1),MAX(WD$2:WD214)+1,""),IF(AND(SUM($UC215:$VY215)&gt;0,$TM215=WE$1),MAX(WD$2:WD214)+1,""))</f>
        <v/>
      </c>
      <c r="WE215" s="59" t="str">
        <f t="shared" ca="1" si="239"/>
        <v/>
      </c>
      <c r="WF215" s="18" t="str">
        <f ca="1">IF(AND(SUM($UB215:$VY215)&gt;0,$TM215=WG$1),MAX(WF$2:WF214)+1,"")</f>
        <v/>
      </c>
      <c r="WG215" s="59" t="str">
        <f t="shared" ca="1" si="240"/>
        <v/>
      </c>
      <c r="WH215" s="18" t="str">
        <f ca="1">IF(AND(SUM($UB215:$VY215)&gt;0,$TM215=WI$1),MAX(WH$2:WH214)+1,"")</f>
        <v/>
      </c>
      <c r="WI215" s="59" t="str">
        <f t="shared" ca="1" si="241"/>
        <v/>
      </c>
      <c r="WJ215" s="18" t="str">
        <f ca="1">IF(AND(SUM($UB215:$VY215)&gt;0,$TM215=WK$1),MAX(WJ$2:WJ214)+1,"")</f>
        <v/>
      </c>
      <c r="WK215" s="59" t="str">
        <f t="shared" ca="1" si="242"/>
        <v/>
      </c>
      <c r="WL215" s="18" t="str">
        <f ca="1">IF(AND(SUM($UB215:$VY215)&gt;0,$TM215=WM$1),MAX(WL$2:WL214)+1,"")</f>
        <v/>
      </c>
      <c r="WM215" s="59" t="str">
        <f t="shared" ca="1" si="243"/>
        <v/>
      </c>
      <c r="WN215" s="18" t="str">
        <f ca="1">IF(AND(SUM($UB215:$VY215)&gt;0,$TM215=WO$1),MAX(WN$2:WN214)+1,"")</f>
        <v/>
      </c>
      <c r="WO215" s="59" t="str">
        <f t="shared" ca="1" si="244"/>
        <v/>
      </c>
      <c r="WP215" s="18" t="str">
        <f ca="1">IF(AND(SUM($UB215:$VY215)&gt;0,$TM215=WQ$1),MAX(WP$2:WP214)+1,"")</f>
        <v/>
      </c>
      <c r="WQ215" s="59" t="str">
        <f t="shared" ca="1" si="245"/>
        <v/>
      </c>
      <c r="WR215" s="18" t="str">
        <f ca="1">IF(AND(SUM($UB215:$VY215)&gt;0,$TM215=WS$1),MAX(WR$2:WR214)+1,"")</f>
        <v/>
      </c>
      <c r="WS215" s="59" t="str">
        <f t="shared" ca="1" si="246"/>
        <v/>
      </c>
      <c r="WT215" s="18" t="str">
        <f ca="1">IF(AND(SUM($UB215:$VY215)&gt;0,$TM215=WU$1),MAX(WT$2:WT214)+1,"")</f>
        <v/>
      </c>
      <c r="WU215" s="59" t="str">
        <f t="shared" ca="1" si="247"/>
        <v/>
      </c>
      <c r="WV215" s="18" t="str">
        <f ca="1">IF(AND(SUM($UB215:$VY215)&gt;0,$TM215=WW$1),MAX(WV$2:WV214)+1,"")</f>
        <v/>
      </c>
      <c r="WW215" s="59" t="str">
        <f t="shared" ca="1" si="248"/>
        <v/>
      </c>
      <c r="WX215" s="18" t="str">
        <f ca="1">IF(AND(SUM($UB215:$VY215)&gt;0,$TM215=WY$1),MAX(WX$2:WX214)+1,"")</f>
        <v/>
      </c>
      <c r="WY215" s="59" t="str">
        <f t="shared" ca="1" si="249"/>
        <v/>
      </c>
      <c r="WZ215" s="59"/>
      <c r="XC215" s="59" t="str">
        <f t="shared" ca="1" si="252"/>
        <v/>
      </c>
    </row>
    <row r="216" spans="530:627" ht="9.9499999999999993" customHeight="1" x14ac:dyDescent="0.2">
      <c r="TJ216" s="18">
        <f t="shared" si="253"/>
        <v>214</v>
      </c>
      <c r="TK216" s="58" t="s">
        <v>634</v>
      </c>
      <c r="TL216" s="58" t="s">
        <v>448</v>
      </c>
      <c r="TM216" s="18">
        <v>1</v>
      </c>
      <c r="TN216" s="59" t="str">
        <f t="shared" si="237"/>
        <v xml:space="preserve">Magic Missile ᴴ </v>
      </c>
      <c r="TO216" s="350" t="s">
        <v>2991</v>
      </c>
      <c r="TP216" s="18" t="str">
        <f t="shared" si="238"/>
        <v/>
      </c>
      <c r="TQ216" s="18" t="str">
        <f>IF(OR(TK216=Spellcasting!$AC$18,TK216=Spellcasting!$AC$19),"ᵐ","")</f>
        <v/>
      </c>
      <c r="TR216" s="18" t="str">
        <f>IF(OR(TK216=Spellcasting!$AC$20,TK216=Spellcasting!$AC$21),"ˢ","")</f>
        <v/>
      </c>
      <c r="TS216" s="18" t="str">
        <f>""</f>
        <v/>
      </c>
      <c r="TT216" s="18" t="s">
        <v>484</v>
      </c>
      <c r="TU216" s="18" t="s">
        <v>848</v>
      </c>
      <c r="TV216" s="18" t="s">
        <v>505</v>
      </c>
      <c r="TW216" s="18" t="s">
        <v>486</v>
      </c>
      <c r="TX216" s="59" t="str">
        <f>""</f>
        <v/>
      </c>
      <c r="TY216" s="18" t="s">
        <v>534</v>
      </c>
      <c r="TZ216" s="18" t="s">
        <v>535</v>
      </c>
      <c r="UA216" s="142" t="s">
        <v>3212</v>
      </c>
      <c r="UB216" s="319" t="str">
        <f ca="1">"3 darts, 1d4"&amp;IF(WizardEvocationLevel&gt;=10,"+"&amp;INTMod+1,"+1")&amp;" force"</f>
        <v>3 darts, 1d4+1 force</v>
      </c>
      <c r="UF216" s="18" t="str">
        <f ca="1">IF(UF$1&gt;=$TM216,1,"0")</f>
        <v>0</v>
      </c>
      <c r="UL216" s="18" t="str">
        <f t="shared" ca="1" si="254"/>
        <v>0</v>
      </c>
      <c r="VP216" s="18" t="str">
        <f>IF(VP$1&gt;=$TM216,1,"0")</f>
        <v>0</v>
      </c>
      <c r="WD216" s="18" t="str">
        <f ca="1">IF(SUM($VZ$1:$WC$1)&gt;0,IF(AND(SUM($VZ216:$WC216)&gt;0,$TM216=WE$1),MAX(WD$2:WD215)+1,""),IF(AND(SUM($UC216:$VY216)&gt;0,$TM216=WE$1),MAX(WD$2:WD215)+1,""))</f>
        <v/>
      </c>
      <c r="WE216" s="59" t="str">
        <f t="shared" ca="1" si="239"/>
        <v/>
      </c>
      <c r="WF216" s="18" t="str">
        <f ca="1">IF(AND(SUM($UB216:$VY216)&gt;0,$TM216=WG$1),MAX(WF$2:WF215)+1,"")</f>
        <v/>
      </c>
      <c r="WG216" s="59" t="str">
        <f t="shared" ca="1" si="240"/>
        <v/>
      </c>
      <c r="WH216" s="18" t="str">
        <f ca="1">IF(AND(SUM($UB216:$VY216)&gt;0,$TM216=WI$1),MAX(WH$2:WH215)+1,"")</f>
        <v/>
      </c>
      <c r="WI216" s="59" t="str">
        <f t="shared" ca="1" si="241"/>
        <v/>
      </c>
      <c r="WJ216" s="18" t="str">
        <f ca="1">IF(AND(SUM($UB216:$VY216)&gt;0,$TM216=WK$1),MAX(WJ$2:WJ215)+1,"")</f>
        <v/>
      </c>
      <c r="WK216" s="59" t="str">
        <f t="shared" ca="1" si="242"/>
        <v/>
      </c>
      <c r="WL216" s="18" t="str">
        <f ca="1">IF(AND(SUM($UB216:$VY216)&gt;0,$TM216=WM$1),MAX(WL$2:WL215)+1,"")</f>
        <v/>
      </c>
      <c r="WM216" s="59" t="str">
        <f t="shared" ca="1" si="243"/>
        <v/>
      </c>
      <c r="WN216" s="18" t="str">
        <f ca="1">IF(AND(SUM($UB216:$VY216)&gt;0,$TM216=WO$1),MAX(WN$2:WN215)+1,"")</f>
        <v/>
      </c>
      <c r="WO216" s="59" t="str">
        <f t="shared" ca="1" si="244"/>
        <v/>
      </c>
      <c r="WP216" s="18" t="str">
        <f ca="1">IF(AND(SUM($UB216:$VY216)&gt;0,$TM216=WQ$1),MAX(WP$2:WP215)+1,"")</f>
        <v/>
      </c>
      <c r="WQ216" s="59" t="str">
        <f t="shared" ca="1" si="245"/>
        <v/>
      </c>
      <c r="WR216" s="18" t="str">
        <f ca="1">IF(AND(SUM($UB216:$VY216)&gt;0,$TM216=WS$1),MAX(WR$2:WR215)+1,"")</f>
        <v/>
      </c>
      <c r="WS216" s="59" t="str">
        <f t="shared" ca="1" si="246"/>
        <v/>
      </c>
      <c r="WT216" s="18" t="str">
        <f ca="1">IF(AND(SUM($UB216:$VY216)&gt;0,$TM216=WU$1),MAX(WT$2:WT215)+1,"")</f>
        <v/>
      </c>
      <c r="WU216" s="59" t="str">
        <f t="shared" ca="1" si="247"/>
        <v/>
      </c>
      <c r="WV216" s="18" t="str">
        <f ca="1">IF(AND(SUM($UB216:$VY216)&gt;0,$TM216=WW$1),MAX(WV$2:WV215)+1,"")</f>
        <v/>
      </c>
      <c r="WW216" s="59" t="str">
        <f t="shared" ca="1" si="248"/>
        <v/>
      </c>
      <c r="WX216" s="18" t="str">
        <f ca="1">IF(AND(SUM($UB216:$VY216)&gt;0,$TM216=WY$1),MAX(WX$2:WX215)+1,"")</f>
        <v/>
      </c>
      <c r="WY216" s="59" t="str">
        <f t="shared" ca="1" si="249"/>
        <v/>
      </c>
      <c r="WZ216" s="59"/>
      <c r="XC216" s="59" t="str">
        <f t="shared" ca="1" si="252"/>
        <v/>
      </c>
    </row>
    <row r="217" spans="530:627" ht="9.9499999999999993" customHeight="1" x14ac:dyDescent="0.2">
      <c r="TJ217" s="18">
        <f t="shared" si="253"/>
        <v>215</v>
      </c>
      <c r="TK217" s="58" t="s">
        <v>1230</v>
      </c>
      <c r="TL217" s="58" t="s">
        <v>459</v>
      </c>
      <c r="TM217" s="18">
        <v>2</v>
      </c>
      <c r="TN217" s="59" t="str">
        <f t="shared" si="237"/>
        <v xml:space="preserve">Magic Mouth </v>
      </c>
      <c r="TO217" s="18" t="str">
        <f>""</f>
        <v/>
      </c>
      <c r="TP217" s="18" t="str">
        <f t="shared" si="238"/>
        <v/>
      </c>
      <c r="TQ217" s="18" t="str">
        <f>IF(OR(TK217=Spellcasting!$AC$18,TK217=Spellcasting!$AC$19),"ᵐ","")</f>
        <v/>
      </c>
      <c r="TR217" s="18" t="str">
        <f>IF(OR(TK217=Spellcasting!$AC$20,TK217=Spellcasting!$AC$21),"ˢ","")</f>
        <v/>
      </c>
      <c r="TS217" s="18" t="s">
        <v>477</v>
      </c>
      <c r="TT217" s="18" t="s">
        <v>494</v>
      </c>
      <c r="TU217" s="18" t="s">
        <v>851</v>
      </c>
      <c r="TV217" s="18" t="s">
        <v>857</v>
      </c>
      <c r="TW217" s="18" t="s">
        <v>495</v>
      </c>
      <c r="TX217" s="59" t="s">
        <v>1347</v>
      </c>
      <c r="TY217" s="18" t="s">
        <v>523</v>
      </c>
      <c r="TZ217" s="18" t="s">
        <v>524</v>
      </c>
      <c r="UA217" s="142" t="s">
        <v>2257</v>
      </c>
      <c r="UB217" s="319" t="s">
        <v>3049</v>
      </c>
      <c r="UC217" s="18" t="str">
        <f ca="1">IF(UC$1&gt;=$TM217,1,"0")</f>
        <v>0</v>
      </c>
      <c r="UL217" s="18" t="str">
        <f t="shared" ca="1" si="254"/>
        <v>0</v>
      </c>
      <c r="VQ217" s="18" t="str">
        <f>IF(VQ$1&gt;=$TM217,1,"0")</f>
        <v>0</v>
      </c>
      <c r="WD217" s="18" t="str">
        <f ca="1">IF(SUM($VZ$1:$WC$1)&gt;0,IF(AND(SUM($VZ217:$WC217)&gt;0,$TM217=WE$1),MAX(WD$2:WD216)+1,""),IF(AND(SUM($UC217:$VY217)&gt;0,$TM217=WE$1),MAX(WD$2:WD216)+1,""))</f>
        <v/>
      </c>
      <c r="WE217" s="59" t="str">
        <f t="shared" ca="1" si="239"/>
        <v/>
      </c>
      <c r="WF217" s="18" t="str">
        <f ca="1">IF(AND(SUM($UB217:$VY217)&gt;0,$TM217=WG$1),MAX(WF$2:WF216)+1,"")</f>
        <v/>
      </c>
      <c r="WG217" s="59" t="str">
        <f t="shared" ca="1" si="240"/>
        <v/>
      </c>
      <c r="WH217" s="18" t="str">
        <f ca="1">IF(AND(SUM($UB217:$VY217)&gt;0,$TM217=WI$1),MAX(WH$2:WH216)+1,"")</f>
        <v/>
      </c>
      <c r="WI217" s="59" t="str">
        <f t="shared" ca="1" si="241"/>
        <v/>
      </c>
      <c r="WJ217" s="18" t="str">
        <f ca="1">IF(AND(SUM($UB217:$VY217)&gt;0,$TM217=WK$1),MAX(WJ$2:WJ216)+1,"")</f>
        <v/>
      </c>
      <c r="WK217" s="59" t="str">
        <f t="shared" ca="1" si="242"/>
        <v/>
      </c>
      <c r="WL217" s="18" t="str">
        <f ca="1">IF(AND(SUM($UB217:$VY217)&gt;0,$TM217=WM$1),MAX(WL$2:WL216)+1,"")</f>
        <v/>
      </c>
      <c r="WM217" s="59" t="str">
        <f t="shared" ca="1" si="243"/>
        <v/>
      </c>
      <c r="WN217" s="18" t="str">
        <f ca="1">IF(AND(SUM($UB217:$VY217)&gt;0,$TM217=WO$1),MAX(WN$2:WN216)+1,"")</f>
        <v/>
      </c>
      <c r="WO217" s="59" t="str">
        <f t="shared" ca="1" si="244"/>
        <v/>
      </c>
      <c r="WP217" s="18" t="str">
        <f ca="1">IF(AND(SUM($UB217:$VY217)&gt;0,$TM217=WQ$1),MAX(WP$2:WP216)+1,"")</f>
        <v/>
      </c>
      <c r="WQ217" s="59" t="str">
        <f t="shared" ca="1" si="245"/>
        <v/>
      </c>
      <c r="WR217" s="18" t="str">
        <f ca="1">IF(AND(SUM($UB217:$VY217)&gt;0,$TM217=WS$1),MAX(WR$2:WR216)+1,"")</f>
        <v/>
      </c>
      <c r="WS217" s="59" t="str">
        <f t="shared" ca="1" si="246"/>
        <v/>
      </c>
      <c r="WT217" s="18" t="str">
        <f ca="1">IF(AND(SUM($UB217:$VY217)&gt;0,$TM217=WU$1),MAX(WT$2:WT216)+1,"")</f>
        <v/>
      </c>
      <c r="WU217" s="59" t="str">
        <f t="shared" ca="1" si="247"/>
        <v/>
      </c>
      <c r="WV217" s="18" t="str">
        <f ca="1">IF(AND(SUM($UB217:$VY217)&gt;0,$TM217=WW$1),MAX(WV$2:WV216)+1,"")</f>
        <v/>
      </c>
      <c r="WW217" s="59" t="str">
        <f t="shared" ca="1" si="248"/>
        <v/>
      </c>
      <c r="WX217" s="18" t="str">
        <f ca="1">IF(AND(SUM($UB217:$VY217)&gt;0,$TM217=WY$1),MAX(WX$2:WX216)+1,"")</f>
        <v/>
      </c>
      <c r="WY217" s="59" t="str">
        <f t="shared" ca="1" si="249"/>
        <v/>
      </c>
      <c r="WZ217" s="59"/>
      <c r="XC217" s="59" t="str">
        <f t="shared" ca="1" si="252"/>
        <v/>
      </c>
    </row>
    <row r="218" spans="530:627" ht="9.9499999999999993" customHeight="1" x14ac:dyDescent="0.2">
      <c r="TJ218" s="18">
        <f t="shared" si="253"/>
        <v>216</v>
      </c>
      <c r="TK218" s="58" t="s">
        <v>635</v>
      </c>
      <c r="TL218" s="58" t="s">
        <v>459</v>
      </c>
      <c r="TM218" s="18">
        <v>2</v>
      </c>
      <c r="TN218" s="59" t="str">
        <f t="shared" si="237"/>
        <v xml:space="preserve">Magic Weapon ᴴ </v>
      </c>
      <c r="TO218" s="350" t="s">
        <v>2991</v>
      </c>
      <c r="TP218" s="18" t="str">
        <f t="shared" si="238"/>
        <v/>
      </c>
      <c r="TQ218" s="18" t="str">
        <f>IF(OR(TK218=Spellcasting!$AC$18,TK218=Spellcasting!$AC$19),"ᵐ","")</f>
        <v/>
      </c>
      <c r="TR218" s="18" t="str">
        <f>IF(OR(TK218=Spellcasting!$AC$20,TK218=Spellcasting!$AC$21),"ˢ","")</f>
        <v/>
      </c>
      <c r="TS218" s="18" t="str">
        <f>""</f>
        <v/>
      </c>
      <c r="TT218" s="18" t="s">
        <v>1256</v>
      </c>
      <c r="TU218" s="18" t="s">
        <v>519</v>
      </c>
      <c r="TV218" s="18" t="s">
        <v>490</v>
      </c>
      <c r="TW218" s="18" t="s">
        <v>486</v>
      </c>
      <c r="TX218" s="59" t="str">
        <f>""</f>
        <v/>
      </c>
      <c r="TY218" s="18" t="s">
        <v>491</v>
      </c>
      <c r="TZ218" s="18" t="s">
        <v>492</v>
      </c>
      <c r="UA218" s="142" t="s">
        <v>3183</v>
      </c>
      <c r="UB218" s="319" t="s">
        <v>2101</v>
      </c>
      <c r="UD218" s="18" t="str">
        <f ca="1">IF(UD$1&gt;=$TM218,1,"0")</f>
        <v>0</v>
      </c>
      <c r="UL218" s="18" t="str">
        <f t="shared" ca="1" si="254"/>
        <v>0</v>
      </c>
      <c r="VE218" s="18" t="str">
        <f>IF(VE$1&gt;=$TM218,1,"0")</f>
        <v>0</v>
      </c>
      <c r="WD218" s="18" t="str">
        <f ca="1">IF(SUM($VZ$1:$WC$1)&gt;0,IF(AND(SUM($VZ218:$WC218)&gt;0,$TM218=WE$1),MAX(WD$2:WD217)+1,""),IF(AND(SUM($UC218:$VY218)&gt;0,$TM218=WE$1),MAX(WD$2:WD217)+1,""))</f>
        <v/>
      </c>
      <c r="WE218" s="59" t="str">
        <f t="shared" ca="1" si="239"/>
        <v/>
      </c>
      <c r="WF218" s="18" t="str">
        <f ca="1">IF(AND(SUM($UB218:$VY218)&gt;0,$TM218=WG$1),MAX(WF$2:WF217)+1,"")</f>
        <v/>
      </c>
      <c r="WG218" s="59" t="str">
        <f t="shared" ca="1" si="240"/>
        <v/>
      </c>
      <c r="WH218" s="18" t="str">
        <f ca="1">IF(AND(SUM($UB218:$VY218)&gt;0,$TM218=WI$1),MAX(WH$2:WH217)+1,"")</f>
        <v/>
      </c>
      <c r="WI218" s="59" t="str">
        <f t="shared" ca="1" si="241"/>
        <v/>
      </c>
      <c r="WJ218" s="18" t="str">
        <f ca="1">IF(AND(SUM($UB218:$VY218)&gt;0,$TM218=WK$1),MAX(WJ$2:WJ217)+1,"")</f>
        <v/>
      </c>
      <c r="WK218" s="59" t="str">
        <f t="shared" ca="1" si="242"/>
        <v/>
      </c>
      <c r="WL218" s="18" t="str">
        <f ca="1">IF(AND(SUM($UB218:$VY218)&gt;0,$TM218=WM$1),MAX(WL$2:WL217)+1,"")</f>
        <v/>
      </c>
      <c r="WM218" s="59" t="str">
        <f t="shared" ca="1" si="243"/>
        <v/>
      </c>
      <c r="WN218" s="18" t="str">
        <f ca="1">IF(AND(SUM($UB218:$VY218)&gt;0,$TM218=WO$1),MAX(WN$2:WN217)+1,"")</f>
        <v/>
      </c>
      <c r="WO218" s="59" t="str">
        <f t="shared" ca="1" si="244"/>
        <v/>
      </c>
      <c r="WP218" s="18" t="str">
        <f ca="1">IF(AND(SUM($UB218:$VY218)&gt;0,$TM218=WQ$1),MAX(WP$2:WP217)+1,"")</f>
        <v/>
      </c>
      <c r="WQ218" s="59" t="str">
        <f t="shared" ca="1" si="245"/>
        <v/>
      </c>
      <c r="WR218" s="18" t="str">
        <f ca="1">IF(AND(SUM($UB218:$VY218)&gt;0,$TM218=WS$1),MAX(WR$2:WR217)+1,"")</f>
        <v/>
      </c>
      <c r="WS218" s="59" t="str">
        <f t="shared" ca="1" si="246"/>
        <v/>
      </c>
      <c r="WT218" s="18" t="str">
        <f ca="1">IF(AND(SUM($UB218:$VY218)&gt;0,$TM218=WU$1),MAX(WT$2:WT217)+1,"")</f>
        <v/>
      </c>
      <c r="WU218" s="59" t="str">
        <f t="shared" ca="1" si="247"/>
        <v/>
      </c>
      <c r="WV218" s="18" t="str">
        <f ca="1">IF(AND(SUM($UB218:$VY218)&gt;0,$TM218=WW$1),MAX(WV$2:WV217)+1,"")</f>
        <v/>
      </c>
      <c r="WW218" s="59" t="str">
        <f t="shared" ca="1" si="248"/>
        <v/>
      </c>
      <c r="WX218" s="18" t="str">
        <f ca="1">IF(AND(SUM($UB218:$VY218)&gt;0,$TM218=WY$1),MAX(WX$2:WX217)+1,"")</f>
        <v/>
      </c>
      <c r="WY218" s="59" t="str">
        <f t="shared" ca="1" si="249"/>
        <v/>
      </c>
      <c r="WZ218" s="59"/>
      <c r="XC218" s="59" t="str">
        <f t="shared" ca="1" si="252"/>
        <v/>
      </c>
    </row>
    <row r="219" spans="530:627" ht="9.9499999999999993" customHeight="1" x14ac:dyDescent="0.2">
      <c r="TJ219" s="18">
        <f t="shared" si="253"/>
        <v>217</v>
      </c>
      <c r="TK219" s="58" t="s">
        <v>636</v>
      </c>
      <c r="TL219" s="58" t="s">
        <v>460</v>
      </c>
      <c r="TM219" s="18">
        <v>3</v>
      </c>
      <c r="TN219" s="59" t="str">
        <f t="shared" si="237"/>
        <v xml:space="preserve">Major Image ᴴ </v>
      </c>
      <c r="TO219" s="350" t="s">
        <v>2991</v>
      </c>
      <c r="TP219" s="18" t="str">
        <f t="shared" si="238"/>
        <v/>
      </c>
      <c r="TQ219" s="18" t="str">
        <f>IF(OR(TK219=Spellcasting!$AC$18,TK219=Spellcasting!$AC$19),"ᵐ","")</f>
        <v/>
      </c>
      <c r="TR219" s="18" t="str">
        <f>IF(OR(TK219=Spellcasting!$AC$20,TK219=Spellcasting!$AC$21),"ˢ","")</f>
        <v/>
      </c>
      <c r="TS219" s="18" t="str">
        <f>""</f>
        <v/>
      </c>
      <c r="TT219" s="18" t="s">
        <v>484</v>
      </c>
      <c r="TU219" s="18" t="s">
        <v>533</v>
      </c>
      <c r="TV219" s="18" t="s">
        <v>515</v>
      </c>
      <c r="TW219" s="18" t="s">
        <v>495</v>
      </c>
      <c r="TX219" s="59" t="s">
        <v>1359</v>
      </c>
      <c r="TY219" s="18" t="s">
        <v>523</v>
      </c>
      <c r="TZ219" s="18" t="s">
        <v>524</v>
      </c>
      <c r="UA219" s="142" t="s">
        <v>3184</v>
      </c>
      <c r="UB219" s="319" t="s">
        <v>3219</v>
      </c>
      <c r="UC219" s="18" t="str">
        <f ca="1">IF(UC$1&gt;=$TM219,1,"0")</f>
        <v>0</v>
      </c>
      <c r="UF219" s="18" t="str">
        <f ca="1">IF(UF$1&gt;=$TM219,1,"0")</f>
        <v>0</v>
      </c>
      <c r="UG219" s="18" t="str">
        <f ca="1">IF(UG$1&gt;=$TM219,1,"0")</f>
        <v>0</v>
      </c>
      <c r="UL219" s="18" t="str">
        <f t="shared" ca="1" si="254"/>
        <v>0</v>
      </c>
      <c r="VQ219" s="18" t="str">
        <f>IF(VQ$1&gt;=$TM219,1,"0")</f>
        <v>0</v>
      </c>
      <c r="WD219" s="18" t="str">
        <f ca="1">IF(SUM($VZ$1:$WC$1)&gt;0,IF(AND(SUM($VZ219:$WC219)&gt;0,$TM219=WE$1),MAX(WD$2:WD218)+1,""),IF(AND(SUM($UC219:$VY219)&gt;0,$TM219=WE$1),MAX(WD$2:WD218)+1,""))</f>
        <v/>
      </c>
      <c r="WE219" s="59" t="str">
        <f t="shared" ca="1" si="239"/>
        <v/>
      </c>
      <c r="WF219" s="18" t="str">
        <f ca="1">IF(AND(SUM($UB219:$VY219)&gt;0,$TM219=WG$1),MAX(WF$2:WF218)+1,"")</f>
        <v/>
      </c>
      <c r="WG219" s="59" t="str">
        <f t="shared" ca="1" si="240"/>
        <v/>
      </c>
      <c r="WH219" s="18" t="str">
        <f ca="1">IF(AND(SUM($UB219:$VY219)&gt;0,$TM219=WI$1),MAX(WH$2:WH218)+1,"")</f>
        <v/>
      </c>
      <c r="WI219" s="59" t="str">
        <f t="shared" ca="1" si="241"/>
        <v/>
      </c>
      <c r="WJ219" s="18" t="str">
        <f ca="1">IF(AND(SUM($UB219:$VY219)&gt;0,$TM219=WK$1),MAX(WJ$2:WJ218)+1,"")</f>
        <v/>
      </c>
      <c r="WK219" s="59" t="str">
        <f t="shared" ca="1" si="242"/>
        <v/>
      </c>
      <c r="WL219" s="18" t="str">
        <f ca="1">IF(AND(SUM($UB219:$VY219)&gt;0,$TM219=WM$1),MAX(WL$2:WL218)+1,"")</f>
        <v/>
      </c>
      <c r="WM219" s="59" t="str">
        <f t="shared" ca="1" si="243"/>
        <v/>
      </c>
      <c r="WN219" s="18" t="str">
        <f ca="1">IF(AND(SUM($UB219:$VY219)&gt;0,$TM219=WO$1),MAX(WN$2:WN218)+1,"")</f>
        <v/>
      </c>
      <c r="WO219" s="59" t="str">
        <f t="shared" ca="1" si="244"/>
        <v/>
      </c>
      <c r="WP219" s="18" t="str">
        <f ca="1">IF(AND(SUM($UB219:$VY219)&gt;0,$TM219=WQ$1),MAX(WP$2:WP218)+1,"")</f>
        <v/>
      </c>
      <c r="WQ219" s="59" t="str">
        <f t="shared" ca="1" si="245"/>
        <v/>
      </c>
      <c r="WR219" s="18" t="str">
        <f ca="1">IF(AND(SUM($UB219:$VY219)&gt;0,$TM219=WS$1),MAX(WR$2:WR218)+1,"")</f>
        <v/>
      </c>
      <c r="WS219" s="59" t="str">
        <f t="shared" ca="1" si="246"/>
        <v/>
      </c>
      <c r="WT219" s="18" t="str">
        <f ca="1">IF(AND(SUM($UB219:$VY219)&gt;0,$TM219=WU$1),MAX(WT$2:WT218)+1,"")</f>
        <v/>
      </c>
      <c r="WU219" s="59" t="str">
        <f t="shared" ca="1" si="247"/>
        <v/>
      </c>
      <c r="WV219" s="18" t="str">
        <f ca="1">IF(AND(SUM($UB219:$VY219)&gt;0,$TM219=WW$1),MAX(WV$2:WV218)+1,"")</f>
        <v/>
      </c>
      <c r="WW219" s="59" t="str">
        <f t="shared" ca="1" si="248"/>
        <v/>
      </c>
      <c r="WX219" s="18" t="str">
        <f ca="1">IF(AND(SUM($UB219:$VY219)&gt;0,$TM219=WY$1),MAX(WX$2:WX218)+1,"")</f>
        <v/>
      </c>
      <c r="WY219" s="59" t="str">
        <f t="shared" ca="1" si="249"/>
        <v/>
      </c>
      <c r="WZ219" s="59"/>
      <c r="XC219" s="59" t="str">
        <f t="shared" ca="1" si="252"/>
        <v/>
      </c>
    </row>
    <row r="220" spans="530:627" ht="9.9499999999999993" customHeight="1" x14ac:dyDescent="0.2">
      <c r="TJ220" s="18">
        <f t="shared" si="253"/>
        <v>218</v>
      </c>
      <c r="TK220" s="58" t="s">
        <v>637</v>
      </c>
      <c r="TL220" s="58" t="s">
        <v>462</v>
      </c>
      <c r="TM220" s="18">
        <v>5</v>
      </c>
      <c r="TN220" s="59" t="str">
        <f t="shared" si="237"/>
        <v xml:space="preserve">Mass Cure Wounds ᴴ </v>
      </c>
      <c r="TO220" s="350" t="s">
        <v>2991</v>
      </c>
      <c r="TP220" s="18" t="str">
        <f t="shared" si="238"/>
        <v/>
      </c>
      <c r="TQ220" s="18" t="str">
        <f>IF(OR(TK220=Spellcasting!$AC$18,TK220=Spellcasting!$AC$19),"ᵐ","")</f>
        <v/>
      </c>
      <c r="TR220" s="18" t="str">
        <f>IF(OR(TK220=Spellcasting!$AC$20,TK220=Spellcasting!$AC$21),"ˢ","")</f>
        <v/>
      </c>
      <c r="TS220" s="18" t="str">
        <f>""</f>
        <v/>
      </c>
      <c r="TT220" s="18" t="s">
        <v>484</v>
      </c>
      <c r="TU220" s="18" t="s">
        <v>850</v>
      </c>
      <c r="TV220" s="18" t="s">
        <v>505</v>
      </c>
      <c r="TW220" s="18" t="s">
        <v>486</v>
      </c>
      <c r="TX220" s="59" t="str">
        <f>""</f>
        <v/>
      </c>
      <c r="TY220" s="18" t="s">
        <v>516</v>
      </c>
      <c r="TZ220" s="18" t="s">
        <v>517</v>
      </c>
      <c r="UA220" s="142" t="s">
        <v>2186</v>
      </c>
      <c r="UB220" s="319" t="s">
        <v>2187</v>
      </c>
      <c r="UC220" s="18" t="str">
        <f ca="1">IF(UC$1&gt;=$TM220,1,"0")</f>
        <v>0</v>
      </c>
      <c r="UH220" s="18" t="str">
        <f ca="1">IF(UH$1&gt;=$TM220,1,"0")</f>
        <v>0</v>
      </c>
      <c r="UI220" s="18" t="str">
        <f ca="1">IF(UI$1&gt;=$TM220,1,"0")</f>
        <v>0</v>
      </c>
      <c r="UZ220" s="18" t="str">
        <f>IF(UZ$1&gt;=$TM220,1,"0")</f>
        <v>0</v>
      </c>
      <c r="WD220" s="18" t="str">
        <f ca="1">IF(SUM($VZ$1:$WC$1)&gt;0,IF(AND(SUM($VZ220:$WC220)&gt;0,$TM220=WE$1),MAX(WD$2:WD219)+1,""),IF(AND(SUM($UC220:$VY220)&gt;0,$TM220=WE$1),MAX(WD$2:WD219)+1,""))</f>
        <v/>
      </c>
      <c r="WE220" s="59" t="str">
        <f t="shared" ca="1" si="239"/>
        <v/>
      </c>
      <c r="WF220" s="18" t="str">
        <f ca="1">IF(AND(SUM($UB220:$VY220)&gt;0,$TM220=WG$1),MAX(WF$2:WF219)+1,"")</f>
        <v/>
      </c>
      <c r="WG220" s="59" t="str">
        <f t="shared" ca="1" si="240"/>
        <v/>
      </c>
      <c r="WH220" s="18" t="str">
        <f ca="1">IF(AND(SUM($UB220:$VY220)&gt;0,$TM220=WI$1),MAX(WH$2:WH219)+1,"")</f>
        <v/>
      </c>
      <c r="WI220" s="59" t="str">
        <f t="shared" ca="1" si="241"/>
        <v/>
      </c>
      <c r="WJ220" s="18" t="str">
        <f ca="1">IF(AND(SUM($UB220:$VY220)&gt;0,$TM220=WK$1),MAX(WJ$2:WJ219)+1,"")</f>
        <v/>
      </c>
      <c r="WK220" s="59" t="str">
        <f t="shared" ca="1" si="242"/>
        <v/>
      </c>
      <c r="WL220" s="18" t="str">
        <f ca="1">IF(AND(SUM($UB220:$VY220)&gt;0,$TM220=WM$1),MAX(WL$2:WL219)+1,"")</f>
        <v/>
      </c>
      <c r="WM220" s="59" t="str">
        <f t="shared" ca="1" si="243"/>
        <v/>
      </c>
      <c r="WN220" s="18" t="str">
        <f ca="1">IF(AND(SUM($UB220:$VY220)&gt;0,$TM220=WO$1),MAX(WN$2:WN219)+1,"")</f>
        <v/>
      </c>
      <c r="WO220" s="59" t="str">
        <f t="shared" ca="1" si="244"/>
        <v/>
      </c>
      <c r="WP220" s="18" t="str">
        <f ca="1">IF(AND(SUM($UB220:$VY220)&gt;0,$TM220=WQ$1),MAX(WP$2:WP219)+1,"")</f>
        <v/>
      </c>
      <c r="WQ220" s="59" t="str">
        <f t="shared" ca="1" si="245"/>
        <v/>
      </c>
      <c r="WR220" s="18" t="str">
        <f ca="1">IF(AND(SUM($UB220:$VY220)&gt;0,$TM220=WS$1),MAX(WR$2:WR219)+1,"")</f>
        <v/>
      </c>
      <c r="WS220" s="59" t="str">
        <f t="shared" ca="1" si="246"/>
        <v/>
      </c>
      <c r="WT220" s="18" t="str">
        <f ca="1">IF(AND(SUM($UB220:$VY220)&gt;0,$TM220=WU$1),MAX(WT$2:WT219)+1,"")</f>
        <v/>
      </c>
      <c r="WU220" s="59" t="str">
        <f t="shared" ca="1" si="247"/>
        <v/>
      </c>
      <c r="WV220" s="18" t="str">
        <f ca="1">IF(AND(SUM($UB220:$VY220)&gt;0,$TM220=WW$1),MAX(WV$2:WV219)+1,"")</f>
        <v/>
      </c>
      <c r="WW220" s="59" t="str">
        <f t="shared" ca="1" si="248"/>
        <v/>
      </c>
      <c r="WX220" s="18" t="str">
        <f ca="1">IF(AND(SUM($UB220:$VY220)&gt;0,$TM220=WY$1),MAX(WX$2:WX219)+1,"")</f>
        <v/>
      </c>
      <c r="WY220" s="59" t="str">
        <f t="shared" ca="1" si="249"/>
        <v/>
      </c>
      <c r="WZ220" s="59"/>
      <c r="XC220" s="59" t="str">
        <f t="shared" ca="1" si="252"/>
        <v/>
      </c>
    </row>
    <row r="221" spans="530:627" ht="9.9499999999999993" customHeight="1" x14ac:dyDescent="0.2">
      <c r="TJ221" s="18">
        <f t="shared" si="253"/>
        <v>219</v>
      </c>
      <c r="TK221" s="58" t="s">
        <v>638</v>
      </c>
      <c r="TL221" s="58" t="s">
        <v>466</v>
      </c>
      <c r="TM221" s="18">
        <v>9</v>
      </c>
      <c r="TN221" s="59" t="str">
        <f t="shared" si="237"/>
        <v xml:space="preserve">Mass Heal </v>
      </c>
      <c r="TO221" s="18" t="str">
        <f>""</f>
        <v/>
      </c>
      <c r="TP221" s="18" t="str">
        <f t="shared" si="238"/>
        <v/>
      </c>
      <c r="TQ221" s="18" t="str">
        <f>IF(OR(TK221=Spellcasting!$AC$18,TK221=Spellcasting!$AC$19),"ᵐ","")</f>
        <v/>
      </c>
      <c r="TR221" s="18" t="str">
        <f>IF(OR(TK221=Spellcasting!$AC$20,TK221=Spellcasting!$AC$21),"ˢ","")</f>
        <v/>
      </c>
      <c r="TS221" s="18" t="str">
        <f>""</f>
        <v/>
      </c>
      <c r="TT221" s="18" t="s">
        <v>484</v>
      </c>
      <c r="TU221" s="18" t="s">
        <v>850</v>
      </c>
      <c r="TV221" s="18" t="s">
        <v>505</v>
      </c>
      <c r="TW221" s="18" t="s">
        <v>486</v>
      </c>
      <c r="TX221" s="59" t="str">
        <f>""</f>
        <v/>
      </c>
      <c r="TY221" s="18" t="s">
        <v>516</v>
      </c>
      <c r="TZ221" s="18" t="s">
        <v>517</v>
      </c>
      <c r="UA221" s="142" t="s">
        <v>2188</v>
      </c>
      <c r="UB221" s="319" t="s">
        <v>2189</v>
      </c>
      <c r="UH221" s="18" t="str">
        <f ca="1">IF(UH$1&gt;=$TM221,1,"0")</f>
        <v>0</v>
      </c>
      <c r="WD221" s="18" t="str">
        <f ca="1">IF(SUM($VZ$1:$WC$1)&gt;0,IF(AND(SUM($VZ221:$WC221)&gt;0,$TM221=WE$1),MAX(WD$2:WD220)+1,""),IF(AND(SUM($UC221:$VY221)&gt;0,$TM221=WE$1),MAX(WD$2:WD220)+1,""))</f>
        <v/>
      </c>
      <c r="WE221" s="59" t="str">
        <f t="shared" ca="1" si="239"/>
        <v/>
      </c>
      <c r="WF221" s="18" t="str">
        <f ca="1">IF(AND(SUM($UB221:$VY221)&gt;0,$TM221=WG$1),MAX(WF$2:WF220)+1,"")</f>
        <v/>
      </c>
      <c r="WG221" s="59" t="str">
        <f t="shared" ca="1" si="240"/>
        <v/>
      </c>
      <c r="WH221" s="18" t="str">
        <f ca="1">IF(AND(SUM($UB221:$VY221)&gt;0,$TM221=WI$1),MAX(WH$2:WH220)+1,"")</f>
        <v/>
      </c>
      <c r="WI221" s="59" t="str">
        <f t="shared" ca="1" si="241"/>
        <v/>
      </c>
      <c r="WJ221" s="18" t="str">
        <f ca="1">IF(AND(SUM($UB221:$VY221)&gt;0,$TM221=WK$1),MAX(WJ$2:WJ220)+1,"")</f>
        <v/>
      </c>
      <c r="WK221" s="59" t="str">
        <f t="shared" ca="1" si="242"/>
        <v/>
      </c>
      <c r="WL221" s="18" t="str">
        <f ca="1">IF(AND(SUM($UB221:$VY221)&gt;0,$TM221=WM$1),MAX(WL$2:WL220)+1,"")</f>
        <v/>
      </c>
      <c r="WM221" s="59" t="str">
        <f t="shared" ca="1" si="243"/>
        <v/>
      </c>
      <c r="WN221" s="18" t="str">
        <f ca="1">IF(AND(SUM($UB221:$VY221)&gt;0,$TM221=WO$1),MAX(WN$2:WN220)+1,"")</f>
        <v/>
      </c>
      <c r="WO221" s="59" t="str">
        <f t="shared" ca="1" si="244"/>
        <v/>
      </c>
      <c r="WP221" s="18" t="str">
        <f ca="1">IF(AND(SUM($UB221:$VY221)&gt;0,$TM221=WQ$1),MAX(WP$2:WP220)+1,"")</f>
        <v/>
      </c>
      <c r="WQ221" s="59" t="str">
        <f t="shared" ca="1" si="245"/>
        <v/>
      </c>
      <c r="WR221" s="18" t="str">
        <f ca="1">IF(AND(SUM($UB221:$VY221)&gt;0,$TM221=WS$1),MAX(WR$2:WR220)+1,"")</f>
        <v/>
      </c>
      <c r="WS221" s="59" t="str">
        <f t="shared" ca="1" si="246"/>
        <v/>
      </c>
      <c r="WT221" s="18" t="str">
        <f ca="1">IF(AND(SUM($UB221:$VY221)&gt;0,$TM221=WU$1),MAX(WT$2:WT220)+1,"")</f>
        <v/>
      </c>
      <c r="WU221" s="59" t="str">
        <f t="shared" ca="1" si="247"/>
        <v/>
      </c>
      <c r="WV221" s="18" t="str">
        <f ca="1">IF(AND(SUM($UB221:$VY221)&gt;0,$TM221=WW$1),MAX(WV$2:WV220)+1,"")</f>
        <v/>
      </c>
      <c r="WW221" s="59" t="str">
        <f t="shared" ca="1" si="248"/>
        <v/>
      </c>
      <c r="WX221" s="18" t="str">
        <f ca="1">IF(AND(SUM($UB221:$VY221)&gt;0,$TM221=WY$1),MAX(WX$2:WX220)+1,"")</f>
        <v/>
      </c>
      <c r="WY221" s="59" t="str">
        <f t="shared" ca="1" si="249"/>
        <v/>
      </c>
      <c r="WZ221" s="59"/>
      <c r="XC221" s="59" t="str">
        <f t="shared" ca="1" si="252"/>
        <v/>
      </c>
    </row>
    <row r="222" spans="530:627" ht="9.9499999999999993" customHeight="1" x14ac:dyDescent="0.2">
      <c r="TJ222" s="18">
        <f t="shared" si="253"/>
        <v>220</v>
      </c>
      <c r="TK222" s="58" t="s">
        <v>639</v>
      </c>
      <c r="TL222" s="58" t="s">
        <v>460</v>
      </c>
      <c r="TM222" s="18">
        <v>3</v>
      </c>
      <c r="TN222" s="59" t="str">
        <f t="shared" si="237"/>
        <v xml:space="preserve">Mass Healing Word ᴴ </v>
      </c>
      <c r="TO222" s="350" t="s">
        <v>2991</v>
      </c>
      <c r="TP222" s="18" t="str">
        <f t="shared" si="238"/>
        <v/>
      </c>
      <c r="TQ222" s="18" t="str">
        <f>IF(OR(TK222=Spellcasting!$AC$18,TK222=Spellcasting!$AC$19),"ᵐ","")</f>
        <v/>
      </c>
      <c r="TR222" s="18" t="str">
        <f>IF(OR(TK222=Spellcasting!$AC$20,TK222=Spellcasting!$AC$21),"ˢ","")</f>
        <v/>
      </c>
      <c r="TS222" s="18" t="str">
        <f>""</f>
        <v/>
      </c>
      <c r="TT222" s="18" t="s">
        <v>1256</v>
      </c>
      <c r="TU222" s="18" t="s">
        <v>850</v>
      </c>
      <c r="TV222" s="18" t="s">
        <v>505</v>
      </c>
      <c r="TW222" s="18" t="s">
        <v>541</v>
      </c>
      <c r="TX222" s="59" t="str">
        <f>""</f>
        <v/>
      </c>
      <c r="TY222" s="18" t="s">
        <v>534</v>
      </c>
      <c r="TZ222" s="18" t="s">
        <v>535</v>
      </c>
      <c r="UA222" s="142" t="s">
        <v>3185</v>
      </c>
      <c r="UB222" s="319" t="s">
        <v>2314</v>
      </c>
      <c r="UH222" s="18" t="str">
        <f ca="1">IF(UH$1&gt;=$TM222,1,"0")</f>
        <v>0</v>
      </c>
      <c r="WD222" s="18" t="str">
        <f ca="1">IF(SUM($VZ$1:$WC$1)&gt;0,IF(AND(SUM($VZ222:$WC222)&gt;0,$TM222=WE$1),MAX(WD$2:WD221)+1,""),IF(AND(SUM($UC222:$VY222)&gt;0,$TM222=WE$1),MAX(WD$2:WD221)+1,""))</f>
        <v/>
      </c>
      <c r="WE222" s="59" t="str">
        <f t="shared" ca="1" si="239"/>
        <v/>
      </c>
      <c r="WF222" s="18" t="str">
        <f ca="1">IF(AND(SUM($UB222:$VY222)&gt;0,$TM222=WG$1),MAX(WF$2:WF221)+1,"")</f>
        <v/>
      </c>
      <c r="WG222" s="59" t="str">
        <f t="shared" ca="1" si="240"/>
        <v/>
      </c>
      <c r="WH222" s="18" t="str">
        <f ca="1">IF(AND(SUM($UB222:$VY222)&gt;0,$TM222=WI$1),MAX(WH$2:WH221)+1,"")</f>
        <v/>
      </c>
      <c r="WI222" s="59" t="str">
        <f t="shared" ca="1" si="241"/>
        <v/>
      </c>
      <c r="WJ222" s="18" t="str">
        <f ca="1">IF(AND(SUM($UB222:$VY222)&gt;0,$TM222=WK$1),MAX(WJ$2:WJ221)+1,"")</f>
        <v/>
      </c>
      <c r="WK222" s="59" t="str">
        <f t="shared" ca="1" si="242"/>
        <v/>
      </c>
      <c r="WL222" s="18" t="str">
        <f ca="1">IF(AND(SUM($UB222:$VY222)&gt;0,$TM222=WM$1),MAX(WL$2:WL221)+1,"")</f>
        <v/>
      </c>
      <c r="WM222" s="59" t="str">
        <f t="shared" ca="1" si="243"/>
        <v/>
      </c>
      <c r="WN222" s="18" t="str">
        <f ca="1">IF(AND(SUM($UB222:$VY222)&gt;0,$TM222=WO$1),MAX(WN$2:WN221)+1,"")</f>
        <v/>
      </c>
      <c r="WO222" s="59" t="str">
        <f t="shared" ca="1" si="244"/>
        <v/>
      </c>
      <c r="WP222" s="18" t="str">
        <f ca="1">IF(AND(SUM($UB222:$VY222)&gt;0,$TM222=WQ$1),MAX(WP$2:WP221)+1,"")</f>
        <v/>
      </c>
      <c r="WQ222" s="59" t="str">
        <f t="shared" ca="1" si="245"/>
        <v/>
      </c>
      <c r="WR222" s="18" t="str">
        <f ca="1">IF(AND(SUM($UB222:$VY222)&gt;0,$TM222=WS$1),MAX(WR$2:WR221)+1,"")</f>
        <v/>
      </c>
      <c r="WS222" s="59" t="str">
        <f t="shared" ca="1" si="246"/>
        <v/>
      </c>
      <c r="WT222" s="18" t="str">
        <f ca="1">IF(AND(SUM($UB222:$VY222)&gt;0,$TM222=WU$1),MAX(WT$2:WT221)+1,"")</f>
        <v/>
      </c>
      <c r="WU222" s="59" t="str">
        <f t="shared" ca="1" si="247"/>
        <v/>
      </c>
      <c r="WV222" s="18" t="str">
        <f ca="1">IF(AND(SUM($UB222:$VY222)&gt;0,$TM222=WW$1),MAX(WV$2:WV221)+1,"")</f>
        <v/>
      </c>
      <c r="WW222" s="59" t="str">
        <f t="shared" ca="1" si="248"/>
        <v/>
      </c>
      <c r="WX222" s="18" t="str">
        <f ca="1">IF(AND(SUM($UB222:$VY222)&gt;0,$TM222=WY$1),MAX(WX$2:WX221)+1,"")</f>
        <v/>
      </c>
      <c r="WY222" s="59" t="str">
        <f t="shared" ca="1" si="249"/>
        <v/>
      </c>
      <c r="WZ222" s="59"/>
      <c r="XC222" s="59" t="str">
        <f t="shared" ca="1" si="252"/>
        <v/>
      </c>
    </row>
    <row r="223" spans="530:627" ht="9.9499999999999993" customHeight="1" x14ac:dyDescent="0.2">
      <c r="TJ223" s="18">
        <f t="shared" si="253"/>
        <v>221</v>
      </c>
      <c r="TK223" s="58" t="s">
        <v>640</v>
      </c>
      <c r="TL223" s="58" t="s">
        <v>463</v>
      </c>
      <c r="TM223" s="18">
        <v>6</v>
      </c>
      <c r="TN223" s="59" t="str">
        <f t="shared" si="237"/>
        <v xml:space="preserve">Mass Suggestion ᴴ </v>
      </c>
      <c r="TO223" s="350" t="s">
        <v>2991</v>
      </c>
      <c r="TP223" s="18" t="str">
        <f t="shared" si="238"/>
        <v/>
      </c>
      <c r="TQ223" s="18" t="str">
        <f>IF(OR(TK223=Spellcasting!$AC$18,TK223=Spellcasting!$AC$19),"ᵐ","")</f>
        <v/>
      </c>
      <c r="TR223" s="18" t="str">
        <f>IF(OR(TK223=Spellcasting!$AC$20,TK223=Spellcasting!$AC$21),"ˢ","")</f>
        <v/>
      </c>
      <c r="TS223" s="18" t="str">
        <f>""</f>
        <v/>
      </c>
      <c r="TT223" s="18" t="s">
        <v>484</v>
      </c>
      <c r="TU223" s="18" t="s">
        <v>850</v>
      </c>
      <c r="TV223" s="18" t="s">
        <v>2007</v>
      </c>
      <c r="TW223" s="18" t="s">
        <v>686</v>
      </c>
      <c r="TX223" s="59" t="s">
        <v>1378</v>
      </c>
      <c r="TY223" s="18" t="s">
        <v>498</v>
      </c>
      <c r="TZ223" s="18" t="s">
        <v>499</v>
      </c>
      <c r="UA223" s="142" t="s">
        <v>2190</v>
      </c>
      <c r="UB223" s="319" t="s">
        <v>2268</v>
      </c>
      <c r="UC223" s="18" t="str">
        <f ca="1">IF(UC$1&gt;=$TM223,1,"0")</f>
        <v>0</v>
      </c>
      <c r="UF223" s="18" t="str">
        <f ca="1">IF(UF$1&gt;=$TM223,1,"0")</f>
        <v>0</v>
      </c>
      <c r="UG223" s="18" t="str">
        <f ca="1">IF(UG$1&gt;=$TM223,1,"0")</f>
        <v>0</v>
      </c>
      <c r="UL223" s="18" t="str">
        <f ca="1">IF(UL$1&gt;=$TM223,1,"0")</f>
        <v>0</v>
      </c>
      <c r="WD223" s="18" t="str">
        <f ca="1">IF(SUM($VZ$1:$WC$1)&gt;0,IF(AND(SUM($VZ223:$WC223)&gt;0,$TM223=WE$1),MAX(WD$2:WD222)+1,""),IF(AND(SUM($UC223:$VY223)&gt;0,$TM223=WE$1),MAX(WD$2:WD222)+1,""))</f>
        <v/>
      </c>
      <c r="WE223" s="59" t="str">
        <f t="shared" ca="1" si="239"/>
        <v/>
      </c>
      <c r="WF223" s="18" t="str">
        <f ca="1">IF(AND(SUM($UB223:$VY223)&gt;0,$TM223=WG$1),MAX(WF$2:WF222)+1,"")</f>
        <v/>
      </c>
      <c r="WG223" s="59" t="str">
        <f t="shared" ca="1" si="240"/>
        <v/>
      </c>
      <c r="WH223" s="18" t="str">
        <f ca="1">IF(AND(SUM($UB223:$VY223)&gt;0,$TM223=WI$1),MAX(WH$2:WH222)+1,"")</f>
        <v/>
      </c>
      <c r="WI223" s="59" t="str">
        <f t="shared" ca="1" si="241"/>
        <v/>
      </c>
      <c r="WJ223" s="18" t="str">
        <f ca="1">IF(AND(SUM($UB223:$VY223)&gt;0,$TM223=WK$1),MAX(WJ$2:WJ222)+1,"")</f>
        <v/>
      </c>
      <c r="WK223" s="59" t="str">
        <f t="shared" ca="1" si="242"/>
        <v/>
      </c>
      <c r="WL223" s="18" t="str">
        <f ca="1">IF(AND(SUM($UB223:$VY223)&gt;0,$TM223=WM$1),MAX(WL$2:WL222)+1,"")</f>
        <v/>
      </c>
      <c r="WM223" s="59" t="str">
        <f t="shared" ca="1" si="243"/>
        <v/>
      </c>
      <c r="WN223" s="18" t="str">
        <f ca="1">IF(AND(SUM($UB223:$VY223)&gt;0,$TM223=WO$1),MAX(WN$2:WN222)+1,"")</f>
        <v/>
      </c>
      <c r="WO223" s="59" t="str">
        <f t="shared" ca="1" si="244"/>
        <v/>
      </c>
      <c r="WP223" s="18" t="str">
        <f ca="1">IF(AND(SUM($UB223:$VY223)&gt;0,$TM223=WQ$1),MAX(WP$2:WP222)+1,"")</f>
        <v/>
      </c>
      <c r="WQ223" s="59" t="str">
        <f t="shared" ca="1" si="245"/>
        <v/>
      </c>
      <c r="WR223" s="18" t="str">
        <f ca="1">IF(AND(SUM($UB223:$VY223)&gt;0,$TM223=WS$1),MAX(WR$2:WR222)+1,"")</f>
        <v/>
      </c>
      <c r="WS223" s="59" t="str">
        <f t="shared" ca="1" si="246"/>
        <v/>
      </c>
      <c r="WT223" s="18" t="str">
        <f ca="1">IF(AND(SUM($UB223:$VY223)&gt;0,$TM223=WU$1),MAX(WT$2:WT222)+1,"")</f>
        <v/>
      </c>
      <c r="WU223" s="59" t="str">
        <f t="shared" ca="1" si="247"/>
        <v/>
      </c>
      <c r="WV223" s="18" t="str">
        <f ca="1">IF(AND(SUM($UB223:$VY223)&gt;0,$TM223=WW$1),MAX(WV$2:WV222)+1,"")</f>
        <v/>
      </c>
      <c r="WW223" s="59" t="str">
        <f t="shared" ca="1" si="248"/>
        <v/>
      </c>
      <c r="WX223" s="18" t="str">
        <f ca="1">IF(AND(SUM($UB223:$VY223)&gt;0,$TM223=WY$1),MAX(WX$2:WX222)+1,"")</f>
        <v/>
      </c>
      <c r="WY223" s="59" t="str">
        <f t="shared" ca="1" si="249"/>
        <v/>
      </c>
      <c r="WZ223" s="59"/>
      <c r="XC223" s="59" t="str">
        <f t="shared" ca="1" si="252"/>
        <v/>
      </c>
    </row>
    <row r="224" spans="530:627" ht="9.9499999999999993" customHeight="1" x14ac:dyDescent="0.2">
      <c r="TJ224" s="18">
        <f t="shared" si="253"/>
        <v>222</v>
      </c>
      <c r="TK224" s="58" t="s">
        <v>642</v>
      </c>
      <c r="TL224" s="58" t="s">
        <v>465</v>
      </c>
      <c r="TM224" s="18">
        <v>8</v>
      </c>
      <c r="TN224" s="59" t="str">
        <f t="shared" si="237"/>
        <v xml:space="preserve">Maze </v>
      </c>
      <c r="TO224" s="18" t="str">
        <f>""</f>
        <v/>
      </c>
      <c r="TP224" s="18" t="str">
        <f t="shared" si="238"/>
        <v/>
      </c>
      <c r="TQ224" s="18" t="str">
        <f>IF(OR(TK224=Spellcasting!$AC$18,TK224=Spellcasting!$AC$19),"ᵐ","")</f>
        <v/>
      </c>
      <c r="TR224" s="18" t="str">
        <f>IF(OR(TK224=Spellcasting!$AC$20,TK224=Spellcasting!$AC$21),"ˢ","")</f>
        <v/>
      </c>
      <c r="TS224" s="18" t="str">
        <f>""</f>
        <v/>
      </c>
      <c r="TT224" s="18" t="s">
        <v>484</v>
      </c>
      <c r="TU224" s="18" t="s">
        <v>850</v>
      </c>
      <c r="TV224" s="18" t="s">
        <v>515</v>
      </c>
      <c r="TW224" s="18" t="s">
        <v>486</v>
      </c>
      <c r="TX224" s="59" t="str">
        <f>""</f>
        <v/>
      </c>
      <c r="TY224" s="18" t="s">
        <v>516</v>
      </c>
      <c r="TZ224" s="18" t="s">
        <v>517</v>
      </c>
      <c r="UA224" s="142" t="s">
        <v>2191</v>
      </c>
      <c r="UB224" s="319" t="s">
        <v>2192</v>
      </c>
      <c r="UL224" s="18" t="str">
        <f ca="1">IF(UL$1&gt;=$TM224,1,"0")</f>
        <v>0</v>
      </c>
      <c r="WD224" s="18" t="str">
        <f ca="1">IF(SUM($VZ$1:$WC$1)&gt;0,IF(AND(SUM($VZ224:$WC224)&gt;0,$TM224=WE$1),MAX(WD$2:WD223)+1,""),IF(AND(SUM($UC224:$VY224)&gt;0,$TM224=WE$1),MAX(WD$2:WD223)+1,""))</f>
        <v/>
      </c>
      <c r="WE224" s="59" t="str">
        <f t="shared" ca="1" si="239"/>
        <v/>
      </c>
      <c r="WF224" s="18" t="str">
        <f ca="1">IF(AND(SUM($UB224:$VY224)&gt;0,$TM224=WG$1),MAX(WF$2:WF223)+1,"")</f>
        <v/>
      </c>
      <c r="WG224" s="59" t="str">
        <f t="shared" ca="1" si="240"/>
        <v/>
      </c>
      <c r="WH224" s="18" t="str">
        <f ca="1">IF(AND(SUM($UB224:$VY224)&gt;0,$TM224=WI$1),MAX(WH$2:WH223)+1,"")</f>
        <v/>
      </c>
      <c r="WI224" s="59" t="str">
        <f t="shared" ca="1" si="241"/>
        <v/>
      </c>
      <c r="WJ224" s="18" t="str">
        <f ca="1">IF(AND(SUM($UB224:$VY224)&gt;0,$TM224=WK$1),MAX(WJ$2:WJ223)+1,"")</f>
        <v/>
      </c>
      <c r="WK224" s="59" t="str">
        <f t="shared" ca="1" si="242"/>
        <v/>
      </c>
      <c r="WL224" s="18" t="str">
        <f ca="1">IF(AND(SUM($UB224:$VY224)&gt;0,$TM224=WM$1),MAX(WL$2:WL223)+1,"")</f>
        <v/>
      </c>
      <c r="WM224" s="59" t="str">
        <f t="shared" ca="1" si="243"/>
        <v/>
      </c>
      <c r="WN224" s="18" t="str">
        <f ca="1">IF(AND(SUM($UB224:$VY224)&gt;0,$TM224=WO$1),MAX(WN$2:WN223)+1,"")</f>
        <v/>
      </c>
      <c r="WO224" s="59" t="str">
        <f t="shared" ca="1" si="244"/>
        <v/>
      </c>
      <c r="WP224" s="18" t="str">
        <f ca="1">IF(AND(SUM($UB224:$VY224)&gt;0,$TM224=WQ$1),MAX(WP$2:WP223)+1,"")</f>
        <v/>
      </c>
      <c r="WQ224" s="59" t="str">
        <f t="shared" ca="1" si="245"/>
        <v/>
      </c>
      <c r="WR224" s="18" t="str">
        <f ca="1">IF(AND(SUM($UB224:$VY224)&gt;0,$TM224=WS$1),MAX(WR$2:WR223)+1,"")</f>
        <v/>
      </c>
      <c r="WS224" s="59" t="str">
        <f t="shared" ca="1" si="246"/>
        <v/>
      </c>
      <c r="WT224" s="18" t="str">
        <f ca="1">IF(AND(SUM($UB224:$VY224)&gt;0,$TM224=WU$1),MAX(WT$2:WT223)+1,"")</f>
        <v/>
      </c>
      <c r="WU224" s="59" t="str">
        <f t="shared" ca="1" si="247"/>
        <v/>
      </c>
      <c r="WV224" s="18" t="str">
        <f ca="1">IF(AND(SUM($UB224:$VY224)&gt;0,$TM224=WW$1),MAX(WV$2:WV223)+1,"")</f>
        <v/>
      </c>
      <c r="WW224" s="59" t="str">
        <f t="shared" ca="1" si="248"/>
        <v/>
      </c>
      <c r="WX224" s="18" t="str">
        <f ca="1">IF(AND(SUM($UB224:$VY224)&gt;0,$TM224=WY$1),MAX(WX$2:WX223)+1,"")</f>
        <v/>
      </c>
      <c r="WY224" s="59" t="str">
        <f t="shared" ca="1" si="249"/>
        <v/>
      </c>
      <c r="WZ224" s="59"/>
      <c r="XC224" s="59" t="str">
        <f t="shared" ca="1" si="252"/>
        <v/>
      </c>
    </row>
    <row r="225" spans="530:627" ht="9.9499999999999993" customHeight="1" x14ac:dyDescent="0.2">
      <c r="TJ225" s="18">
        <f t="shared" si="253"/>
        <v>223</v>
      </c>
      <c r="TK225" s="58" t="s">
        <v>643</v>
      </c>
      <c r="TL225" s="58" t="s">
        <v>460</v>
      </c>
      <c r="TM225" s="18">
        <v>3</v>
      </c>
      <c r="TN225" s="59" t="str">
        <f t="shared" si="237"/>
        <v xml:space="preserve">Meld into Stone </v>
      </c>
      <c r="TO225" s="18" t="str">
        <f>""</f>
        <v/>
      </c>
      <c r="TP225" s="18" t="str">
        <f t="shared" si="238"/>
        <v/>
      </c>
      <c r="TQ225" s="18" t="str">
        <f>IF(OR(TK225=Spellcasting!$AC$18,TK225=Spellcasting!$AC$19),"ᵐ","")</f>
        <v/>
      </c>
      <c r="TR225" s="18" t="str">
        <f>IF(OR(TK225=Spellcasting!$AC$20,TK225=Spellcasting!$AC$21),"ˢ","")</f>
        <v/>
      </c>
      <c r="TS225" s="18" t="s">
        <v>477</v>
      </c>
      <c r="TT225" s="18" t="s">
        <v>501</v>
      </c>
      <c r="TU225" s="18" t="s">
        <v>519</v>
      </c>
      <c r="TV225" s="18" t="s">
        <v>485</v>
      </c>
      <c r="TW225" s="18" t="s">
        <v>486</v>
      </c>
      <c r="TX225" s="59" t="str">
        <f>""</f>
        <v/>
      </c>
      <c r="TY225" s="18" t="s">
        <v>491</v>
      </c>
      <c r="TZ225" s="18" t="s">
        <v>492</v>
      </c>
      <c r="UA225" s="142" t="s">
        <v>1703</v>
      </c>
      <c r="UB225" s="319" t="s">
        <v>1704</v>
      </c>
      <c r="UH225" s="18" t="str">
        <f ca="1">IF(UH$1&gt;=$TM225,1,"0")</f>
        <v>0</v>
      </c>
      <c r="UI225" s="18" t="str">
        <f ca="1">IF(UI$1&gt;=$TM225,1,"0")</f>
        <v>0</v>
      </c>
      <c r="VL225" s="18" t="str">
        <f>IF(VL$1&gt;=$TM225,1,"0")</f>
        <v>0</v>
      </c>
      <c r="WD225" s="18" t="str">
        <f ca="1">IF(SUM($VZ$1:$WC$1)&gt;0,IF(AND(SUM($VZ225:$WC225)&gt;0,$TM225=WE$1),MAX(WD$2:WD224)+1,""),IF(AND(SUM($UC225:$VY225)&gt;0,$TM225=WE$1),MAX(WD$2:WD224)+1,""))</f>
        <v/>
      </c>
      <c r="WE225" s="59" t="str">
        <f t="shared" ca="1" si="239"/>
        <v/>
      </c>
      <c r="WF225" s="18" t="str">
        <f ca="1">IF(AND(SUM($UB225:$VY225)&gt;0,$TM225=WG$1),MAX(WF$2:WF224)+1,"")</f>
        <v/>
      </c>
      <c r="WG225" s="59" t="str">
        <f t="shared" ca="1" si="240"/>
        <v/>
      </c>
      <c r="WH225" s="18" t="str">
        <f ca="1">IF(AND(SUM($UB225:$VY225)&gt;0,$TM225=WI$1),MAX(WH$2:WH224)+1,"")</f>
        <v/>
      </c>
      <c r="WI225" s="59" t="str">
        <f t="shared" ca="1" si="241"/>
        <v/>
      </c>
      <c r="WJ225" s="18" t="str">
        <f ca="1">IF(AND(SUM($UB225:$VY225)&gt;0,$TM225=WK$1),MAX(WJ$2:WJ224)+1,"")</f>
        <v/>
      </c>
      <c r="WK225" s="59" t="str">
        <f t="shared" ca="1" si="242"/>
        <v/>
      </c>
      <c r="WL225" s="18" t="str">
        <f ca="1">IF(AND(SUM($UB225:$VY225)&gt;0,$TM225=WM$1),MAX(WL$2:WL224)+1,"")</f>
        <v/>
      </c>
      <c r="WM225" s="59" t="str">
        <f t="shared" ca="1" si="243"/>
        <v/>
      </c>
      <c r="WN225" s="18" t="str">
        <f ca="1">IF(AND(SUM($UB225:$VY225)&gt;0,$TM225=WO$1),MAX(WN$2:WN224)+1,"")</f>
        <v/>
      </c>
      <c r="WO225" s="59" t="str">
        <f t="shared" ca="1" si="244"/>
        <v/>
      </c>
      <c r="WP225" s="18" t="str">
        <f ca="1">IF(AND(SUM($UB225:$VY225)&gt;0,$TM225=WQ$1),MAX(WP$2:WP224)+1,"")</f>
        <v/>
      </c>
      <c r="WQ225" s="59" t="str">
        <f t="shared" ca="1" si="245"/>
        <v/>
      </c>
      <c r="WR225" s="18" t="str">
        <f ca="1">IF(AND(SUM($UB225:$VY225)&gt;0,$TM225=WS$1),MAX(WR$2:WR224)+1,"")</f>
        <v/>
      </c>
      <c r="WS225" s="59" t="str">
        <f t="shared" ca="1" si="246"/>
        <v/>
      </c>
      <c r="WT225" s="18" t="str">
        <f ca="1">IF(AND(SUM($UB225:$VY225)&gt;0,$TM225=WU$1),MAX(WT$2:WT224)+1,"")</f>
        <v/>
      </c>
      <c r="WU225" s="59" t="str">
        <f t="shared" ca="1" si="247"/>
        <v/>
      </c>
      <c r="WV225" s="18" t="str">
        <f ca="1">IF(AND(SUM($UB225:$VY225)&gt;0,$TM225=WW$1),MAX(WV$2:WV224)+1,"")</f>
        <v/>
      </c>
      <c r="WW225" s="59" t="str">
        <f t="shared" ca="1" si="248"/>
        <v/>
      </c>
      <c r="WX225" s="18" t="str">
        <f ca="1">IF(AND(SUM($UB225:$VY225)&gt;0,$TM225=WY$1),MAX(WX$2:WX224)+1,"")</f>
        <v/>
      </c>
      <c r="WY225" s="59" t="str">
        <f t="shared" ca="1" si="249"/>
        <v/>
      </c>
      <c r="WZ225" s="59"/>
      <c r="XC225" s="59" t="str">
        <f t="shared" ca="1" si="252"/>
        <v/>
      </c>
    </row>
    <row r="226" spans="530:627" ht="9.9499999999999993" customHeight="1" x14ac:dyDescent="0.2">
      <c r="TJ226" s="18">
        <f t="shared" si="253"/>
        <v>224</v>
      </c>
      <c r="TK226" s="58" t="s">
        <v>1823</v>
      </c>
      <c r="TL226" s="58" t="s">
        <v>459</v>
      </c>
      <c r="TM226" s="18">
        <v>2</v>
      </c>
      <c r="TN226" s="59" t="str">
        <f t="shared" si="237"/>
        <v xml:space="preserve">Melf's Acid Arrow ᴴ </v>
      </c>
      <c r="TO226" s="350" t="s">
        <v>2991</v>
      </c>
      <c r="TP226" s="18" t="str">
        <f t="shared" si="238"/>
        <v/>
      </c>
      <c r="TQ226" s="18" t="str">
        <f>IF(OR(TK226=Spellcasting!$AC$18,TK226=Spellcasting!$AC$19),"ᵐ","")</f>
        <v/>
      </c>
      <c r="TR226" s="18" t="str">
        <f>IF(OR(TK226=Spellcasting!$AC$20,TK226=Spellcasting!$AC$21),"ˢ","")</f>
        <v/>
      </c>
      <c r="TS226" s="18" t="str">
        <f>""</f>
        <v/>
      </c>
      <c r="TT226" s="18" t="s">
        <v>484</v>
      </c>
      <c r="TU226" s="18" t="s">
        <v>864</v>
      </c>
      <c r="TV226" s="18" t="s">
        <v>505</v>
      </c>
      <c r="TW226" s="18" t="s">
        <v>495</v>
      </c>
      <c r="TX226" s="59" t="s">
        <v>1349</v>
      </c>
      <c r="TY226" s="18" t="s">
        <v>534</v>
      </c>
      <c r="TZ226" s="18" t="s">
        <v>535</v>
      </c>
      <c r="UA226" s="142" t="s">
        <v>3186</v>
      </c>
      <c r="UB226" s="319" t="str">
        <f ca="1">"ranged, 4d4"&amp;IF(WizardEvocationLevel&gt;=10,"+"&amp;INTMod,"")&amp;" acid then 2d4"&amp;IF(WizardEvocationLevel&gt;=10,"+"&amp;INTMod,"")&amp;", miss ½ damage"</f>
        <v>ranged, 4d4 acid then 2d4, miss ½ damage</v>
      </c>
      <c r="UL226" s="18" t="str">
        <f t="shared" ref="UL226:UL236" ca="1" si="255">IF(UL$1&gt;=$TM226,1,"0")</f>
        <v>0</v>
      </c>
      <c r="VM226" s="18" t="str">
        <f>IF(VM$1&gt;=$TM226,1,"0")</f>
        <v>0</v>
      </c>
      <c r="VP226" s="18" t="str">
        <f>IF(VP$1&gt;=$TM226,1,"0")</f>
        <v>0</v>
      </c>
      <c r="WD226" s="18" t="str">
        <f ca="1">IF(SUM($VZ$1:$WC$1)&gt;0,IF(AND(SUM($VZ226:$WC226)&gt;0,$TM226=WE$1),MAX(WD$2:WD225)+1,""),IF(AND(SUM($UC226:$VY226)&gt;0,$TM226=WE$1),MAX(WD$2:WD225)+1,""))</f>
        <v/>
      </c>
      <c r="WE226" s="59" t="str">
        <f t="shared" ca="1" si="239"/>
        <v/>
      </c>
      <c r="WF226" s="18" t="str">
        <f ca="1">IF(AND(SUM($UB226:$VY226)&gt;0,$TM226=WG$1),MAX(WF$2:WF225)+1,"")</f>
        <v/>
      </c>
      <c r="WG226" s="59" t="str">
        <f t="shared" ca="1" si="240"/>
        <v/>
      </c>
      <c r="WH226" s="18" t="str">
        <f ca="1">IF(AND(SUM($UB226:$VY226)&gt;0,$TM226=WI$1),MAX(WH$2:WH225)+1,"")</f>
        <v/>
      </c>
      <c r="WI226" s="59" t="str">
        <f t="shared" ca="1" si="241"/>
        <v/>
      </c>
      <c r="WJ226" s="18" t="str">
        <f ca="1">IF(AND(SUM($UB226:$VY226)&gt;0,$TM226=WK$1),MAX(WJ$2:WJ225)+1,"")</f>
        <v/>
      </c>
      <c r="WK226" s="59" t="str">
        <f t="shared" ca="1" si="242"/>
        <v/>
      </c>
      <c r="WL226" s="18" t="str">
        <f ca="1">IF(AND(SUM($UB226:$VY226)&gt;0,$TM226=WM$1),MAX(WL$2:WL225)+1,"")</f>
        <v/>
      </c>
      <c r="WM226" s="59" t="str">
        <f t="shared" ca="1" si="243"/>
        <v/>
      </c>
      <c r="WN226" s="18" t="str">
        <f ca="1">IF(AND(SUM($UB226:$VY226)&gt;0,$TM226=WO$1),MAX(WN$2:WN225)+1,"")</f>
        <v/>
      </c>
      <c r="WO226" s="59" t="str">
        <f t="shared" ca="1" si="244"/>
        <v/>
      </c>
      <c r="WP226" s="18" t="str">
        <f ca="1">IF(AND(SUM($UB226:$VY226)&gt;0,$TM226=WQ$1),MAX(WP$2:WP225)+1,"")</f>
        <v/>
      </c>
      <c r="WQ226" s="59" t="str">
        <f t="shared" ca="1" si="245"/>
        <v/>
      </c>
      <c r="WR226" s="18" t="str">
        <f ca="1">IF(AND(SUM($UB226:$VY226)&gt;0,$TM226=WS$1),MAX(WR$2:WR225)+1,"")</f>
        <v/>
      </c>
      <c r="WS226" s="59" t="str">
        <f t="shared" ca="1" si="246"/>
        <v/>
      </c>
      <c r="WT226" s="18" t="str">
        <f ca="1">IF(AND(SUM($UB226:$VY226)&gt;0,$TM226=WU$1),MAX(WT$2:WT225)+1,"")</f>
        <v/>
      </c>
      <c r="WU226" s="59" t="str">
        <f t="shared" ca="1" si="247"/>
        <v/>
      </c>
      <c r="WV226" s="18" t="str">
        <f ca="1">IF(AND(SUM($UB226:$VY226)&gt;0,$TM226=WW$1),MAX(WV$2:WV225)+1,"")</f>
        <v/>
      </c>
      <c r="WW226" s="59" t="str">
        <f t="shared" ca="1" si="248"/>
        <v/>
      </c>
      <c r="WX226" s="18" t="str">
        <f ca="1">IF(AND(SUM($UB226:$VY226)&gt;0,$TM226=WY$1),MAX(WX$2:WX225)+1,"")</f>
        <v/>
      </c>
      <c r="WY226" s="59" t="str">
        <f t="shared" ca="1" si="249"/>
        <v/>
      </c>
      <c r="WZ226" s="59"/>
      <c r="XC226" s="59" t="str">
        <f t="shared" ca="1" si="252"/>
        <v/>
      </c>
    </row>
    <row r="227" spans="530:627" ht="9.9499999999999993" customHeight="1" x14ac:dyDescent="0.2">
      <c r="TJ227" s="18">
        <f t="shared" si="253"/>
        <v>225</v>
      </c>
      <c r="TK227" s="58" t="s">
        <v>644</v>
      </c>
      <c r="TL227" s="58" t="s">
        <v>1840</v>
      </c>
      <c r="TM227" s="18">
        <v>0.5</v>
      </c>
      <c r="TN227" s="59" t="str">
        <f t="shared" si="237"/>
        <v xml:space="preserve">Mending </v>
      </c>
      <c r="TO227" s="18" t="str">
        <f>""</f>
        <v/>
      </c>
      <c r="TP227" s="18" t="str">
        <f t="shared" si="238"/>
        <v/>
      </c>
      <c r="TQ227" s="18" t="str">
        <f>IF(OR(TK227=Spellcasting!$AC$18,TK227=Spellcasting!$AC$19),"ᵐ","")</f>
        <v/>
      </c>
      <c r="TR227" s="18" t="str">
        <f>IF(OR(TK227=Spellcasting!$AC$20,TK227=Spellcasting!$AC$21),"ˢ","")</f>
        <v/>
      </c>
      <c r="TS227" s="18" t="str">
        <f>""</f>
        <v/>
      </c>
      <c r="TT227" s="18" t="s">
        <v>503</v>
      </c>
      <c r="TU227" s="18" t="s">
        <v>519</v>
      </c>
      <c r="TV227" s="18" t="s">
        <v>505</v>
      </c>
      <c r="TW227" s="18" t="s">
        <v>486</v>
      </c>
      <c r="TX227" s="59" t="str">
        <f>""</f>
        <v/>
      </c>
      <c r="TY227" s="18" t="s">
        <v>491</v>
      </c>
      <c r="TZ227" s="18" t="s">
        <v>492</v>
      </c>
      <c r="UA227" s="59" t="s">
        <v>645</v>
      </c>
      <c r="UB227" s="319" t="s">
        <v>995</v>
      </c>
      <c r="UC227" s="18" t="str">
        <f ca="1">IF(UC$1&gt;=$TM227,1,"0")</f>
        <v>0</v>
      </c>
      <c r="UF227" s="18" t="str">
        <f ca="1">IF(UF$1&gt;=$TM227,1,"0")</f>
        <v>0</v>
      </c>
      <c r="UI227" s="18" t="str">
        <f ca="1">IF(UI$1&gt;=$TM227,1,"0")</f>
        <v>0</v>
      </c>
      <c r="UL227" s="18" t="str">
        <f t="shared" ca="1" si="255"/>
        <v>0</v>
      </c>
      <c r="VB227" s="18" t="str">
        <f>IF(VB$1&gt;=$TM227,1,"0")</f>
        <v>0</v>
      </c>
      <c r="VP227" s="18" t="str">
        <f>IF(VP$1&gt;=$TM227,1,"0")</f>
        <v>0</v>
      </c>
      <c r="VQ227" s="18" t="str">
        <f>IF(VQ$1&gt;=$TM227,1,"0")</f>
        <v>0</v>
      </c>
      <c r="WB227" s="18" t="str">
        <f>IF(WB$1&gt;=$TM227,1,"0")</f>
        <v>0</v>
      </c>
      <c r="WC227" s="18"/>
      <c r="WD227" s="18" t="str">
        <f ca="1">IF(SUM($VZ$1:$WC$1)&gt;0,IF(AND(SUM($VZ227:$WC227)&gt;0,$TM227=WE$1),MAX(WD$2:WD226)+1,""),IF(AND(SUM($UC227:$VY227)&gt;0,$TM227=WE$1),MAX(WD$2:WD226)+1,""))</f>
        <v/>
      </c>
      <c r="WE227" s="59" t="str">
        <f t="shared" ca="1" si="239"/>
        <v/>
      </c>
      <c r="WF227" s="18" t="str">
        <f ca="1">IF(AND(SUM($UB227:$VY227)&gt;0,$TM227=WG$1),MAX(WF$2:WF226)+1,"")</f>
        <v/>
      </c>
      <c r="WG227" s="59" t="str">
        <f t="shared" ca="1" si="240"/>
        <v/>
      </c>
      <c r="WH227" s="18" t="str">
        <f ca="1">IF(AND(SUM($UB227:$VY227)&gt;0,$TM227=WI$1),MAX(WH$2:WH226)+1,"")</f>
        <v/>
      </c>
      <c r="WI227" s="59" t="str">
        <f t="shared" ca="1" si="241"/>
        <v/>
      </c>
      <c r="WJ227" s="18" t="str">
        <f ca="1">IF(AND(SUM($UB227:$VY227)&gt;0,$TM227=WK$1),MAX(WJ$2:WJ226)+1,"")</f>
        <v/>
      </c>
      <c r="WK227" s="59" t="str">
        <f t="shared" ca="1" si="242"/>
        <v/>
      </c>
      <c r="WL227" s="18" t="str">
        <f ca="1">IF(AND(SUM($UB227:$VY227)&gt;0,$TM227=WM$1),MAX(WL$2:WL226)+1,"")</f>
        <v/>
      </c>
      <c r="WM227" s="59" t="str">
        <f t="shared" ca="1" si="243"/>
        <v/>
      </c>
      <c r="WN227" s="18" t="str">
        <f ca="1">IF(AND(SUM($UB227:$VY227)&gt;0,$TM227=WO$1),MAX(WN$2:WN226)+1,"")</f>
        <v/>
      </c>
      <c r="WO227" s="59" t="str">
        <f t="shared" ca="1" si="244"/>
        <v/>
      </c>
      <c r="WP227" s="18" t="str">
        <f ca="1">IF(AND(SUM($UB227:$VY227)&gt;0,$TM227=WQ$1),MAX(WP$2:WP226)+1,"")</f>
        <v/>
      </c>
      <c r="WQ227" s="59" t="str">
        <f t="shared" ca="1" si="245"/>
        <v/>
      </c>
      <c r="WR227" s="18" t="str">
        <f ca="1">IF(AND(SUM($UB227:$VY227)&gt;0,$TM227=WS$1),MAX(WR$2:WR226)+1,"")</f>
        <v/>
      </c>
      <c r="WS227" s="59" t="str">
        <f t="shared" ca="1" si="246"/>
        <v/>
      </c>
      <c r="WT227" s="18" t="str">
        <f ca="1">IF(AND(SUM($UB227:$VY227)&gt;0,$TM227=WU$1),MAX(WT$2:WT226)+1,"")</f>
        <v/>
      </c>
      <c r="WU227" s="59" t="str">
        <f t="shared" ca="1" si="247"/>
        <v/>
      </c>
      <c r="WV227" s="18" t="str">
        <f ca="1">IF(AND(SUM($UB227:$VY227)&gt;0,$TM227=WW$1),MAX(WV$2:WV226)+1,"")</f>
        <v/>
      </c>
      <c r="WW227" s="59" t="str">
        <f t="shared" ca="1" si="248"/>
        <v/>
      </c>
      <c r="WX227" s="18" t="str">
        <f ca="1">IF(AND(SUM($UB227:$VY227)&gt;0,$TM227=WY$1),MAX(WX$2:WX226)+1,"")</f>
        <v/>
      </c>
      <c r="WY227" s="59" t="str">
        <f t="shared" ca="1" si="249"/>
        <v/>
      </c>
      <c r="WZ227" s="59"/>
      <c r="XC227" s="59" t="str">
        <f t="shared" ca="1" si="252"/>
        <v/>
      </c>
    </row>
    <row r="228" spans="530:627" ht="9.9499999999999993" customHeight="1" x14ac:dyDescent="0.2">
      <c r="TJ228" s="18">
        <f t="shared" si="253"/>
        <v>226</v>
      </c>
      <c r="TK228" s="58" t="s">
        <v>646</v>
      </c>
      <c r="TL228" s="58" t="s">
        <v>1840</v>
      </c>
      <c r="TM228" s="18">
        <v>0.5</v>
      </c>
      <c r="TN228" s="59" t="str">
        <f t="shared" si="237"/>
        <v xml:space="preserve">Message </v>
      </c>
      <c r="TO228" s="18" t="str">
        <f>""</f>
        <v/>
      </c>
      <c r="TP228" s="18" t="str">
        <f t="shared" si="238"/>
        <v/>
      </c>
      <c r="TQ228" s="18" t="str">
        <f>IF(OR(TK228=Spellcasting!$AC$18,TK228=Spellcasting!$AC$19),"ᵐ","")</f>
        <v/>
      </c>
      <c r="TR228" s="18" t="str">
        <f>IF(OR(TK228=Spellcasting!$AC$20,TK228=Spellcasting!$AC$21),"ˢ","")</f>
        <v/>
      </c>
      <c r="TS228" s="18" t="str">
        <f>""</f>
        <v/>
      </c>
      <c r="TT228" s="18" t="s">
        <v>484</v>
      </c>
      <c r="TU228" s="18" t="s">
        <v>848</v>
      </c>
      <c r="TV228" s="18" t="s">
        <v>547</v>
      </c>
      <c r="TW228" s="18" t="s">
        <v>495</v>
      </c>
      <c r="TX228" s="59" t="s">
        <v>1277</v>
      </c>
      <c r="TY228" s="18" t="s">
        <v>491</v>
      </c>
      <c r="TZ228" s="18" t="s">
        <v>492</v>
      </c>
      <c r="UA228" s="142" t="s">
        <v>2258</v>
      </c>
      <c r="UB228" s="319" t="s">
        <v>1278</v>
      </c>
      <c r="UC228" s="18" t="str">
        <f ca="1">IF(UC$1&gt;=$TM228,1,"0")</f>
        <v>0</v>
      </c>
      <c r="UF228" s="18" t="str">
        <f ca="1">IF(UF$1&gt;=$TM228,1,"0")</f>
        <v>0</v>
      </c>
      <c r="UL228" s="18" t="str">
        <f t="shared" ca="1" si="255"/>
        <v>0</v>
      </c>
      <c r="VP228" s="18" t="str">
        <f>IF(VP$1&gt;=$TM228,1,"0")</f>
        <v>0</v>
      </c>
      <c r="VQ228" s="18" t="str">
        <f>IF(VQ$1&gt;=$TM228,1,"0")</f>
        <v>0</v>
      </c>
      <c r="WB228" s="18" t="str">
        <f>IF(WB$1&gt;=$TM228,1,"0")</f>
        <v>0</v>
      </c>
      <c r="WC228" s="18"/>
      <c r="WD228" s="18" t="str">
        <f ca="1">IF(SUM($VZ$1:$WC$1)&gt;0,IF(AND(SUM($VZ228:$WC228)&gt;0,$TM228=WE$1),MAX(WD$2:WD227)+1,""),IF(AND(SUM($UC228:$VY228)&gt;0,$TM228=WE$1),MAX(WD$2:WD227)+1,""))</f>
        <v/>
      </c>
      <c r="WE228" s="59" t="str">
        <f t="shared" ca="1" si="239"/>
        <v/>
      </c>
      <c r="WF228" s="18" t="str">
        <f ca="1">IF(AND(SUM($UB228:$VY228)&gt;0,$TM228=WG$1),MAX(WF$2:WF227)+1,"")</f>
        <v/>
      </c>
      <c r="WG228" s="59" t="str">
        <f t="shared" ca="1" si="240"/>
        <v/>
      </c>
      <c r="WH228" s="18" t="str">
        <f ca="1">IF(AND(SUM($UB228:$VY228)&gt;0,$TM228=WI$1),MAX(WH$2:WH227)+1,"")</f>
        <v/>
      </c>
      <c r="WI228" s="59" t="str">
        <f t="shared" ca="1" si="241"/>
        <v/>
      </c>
      <c r="WJ228" s="18" t="str">
        <f ca="1">IF(AND(SUM($UB228:$VY228)&gt;0,$TM228=WK$1),MAX(WJ$2:WJ227)+1,"")</f>
        <v/>
      </c>
      <c r="WK228" s="59" t="str">
        <f t="shared" ca="1" si="242"/>
        <v/>
      </c>
      <c r="WL228" s="18" t="str">
        <f ca="1">IF(AND(SUM($UB228:$VY228)&gt;0,$TM228=WM$1),MAX(WL$2:WL227)+1,"")</f>
        <v/>
      </c>
      <c r="WM228" s="59" t="str">
        <f t="shared" ca="1" si="243"/>
        <v/>
      </c>
      <c r="WN228" s="18" t="str">
        <f ca="1">IF(AND(SUM($UB228:$VY228)&gt;0,$TM228=WO$1),MAX(WN$2:WN227)+1,"")</f>
        <v/>
      </c>
      <c r="WO228" s="59" t="str">
        <f t="shared" ca="1" si="244"/>
        <v/>
      </c>
      <c r="WP228" s="18" t="str">
        <f ca="1">IF(AND(SUM($UB228:$VY228)&gt;0,$TM228=WQ$1),MAX(WP$2:WP227)+1,"")</f>
        <v/>
      </c>
      <c r="WQ228" s="59" t="str">
        <f t="shared" ca="1" si="245"/>
        <v/>
      </c>
      <c r="WR228" s="18" t="str">
        <f ca="1">IF(AND(SUM($UB228:$VY228)&gt;0,$TM228=WS$1),MAX(WR$2:WR227)+1,"")</f>
        <v/>
      </c>
      <c r="WS228" s="59" t="str">
        <f t="shared" ca="1" si="246"/>
        <v/>
      </c>
      <c r="WT228" s="18" t="str">
        <f ca="1">IF(AND(SUM($UB228:$VY228)&gt;0,$TM228=WU$1),MAX(WT$2:WT227)+1,"")</f>
        <v/>
      </c>
      <c r="WU228" s="59" t="str">
        <f t="shared" ca="1" si="247"/>
        <v/>
      </c>
      <c r="WV228" s="18" t="str">
        <f ca="1">IF(AND(SUM($UB228:$VY228)&gt;0,$TM228=WW$1),MAX(WV$2:WV227)+1,"")</f>
        <v/>
      </c>
      <c r="WW228" s="59" t="str">
        <f t="shared" ca="1" si="248"/>
        <v/>
      </c>
      <c r="WX228" s="18" t="str">
        <f ca="1">IF(AND(SUM($UB228:$VY228)&gt;0,$TM228=WY$1),MAX(WX$2:WX227)+1,"")</f>
        <v/>
      </c>
      <c r="WY228" s="59" t="str">
        <f t="shared" ca="1" si="249"/>
        <v/>
      </c>
      <c r="WZ228" s="59"/>
      <c r="XC228" s="59" t="str">
        <f t="shared" ca="1" si="252"/>
        <v/>
      </c>
    </row>
    <row r="229" spans="530:627" ht="9.9499999999999993" customHeight="1" x14ac:dyDescent="0.2">
      <c r="TJ229" s="18">
        <f t="shared" si="253"/>
        <v>227</v>
      </c>
      <c r="TK229" s="58" t="s">
        <v>647</v>
      </c>
      <c r="TL229" s="58" t="s">
        <v>466</v>
      </c>
      <c r="TM229" s="18">
        <v>9</v>
      </c>
      <c r="TN229" s="59" t="str">
        <f t="shared" si="237"/>
        <v xml:space="preserve">Meteor Swarm </v>
      </c>
      <c r="TO229" s="18" t="str">
        <f>""</f>
        <v/>
      </c>
      <c r="TP229" s="18" t="str">
        <f t="shared" si="238"/>
        <v/>
      </c>
      <c r="TQ229" s="18" t="str">
        <f>IF(OR(TK229=Spellcasting!$AC$18,TK229=Spellcasting!$AC$19),"ᵐ","")</f>
        <v/>
      </c>
      <c r="TR229" s="18" t="str">
        <f>IF(OR(TK229=Spellcasting!$AC$20,TK229=Spellcasting!$AC$21),"ˢ","")</f>
        <v/>
      </c>
      <c r="TS229" s="18" t="str">
        <f>""</f>
        <v/>
      </c>
      <c r="TT229" s="18" t="s">
        <v>484</v>
      </c>
      <c r="TU229" s="18" t="s">
        <v>648</v>
      </c>
      <c r="TV229" s="18" t="s">
        <v>505</v>
      </c>
      <c r="TW229" s="18" t="s">
        <v>486</v>
      </c>
      <c r="TX229" s="59" t="str">
        <f>""</f>
        <v/>
      </c>
      <c r="TY229" s="18" t="s">
        <v>534</v>
      </c>
      <c r="TZ229" s="18" t="s">
        <v>535</v>
      </c>
      <c r="UA229" s="59" t="s">
        <v>2039</v>
      </c>
      <c r="UB229" s="319" t="str">
        <f ca="1">"4x40ft rad spheres, 20d6"&amp;IF(WizardEvocationLevel&gt;=10,"+"&amp;INTMod,IF(AD6=TRUE,"+"&amp;CHAMod,""))&amp;" fire + 20d6"&amp;IF(WizardEvocationLevel&gt;=10,"+"&amp;INTMod,"")&amp;" bludgeon, dex save ½"</f>
        <v>4x40ft rad spheres, 20d6 fire + 20d6 bludgeon, dex save ½</v>
      </c>
      <c r="UF229" s="18" t="str">
        <f ca="1">IF(UF$1&gt;=$TM229,1,"0")</f>
        <v>0</v>
      </c>
      <c r="UL229" s="18" t="str">
        <f t="shared" ca="1" si="255"/>
        <v>0</v>
      </c>
      <c r="WD229" s="18" t="str">
        <f ca="1">IF(SUM($VZ$1:$WC$1)&gt;0,IF(AND(SUM($VZ229:$WC229)&gt;0,$TM229=WE$1),MAX(WD$2:WD228)+1,""),IF(AND(SUM($UC229:$VY229)&gt;0,$TM229=WE$1),MAX(WD$2:WD228)+1,""))</f>
        <v/>
      </c>
      <c r="WE229" s="59" t="str">
        <f t="shared" ca="1" si="239"/>
        <v/>
      </c>
      <c r="WF229" s="18" t="str">
        <f ca="1">IF(AND(SUM($UB229:$VY229)&gt;0,$TM229=WG$1),MAX(WF$2:WF228)+1,"")</f>
        <v/>
      </c>
      <c r="WG229" s="59" t="str">
        <f t="shared" ca="1" si="240"/>
        <v/>
      </c>
      <c r="WH229" s="18" t="str">
        <f ca="1">IF(AND(SUM($UB229:$VY229)&gt;0,$TM229=WI$1),MAX(WH$2:WH228)+1,"")</f>
        <v/>
      </c>
      <c r="WI229" s="59" t="str">
        <f t="shared" ca="1" si="241"/>
        <v/>
      </c>
      <c r="WJ229" s="18" t="str">
        <f ca="1">IF(AND(SUM($UB229:$VY229)&gt;0,$TM229=WK$1),MAX(WJ$2:WJ228)+1,"")</f>
        <v/>
      </c>
      <c r="WK229" s="59" t="str">
        <f t="shared" ca="1" si="242"/>
        <v/>
      </c>
      <c r="WL229" s="18" t="str">
        <f ca="1">IF(AND(SUM($UB229:$VY229)&gt;0,$TM229=WM$1),MAX(WL$2:WL228)+1,"")</f>
        <v/>
      </c>
      <c r="WM229" s="59" t="str">
        <f t="shared" ca="1" si="243"/>
        <v/>
      </c>
      <c r="WN229" s="18" t="str">
        <f ca="1">IF(AND(SUM($UB229:$VY229)&gt;0,$TM229=WO$1),MAX(WN$2:WN228)+1,"")</f>
        <v/>
      </c>
      <c r="WO229" s="59" t="str">
        <f t="shared" ca="1" si="244"/>
        <v/>
      </c>
      <c r="WP229" s="18" t="str">
        <f ca="1">IF(AND(SUM($UB229:$VY229)&gt;0,$TM229=WQ$1),MAX(WP$2:WP228)+1,"")</f>
        <v/>
      </c>
      <c r="WQ229" s="59" t="str">
        <f t="shared" ca="1" si="245"/>
        <v/>
      </c>
      <c r="WR229" s="18" t="str">
        <f ca="1">IF(AND(SUM($UB229:$VY229)&gt;0,$TM229=WS$1),MAX(WR$2:WR228)+1,"")</f>
        <v/>
      </c>
      <c r="WS229" s="59" t="str">
        <f t="shared" ca="1" si="246"/>
        <v/>
      </c>
      <c r="WT229" s="18" t="str">
        <f ca="1">IF(AND(SUM($UB229:$VY229)&gt;0,$TM229=WU$1),MAX(WT$2:WT228)+1,"")</f>
        <v/>
      </c>
      <c r="WU229" s="59" t="str">
        <f t="shared" ca="1" si="247"/>
        <v/>
      </c>
      <c r="WV229" s="18" t="str">
        <f ca="1">IF(AND(SUM($UB229:$VY229)&gt;0,$TM229=WW$1),MAX(WV$2:WV228)+1,"")</f>
        <v/>
      </c>
      <c r="WW229" s="59" t="str">
        <f t="shared" ca="1" si="248"/>
        <v/>
      </c>
      <c r="WX229" s="18" t="str">
        <f ca="1">IF(AND(SUM($UB229:$VY229)&gt;0,$TM229=WY$1),MAX(WX$2:WX228)+1,"")</f>
        <v/>
      </c>
      <c r="WY229" s="59" t="str">
        <f t="shared" ca="1" si="249"/>
        <v/>
      </c>
      <c r="WZ229" s="59"/>
      <c r="XC229" s="59" t="str">
        <f t="shared" ca="1" si="252"/>
        <v/>
      </c>
    </row>
    <row r="230" spans="530:627" ht="9.9499999999999993" customHeight="1" x14ac:dyDescent="0.2">
      <c r="TJ230" s="18">
        <f t="shared" si="253"/>
        <v>228</v>
      </c>
      <c r="TK230" s="58" t="s">
        <v>1962</v>
      </c>
      <c r="TL230" s="58" t="s">
        <v>465</v>
      </c>
      <c r="TM230" s="18">
        <v>8</v>
      </c>
      <c r="TN230" s="59" t="str">
        <f t="shared" si="237"/>
        <v xml:space="preserve">Mind Blank </v>
      </c>
      <c r="TO230" s="18" t="str">
        <f>""</f>
        <v/>
      </c>
      <c r="TP230" s="18" t="str">
        <f t="shared" si="238"/>
        <v/>
      </c>
      <c r="TQ230" s="18" t="str">
        <f>IF(OR(TK230=Spellcasting!$AC$18,TK230=Spellcasting!$AC$19),"ᵐ","")</f>
        <v/>
      </c>
      <c r="TR230" s="18" t="str">
        <f>IF(OR(TK230=Spellcasting!$AC$20,TK230=Spellcasting!$AC$21),"ˢ","")</f>
        <v/>
      </c>
      <c r="TS230" s="18" t="str">
        <f>""</f>
        <v/>
      </c>
      <c r="TT230" s="18" t="s">
        <v>484</v>
      </c>
      <c r="TU230" s="18" t="s">
        <v>519</v>
      </c>
      <c r="TV230" s="18" t="s">
        <v>497</v>
      </c>
      <c r="TW230" s="18" t="s">
        <v>486</v>
      </c>
      <c r="TX230" s="59" t="str">
        <f>""</f>
        <v/>
      </c>
      <c r="TY230" s="18" t="s">
        <v>487</v>
      </c>
      <c r="TZ230" s="18" t="s">
        <v>488</v>
      </c>
      <c r="UA230" s="59" t="s">
        <v>2193</v>
      </c>
      <c r="UB230" s="319" t="s">
        <v>2194</v>
      </c>
      <c r="UC230" s="18" t="str">
        <f ca="1">IF(UC$1&gt;=$TM230,1,"0")</f>
        <v>0</v>
      </c>
      <c r="UL230" s="18" t="str">
        <f t="shared" ca="1" si="255"/>
        <v>0</v>
      </c>
      <c r="WD230" s="18" t="str">
        <f ca="1">IF(SUM($VZ$1:$WC$1)&gt;0,IF(AND(SUM($VZ230:$WC230)&gt;0,$TM230=WE$1),MAX(WD$2:WD229)+1,""),IF(AND(SUM($UC230:$VY230)&gt;0,$TM230=WE$1),MAX(WD$2:WD229)+1,""))</f>
        <v/>
      </c>
      <c r="WE230" s="59" t="str">
        <f t="shared" ca="1" si="239"/>
        <v/>
      </c>
      <c r="WF230" s="18" t="str">
        <f ca="1">IF(AND(SUM($UB230:$VY230)&gt;0,$TM230=WG$1),MAX(WF$2:WF229)+1,"")</f>
        <v/>
      </c>
      <c r="WG230" s="59" t="str">
        <f t="shared" ca="1" si="240"/>
        <v/>
      </c>
      <c r="WH230" s="18" t="str">
        <f ca="1">IF(AND(SUM($UB230:$VY230)&gt;0,$TM230=WI$1),MAX(WH$2:WH229)+1,"")</f>
        <v/>
      </c>
      <c r="WI230" s="59" t="str">
        <f t="shared" ca="1" si="241"/>
        <v/>
      </c>
      <c r="WJ230" s="18" t="str">
        <f ca="1">IF(AND(SUM($UB230:$VY230)&gt;0,$TM230=WK$1),MAX(WJ$2:WJ229)+1,"")</f>
        <v/>
      </c>
      <c r="WK230" s="59" t="str">
        <f t="shared" ca="1" si="242"/>
        <v/>
      </c>
      <c r="WL230" s="18" t="str">
        <f ca="1">IF(AND(SUM($UB230:$VY230)&gt;0,$TM230=WM$1),MAX(WL$2:WL229)+1,"")</f>
        <v/>
      </c>
      <c r="WM230" s="59" t="str">
        <f t="shared" ca="1" si="243"/>
        <v/>
      </c>
      <c r="WN230" s="18" t="str">
        <f ca="1">IF(AND(SUM($UB230:$VY230)&gt;0,$TM230=WO$1),MAX(WN$2:WN229)+1,"")</f>
        <v/>
      </c>
      <c r="WO230" s="59" t="str">
        <f t="shared" ca="1" si="244"/>
        <v/>
      </c>
      <c r="WP230" s="18" t="str">
        <f ca="1">IF(AND(SUM($UB230:$VY230)&gt;0,$TM230=WQ$1),MAX(WP$2:WP229)+1,"")</f>
        <v/>
      </c>
      <c r="WQ230" s="59" t="str">
        <f t="shared" ca="1" si="245"/>
        <v/>
      </c>
      <c r="WR230" s="18" t="str">
        <f ca="1">IF(AND(SUM($UB230:$VY230)&gt;0,$TM230=WS$1),MAX(WR$2:WR229)+1,"")</f>
        <v/>
      </c>
      <c r="WS230" s="59" t="str">
        <f t="shared" ca="1" si="246"/>
        <v/>
      </c>
      <c r="WT230" s="18" t="str">
        <f ca="1">IF(AND(SUM($UB230:$VY230)&gt;0,$TM230=WU$1),MAX(WT$2:WT229)+1,"")</f>
        <v/>
      </c>
      <c r="WU230" s="59" t="str">
        <f t="shared" ca="1" si="247"/>
        <v/>
      </c>
      <c r="WV230" s="18" t="str">
        <f ca="1">IF(AND(SUM($UB230:$VY230)&gt;0,$TM230=WW$1),MAX(WV$2:WV229)+1,"")</f>
        <v/>
      </c>
      <c r="WW230" s="59" t="str">
        <f t="shared" ca="1" si="248"/>
        <v/>
      </c>
      <c r="WX230" s="18" t="str">
        <f ca="1">IF(AND(SUM($UB230:$VY230)&gt;0,$TM230=WY$1),MAX(WX$2:WX229)+1,"")</f>
        <v/>
      </c>
      <c r="WY230" s="59" t="str">
        <f t="shared" ca="1" si="249"/>
        <v/>
      </c>
      <c r="WZ230" s="59"/>
      <c r="XC230" s="59" t="str">
        <f t="shared" ca="1" si="252"/>
        <v/>
      </c>
    </row>
    <row r="231" spans="530:627" ht="9.9499999999999993" customHeight="1" x14ac:dyDescent="0.2">
      <c r="TJ231" s="18">
        <f t="shared" si="253"/>
        <v>229</v>
      </c>
      <c r="TK231" s="58" t="s">
        <v>649</v>
      </c>
      <c r="TL231" s="58" t="s">
        <v>1840</v>
      </c>
      <c r="TM231" s="18">
        <v>0.5</v>
      </c>
      <c r="TN231" s="59" t="str">
        <f t="shared" si="237"/>
        <v xml:space="preserve">Minor Illusion </v>
      </c>
      <c r="TO231" s="18" t="str">
        <f>""</f>
        <v/>
      </c>
      <c r="TP231" s="18" t="str">
        <f t="shared" si="238"/>
        <v/>
      </c>
      <c r="TQ231" s="18" t="str">
        <f>IF(OR(TK231=Spellcasting!$AC$18,TK231=Spellcasting!$AC$19),"ᵐ","")</f>
        <v/>
      </c>
      <c r="TR231" s="18" t="str">
        <f>IF(OR(TK231=Spellcasting!$AC$20,TK231=Spellcasting!$AC$21),"ˢ","")</f>
        <v/>
      </c>
      <c r="TS231" s="18" t="str">
        <f>""</f>
        <v/>
      </c>
      <c r="TT231" s="18" t="s">
        <v>484</v>
      </c>
      <c r="TU231" s="18" t="s">
        <v>851</v>
      </c>
      <c r="TV231" s="18" t="s">
        <v>503</v>
      </c>
      <c r="TW231" s="18" t="s">
        <v>994</v>
      </c>
      <c r="TX231" s="59" t="s">
        <v>1359</v>
      </c>
      <c r="TY231" s="18" t="s">
        <v>523</v>
      </c>
      <c r="TZ231" s="18" t="s">
        <v>524</v>
      </c>
      <c r="UA231" s="142" t="s">
        <v>2244</v>
      </c>
      <c r="UB231" s="319" t="s">
        <v>3048</v>
      </c>
      <c r="UC231" s="18" t="str">
        <f ca="1">IF(UC$1&gt;=$TM231,1,"0")</f>
        <v>0</v>
      </c>
      <c r="UF231" s="18" t="str">
        <f ca="1">IF(UF$1&gt;=$TM231,1,"0")</f>
        <v>0</v>
      </c>
      <c r="UL231" s="18" t="str">
        <f t="shared" ca="1" si="255"/>
        <v>0</v>
      </c>
      <c r="VP231" s="18" t="str">
        <f>IF(VP$1&gt;=$TM231,1,"0")</f>
        <v>0</v>
      </c>
      <c r="VQ231" s="18" t="str">
        <f>IF(VQ$1&gt;=$TM231,1,"0")</f>
        <v>0</v>
      </c>
      <c r="WB231" s="18" t="str">
        <f>IF(WB$1&gt;=$TM231,1,"0")</f>
        <v>0</v>
      </c>
      <c r="WC231" s="18" t="str">
        <f>IF(WC$1&gt;=$TM231,1,"0")</f>
        <v>0</v>
      </c>
      <c r="WD231" s="18" t="str">
        <f ca="1">IF(SUM($VZ$1:$WC$1)&gt;0,IF(AND(SUM($VZ231:$WC231)&gt;0,$TM231=WE$1),MAX(WD$2:WD230)+1,""),IF(AND(SUM($UC231:$VY231)&gt;0,$TM231=WE$1),MAX(WD$2:WD230)+1,""))</f>
        <v/>
      </c>
      <c r="WE231" s="59" t="str">
        <f t="shared" ca="1" si="239"/>
        <v/>
      </c>
      <c r="WF231" s="18" t="str">
        <f ca="1">IF(AND(SUM($UB231:$VY231)&gt;0,$TM231=WG$1),MAX(WF$2:WF230)+1,"")</f>
        <v/>
      </c>
      <c r="WG231" s="59" t="str">
        <f t="shared" ca="1" si="240"/>
        <v/>
      </c>
      <c r="WH231" s="18" t="str">
        <f ca="1">IF(AND(SUM($UB231:$VY231)&gt;0,$TM231=WI$1),MAX(WH$2:WH230)+1,"")</f>
        <v/>
      </c>
      <c r="WI231" s="59" t="str">
        <f t="shared" ca="1" si="241"/>
        <v/>
      </c>
      <c r="WJ231" s="18" t="str">
        <f ca="1">IF(AND(SUM($UB231:$VY231)&gt;0,$TM231=WK$1),MAX(WJ$2:WJ230)+1,"")</f>
        <v/>
      </c>
      <c r="WK231" s="59" t="str">
        <f t="shared" ca="1" si="242"/>
        <v/>
      </c>
      <c r="WL231" s="18" t="str">
        <f ca="1">IF(AND(SUM($UB231:$VY231)&gt;0,$TM231=WM$1),MAX(WL$2:WL230)+1,"")</f>
        <v/>
      </c>
      <c r="WM231" s="59" t="str">
        <f t="shared" ca="1" si="243"/>
        <v/>
      </c>
      <c r="WN231" s="18" t="str">
        <f ca="1">IF(AND(SUM($UB231:$VY231)&gt;0,$TM231=WO$1),MAX(WN$2:WN230)+1,"")</f>
        <v/>
      </c>
      <c r="WO231" s="59" t="str">
        <f t="shared" ca="1" si="244"/>
        <v/>
      </c>
      <c r="WP231" s="18" t="str">
        <f ca="1">IF(AND(SUM($UB231:$VY231)&gt;0,$TM231=WQ$1),MAX(WP$2:WP230)+1,"")</f>
        <v/>
      </c>
      <c r="WQ231" s="59" t="str">
        <f t="shared" ca="1" si="245"/>
        <v/>
      </c>
      <c r="WR231" s="18" t="str">
        <f ca="1">IF(AND(SUM($UB231:$VY231)&gt;0,$TM231=WS$1),MAX(WR$2:WR230)+1,"")</f>
        <v/>
      </c>
      <c r="WS231" s="59" t="str">
        <f t="shared" ca="1" si="246"/>
        <v/>
      </c>
      <c r="WT231" s="18" t="str">
        <f ca="1">IF(AND(SUM($UB231:$VY231)&gt;0,$TM231=WU$1),MAX(WT$2:WT230)+1,"")</f>
        <v/>
      </c>
      <c r="WU231" s="59" t="str">
        <f t="shared" ca="1" si="247"/>
        <v/>
      </c>
      <c r="WV231" s="18" t="str">
        <f ca="1">IF(AND(SUM($UB231:$VY231)&gt;0,$TM231=WW$1),MAX(WV$2:WV230)+1,"")</f>
        <v/>
      </c>
      <c r="WW231" s="59" t="str">
        <f t="shared" ca="1" si="248"/>
        <v/>
      </c>
      <c r="WX231" s="18" t="str">
        <f ca="1">IF(AND(SUM($UB231:$VY231)&gt;0,$TM231=WY$1),MAX(WX$2:WX230)+1,"")</f>
        <v/>
      </c>
      <c r="WY231" s="59" t="str">
        <f t="shared" ca="1" si="249"/>
        <v/>
      </c>
      <c r="WZ231" s="59"/>
      <c r="XC231" s="59" t="str">
        <f t="shared" ca="1" si="252"/>
        <v/>
      </c>
    </row>
    <row r="232" spans="530:627" ht="9.9499999999999993" customHeight="1" x14ac:dyDescent="0.2">
      <c r="TJ232" s="18">
        <f t="shared" si="253"/>
        <v>230</v>
      </c>
      <c r="TK232" s="58" t="s">
        <v>1953</v>
      </c>
      <c r="TL232" s="58" t="s">
        <v>464</v>
      </c>
      <c r="TM232" s="18">
        <v>7</v>
      </c>
      <c r="TN232" s="59" t="str">
        <f t="shared" si="237"/>
        <v xml:space="preserve">Mirage Arcane </v>
      </c>
      <c r="TO232" s="18" t="str">
        <f>""</f>
        <v/>
      </c>
      <c r="TP232" s="18" t="str">
        <f t="shared" si="238"/>
        <v/>
      </c>
      <c r="TQ232" s="18" t="str">
        <f>IF(OR(TK232=Spellcasting!$AC$18,TK232=Spellcasting!$AC$19),"ᵐ","")</f>
        <v/>
      </c>
      <c r="TR232" s="18" t="str">
        <f>IF(OR(TK232=Spellcasting!$AC$20,TK232=Spellcasting!$AC$21),"ˢ","")</f>
        <v/>
      </c>
      <c r="TS232" s="18" t="str">
        <f>""</f>
        <v/>
      </c>
      <c r="TT232" s="18" t="s">
        <v>582</v>
      </c>
      <c r="TU232" s="18" t="s">
        <v>702</v>
      </c>
      <c r="TV232" s="18" t="s">
        <v>1260</v>
      </c>
      <c r="TW232" s="18" t="s">
        <v>486</v>
      </c>
      <c r="TX232" s="59" t="str">
        <f>""</f>
        <v/>
      </c>
      <c r="TY232" s="18" t="s">
        <v>523</v>
      </c>
      <c r="TZ232" s="18" t="s">
        <v>524</v>
      </c>
      <c r="UA232" s="142" t="s">
        <v>2195</v>
      </c>
      <c r="UB232" s="319" t="s">
        <v>2196</v>
      </c>
      <c r="UC232" s="18" t="str">
        <f ca="1">IF(UC$1&gt;=$TM232,1,"0")</f>
        <v>0</v>
      </c>
      <c r="UI232" s="18" t="str">
        <f ca="1">IF(UI$1&gt;=$TM232,1,"0")</f>
        <v>0</v>
      </c>
      <c r="UL232" s="18" t="str">
        <f t="shared" ca="1" si="255"/>
        <v>0</v>
      </c>
      <c r="WD232" s="18" t="str">
        <f ca="1">IF(SUM($VZ$1:$WC$1)&gt;0,IF(AND(SUM($VZ232:$WC232)&gt;0,$TM232=WE$1),MAX(WD$2:WD231)+1,""),IF(AND(SUM($UC232:$VY232)&gt;0,$TM232=WE$1),MAX(WD$2:WD231)+1,""))</f>
        <v/>
      </c>
      <c r="WE232" s="59" t="str">
        <f t="shared" ca="1" si="239"/>
        <v/>
      </c>
      <c r="WF232" s="18" t="str">
        <f ca="1">IF(AND(SUM($UB232:$VY232)&gt;0,$TM232=WG$1),MAX(WF$2:WF231)+1,"")</f>
        <v/>
      </c>
      <c r="WG232" s="59" t="str">
        <f t="shared" ca="1" si="240"/>
        <v/>
      </c>
      <c r="WH232" s="18" t="str">
        <f ca="1">IF(AND(SUM($UB232:$VY232)&gt;0,$TM232=WI$1),MAX(WH$2:WH231)+1,"")</f>
        <v/>
      </c>
      <c r="WI232" s="59" t="str">
        <f t="shared" ca="1" si="241"/>
        <v/>
      </c>
      <c r="WJ232" s="18" t="str">
        <f ca="1">IF(AND(SUM($UB232:$VY232)&gt;0,$TM232=WK$1),MAX(WJ$2:WJ231)+1,"")</f>
        <v/>
      </c>
      <c r="WK232" s="59" t="str">
        <f t="shared" ca="1" si="242"/>
        <v/>
      </c>
      <c r="WL232" s="18" t="str">
        <f ca="1">IF(AND(SUM($UB232:$VY232)&gt;0,$TM232=WM$1),MAX(WL$2:WL231)+1,"")</f>
        <v/>
      </c>
      <c r="WM232" s="59" t="str">
        <f t="shared" ca="1" si="243"/>
        <v/>
      </c>
      <c r="WN232" s="18" t="str">
        <f ca="1">IF(AND(SUM($UB232:$VY232)&gt;0,$TM232=WO$1),MAX(WN$2:WN231)+1,"")</f>
        <v/>
      </c>
      <c r="WO232" s="59" t="str">
        <f t="shared" ca="1" si="244"/>
        <v/>
      </c>
      <c r="WP232" s="18" t="str">
        <f ca="1">IF(AND(SUM($UB232:$VY232)&gt;0,$TM232=WQ$1),MAX(WP$2:WP231)+1,"")</f>
        <v/>
      </c>
      <c r="WQ232" s="59" t="str">
        <f t="shared" ca="1" si="245"/>
        <v/>
      </c>
      <c r="WR232" s="18" t="str">
        <f ca="1">IF(AND(SUM($UB232:$VY232)&gt;0,$TM232=WS$1),MAX(WR$2:WR231)+1,"")</f>
        <v/>
      </c>
      <c r="WS232" s="59" t="str">
        <f t="shared" ca="1" si="246"/>
        <v/>
      </c>
      <c r="WT232" s="18" t="str">
        <f ca="1">IF(AND(SUM($UB232:$VY232)&gt;0,$TM232=WU$1),MAX(WT$2:WT231)+1,"")</f>
        <v/>
      </c>
      <c r="WU232" s="59" t="str">
        <f t="shared" ca="1" si="247"/>
        <v/>
      </c>
      <c r="WV232" s="18" t="str">
        <f ca="1">IF(AND(SUM($UB232:$VY232)&gt;0,$TM232=WW$1),MAX(WV$2:WV231)+1,"")</f>
        <v/>
      </c>
      <c r="WW232" s="59" t="str">
        <f t="shared" ca="1" si="248"/>
        <v/>
      </c>
      <c r="WX232" s="18" t="str">
        <f ca="1">IF(AND(SUM($UB232:$VY232)&gt;0,$TM232=WY$1),MAX(WX$2:WX231)+1,"")</f>
        <v/>
      </c>
      <c r="WY232" s="59" t="str">
        <f t="shared" ca="1" si="249"/>
        <v/>
      </c>
      <c r="WZ232" s="59"/>
      <c r="XC232" s="59" t="str">
        <f t="shared" ca="1" si="252"/>
        <v/>
      </c>
    </row>
    <row r="233" spans="530:627" ht="9.9499999999999993" customHeight="1" x14ac:dyDescent="0.2">
      <c r="TJ233" s="18">
        <f t="shared" si="253"/>
        <v>231</v>
      </c>
      <c r="TK233" s="58" t="s">
        <v>650</v>
      </c>
      <c r="TL233" s="58" t="s">
        <v>459</v>
      </c>
      <c r="TM233" s="18">
        <v>2</v>
      </c>
      <c r="TN233" s="59" t="str">
        <f t="shared" si="237"/>
        <v xml:space="preserve">Mirror Image </v>
      </c>
      <c r="TO233" s="18" t="str">
        <f>""</f>
        <v/>
      </c>
      <c r="TP233" s="18" t="str">
        <f t="shared" si="238"/>
        <v/>
      </c>
      <c r="TQ233" s="18" t="str">
        <f>IF(OR(TK233=Spellcasting!$AC$18,TK233=Spellcasting!$AC$19),"ᵐ","")</f>
        <v/>
      </c>
      <c r="TR233" s="18" t="str">
        <f>IF(OR(TK233=Spellcasting!$AC$20,TK233=Spellcasting!$AC$21),"ˢ","")</f>
        <v/>
      </c>
      <c r="TS233" s="18" t="str">
        <f>""</f>
        <v/>
      </c>
      <c r="TT233" s="18" t="s">
        <v>484</v>
      </c>
      <c r="TU233" s="18" t="s">
        <v>509</v>
      </c>
      <c r="TV233" s="18" t="s">
        <v>503</v>
      </c>
      <c r="TW233" s="18" t="s">
        <v>486</v>
      </c>
      <c r="TX233" s="59" t="str">
        <f>""</f>
        <v/>
      </c>
      <c r="TY233" s="18" t="s">
        <v>523</v>
      </c>
      <c r="TZ233" s="18" t="s">
        <v>524</v>
      </c>
      <c r="UA233" s="142" t="s">
        <v>1350</v>
      </c>
      <c r="UB233" s="319" t="str">
        <f>"3 illusory duplicates, AC "&amp;10+DEXMod&amp;", roll D20: three 6+, two 8+, one 11+"</f>
        <v>3 illusory duplicates, AC 5, roll D20: three 6+, two 8+, one 11+</v>
      </c>
      <c r="UF233" s="18" t="str">
        <f ca="1">IF(UF$1&gt;=$TM233,1,"0")</f>
        <v>0</v>
      </c>
      <c r="UG233" s="18" t="str">
        <f ca="1">IF(UG$1&gt;=$TM233,1,"0")</f>
        <v>0</v>
      </c>
      <c r="UL233" s="18" t="str">
        <f t="shared" ca="1" si="255"/>
        <v>0</v>
      </c>
      <c r="VD233" s="18" t="str">
        <f>IF(VD$1&gt;=$TM233,1,"0")</f>
        <v>0</v>
      </c>
      <c r="VH233" s="18" t="str">
        <f>IF(VH$1&gt;=$TM233,1,"0")</f>
        <v>0</v>
      </c>
      <c r="VQ233" s="18" t="str">
        <f>IF(VQ$1&gt;=$TM233,1,"0")</f>
        <v>0</v>
      </c>
      <c r="WD233" s="18" t="str">
        <f ca="1">IF(SUM($VZ$1:$WC$1)&gt;0,IF(AND(SUM($VZ233:$WC233)&gt;0,$TM233=WE$1),MAX(WD$2:WD232)+1,""),IF(AND(SUM($UC233:$VY233)&gt;0,$TM233=WE$1),MAX(WD$2:WD232)+1,""))</f>
        <v/>
      </c>
      <c r="WE233" s="59" t="str">
        <f t="shared" ca="1" si="239"/>
        <v/>
      </c>
      <c r="WF233" s="18" t="str">
        <f ca="1">IF(AND(SUM($UB233:$VY233)&gt;0,$TM233=WG$1),MAX(WF$2:WF232)+1,"")</f>
        <v/>
      </c>
      <c r="WG233" s="59" t="str">
        <f t="shared" ca="1" si="240"/>
        <v/>
      </c>
      <c r="WH233" s="18" t="str">
        <f ca="1">IF(AND(SUM($UB233:$VY233)&gt;0,$TM233=WI$1),MAX(WH$2:WH232)+1,"")</f>
        <v/>
      </c>
      <c r="WI233" s="59" t="str">
        <f t="shared" ca="1" si="241"/>
        <v/>
      </c>
      <c r="WJ233" s="18" t="str">
        <f ca="1">IF(AND(SUM($UB233:$VY233)&gt;0,$TM233=WK$1),MAX(WJ$2:WJ232)+1,"")</f>
        <v/>
      </c>
      <c r="WK233" s="59" t="str">
        <f t="shared" ca="1" si="242"/>
        <v/>
      </c>
      <c r="WL233" s="18" t="str">
        <f ca="1">IF(AND(SUM($UB233:$VY233)&gt;0,$TM233=WM$1),MAX(WL$2:WL232)+1,"")</f>
        <v/>
      </c>
      <c r="WM233" s="59" t="str">
        <f t="shared" ca="1" si="243"/>
        <v/>
      </c>
      <c r="WN233" s="18" t="str">
        <f ca="1">IF(AND(SUM($UB233:$VY233)&gt;0,$TM233=WO$1),MAX(WN$2:WN232)+1,"")</f>
        <v/>
      </c>
      <c r="WO233" s="59" t="str">
        <f t="shared" ca="1" si="244"/>
        <v/>
      </c>
      <c r="WP233" s="18" t="str">
        <f ca="1">IF(AND(SUM($UB233:$VY233)&gt;0,$TM233=WQ$1),MAX(WP$2:WP232)+1,"")</f>
        <v/>
      </c>
      <c r="WQ233" s="59" t="str">
        <f t="shared" ca="1" si="245"/>
        <v/>
      </c>
      <c r="WR233" s="18" t="str">
        <f ca="1">IF(AND(SUM($UB233:$VY233)&gt;0,$TM233=WS$1),MAX(WR$2:WR232)+1,"")</f>
        <v/>
      </c>
      <c r="WS233" s="59" t="str">
        <f t="shared" ca="1" si="246"/>
        <v/>
      </c>
      <c r="WT233" s="18" t="str">
        <f ca="1">IF(AND(SUM($UB233:$VY233)&gt;0,$TM233=WU$1),MAX(WT$2:WT232)+1,"")</f>
        <v/>
      </c>
      <c r="WU233" s="59" t="str">
        <f t="shared" ca="1" si="247"/>
        <v/>
      </c>
      <c r="WV233" s="18" t="str">
        <f ca="1">IF(AND(SUM($UB233:$VY233)&gt;0,$TM233=WW$1),MAX(WV$2:WV232)+1,"")</f>
        <v/>
      </c>
      <c r="WW233" s="59" t="str">
        <f t="shared" ca="1" si="248"/>
        <v/>
      </c>
      <c r="WX233" s="18" t="str">
        <f ca="1">IF(AND(SUM($UB233:$VY233)&gt;0,$TM233=WY$1),MAX(WX$2:WX232)+1,"")</f>
        <v/>
      </c>
      <c r="WY233" s="59" t="str">
        <f t="shared" ca="1" si="249"/>
        <v/>
      </c>
      <c r="WZ233" s="59"/>
      <c r="XC233" s="59" t="str">
        <f t="shared" ca="1" si="252"/>
        <v/>
      </c>
    </row>
    <row r="234" spans="530:627" ht="9.9499999999999993" customHeight="1" x14ac:dyDescent="0.2">
      <c r="TJ234" s="18">
        <f t="shared" si="253"/>
        <v>232</v>
      </c>
      <c r="TK234" s="58" t="s">
        <v>1939</v>
      </c>
      <c r="TL234" s="58" t="s">
        <v>462</v>
      </c>
      <c r="TM234" s="18">
        <v>5</v>
      </c>
      <c r="TN234" s="59" t="str">
        <f t="shared" si="237"/>
        <v xml:space="preserve">Mislead </v>
      </c>
      <c r="TO234" s="18" t="str">
        <f>""</f>
        <v/>
      </c>
      <c r="TP234" s="18" t="str">
        <f t="shared" si="238"/>
        <v/>
      </c>
      <c r="TQ234" s="18" t="str">
        <f>IF(OR(TK234=Spellcasting!$AC$18,TK234=Spellcasting!$AC$19),"ᵐ","")</f>
        <v/>
      </c>
      <c r="TR234" s="18" t="str">
        <f>IF(OR(TK234=Spellcasting!$AC$20,TK234=Spellcasting!$AC$21),"ˢ","")</f>
        <v/>
      </c>
      <c r="TS234" s="18" t="str">
        <f>""</f>
        <v/>
      </c>
      <c r="TT234" s="18" t="s">
        <v>484</v>
      </c>
      <c r="TU234" s="18" t="s">
        <v>509</v>
      </c>
      <c r="TV234" s="18" t="s">
        <v>490</v>
      </c>
      <c r="TW234" s="18" t="s">
        <v>875</v>
      </c>
      <c r="TX234" s="59" t="str">
        <f>""</f>
        <v/>
      </c>
      <c r="TY234" s="18" t="s">
        <v>523</v>
      </c>
      <c r="TZ234" s="18" t="s">
        <v>524</v>
      </c>
      <c r="UA234" s="142" t="s">
        <v>2197</v>
      </c>
      <c r="UB234" s="319" t="s">
        <v>2198</v>
      </c>
      <c r="UC234" s="18" t="str">
        <f ca="1">IF(UC$1&gt;=$TM234,1,"0")</f>
        <v>0</v>
      </c>
      <c r="UL234" s="18" t="str">
        <f t="shared" ca="1" si="255"/>
        <v>0</v>
      </c>
      <c r="WD234" s="18" t="str">
        <f ca="1">IF(SUM($VZ$1:$WC$1)&gt;0,IF(AND(SUM($VZ234:$WC234)&gt;0,$TM234=WE$1),MAX(WD$2:WD233)+1,""),IF(AND(SUM($UC234:$VY234)&gt;0,$TM234=WE$1),MAX(WD$2:WD233)+1,""))</f>
        <v/>
      </c>
      <c r="WE234" s="59" t="str">
        <f t="shared" ca="1" si="239"/>
        <v/>
      </c>
      <c r="WF234" s="18" t="str">
        <f ca="1">IF(AND(SUM($UB234:$VY234)&gt;0,$TM234=WG$1),MAX(WF$2:WF233)+1,"")</f>
        <v/>
      </c>
      <c r="WG234" s="59" t="str">
        <f t="shared" ca="1" si="240"/>
        <v/>
      </c>
      <c r="WH234" s="18" t="str">
        <f ca="1">IF(AND(SUM($UB234:$VY234)&gt;0,$TM234=WI$1),MAX(WH$2:WH233)+1,"")</f>
        <v/>
      </c>
      <c r="WI234" s="59" t="str">
        <f t="shared" ca="1" si="241"/>
        <v/>
      </c>
      <c r="WJ234" s="18" t="str">
        <f ca="1">IF(AND(SUM($UB234:$VY234)&gt;0,$TM234=WK$1),MAX(WJ$2:WJ233)+1,"")</f>
        <v/>
      </c>
      <c r="WK234" s="59" t="str">
        <f t="shared" ca="1" si="242"/>
        <v/>
      </c>
      <c r="WL234" s="18" t="str">
        <f ca="1">IF(AND(SUM($UB234:$VY234)&gt;0,$TM234=WM$1),MAX(WL$2:WL233)+1,"")</f>
        <v/>
      </c>
      <c r="WM234" s="59" t="str">
        <f t="shared" ca="1" si="243"/>
        <v/>
      </c>
      <c r="WN234" s="18" t="str">
        <f ca="1">IF(AND(SUM($UB234:$VY234)&gt;0,$TM234=WO$1),MAX(WN$2:WN233)+1,"")</f>
        <v/>
      </c>
      <c r="WO234" s="59" t="str">
        <f t="shared" ca="1" si="244"/>
        <v/>
      </c>
      <c r="WP234" s="18" t="str">
        <f ca="1">IF(AND(SUM($UB234:$VY234)&gt;0,$TM234=WQ$1),MAX(WP$2:WP233)+1,"")</f>
        <v/>
      </c>
      <c r="WQ234" s="59" t="str">
        <f t="shared" ca="1" si="245"/>
        <v/>
      </c>
      <c r="WR234" s="18" t="str">
        <f ca="1">IF(AND(SUM($UB234:$VY234)&gt;0,$TM234=WS$1),MAX(WR$2:WR233)+1,"")</f>
        <v/>
      </c>
      <c r="WS234" s="59" t="str">
        <f t="shared" ca="1" si="246"/>
        <v/>
      </c>
      <c r="WT234" s="18" t="str">
        <f ca="1">IF(AND(SUM($UB234:$VY234)&gt;0,$TM234=WU$1),MAX(WT$2:WT233)+1,"")</f>
        <v/>
      </c>
      <c r="WU234" s="59" t="str">
        <f t="shared" ca="1" si="247"/>
        <v/>
      </c>
      <c r="WV234" s="18" t="str">
        <f ca="1">IF(AND(SUM($UB234:$VY234)&gt;0,$TM234=WW$1),MAX(WV$2:WV233)+1,"")</f>
        <v/>
      </c>
      <c r="WW234" s="59" t="str">
        <f t="shared" ca="1" si="248"/>
        <v/>
      </c>
      <c r="WX234" s="18" t="str">
        <f ca="1">IF(AND(SUM($UB234:$VY234)&gt;0,$TM234=WY$1),MAX(WX$2:WX233)+1,"")</f>
        <v/>
      </c>
      <c r="WY234" s="59" t="str">
        <f t="shared" ca="1" si="249"/>
        <v/>
      </c>
      <c r="WZ234" s="59"/>
      <c r="XC234" s="59" t="str">
        <f t="shared" ca="1" si="252"/>
        <v/>
      </c>
    </row>
    <row r="235" spans="530:627" ht="9.9499999999999993" customHeight="1" x14ac:dyDescent="0.2">
      <c r="TJ235" s="18">
        <f t="shared" si="253"/>
        <v>233</v>
      </c>
      <c r="TK235" s="58" t="s">
        <v>1231</v>
      </c>
      <c r="TL235" s="58" t="s">
        <v>459</v>
      </c>
      <c r="TM235" s="18">
        <v>2</v>
      </c>
      <c r="TN235" s="59" t="str">
        <f t="shared" si="237"/>
        <v xml:space="preserve">Misty Step </v>
      </c>
      <c r="TO235" s="18" t="str">
        <f>""</f>
        <v/>
      </c>
      <c r="TP235" s="18" t="str">
        <f t="shared" si="238"/>
        <v/>
      </c>
      <c r="TQ235" s="18" t="str">
        <f>IF(OR(TK235=Spellcasting!$AC$18,TK235=Spellcasting!$AC$19),"ᵐ","")</f>
        <v/>
      </c>
      <c r="TR235" s="18" t="str">
        <f>IF(OR(TK235=Spellcasting!$AC$20,TK235=Spellcasting!$AC$21),"ˢ","")</f>
        <v/>
      </c>
      <c r="TS235" s="18" t="str">
        <f>""</f>
        <v/>
      </c>
      <c r="TT235" s="18" t="s">
        <v>1256</v>
      </c>
      <c r="TU235" s="18" t="s">
        <v>509</v>
      </c>
      <c r="TV235" s="18" t="s">
        <v>505</v>
      </c>
      <c r="TW235" s="18" t="s">
        <v>541</v>
      </c>
      <c r="TX235" s="59" t="str">
        <f>""</f>
        <v/>
      </c>
      <c r="TY235" s="18" t="s">
        <v>516</v>
      </c>
      <c r="TZ235" s="18" t="s">
        <v>517</v>
      </c>
      <c r="UA235" s="59" t="s">
        <v>1351</v>
      </c>
      <c r="UB235" s="319" t="s">
        <v>1352</v>
      </c>
      <c r="UF235" s="18" t="str">
        <f ca="1">IF(UF$1&gt;=$TM235,1,"0")</f>
        <v>0</v>
      </c>
      <c r="UG235" s="18" t="str">
        <f ca="1">IF(UG$1&gt;=$TM235,1,"0")</f>
        <v>0</v>
      </c>
      <c r="UL235" s="18" t="str">
        <f t="shared" ca="1" si="255"/>
        <v>0</v>
      </c>
      <c r="UP235" s="18" t="str">
        <f>IF(UP$1&gt;=$TM235,1,"0")</f>
        <v>0</v>
      </c>
      <c r="UQ235" s="18" t="str">
        <f>IF(UQ$1&gt;=$TM235,1,"0")</f>
        <v>0</v>
      </c>
      <c r="VH235" s="18" t="str">
        <f>IF(VH$1&gt;=$TM235,1,"0")</f>
        <v>0</v>
      </c>
      <c r="WD235" s="18" t="str">
        <f ca="1">IF(SUM($VZ$1:$WC$1)&gt;0,IF(AND(SUM($VZ235:$WC235)&gt;0,$TM235=WE$1),MAX(WD$2:WD234)+1,""),IF(AND(SUM($UC235:$VY235)&gt;0,$TM235=WE$1),MAX(WD$2:WD234)+1,""))</f>
        <v/>
      </c>
      <c r="WE235" s="59" t="str">
        <f t="shared" ca="1" si="239"/>
        <v/>
      </c>
      <c r="WF235" s="18" t="str">
        <f ca="1">IF(AND(SUM($UB235:$VY235)&gt;0,$TM235=WG$1),MAX(WF$2:WF234)+1,"")</f>
        <v/>
      </c>
      <c r="WG235" s="59" t="str">
        <f t="shared" ca="1" si="240"/>
        <v/>
      </c>
      <c r="WH235" s="18" t="str">
        <f ca="1">IF(AND(SUM($UB235:$VY235)&gt;0,$TM235=WI$1),MAX(WH$2:WH234)+1,"")</f>
        <v/>
      </c>
      <c r="WI235" s="59" t="str">
        <f t="shared" ca="1" si="241"/>
        <v/>
      </c>
      <c r="WJ235" s="18" t="str">
        <f ca="1">IF(AND(SUM($UB235:$VY235)&gt;0,$TM235=WK$1),MAX(WJ$2:WJ234)+1,"")</f>
        <v/>
      </c>
      <c r="WK235" s="59" t="str">
        <f t="shared" ca="1" si="242"/>
        <v/>
      </c>
      <c r="WL235" s="18" t="str">
        <f ca="1">IF(AND(SUM($UB235:$VY235)&gt;0,$TM235=WM$1),MAX(WL$2:WL234)+1,"")</f>
        <v/>
      </c>
      <c r="WM235" s="59" t="str">
        <f t="shared" ca="1" si="243"/>
        <v/>
      </c>
      <c r="WN235" s="18" t="str">
        <f ca="1">IF(AND(SUM($UB235:$VY235)&gt;0,$TM235=WO$1),MAX(WN$2:WN234)+1,"")</f>
        <v/>
      </c>
      <c r="WO235" s="59" t="str">
        <f t="shared" ca="1" si="244"/>
        <v/>
      </c>
      <c r="WP235" s="18" t="str">
        <f ca="1">IF(AND(SUM($UB235:$VY235)&gt;0,$TM235=WQ$1),MAX(WP$2:WP234)+1,"")</f>
        <v/>
      </c>
      <c r="WQ235" s="59" t="str">
        <f t="shared" ca="1" si="245"/>
        <v/>
      </c>
      <c r="WR235" s="18" t="str">
        <f ca="1">IF(AND(SUM($UB235:$VY235)&gt;0,$TM235=WS$1),MAX(WR$2:WR234)+1,"")</f>
        <v/>
      </c>
      <c r="WS235" s="59" t="str">
        <f t="shared" ca="1" si="246"/>
        <v/>
      </c>
      <c r="WT235" s="18" t="str">
        <f ca="1">IF(AND(SUM($UB235:$VY235)&gt;0,$TM235=WU$1),MAX(WT$2:WT234)+1,"")</f>
        <v/>
      </c>
      <c r="WU235" s="59" t="str">
        <f t="shared" ca="1" si="247"/>
        <v/>
      </c>
      <c r="WV235" s="18" t="str">
        <f ca="1">IF(AND(SUM($UB235:$VY235)&gt;0,$TM235=WW$1),MAX(WV$2:WV234)+1,"")</f>
        <v/>
      </c>
      <c r="WW235" s="59" t="str">
        <f t="shared" ca="1" si="248"/>
        <v/>
      </c>
      <c r="WX235" s="18" t="str">
        <f ca="1">IF(AND(SUM($UB235:$VY235)&gt;0,$TM235=WY$1),MAX(WX$2:WX234)+1,"")</f>
        <v/>
      </c>
      <c r="WY235" s="59" t="str">
        <f t="shared" ca="1" si="249"/>
        <v/>
      </c>
      <c r="WZ235" s="59"/>
    </row>
    <row r="236" spans="530:627" ht="9.9499999999999993" customHeight="1" x14ac:dyDescent="0.2">
      <c r="TJ236" s="18">
        <f t="shared" si="253"/>
        <v>234</v>
      </c>
      <c r="TK236" s="58" t="s">
        <v>1940</v>
      </c>
      <c r="TL236" s="58" t="s">
        <v>462</v>
      </c>
      <c r="TM236" s="18">
        <v>5</v>
      </c>
      <c r="TN236" s="59" t="str">
        <f t="shared" si="237"/>
        <v xml:space="preserve">Modify Memory ᴴ </v>
      </c>
      <c r="TO236" s="350" t="s">
        <v>2991</v>
      </c>
      <c r="TP236" s="18" t="str">
        <f t="shared" si="238"/>
        <v/>
      </c>
      <c r="TQ236" s="18" t="str">
        <f>IF(OR(TK236=Spellcasting!$AC$18,TK236=Spellcasting!$AC$19),"ᵐ","")</f>
        <v/>
      </c>
      <c r="TR236" s="18" t="str">
        <f>IF(OR(TK236=Spellcasting!$AC$20,TK236=Spellcasting!$AC$21),"ˢ","")</f>
        <v/>
      </c>
      <c r="TS236" s="18" t="str">
        <f>""</f>
        <v/>
      </c>
      <c r="TT236" s="18" t="s">
        <v>484</v>
      </c>
      <c r="TU236" s="18" t="s">
        <v>851</v>
      </c>
      <c r="TV236" s="18" t="s">
        <v>558</v>
      </c>
      <c r="TW236" s="18" t="s">
        <v>486</v>
      </c>
      <c r="TX236" s="59" t="str">
        <f>""</f>
        <v/>
      </c>
      <c r="TY236" s="18" t="s">
        <v>498</v>
      </c>
      <c r="TZ236" s="18" t="s">
        <v>499</v>
      </c>
      <c r="UA236" s="142" t="s">
        <v>2245</v>
      </c>
      <c r="UB236" s="319" t="s">
        <v>2269</v>
      </c>
      <c r="UC236" s="18" t="str">
        <f ca="1">IF(UC$1&gt;=$TM236,1,"0")</f>
        <v>0</v>
      </c>
      <c r="UL236" s="18" t="str">
        <f t="shared" ca="1" si="255"/>
        <v>0</v>
      </c>
      <c r="VD236" s="18" t="str">
        <f>IF(VD$1&gt;=$TM236,1,"0")</f>
        <v>0</v>
      </c>
      <c r="WD236" s="18" t="str">
        <f ca="1">IF(SUM($VZ$1:$WC$1)&gt;0,IF(AND(SUM($VZ236:$WC236)&gt;0,$TM236=WE$1),MAX(WD$2:WD235)+1,""),IF(AND(SUM($UC236:$VY236)&gt;0,$TM236=WE$1),MAX(WD$2:WD235)+1,""))</f>
        <v/>
      </c>
      <c r="WE236" s="59" t="str">
        <f t="shared" ca="1" si="239"/>
        <v/>
      </c>
      <c r="WF236" s="18" t="str">
        <f ca="1">IF(AND(SUM($UB236:$VY236)&gt;0,$TM236=WG$1),MAX(WF$2:WF235)+1,"")</f>
        <v/>
      </c>
      <c r="WG236" s="59" t="str">
        <f t="shared" ca="1" si="240"/>
        <v/>
      </c>
      <c r="WH236" s="18" t="str">
        <f ca="1">IF(AND(SUM($UB236:$VY236)&gt;0,$TM236=WI$1),MAX(WH$2:WH235)+1,"")</f>
        <v/>
      </c>
      <c r="WI236" s="59" t="str">
        <f t="shared" ca="1" si="241"/>
        <v/>
      </c>
      <c r="WJ236" s="18" t="str">
        <f ca="1">IF(AND(SUM($UB236:$VY236)&gt;0,$TM236=WK$1),MAX(WJ$2:WJ235)+1,"")</f>
        <v/>
      </c>
      <c r="WK236" s="59" t="str">
        <f t="shared" ca="1" si="242"/>
        <v/>
      </c>
      <c r="WL236" s="18" t="str">
        <f ca="1">IF(AND(SUM($UB236:$VY236)&gt;0,$TM236=WM$1),MAX(WL$2:WL235)+1,"")</f>
        <v/>
      </c>
      <c r="WM236" s="59" t="str">
        <f t="shared" ca="1" si="243"/>
        <v/>
      </c>
      <c r="WN236" s="18" t="str">
        <f ca="1">IF(AND(SUM($UB236:$VY236)&gt;0,$TM236=WO$1),MAX(WN$2:WN235)+1,"")</f>
        <v/>
      </c>
      <c r="WO236" s="59" t="str">
        <f t="shared" ca="1" si="244"/>
        <v/>
      </c>
      <c r="WP236" s="18" t="str">
        <f ca="1">IF(AND(SUM($UB236:$VY236)&gt;0,$TM236=WQ$1),MAX(WP$2:WP235)+1,"")</f>
        <v/>
      </c>
      <c r="WQ236" s="59" t="str">
        <f t="shared" ca="1" si="245"/>
        <v/>
      </c>
      <c r="WR236" s="18" t="str">
        <f ca="1">IF(AND(SUM($UB236:$VY236)&gt;0,$TM236=WS$1),MAX(WR$2:WR235)+1,"")</f>
        <v/>
      </c>
      <c r="WS236" s="59" t="str">
        <f t="shared" ca="1" si="246"/>
        <v/>
      </c>
      <c r="WT236" s="18" t="str">
        <f ca="1">IF(AND(SUM($UB236:$VY236)&gt;0,$TM236=WU$1),MAX(WT$2:WT235)+1,"")</f>
        <v/>
      </c>
      <c r="WU236" s="59" t="str">
        <f t="shared" ca="1" si="247"/>
        <v/>
      </c>
      <c r="WV236" s="18" t="str">
        <f ca="1">IF(AND(SUM($UB236:$VY236)&gt;0,$TM236=WW$1),MAX(WV$2:WV235)+1,"")</f>
        <v/>
      </c>
      <c r="WW236" s="59" t="str">
        <f t="shared" ca="1" si="248"/>
        <v/>
      </c>
      <c r="WX236" s="18" t="str">
        <f ca="1">IF(AND(SUM($UB236:$VY236)&gt;0,$TM236=WY$1),MAX(WX$2:WX235)+1,"")</f>
        <v/>
      </c>
      <c r="WY236" s="59" t="str">
        <f t="shared" ca="1" si="249"/>
        <v/>
      </c>
      <c r="WZ236" s="59"/>
    </row>
    <row r="237" spans="530:627" ht="9.9499999999999993" customHeight="1" x14ac:dyDescent="0.2">
      <c r="TJ237" s="18">
        <f t="shared" si="253"/>
        <v>235</v>
      </c>
      <c r="TK237" s="58" t="s">
        <v>651</v>
      </c>
      <c r="TL237" s="58" t="s">
        <v>459</v>
      </c>
      <c r="TM237" s="18">
        <v>2</v>
      </c>
      <c r="TN237" s="59" t="str">
        <f t="shared" si="237"/>
        <v xml:space="preserve">Moonbeam ᴴ </v>
      </c>
      <c r="TO237" s="350" t="s">
        <v>2991</v>
      </c>
      <c r="TP237" s="18" t="str">
        <f t="shared" si="238"/>
        <v/>
      </c>
      <c r="TQ237" s="18" t="str">
        <f>IF(OR(TK237=Spellcasting!$AC$18,TK237=Spellcasting!$AC$19),"ᵐ","")</f>
        <v/>
      </c>
      <c r="TR237" s="18" t="str">
        <f>IF(OR(TK237=Spellcasting!$AC$20,TK237=Spellcasting!$AC$21),"ˢ","")</f>
        <v/>
      </c>
      <c r="TS237" s="18" t="str">
        <f>""</f>
        <v/>
      </c>
      <c r="TT237" s="18" t="s">
        <v>484</v>
      </c>
      <c r="TU237" s="18" t="s">
        <v>848</v>
      </c>
      <c r="TV237" s="18" t="s">
        <v>558</v>
      </c>
      <c r="TW237" s="18" t="s">
        <v>495</v>
      </c>
      <c r="TX237" s="59" t="s">
        <v>1353</v>
      </c>
      <c r="TY237" s="18" t="s">
        <v>534</v>
      </c>
      <c r="TZ237" s="18" t="s">
        <v>535</v>
      </c>
      <c r="UA237" s="142" t="s">
        <v>3187</v>
      </c>
      <c r="UB237" s="319" t="s">
        <v>3001</v>
      </c>
      <c r="UI237" s="18" t="str">
        <f ca="1">IF(UI$1&gt;=$TM237,1,"0")</f>
        <v>0</v>
      </c>
      <c r="UP237" s="18" t="str">
        <f>IF(UP$1&gt;=$TM237,1,"0")</f>
        <v>0</v>
      </c>
      <c r="WD237" s="18" t="str">
        <f ca="1">IF(SUM($VZ$1:$WC$1)&gt;0,IF(AND(SUM($VZ237:$WC237)&gt;0,$TM237=WE$1),MAX(WD$2:WD236)+1,""),IF(AND(SUM($UC237:$VY237)&gt;0,$TM237=WE$1),MAX(WD$2:WD236)+1,""))</f>
        <v/>
      </c>
      <c r="WE237" s="59" t="str">
        <f t="shared" ca="1" si="239"/>
        <v/>
      </c>
      <c r="WF237" s="18" t="str">
        <f ca="1">IF(AND(SUM($UB237:$VY237)&gt;0,$TM237=WG$1),MAX(WF$2:WF236)+1,"")</f>
        <v/>
      </c>
      <c r="WG237" s="59" t="str">
        <f t="shared" ca="1" si="240"/>
        <v/>
      </c>
      <c r="WH237" s="18" t="str">
        <f ca="1">IF(AND(SUM($UB237:$VY237)&gt;0,$TM237=WI$1),MAX(WH$2:WH236)+1,"")</f>
        <v/>
      </c>
      <c r="WI237" s="59" t="str">
        <f t="shared" ca="1" si="241"/>
        <v/>
      </c>
      <c r="WJ237" s="18" t="str">
        <f ca="1">IF(AND(SUM($UB237:$VY237)&gt;0,$TM237=WK$1),MAX(WJ$2:WJ236)+1,"")</f>
        <v/>
      </c>
      <c r="WK237" s="59" t="str">
        <f t="shared" ca="1" si="242"/>
        <v/>
      </c>
      <c r="WL237" s="18" t="str">
        <f ca="1">IF(AND(SUM($UB237:$VY237)&gt;0,$TM237=WM$1),MAX(WL$2:WL236)+1,"")</f>
        <v/>
      </c>
      <c r="WM237" s="59" t="str">
        <f t="shared" ca="1" si="243"/>
        <v/>
      </c>
      <c r="WN237" s="18" t="str">
        <f ca="1">IF(AND(SUM($UB237:$VY237)&gt;0,$TM237=WO$1),MAX(WN$2:WN236)+1,"")</f>
        <v/>
      </c>
      <c r="WO237" s="59" t="str">
        <f t="shared" ca="1" si="244"/>
        <v/>
      </c>
      <c r="WP237" s="18" t="str">
        <f ca="1">IF(AND(SUM($UB237:$VY237)&gt;0,$TM237=WQ$1),MAX(WP$2:WP236)+1,"")</f>
        <v/>
      </c>
      <c r="WQ237" s="59" t="str">
        <f t="shared" ca="1" si="245"/>
        <v/>
      </c>
      <c r="WR237" s="18" t="str">
        <f ca="1">IF(AND(SUM($UB237:$VY237)&gt;0,$TM237=WS$1),MAX(WR$2:WR236)+1,"")</f>
        <v/>
      </c>
      <c r="WS237" s="59" t="str">
        <f t="shared" ca="1" si="246"/>
        <v/>
      </c>
      <c r="WT237" s="18" t="str">
        <f ca="1">IF(AND(SUM($UB237:$VY237)&gt;0,$TM237=WU$1),MAX(WT$2:WT236)+1,"")</f>
        <v/>
      </c>
      <c r="WU237" s="59" t="str">
        <f t="shared" ca="1" si="247"/>
        <v/>
      </c>
      <c r="WV237" s="18" t="str">
        <f ca="1">IF(AND(SUM($UB237:$VY237)&gt;0,$TM237=WW$1),MAX(WV$2:WV236)+1,"")</f>
        <v/>
      </c>
      <c r="WW237" s="59" t="str">
        <f t="shared" ca="1" si="248"/>
        <v/>
      </c>
      <c r="WX237" s="18" t="str">
        <f ca="1">IF(AND(SUM($UB237:$VY237)&gt;0,$TM237=WY$1),MAX(WX$2:WX236)+1,"")</f>
        <v/>
      </c>
      <c r="WY237" s="59" t="str">
        <f t="shared" ca="1" si="249"/>
        <v/>
      </c>
      <c r="WZ237" s="59"/>
    </row>
    <row r="238" spans="530:627" ht="9.9499999999999993" customHeight="1" x14ac:dyDescent="0.2">
      <c r="TJ238" s="18">
        <f t="shared" si="253"/>
        <v>236</v>
      </c>
      <c r="TK238" s="58" t="s">
        <v>1824</v>
      </c>
      <c r="TL238" s="58" t="s">
        <v>461</v>
      </c>
      <c r="TM238" s="18">
        <v>4</v>
      </c>
      <c r="TN238" s="59" t="str">
        <f t="shared" si="237"/>
        <v xml:space="preserve">Mordenkainen's Faithful Hound </v>
      </c>
      <c r="TO238" s="18" t="str">
        <f>""</f>
        <v/>
      </c>
      <c r="TP238" s="18" t="str">
        <f t="shared" si="238"/>
        <v/>
      </c>
      <c r="TQ238" s="18" t="str">
        <f>IF(OR(TK238=Spellcasting!$AC$18,TK238=Spellcasting!$AC$19),"ᵐ","")</f>
        <v/>
      </c>
      <c r="TR238" s="18" t="str">
        <f>IF(OR(TK238=Spellcasting!$AC$20,TK238=Spellcasting!$AC$21),"ˢ","")</f>
        <v/>
      </c>
      <c r="TS238" s="18" t="str">
        <f>""</f>
        <v/>
      </c>
      <c r="TT238" s="18" t="s">
        <v>484</v>
      </c>
      <c r="TU238" s="18" t="s">
        <v>851</v>
      </c>
      <c r="TV238" s="18" t="s">
        <v>485</v>
      </c>
      <c r="TW238" s="18" t="s">
        <v>495</v>
      </c>
      <c r="TX238" s="59" t="s">
        <v>2008</v>
      </c>
      <c r="TY238" s="18" t="s">
        <v>516</v>
      </c>
      <c r="TZ238" s="18" t="s">
        <v>517</v>
      </c>
      <c r="UA238" s="142" t="s">
        <v>2250</v>
      </c>
      <c r="UB238" s="319" t="str">
        <f>"invisble, barks within 30ft, melee +"&amp;INTMod+ProfBonus&amp;", 5ft reach, 4d8 pierce"</f>
        <v>invisble, barks within 30ft, melee +-3, 5ft reach, 4d8 pierce</v>
      </c>
      <c r="UL238" s="18" t="str">
        <f t="shared" ref="UL238:UL247" ca="1" si="256">IF(UL$1&gt;=$TM238,1,"0")</f>
        <v>0</v>
      </c>
      <c r="WD238" s="18" t="str">
        <f ca="1">IF(SUM($VZ$1:$WC$1)&gt;0,IF(AND(SUM($VZ238:$WC238)&gt;0,$TM238=WE$1),MAX(WD$2:WD237)+1,""),IF(AND(SUM($UC238:$VY238)&gt;0,$TM238=WE$1),MAX(WD$2:WD237)+1,""))</f>
        <v/>
      </c>
      <c r="WE238" s="59" t="str">
        <f t="shared" ca="1" si="239"/>
        <v/>
      </c>
      <c r="WF238" s="18" t="str">
        <f ca="1">IF(AND(SUM($UB238:$VY238)&gt;0,$TM238=WG$1),MAX(WF$2:WF237)+1,"")</f>
        <v/>
      </c>
      <c r="WG238" s="59" t="str">
        <f t="shared" ca="1" si="240"/>
        <v/>
      </c>
      <c r="WH238" s="18" t="str">
        <f ca="1">IF(AND(SUM($UB238:$VY238)&gt;0,$TM238=WI$1),MAX(WH$2:WH237)+1,"")</f>
        <v/>
      </c>
      <c r="WI238" s="59" t="str">
        <f t="shared" ca="1" si="241"/>
        <v/>
      </c>
      <c r="WJ238" s="18" t="str">
        <f ca="1">IF(AND(SUM($UB238:$VY238)&gt;0,$TM238=WK$1),MAX(WJ$2:WJ237)+1,"")</f>
        <v/>
      </c>
      <c r="WK238" s="59" t="str">
        <f t="shared" ca="1" si="242"/>
        <v/>
      </c>
      <c r="WL238" s="18" t="str">
        <f ca="1">IF(AND(SUM($UB238:$VY238)&gt;0,$TM238=WM$1),MAX(WL$2:WL237)+1,"")</f>
        <v/>
      </c>
      <c r="WM238" s="59" t="str">
        <f t="shared" ca="1" si="243"/>
        <v/>
      </c>
      <c r="WN238" s="18" t="str">
        <f ca="1">IF(AND(SUM($UB238:$VY238)&gt;0,$TM238=WO$1),MAX(WN$2:WN237)+1,"")</f>
        <v/>
      </c>
      <c r="WO238" s="59" t="str">
        <f t="shared" ca="1" si="244"/>
        <v/>
      </c>
      <c r="WP238" s="18" t="str">
        <f ca="1">IF(AND(SUM($UB238:$VY238)&gt;0,$TM238=WQ$1),MAX(WP$2:WP237)+1,"")</f>
        <v/>
      </c>
      <c r="WQ238" s="59" t="str">
        <f t="shared" ca="1" si="245"/>
        <v/>
      </c>
      <c r="WR238" s="18" t="str">
        <f ca="1">IF(AND(SUM($UB238:$VY238)&gt;0,$TM238=WS$1),MAX(WR$2:WR237)+1,"")</f>
        <v/>
      </c>
      <c r="WS238" s="59" t="str">
        <f t="shared" ca="1" si="246"/>
        <v/>
      </c>
      <c r="WT238" s="18" t="str">
        <f ca="1">IF(AND(SUM($UB238:$VY238)&gt;0,$TM238=WU$1),MAX(WT$2:WT237)+1,"")</f>
        <v/>
      </c>
      <c r="WU238" s="59" t="str">
        <f t="shared" ca="1" si="247"/>
        <v/>
      </c>
      <c r="WV238" s="18" t="str">
        <f ca="1">IF(AND(SUM($UB238:$VY238)&gt;0,$TM238=WW$1),MAX(WV$2:WV237)+1,"")</f>
        <v/>
      </c>
      <c r="WW238" s="59" t="str">
        <f t="shared" ca="1" si="248"/>
        <v/>
      </c>
      <c r="WX238" s="18" t="str">
        <f ca="1">IF(AND(SUM($UB238:$VY238)&gt;0,$TM238=WY$1),MAX(WX$2:WX237)+1,"")</f>
        <v/>
      </c>
      <c r="WY238" s="59" t="str">
        <f t="shared" ca="1" si="249"/>
        <v/>
      </c>
      <c r="WZ238" s="59"/>
    </row>
    <row r="239" spans="530:627" ht="9.9499999999999993" customHeight="1" x14ac:dyDescent="0.2">
      <c r="TJ239" s="18">
        <f t="shared" si="253"/>
        <v>237</v>
      </c>
      <c r="TK239" s="58" t="s">
        <v>1954</v>
      </c>
      <c r="TL239" s="58" t="s">
        <v>464</v>
      </c>
      <c r="TM239" s="18">
        <v>7</v>
      </c>
      <c r="TN239" s="59" t="str">
        <f t="shared" si="237"/>
        <v xml:space="preserve">Mordenkainen's Magnificent Mansion </v>
      </c>
      <c r="TO239" s="18" t="str">
        <f>""</f>
        <v/>
      </c>
      <c r="TP239" s="18" t="str">
        <f t="shared" si="238"/>
        <v/>
      </c>
      <c r="TQ239" s="18" t="str">
        <f>IF(OR(TK239=Spellcasting!$AC$18,TK239=Spellcasting!$AC$19),"ᵐ","")</f>
        <v/>
      </c>
      <c r="TR239" s="18" t="str">
        <f>IF(OR(TK239=Spellcasting!$AC$20,TK239=Spellcasting!$AC$21),"ˢ","")</f>
        <v/>
      </c>
      <c r="TS239" s="18" t="str">
        <f>""</f>
        <v/>
      </c>
      <c r="TT239" s="18" t="s">
        <v>503</v>
      </c>
      <c r="TU239" s="18" t="s">
        <v>1989</v>
      </c>
      <c r="TV239" s="18" t="s">
        <v>497</v>
      </c>
      <c r="TW239" s="18" t="s">
        <v>495</v>
      </c>
      <c r="TX239" s="59" t="s">
        <v>2009</v>
      </c>
      <c r="TY239" s="18" t="s">
        <v>516</v>
      </c>
      <c r="TZ239" s="18" t="s">
        <v>517</v>
      </c>
      <c r="UA239" s="142" t="s">
        <v>2199</v>
      </c>
      <c r="UB239" s="319" t="s">
        <v>2200</v>
      </c>
      <c r="UC239" s="18" t="str">
        <f ca="1">IF(UC$1&gt;=$TM239,1,"0")</f>
        <v>0</v>
      </c>
      <c r="UL239" s="18" t="str">
        <f t="shared" ca="1" si="256"/>
        <v>0</v>
      </c>
      <c r="WD239" s="18" t="str">
        <f ca="1">IF(SUM($VZ$1:$WC$1)&gt;0,IF(AND(SUM($VZ239:$WC239)&gt;0,$TM239=WE$1),MAX(WD$2:WD238)+1,""),IF(AND(SUM($UC239:$VY239)&gt;0,$TM239=WE$1),MAX(WD$2:WD238)+1,""))</f>
        <v/>
      </c>
      <c r="WE239" s="59" t="str">
        <f t="shared" ca="1" si="239"/>
        <v/>
      </c>
      <c r="WF239" s="18" t="str">
        <f ca="1">IF(AND(SUM($UB239:$VY239)&gt;0,$TM239=WG$1),MAX(WF$2:WF238)+1,"")</f>
        <v/>
      </c>
      <c r="WG239" s="59" t="str">
        <f t="shared" ca="1" si="240"/>
        <v/>
      </c>
      <c r="WH239" s="18" t="str">
        <f ca="1">IF(AND(SUM($UB239:$VY239)&gt;0,$TM239=WI$1),MAX(WH$2:WH238)+1,"")</f>
        <v/>
      </c>
      <c r="WI239" s="59" t="str">
        <f t="shared" ca="1" si="241"/>
        <v/>
      </c>
      <c r="WJ239" s="18" t="str">
        <f ca="1">IF(AND(SUM($UB239:$VY239)&gt;0,$TM239=WK$1),MAX(WJ$2:WJ238)+1,"")</f>
        <v/>
      </c>
      <c r="WK239" s="59" t="str">
        <f t="shared" ca="1" si="242"/>
        <v/>
      </c>
      <c r="WL239" s="18" t="str">
        <f ca="1">IF(AND(SUM($UB239:$VY239)&gt;0,$TM239=WM$1),MAX(WL$2:WL238)+1,"")</f>
        <v/>
      </c>
      <c r="WM239" s="59" t="str">
        <f t="shared" ca="1" si="243"/>
        <v/>
      </c>
      <c r="WN239" s="18" t="str">
        <f ca="1">IF(AND(SUM($UB239:$VY239)&gt;0,$TM239=WO$1),MAX(WN$2:WN238)+1,"")</f>
        <v/>
      </c>
      <c r="WO239" s="59" t="str">
        <f t="shared" ca="1" si="244"/>
        <v/>
      </c>
      <c r="WP239" s="18" t="str">
        <f ca="1">IF(AND(SUM($UB239:$VY239)&gt;0,$TM239=WQ$1),MAX(WP$2:WP238)+1,"")</f>
        <v/>
      </c>
      <c r="WQ239" s="59" t="str">
        <f t="shared" ca="1" si="245"/>
        <v/>
      </c>
      <c r="WR239" s="18" t="str">
        <f ca="1">IF(AND(SUM($UB239:$VY239)&gt;0,$TM239=WS$1),MAX(WR$2:WR238)+1,"")</f>
        <v/>
      </c>
      <c r="WS239" s="59" t="str">
        <f t="shared" ca="1" si="246"/>
        <v/>
      </c>
      <c r="WT239" s="18" t="str">
        <f ca="1">IF(AND(SUM($UB239:$VY239)&gt;0,$TM239=WU$1),MAX(WT$2:WT238)+1,"")</f>
        <v/>
      </c>
      <c r="WU239" s="59" t="str">
        <f t="shared" ca="1" si="247"/>
        <v/>
      </c>
      <c r="WV239" s="18" t="str">
        <f ca="1">IF(AND(SUM($UB239:$VY239)&gt;0,$TM239=WW$1),MAX(WV$2:WV238)+1,"")</f>
        <v/>
      </c>
      <c r="WW239" s="59" t="str">
        <f t="shared" ca="1" si="248"/>
        <v/>
      </c>
      <c r="WX239" s="18" t="str">
        <f ca="1">IF(AND(SUM($UB239:$VY239)&gt;0,$TM239=WY$1),MAX(WX$2:WX238)+1,"")</f>
        <v/>
      </c>
      <c r="WY239" s="59" t="str">
        <f t="shared" ca="1" si="249"/>
        <v/>
      </c>
      <c r="WZ239" s="59"/>
    </row>
    <row r="240" spans="530:627" ht="9.9499999999999993" customHeight="1" x14ac:dyDescent="0.2">
      <c r="TJ240" s="18">
        <f t="shared" si="253"/>
        <v>238</v>
      </c>
      <c r="TK240" s="58" t="s">
        <v>2758</v>
      </c>
      <c r="TL240" s="58" t="s">
        <v>461</v>
      </c>
      <c r="TM240" s="18">
        <v>4</v>
      </c>
      <c r="TN240" s="59" t="str">
        <f t="shared" si="237"/>
        <v xml:space="preserve">Mordenkainen's Private Sanctum ᴴ </v>
      </c>
      <c r="TO240" s="350" t="s">
        <v>2991</v>
      </c>
      <c r="TP240" s="18" t="str">
        <f t="shared" si="238"/>
        <v/>
      </c>
      <c r="TQ240" s="18" t="str">
        <f>IF(OR(TK240=Spellcasting!$AC$18,TK240=Spellcasting!$AC$19),"ᵐ","")</f>
        <v/>
      </c>
      <c r="TR240" s="18" t="str">
        <f>IF(OR(TK240=Spellcasting!$AC$20,TK240=Spellcasting!$AC$21),"ˢ","")</f>
        <v/>
      </c>
      <c r="TS240" s="18" t="str">
        <f>""</f>
        <v/>
      </c>
      <c r="TT240" s="18" t="s">
        <v>582</v>
      </c>
      <c r="TU240" s="18" t="s">
        <v>848</v>
      </c>
      <c r="TV240" s="18" t="s">
        <v>497</v>
      </c>
      <c r="TW240" s="18" t="s">
        <v>495</v>
      </c>
      <c r="TX240" s="59" t="s">
        <v>2010</v>
      </c>
      <c r="TY240" s="18" t="s">
        <v>487</v>
      </c>
      <c r="TZ240" s="18" t="s">
        <v>488</v>
      </c>
      <c r="UA240" s="142" t="s">
        <v>2709</v>
      </c>
      <c r="UB240" s="319" t="s">
        <v>2201</v>
      </c>
      <c r="UL240" s="18" t="str">
        <f t="shared" ca="1" si="256"/>
        <v>0</v>
      </c>
      <c r="VP240" s="18" t="str">
        <f>IF(VP$1&gt;=$TM240,1,"0")</f>
        <v>0</v>
      </c>
      <c r="WD240" s="18" t="str">
        <f ca="1">IF(SUM($VZ$1:$WC$1)&gt;0,IF(AND(SUM($VZ240:$WC240)&gt;0,$TM240=WE$1),MAX(WD$2:WD239)+1,""),IF(AND(SUM($UC240:$VY240)&gt;0,$TM240=WE$1),MAX(WD$2:WD239)+1,""))</f>
        <v/>
      </c>
      <c r="WE240" s="59" t="str">
        <f t="shared" ca="1" si="239"/>
        <v/>
      </c>
      <c r="WF240" s="18" t="str">
        <f ca="1">IF(AND(SUM($UB240:$VY240)&gt;0,$TM240=WG$1),MAX(WF$2:WF239)+1,"")</f>
        <v/>
      </c>
      <c r="WG240" s="59" t="str">
        <f t="shared" ca="1" si="240"/>
        <v/>
      </c>
      <c r="WH240" s="18" t="str">
        <f ca="1">IF(AND(SUM($UB240:$VY240)&gt;0,$TM240=WI$1),MAX(WH$2:WH239)+1,"")</f>
        <v/>
      </c>
      <c r="WI240" s="59" t="str">
        <f t="shared" ca="1" si="241"/>
        <v/>
      </c>
      <c r="WJ240" s="18" t="str">
        <f ca="1">IF(AND(SUM($UB240:$VY240)&gt;0,$TM240=WK$1),MAX(WJ$2:WJ239)+1,"")</f>
        <v/>
      </c>
      <c r="WK240" s="59" t="str">
        <f t="shared" ca="1" si="242"/>
        <v/>
      </c>
      <c r="WL240" s="18" t="str">
        <f ca="1">IF(AND(SUM($UB240:$VY240)&gt;0,$TM240=WM$1),MAX(WL$2:WL239)+1,"")</f>
        <v/>
      </c>
      <c r="WM240" s="59" t="str">
        <f t="shared" ca="1" si="243"/>
        <v/>
      </c>
      <c r="WN240" s="18" t="str">
        <f ca="1">IF(AND(SUM($UB240:$VY240)&gt;0,$TM240=WO$1),MAX(WN$2:WN239)+1,"")</f>
        <v/>
      </c>
      <c r="WO240" s="59" t="str">
        <f t="shared" ca="1" si="244"/>
        <v/>
      </c>
      <c r="WP240" s="18" t="str">
        <f ca="1">IF(AND(SUM($UB240:$VY240)&gt;0,$TM240=WQ$1),MAX(WP$2:WP239)+1,"")</f>
        <v/>
      </c>
      <c r="WQ240" s="59" t="str">
        <f t="shared" ca="1" si="245"/>
        <v/>
      </c>
      <c r="WR240" s="18" t="str">
        <f ca="1">IF(AND(SUM($UB240:$VY240)&gt;0,$TM240=WS$1),MAX(WR$2:WR239)+1,"")</f>
        <v/>
      </c>
      <c r="WS240" s="59" t="str">
        <f t="shared" ca="1" si="246"/>
        <v/>
      </c>
      <c r="WT240" s="18" t="str">
        <f ca="1">IF(AND(SUM($UB240:$VY240)&gt;0,$TM240=WU$1),MAX(WT$2:WT239)+1,"")</f>
        <v/>
      </c>
      <c r="WU240" s="59" t="str">
        <f t="shared" ca="1" si="247"/>
        <v/>
      </c>
      <c r="WV240" s="18" t="str">
        <f ca="1">IF(AND(SUM($UB240:$VY240)&gt;0,$TM240=WW$1),MAX(WV$2:WV239)+1,"")</f>
        <v/>
      </c>
      <c r="WW240" s="59" t="str">
        <f t="shared" ca="1" si="248"/>
        <v/>
      </c>
      <c r="WX240" s="18" t="str">
        <f ca="1">IF(AND(SUM($UB240:$VY240)&gt;0,$TM240=WY$1),MAX(WX$2:WX239)+1,"")</f>
        <v/>
      </c>
      <c r="WY240" s="59" t="str">
        <f t="shared" ca="1" si="249"/>
        <v/>
      </c>
      <c r="WZ240" s="59"/>
    </row>
    <row r="241" spans="530:624" ht="9.9499999999999993" customHeight="1" x14ac:dyDescent="0.2">
      <c r="TJ241" s="18">
        <f t="shared" si="253"/>
        <v>239</v>
      </c>
      <c r="TK241" s="58" t="s">
        <v>1825</v>
      </c>
      <c r="TL241" s="58" t="s">
        <v>464</v>
      </c>
      <c r="TM241" s="18">
        <v>7</v>
      </c>
      <c r="TN241" s="59" t="str">
        <f t="shared" si="237"/>
        <v xml:space="preserve">Mordenkainen's Sword </v>
      </c>
      <c r="TO241" s="18" t="str">
        <f>""</f>
        <v/>
      </c>
      <c r="TP241" s="18" t="str">
        <f t="shared" si="238"/>
        <v/>
      </c>
      <c r="TQ241" s="18" t="str">
        <f>IF(OR(TK241=Spellcasting!$AC$18,TK241=Spellcasting!$AC$19),"ᵐ","")</f>
        <v/>
      </c>
      <c r="TR241" s="18" t="str">
        <f>IF(OR(TK241=Spellcasting!$AC$20,TK241=Spellcasting!$AC$21),"ˢ","")</f>
        <v/>
      </c>
      <c r="TS241" s="18" t="str">
        <f>""</f>
        <v/>
      </c>
      <c r="TT241" s="18" t="s">
        <v>484</v>
      </c>
      <c r="TU241" s="18" t="s">
        <v>850</v>
      </c>
      <c r="TV241" s="18" t="s">
        <v>558</v>
      </c>
      <c r="TW241" s="18" t="s">
        <v>495</v>
      </c>
      <c r="TX241" s="59" t="s">
        <v>2048</v>
      </c>
      <c r="TY241" s="18" t="s">
        <v>534</v>
      </c>
      <c r="TZ241" s="18" t="s">
        <v>535</v>
      </c>
      <c r="UA241" s="142" t="s">
        <v>2040</v>
      </c>
      <c r="UB241" s="319" t="str">
        <f ca="1">"melee, 3d10"&amp;IF(WizardEvocationLevel&gt;=10,"+"&amp;INTMod,"")&amp;" force, 20ft bonus action to attack"</f>
        <v>melee, 3d10 force, 20ft bonus action to attack</v>
      </c>
      <c r="UC241" s="18" t="str">
        <f ca="1">IF(UC$1&gt;=$TM241,1,"0")</f>
        <v>0</v>
      </c>
      <c r="UL241" s="18" t="str">
        <f t="shared" ca="1" si="256"/>
        <v>0</v>
      </c>
      <c r="WD241" s="18" t="str">
        <f ca="1">IF(SUM($VZ$1:$WC$1)&gt;0,IF(AND(SUM($VZ241:$WC241)&gt;0,$TM241=WE$1),MAX(WD$2:WD240)+1,""),IF(AND(SUM($UC241:$VY241)&gt;0,$TM241=WE$1),MAX(WD$2:WD240)+1,""))</f>
        <v/>
      </c>
      <c r="WE241" s="59" t="str">
        <f t="shared" ca="1" si="239"/>
        <v/>
      </c>
      <c r="WF241" s="18" t="str">
        <f ca="1">IF(AND(SUM($UB241:$VY241)&gt;0,$TM241=WG$1),MAX(WF$2:WF240)+1,"")</f>
        <v/>
      </c>
      <c r="WG241" s="59" t="str">
        <f t="shared" ca="1" si="240"/>
        <v/>
      </c>
      <c r="WH241" s="18" t="str">
        <f ca="1">IF(AND(SUM($UB241:$VY241)&gt;0,$TM241=WI$1),MAX(WH$2:WH240)+1,"")</f>
        <v/>
      </c>
      <c r="WI241" s="59" t="str">
        <f t="shared" ca="1" si="241"/>
        <v/>
      </c>
      <c r="WJ241" s="18" t="str">
        <f ca="1">IF(AND(SUM($UB241:$VY241)&gt;0,$TM241=WK$1),MAX(WJ$2:WJ240)+1,"")</f>
        <v/>
      </c>
      <c r="WK241" s="59" t="str">
        <f t="shared" ca="1" si="242"/>
        <v/>
      </c>
      <c r="WL241" s="18" t="str">
        <f ca="1">IF(AND(SUM($UB241:$VY241)&gt;0,$TM241=WM$1),MAX(WL$2:WL240)+1,"")</f>
        <v/>
      </c>
      <c r="WM241" s="59" t="str">
        <f t="shared" ca="1" si="243"/>
        <v/>
      </c>
      <c r="WN241" s="18" t="str">
        <f ca="1">IF(AND(SUM($UB241:$VY241)&gt;0,$TM241=WO$1),MAX(WN$2:WN240)+1,"")</f>
        <v/>
      </c>
      <c r="WO241" s="59" t="str">
        <f t="shared" ca="1" si="244"/>
        <v/>
      </c>
      <c r="WP241" s="18" t="str">
        <f ca="1">IF(AND(SUM($UB241:$VY241)&gt;0,$TM241=WQ$1),MAX(WP$2:WP240)+1,"")</f>
        <v/>
      </c>
      <c r="WQ241" s="59" t="str">
        <f t="shared" ca="1" si="245"/>
        <v/>
      </c>
      <c r="WR241" s="18" t="str">
        <f ca="1">IF(AND(SUM($UB241:$VY241)&gt;0,$TM241=WS$1),MAX(WR$2:WR240)+1,"")</f>
        <v/>
      </c>
      <c r="WS241" s="59" t="str">
        <f t="shared" ca="1" si="246"/>
        <v/>
      </c>
      <c r="WT241" s="18" t="str">
        <f ca="1">IF(AND(SUM($UB241:$VY241)&gt;0,$TM241=WU$1),MAX(WT$2:WT240)+1,"")</f>
        <v/>
      </c>
      <c r="WU241" s="59" t="str">
        <f t="shared" ca="1" si="247"/>
        <v/>
      </c>
      <c r="WV241" s="18" t="str">
        <f ca="1">IF(AND(SUM($UB241:$VY241)&gt;0,$TM241=WW$1),MAX(WV$2:WV240)+1,"")</f>
        <v/>
      </c>
      <c r="WW241" s="59" t="str">
        <f t="shared" ca="1" si="248"/>
        <v/>
      </c>
      <c r="WX241" s="18" t="str">
        <f ca="1">IF(AND(SUM($UB241:$VY241)&gt;0,$TM241=WY$1),MAX(WX$2:WX240)+1,"")</f>
        <v/>
      </c>
      <c r="WY241" s="59" t="str">
        <f t="shared" ca="1" si="249"/>
        <v/>
      </c>
      <c r="WZ241" s="59"/>
    </row>
    <row r="242" spans="530:624" ht="9.9499999999999993" customHeight="1" x14ac:dyDescent="0.2">
      <c r="TJ242" s="18">
        <f t="shared" si="253"/>
        <v>240</v>
      </c>
      <c r="TK242" s="58" t="s">
        <v>652</v>
      </c>
      <c r="TL242" s="58" t="s">
        <v>463</v>
      </c>
      <c r="TM242" s="18">
        <v>6</v>
      </c>
      <c r="TN242" s="59" t="str">
        <f t="shared" si="237"/>
        <v xml:space="preserve">Move Earth </v>
      </c>
      <c r="TO242" s="18" t="str">
        <f>""</f>
        <v/>
      </c>
      <c r="TP242" s="18" t="str">
        <f t="shared" si="238"/>
        <v/>
      </c>
      <c r="TQ242" s="18" t="str">
        <f>IF(OR(TK242=Spellcasting!$AC$18,TK242=Spellcasting!$AC$19),"ᵐ","")</f>
        <v/>
      </c>
      <c r="TR242" s="18" t="str">
        <f>IF(OR(TK242=Spellcasting!$AC$20,TK242=Spellcasting!$AC$21),"ˢ","")</f>
        <v/>
      </c>
      <c r="TS242" s="18" t="str">
        <f>""</f>
        <v/>
      </c>
      <c r="TT242" s="18" t="s">
        <v>484</v>
      </c>
      <c r="TU242" s="18" t="s">
        <v>848</v>
      </c>
      <c r="TV242" s="18" t="s">
        <v>653</v>
      </c>
      <c r="TW242" s="18" t="s">
        <v>495</v>
      </c>
      <c r="TX242" s="59" t="s">
        <v>2203</v>
      </c>
      <c r="TY242" s="18" t="s">
        <v>491</v>
      </c>
      <c r="TZ242" s="18" t="s">
        <v>492</v>
      </c>
      <c r="UA242" s="142" t="s">
        <v>2202</v>
      </c>
      <c r="UB242" s="319" t="s">
        <v>3002</v>
      </c>
      <c r="UF242" s="18" t="str">
        <f ca="1">IF(UF$1&gt;=$TM242,1,"0")</f>
        <v>0</v>
      </c>
      <c r="UI242" s="18" t="str">
        <f ca="1">IF(UI$1&gt;=$TM242,1,"0")</f>
        <v>0</v>
      </c>
      <c r="UL242" s="18" t="str">
        <f t="shared" ca="1" si="256"/>
        <v>0</v>
      </c>
      <c r="WD242" s="18" t="str">
        <f ca="1">IF(SUM($VZ$1:$WC$1)&gt;0,IF(AND(SUM($VZ242:$WC242)&gt;0,$TM242=WE$1),MAX(WD$2:WD241)+1,""),IF(AND(SUM($UC242:$VY242)&gt;0,$TM242=WE$1),MAX(WD$2:WD241)+1,""))</f>
        <v/>
      </c>
      <c r="WE242" s="59" t="str">
        <f t="shared" ca="1" si="239"/>
        <v/>
      </c>
      <c r="WF242" s="18" t="str">
        <f ca="1">IF(AND(SUM($UB242:$VY242)&gt;0,$TM242=WG$1),MAX(WF$2:WF241)+1,"")</f>
        <v/>
      </c>
      <c r="WG242" s="59" t="str">
        <f t="shared" ca="1" si="240"/>
        <v/>
      </c>
      <c r="WH242" s="18" t="str">
        <f ca="1">IF(AND(SUM($UB242:$VY242)&gt;0,$TM242=WI$1),MAX(WH$2:WH241)+1,"")</f>
        <v/>
      </c>
      <c r="WI242" s="59" t="str">
        <f t="shared" ca="1" si="241"/>
        <v/>
      </c>
      <c r="WJ242" s="18" t="str">
        <f ca="1">IF(AND(SUM($UB242:$VY242)&gt;0,$TM242=WK$1),MAX(WJ$2:WJ241)+1,"")</f>
        <v/>
      </c>
      <c r="WK242" s="59" t="str">
        <f t="shared" ca="1" si="242"/>
        <v/>
      </c>
      <c r="WL242" s="18" t="str">
        <f ca="1">IF(AND(SUM($UB242:$VY242)&gt;0,$TM242=WM$1),MAX(WL$2:WL241)+1,"")</f>
        <v/>
      </c>
      <c r="WM242" s="59" t="str">
        <f t="shared" ca="1" si="243"/>
        <v/>
      </c>
      <c r="WN242" s="18" t="str">
        <f ca="1">IF(AND(SUM($UB242:$VY242)&gt;0,$TM242=WO$1),MAX(WN$2:WN241)+1,"")</f>
        <v/>
      </c>
      <c r="WO242" s="59" t="str">
        <f t="shared" ca="1" si="244"/>
        <v/>
      </c>
      <c r="WP242" s="18" t="str">
        <f ca="1">IF(AND(SUM($UB242:$VY242)&gt;0,$TM242=WQ$1),MAX(WP$2:WP241)+1,"")</f>
        <v/>
      </c>
      <c r="WQ242" s="59" t="str">
        <f t="shared" ca="1" si="245"/>
        <v/>
      </c>
      <c r="WR242" s="18" t="str">
        <f ca="1">IF(AND(SUM($UB242:$VY242)&gt;0,$TM242=WS$1),MAX(WR$2:WR241)+1,"")</f>
        <v/>
      </c>
      <c r="WS242" s="59" t="str">
        <f t="shared" ca="1" si="246"/>
        <v/>
      </c>
      <c r="WT242" s="18" t="str">
        <f ca="1">IF(AND(SUM($UB242:$VY242)&gt;0,$TM242=WU$1),MAX(WT$2:WT241)+1,"")</f>
        <v/>
      </c>
      <c r="WU242" s="59" t="str">
        <f t="shared" ca="1" si="247"/>
        <v/>
      </c>
      <c r="WV242" s="18" t="str">
        <f ca="1">IF(AND(SUM($UB242:$VY242)&gt;0,$TM242=WW$1),MAX(WV$2:WV241)+1,"")</f>
        <v/>
      </c>
      <c r="WW242" s="59" t="str">
        <f t="shared" ca="1" si="248"/>
        <v/>
      </c>
      <c r="WX242" s="18" t="str">
        <f ca="1">IF(AND(SUM($UB242:$VY242)&gt;0,$TM242=WY$1),MAX(WX$2:WX241)+1,"")</f>
        <v/>
      </c>
      <c r="WY242" s="59" t="str">
        <f t="shared" ca="1" si="249"/>
        <v/>
      </c>
      <c r="WZ242" s="59"/>
    </row>
    <row r="243" spans="530:624" ht="9.9499999999999993" customHeight="1" x14ac:dyDescent="0.2">
      <c r="TJ243" s="18">
        <f t="shared" si="253"/>
        <v>241</v>
      </c>
      <c r="TK243" s="58" t="s">
        <v>1240</v>
      </c>
      <c r="TL243" s="58" t="s">
        <v>460</v>
      </c>
      <c r="TM243" s="18">
        <v>3</v>
      </c>
      <c r="TN243" s="59" t="str">
        <f t="shared" si="237"/>
        <v xml:space="preserve">Nondetection </v>
      </c>
      <c r="TO243" s="18" t="str">
        <f>""</f>
        <v/>
      </c>
      <c r="TP243" s="18" t="str">
        <f t="shared" si="238"/>
        <v/>
      </c>
      <c r="TQ243" s="18" t="str">
        <f>IF(OR(TK243=Spellcasting!$AC$18,TK243=Spellcasting!$AC$19),"ᵐ","")</f>
        <v/>
      </c>
      <c r="TR243" s="18" t="str">
        <f>IF(OR(TK243=Spellcasting!$AC$20,TK243=Spellcasting!$AC$21),"ˢ","")</f>
        <v/>
      </c>
      <c r="TS243" s="18" t="str">
        <f>""</f>
        <v/>
      </c>
      <c r="TT243" s="18" t="s">
        <v>484</v>
      </c>
      <c r="TU243" s="18" t="s">
        <v>519</v>
      </c>
      <c r="TV243" s="18" t="s">
        <v>485</v>
      </c>
      <c r="TW243" s="18" t="s">
        <v>495</v>
      </c>
      <c r="TX243" s="59" t="s">
        <v>1705</v>
      </c>
      <c r="TY243" s="18" t="s">
        <v>487</v>
      </c>
      <c r="TZ243" s="18" t="s">
        <v>488</v>
      </c>
      <c r="UA243" s="59" t="s">
        <v>1706</v>
      </c>
      <c r="UB243" s="319" t="s">
        <v>1707</v>
      </c>
      <c r="UC243" s="18" t="str">
        <f ca="1">IF(UC$1&gt;=$TM243,1,"0")</f>
        <v>0</v>
      </c>
      <c r="UL243" s="18" t="str">
        <f t="shared" ca="1" si="256"/>
        <v>0</v>
      </c>
      <c r="UY243" s="18" t="str">
        <f>IF(UY$1&gt;=$TM243,1,"0")</f>
        <v>0</v>
      </c>
      <c r="VP243" s="18" t="str">
        <f>IF(VP$1&gt;=$TM243,1,"0")</f>
        <v>0</v>
      </c>
      <c r="WD243" s="18" t="str">
        <f ca="1">IF(SUM($VZ$1:$WC$1)&gt;0,IF(AND(SUM($VZ243:$WC243)&gt;0,$TM243=WE$1),MAX(WD$2:WD242)+1,""),IF(AND(SUM($UC243:$VY243)&gt;0,$TM243=WE$1),MAX(WD$2:WD242)+1,""))</f>
        <v/>
      </c>
      <c r="WE243" s="59" t="str">
        <f t="shared" ca="1" si="239"/>
        <v/>
      </c>
      <c r="WF243" s="18" t="str">
        <f ca="1">IF(AND(SUM($UB243:$VY243)&gt;0,$TM243=WG$1),MAX(WF$2:WF242)+1,"")</f>
        <v/>
      </c>
      <c r="WG243" s="59" t="str">
        <f t="shared" ca="1" si="240"/>
        <v/>
      </c>
      <c r="WH243" s="18" t="str">
        <f ca="1">IF(AND(SUM($UB243:$VY243)&gt;0,$TM243=WI$1),MAX(WH$2:WH242)+1,"")</f>
        <v/>
      </c>
      <c r="WI243" s="59" t="str">
        <f t="shared" ca="1" si="241"/>
        <v/>
      </c>
      <c r="WJ243" s="18" t="str">
        <f ca="1">IF(AND(SUM($UB243:$VY243)&gt;0,$TM243=WK$1),MAX(WJ$2:WJ242)+1,"")</f>
        <v/>
      </c>
      <c r="WK243" s="59" t="str">
        <f t="shared" ca="1" si="242"/>
        <v/>
      </c>
      <c r="WL243" s="18" t="str">
        <f ca="1">IF(AND(SUM($UB243:$VY243)&gt;0,$TM243=WM$1),MAX(WL$2:WL242)+1,"")</f>
        <v/>
      </c>
      <c r="WM243" s="59" t="str">
        <f t="shared" ca="1" si="243"/>
        <v/>
      </c>
      <c r="WN243" s="18" t="str">
        <f ca="1">IF(AND(SUM($UB243:$VY243)&gt;0,$TM243=WO$1),MAX(WN$2:WN242)+1,"")</f>
        <v/>
      </c>
      <c r="WO243" s="59" t="str">
        <f t="shared" ca="1" si="244"/>
        <v/>
      </c>
      <c r="WP243" s="18" t="str">
        <f ca="1">IF(AND(SUM($UB243:$VY243)&gt;0,$TM243=WQ$1),MAX(WP$2:WP242)+1,"")</f>
        <v/>
      </c>
      <c r="WQ243" s="59" t="str">
        <f t="shared" ca="1" si="245"/>
        <v/>
      </c>
      <c r="WR243" s="18" t="str">
        <f ca="1">IF(AND(SUM($UB243:$VY243)&gt;0,$TM243=WS$1),MAX(WR$2:WR242)+1,"")</f>
        <v/>
      </c>
      <c r="WS243" s="59" t="str">
        <f t="shared" ca="1" si="246"/>
        <v/>
      </c>
      <c r="WT243" s="18" t="str">
        <f ca="1">IF(AND(SUM($UB243:$VY243)&gt;0,$TM243=WU$1),MAX(WT$2:WT242)+1,"")</f>
        <v/>
      </c>
      <c r="WU243" s="59" t="str">
        <f t="shared" ca="1" si="247"/>
        <v/>
      </c>
      <c r="WV243" s="18" t="str">
        <f ca="1">IF(AND(SUM($UB243:$VY243)&gt;0,$TM243=WW$1),MAX(WV$2:WV242)+1,"")</f>
        <v/>
      </c>
      <c r="WW243" s="59" t="str">
        <f t="shared" ca="1" si="248"/>
        <v/>
      </c>
      <c r="WX243" s="18" t="str">
        <f ca="1">IF(AND(SUM($UB243:$VY243)&gt;0,$TM243=WY$1),MAX(WX$2:WX242)+1,"")</f>
        <v/>
      </c>
      <c r="WY243" s="59" t="str">
        <f t="shared" ca="1" si="249"/>
        <v/>
      </c>
      <c r="WZ243" s="59"/>
    </row>
    <row r="244" spans="530:624" ht="9.9499999999999993" customHeight="1" x14ac:dyDescent="0.2">
      <c r="TJ244" s="18">
        <f t="shared" si="253"/>
        <v>242</v>
      </c>
      <c r="TK244" s="58" t="s">
        <v>1826</v>
      </c>
      <c r="TL244" s="58" t="s">
        <v>459</v>
      </c>
      <c r="TM244" s="18">
        <v>2</v>
      </c>
      <c r="TN244" s="59" t="str">
        <f t="shared" si="237"/>
        <v xml:space="preserve">Nystul's Magic Aura </v>
      </c>
      <c r="TO244" s="18" t="str">
        <f>""</f>
        <v/>
      </c>
      <c r="TP244" s="18" t="str">
        <f t="shared" si="238"/>
        <v/>
      </c>
      <c r="TQ244" s="18" t="str">
        <f>IF(OR(TK244=Spellcasting!$AC$18,TK244=Spellcasting!$AC$19),"ᵐ","")</f>
        <v/>
      </c>
      <c r="TR244" s="18" t="str">
        <f>IF(OR(TK244=Spellcasting!$AC$20,TK244=Spellcasting!$AC$21),"ˢ","")</f>
        <v/>
      </c>
      <c r="TS244" s="18" t="str">
        <f>""</f>
        <v/>
      </c>
      <c r="TT244" s="18" t="s">
        <v>484</v>
      </c>
      <c r="TU244" s="18" t="s">
        <v>519</v>
      </c>
      <c r="TV244" s="18" t="s">
        <v>497</v>
      </c>
      <c r="TW244" s="18" t="s">
        <v>495</v>
      </c>
      <c r="TX244" s="59" t="s">
        <v>1354</v>
      </c>
      <c r="TY244" s="18" t="s">
        <v>523</v>
      </c>
      <c r="TZ244" s="18" t="s">
        <v>524</v>
      </c>
      <c r="UA244" s="142" t="s">
        <v>1355</v>
      </c>
      <c r="UB244" s="319" t="s">
        <v>1356</v>
      </c>
      <c r="UL244" s="18" t="str">
        <f t="shared" ca="1" si="256"/>
        <v>0</v>
      </c>
      <c r="VQ244" s="18" t="str">
        <f>IF(VQ$1&gt;=$TM244,1,"0")</f>
        <v>0</v>
      </c>
      <c r="WD244" s="18" t="str">
        <f ca="1">IF(SUM($VZ$1:$WC$1)&gt;0,IF(AND(SUM($VZ244:$WC244)&gt;0,$TM244=WE$1),MAX(WD$2:WD243)+1,""),IF(AND(SUM($UC244:$VY244)&gt;0,$TM244=WE$1),MAX(WD$2:WD243)+1,""))</f>
        <v/>
      </c>
      <c r="WE244" s="59" t="str">
        <f t="shared" ca="1" si="239"/>
        <v/>
      </c>
      <c r="WF244" s="18" t="str">
        <f ca="1">IF(AND(SUM($UB244:$VY244)&gt;0,$TM244=WG$1),MAX(WF$2:WF243)+1,"")</f>
        <v/>
      </c>
      <c r="WG244" s="59" t="str">
        <f t="shared" ca="1" si="240"/>
        <v/>
      </c>
      <c r="WH244" s="18" t="str">
        <f ca="1">IF(AND(SUM($UB244:$VY244)&gt;0,$TM244=WI$1),MAX(WH$2:WH243)+1,"")</f>
        <v/>
      </c>
      <c r="WI244" s="59" t="str">
        <f t="shared" ca="1" si="241"/>
        <v/>
      </c>
      <c r="WJ244" s="18" t="str">
        <f ca="1">IF(AND(SUM($UB244:$VY244)&gt;0,$TM244=WK$1),MAX(WJ$2:WJ243)+1,"")</f>
        <v/>
      </c>
      <c r="WK244" s="59" t="str">
        <f t="shared" ca="1" si="242"/>
        <v/>
      </c>
      <c r="WL244" s="18" t="str">
        <f ca="1">IF(AND(SUM($UB244:$VY244)&gt;0,$TM244=WM$1),MAX(WL$2:WL243)+1,"")</f>
        <v/>
      </c>
      <c r="WM244" s="59" t="str">
        <f t="shared" ca="1" si="243"/>
        <v/>
      </c>
      <c r="WN244" s="18" t="str">
        <f ca="1">IF(AND(SUM($UB244:$VY244)&gt;0,$TM244=WO$1),MAX(WN$2:WN243)+1,"")</f>
        <v/>
      </c>
      <c r="WO244" s="59" t="str">
        <f t="shared" ca="1" si="244"/>
        <v/>
      </c>
      <c r="WP244" s="18" t="str">
        <f ca="1">IF(AND(SUM($UB244:$VY244)&gt;0,$TM244=WQ$1),MAX(WP$2:WP243)+1,"")</f>
        <v/>
      </c>
      <c r="WQ244" s="59" t="str">
        <f t="shared" ca="1" si="245"/>
        <v/>
      </c>
      <c r="WR244" s="18" t="str">
        <f ca="1">IF(AND(SUM($UB244:$VY244)&gt;0,$TM244=WS$1),MAX(WR$2:WR243)+1,"")</f>
        <v/>
      </c>
      <c r="WS244" s="59" t="str">
        <f t="shared" ca="1" si="246"/>
        <v/>
      </c>
      <c r="WT244" s="18" t="str">
        <f ca="1">IF(AND(SUM($UB244:$VY244)&gt;0,$TM244=WU$1),MAX(WT$2:WT243)+1,"")</f>
        <v/>
      </c>
      <c r="WU244" s="59" t="str">
        <f t="shared" ca="1" si="247"/>
        <v/>
      </c>
      <c r="WV244" s="18" t="str">
        <f ca="1">IF(AND(SUM($UB244:$VY244)&gt;0,$TM244=WW$1),MAX(WV$2:WV243)+1,"")</f>
        <v/>
      </c>
      <c r="WW244" s="59" t="str">
        <f t="shared" ca="1" si="248"/>
        <v/>
      </c>
      <c r="WX244" s="18" t="str">
        <f ca="1">IF(AND(SUM($UB244:$VY244)&gt;0,$TM244=WY$1),MAX(WX$2:WX243)+1,"")</f>
        <v/>
      </c>
      <c r="WY244" s="59" t="str">
        <f t="shared" ca="1" si="249"/>
        <v/>
      </c>
      <c r="WZ244" s="59"/>
    </row>
    <row r="245" spans="530:624" ht="9.9499999999999993" customHeight="1" x14ac:dyDescent="0.2">
      <c r="TJ245" s="18">
        <f t="shared" si="253"/>
        <v>243</v>
      </c>
      <c r="TK245" s="58" t="s">
        <v>2759</v>
      </c>
      <c r="TL245" s="58" t="s">
        <v>463</v>
      </c>
      <c r="TM245" s="18">
        <v>6</v>
      </c>
      <c r="TN245" s="59" t="str">
        <f t="shared" si="237"/>
        <v xml:space="preserve">Otiluke's Freezing Sphere ᴴ </v>
      </c>
      <c r="TO245" s="350" t="s">
        <v>2991</v>
      </c>
      <c r="TP245" s="18" t="str">
        <f t="shared" si="238"/>
        <v/>
      </c>
      <c r="TQ245" s="18" t="str">
        <f>IF(OR(TK245=Spellcasting!$AC$18,TK245=Spellcasting!$AC$19),"ᵐ","")</f>
        <v/>
      </c>
      <c r="TR245" s="18" t="str">
        <f>IF(OR(TK245=Spellcasting!$AC$20,TK245=Spellcasting!$AC$21),"ˢ","")</f>
        <v/>
      </c>
      <c r="TS245" s="18" t="str">
        <f>""</f>
        <v/>
      </c>
      <c r="TT245" s="18" t="s">
        <v>484</v>
      </c>
      <c r="TU245" s="18" t="s">
        <v>1989</v>
      </c>
      <c r="TV245" s="18" t="s">
        <v>505</v>
      </c>
      <c r="TW245" s="18" t="s">
        <v>495</v>
      </c>
      <c r="TX245" s="59" t="s">
        <v>2011</v>
      </c>
      <c r="TY245" s="18" t="s">
        <v>534</v>
      </c>
      <c r="TZ245" s="18" t="s">
        <v>535</v>
      </c>
      <c r="UA245" s="142" t="s">
        <v>2045</v>
      </c>
      <c r="UB245" s="319" t="str">
        <f ca="1">"60ft rad sphere, 10d6"&amp;IF(WizardEvocationLevel&gt;=10,"+"&amp;INTMod,"")&amp;" cold, dex save ½"</f>
        <v>60ft rad sphere, 10d6 cold, dex save ½</v>
      </c>
      <c r="UL245" s="18" t="str">
        <f t="shared" ca="1" si="256"/>
        <v>0</v>
      </c>
      <c r="WD245" s="18" t="str">
        <f ca="1">IF(SUM($VZ$1:$WC$1)&gt;0,IF(AND(SUM($VZ245:$WC245)&gt;0,$TM245=WE$1),MAX(WD$2:WD244)+1,""),IF(AND(SUM($UC245:$VY245)&gt;0,$TM245=WE$1),MAX(WD$2:WD244)+1,""))</f>
        <v/>
      </c>
      <c r="WE245" s="59" t="str">
        <f t="shared" ca="1" si="239"/>
        <v/>
      </c>
      <c r="WF245" s="18" t="str">
        <f ca="1">IF(AND(SUM($UB245:$VY245)&gt;0,$TM245=WG$1),MAX(WF$2:WF244)+1,"")</f>
        <v/>
      </c>
      <c r="WG245" s="59" t="str">
        <f t="shared" ca="1" si="240"/>
        <v/>
      </c>
      <c r="WH245" s="18" t="str">
        <f ca="1">IF(AND(SUM($UB245:$VY245)&gt;0,$TM245=WI$1),MAX(WH$2:WH244)+1,"")</f>
        <v/>
      </c>
      <c r="WI245" s="59" t="str">
        <f t="shared" ca="1" si="241"/>
        <v/>
      </c>
      <c r="WJ245" s="18" t="str">
        <f ca="1">IF(AND(SUM($UB245:$VY245)&gt;0,$TM245=WK$1),MAX(WJ$2:WJ244)+1,"")</f>
        <v/>
      </c>
      <c r="WK245" s="59" t="str">
        <f t="shared" ca="1" si="242"/>
        <v/>
      </c>
      <c r="WL245" s="18" t="str">
        <f ca="1">IF(AND(SUM($UB245:$VY245)&gt;0,$TM245=WM$1),MAX(WL$2:WL244)+1,"")</f>
        <v/>
      </c>
      <c r="WM245" s="59" t="str">
        <f t="shared" ca="1" si="243"/>
        <v/>
      </c>
      <c r="WN245" s="18" t="str">
        <f ca="1">IF(AND(SUM($UB245:$VY245)&gt;0,$TM245=WO$1),MAX(WN$2:WN244)+1,"")</f>
        <v/>
      </c>
      <c r="WO245" s="59" t="str">
        <f t="shared" ca="1" si="244"/>
        <v/>
      </c>
      <c r="WP245" s="18" t="str">
        <f ca="1">IF(AND(SUM($UB245:$VY245)&gt;0,$TM245=WQ$1),MAX(WP$2:WP244)+1,"")</f>
        <v/>
      </c>
      <c r="WQ245" s="59" t="str">
        <f t="shared" ca="1" si="245"/>
        <v/>
      </c>
      <c r="WR245" s="18" t="str">
        <f ca="1">IF(AND(SUM($UB245:$VY245)&gt;0,$TM245=WS$1),MAX(WR$2:WR244)+1,"")</f>
        <v/>
      </c>
      <c r="WS245" s="59" t="str">
        <f t="shared" ca="1" si="246"/>
        <v/>
      </c>
      <c r="WT245" s="18" t="str">
        <f ca="1">IF(AND(SUM($UB245:$VY245)&gt;0,$TM245=WU$1),MAX(WT$2:WT244)+1,"")</f>
        <v/>
      </c>
      <c r="WU245" s="59" t="str">
        <f t="shared" ca="1" si="247"/>
        <v/>
      </c>
      <c r="WV245" s="18" t="str">
        <f ca="1">IF(AND(SUM($UB245:$VY245)&gt;0,$TM245=WW$1),MAX(WV$2:WV244)+1,"")</f>
        <v/>
      </c>
      <c r="WW245" s="59" t="str">
        <f t="shared" ca="1" si="248"/>
        <v/>
      </c>
      <c r="WX245" s="18" t="str">
        <f ca="1">IF(AND(SUM($UB245:$VY245)&gt;0,$TM245=WY$1),MAX(WX$2:WX244)+1,"")</f>
        <v/>
      </c>
      <c r="WY245" s="59" t="str">
        <f t="shared" ca="1" si="249"/>
        <v/>
      </c>
      <c r="WZ245" s="59"/>
    </row>
    <row r="246" spans="530:624" ht="9.9499999999999993" customHeight="1" x14ac:dyDescent="0.2">
      <c r="TJ246" s="18">
        <f t="shared" si="253"/>
        <v>244</v>
      </c>
      <c r="TK246" s="58" t="s">
        <v>2760</v>
      </c>
      <c r="TL246" s="58" t="s">
        <v>461</v>
      </c>
      <c r="TM246" s="18">
        <v>4</v>
      </c>
      <c r="TN246" s="59" t="str">
        <f t="shared" si="237"/>
        <v xml:space="preserve">Otiluke's Resilient Sphere </v>
      </c>
      <c r="TO246" s="18" t="str">
        <f>""</f>
        <v/>
      </c>
      <c r="TP246" s="18" t="str">
        <f t="shared" si="238"/>
        <v/>
      </c>
      <c r="TQ246" s="18" t="str">
        <f>IF(OR(TK246=Spellcasting!$AC$18,TK246=Spellcasting!$AC$19),"ᵐ","")</f>
        <v/>
      </c>
      <c r="TR246" s="18" t="str">
        <f>IF(OR(TK246=Spellcasting!$AC$20,TK246=Spellcasting!$AC$21),"ˢ","")</f>
        <v/>
      </c>
      <c r="TS246" s="18" t="str">
        <f>""</f>
        <v/>
      </c>
      <c r="TT246" s="18" t="s">
        <v>484</v>
      </c>
      <c r="TU246" s="18" t="s">
        <v>851</v>
      </c>
      <c r="TV246" s="18" t="s">
        <v>558</v>
      </c>
      <c r="TW246" s="18" t="s">
        <v>495</v>
      </c>
      <c r="TX246" s="59" t="s">
        <v>2047</v>
      </c>
      <c r="TY246" s="18" t="s">
        <v>534</v>
      </c>
      <c r="TZ246" s="18" t="s">
        <v>535</v>
      </c>
      <c r="UA246" s="142" t="s">
        <v>2046</v>
      </c>
      <c r="UB246" s="319" t="s">
        <v>2270</v>
      </c>
      <c r="UL246" s="18" t="str">
        <f t="shared" ca="1" si="256"/>
        <v>0</v>
      </c>
      <c r="VP246" s="18" t="str">
        <f>IF(VP$1&gt;=$TM246,1,"0")</f>
        <v>0</v>
      </c>
      <c r="WD246" s="18" t="str">
        <f ca="1">IF(SUM($VZ$1:$WC$1)&gt;0,IF(AND(SUM($VZ246:$WC246)&gt;0,$TM246=WE$1),MAX(WD$2:WD245)+1,""),IF(AND(SUM($UC246:$VY246)&gt;0,$TM246=WE$1),MAX(WD$2:WD245)+1,""))</f>
        <v/>
      </c>
      <c r="WE246" s="59" t="str">
        <f t="shared" ca="1" si="239"/>
        <v/>
      </c>
      <c r="WF246" s="18" t="str">
        <f ca="1">IF(AND(SUM($UB246:$VY246)&gt;0,$TM246=WG$1),MAX(WF$2:WF245)+1,"")</f>
        <v/>
      </c>
      <c r="WG246" s="59" t="str">
        <f t="shared" ca="1" si="240"/>
        <v/>
      </c>
      <c r="WH246" s="18" t="str">
        <f ca="1">IF(AND(SUM($UB246:$VY246)&gt;0,$TM246=WI$1),MAX(WH$2:WH245)+1,"")</f>
        <v/>
      </c>
      <c r="WI246" s="59" t="str">
        <f t="shared" ca="1" si="241"/>
        <v/>
      </c>
      <c r="WJ246" s="18" t="str">
        <f ca="1">IF(AND(SUM($UB246:$VY246)&gt;0,$TM246=WK$1),MAX(WJ$2:WJ245)+1,"")</f>
        <v/>
      </c>
      <c r="WK246" s="59" t="str">
        <f t="shared" ca="1" si="242"/>
        <v/>
      </c>
      <c r="WL246" s="18" t="str">
        <f ca="1">IF(AND(SUM($UB246:$VY246)&gt;0,$TM246=WM$1),MAX(WL$2:WL245)+1,"")</f>
        <v/>
      </c>
      <c r="WM246" s="59" t="str">
        <f t="shared" ca="1" si="243"/>
        <v/>
      </c>
      <c r="WN246" s="18" t="str">
        <f ca="1">IF(AND(SUM($UB246:$VY246)&gt;0,$TM246=WO$1),MAX(WN$2:WN245)+1,"")</f>
        <v/>
      </c>
      <c r="WO246" s="59" t="str">
        <f t="shared" ca="1" si="244"/>
        <v/>
      </c>
      <c r="WP246" s="18" t="str">
        <f ca="1">IF(AND(SUM($UB246:$VY246)&gt;0,$TM246=WQ$1),MAX(WP$2:WP245)+1,"")</f>
        <v/>
      </c>
      <c r="WQ246" s="59" t="str">
        <f t="shared" ca="1" si="245"/>
        <v/>
      </c>
      <c r="WR246" s="18" t="str">
        <f ca="1">IF(AND(SUM($UB246:$VY246)&gt;0,$TM246=WS$1),MAX(WR$2:WR245)+1,"")</f>
        <v/>
      </c>
      <c r="WS246" s="59" t="str">
        <f t="shared" ca="1" si="246"/>
        <v/>
      </c>
      <c r="WT246" s="18" t="str">
        <f ca="1">IF(AND(SUM($UB246:$VY246)&gt;0,$TM246=WU$1),MAX(WT$2:WT245)+1,"")</f>
        <v/>
      </c>
      <c r="WU246" s="59" t="str">
        <f t="shared" ca="1" si="247"/>
        <v/>
      </c>
      <c r="WV246" s="18" t="str">
        <f ca="1">IF(AND(SUM($UB246:$VY246)&gt;0,$TM246=WW$1),MAX(WV$2:WV245)+1,"")</f>
        <v/>
      </c>
      <c r="WW246" s="59" t="str">
        <f t="shared" ca="1" si="248"/>
        <v/>
      </c>
      <c r="WX246" s="18" t="str">
        <f ca="1">IF(AND(SUM($UB246:$VY246)&gt;0,$TM246=WY$1),MAX(WX$2:WX245)+1,"")</f>
        <v/>
      </c>
      <c r="WY246" s="59" t="str">
        <f t="shared" ca="1" si="249"/>
        <v/>
      </c>
      <c r="WZ246" s="59"/>
    </row>
    <row r="247" spans="530:624" ht="9.9499999999999993" customHeight="1" x14ac:dyDescent="0.2">
      <c r="TJ247" s="18">
        <f t="shared" si="253"/>
        <v>245</v>
      </c>
      <c r="TK247" s="58" t="s">
        <v>1827</v>
      </c>
      <c r="TL247" s="58" t="s">
        <v>463</v>
      </c>
      <c r="TM247" s="18">
        <v>6</v>
      </c>
      <c r="TN247" s="59" t="str">
        <f t="shared" si="237"/>
        <v xml:space="preserve">Otto's Irresistible Dance </v>
      </c>
      <c r="TO247" s="18" t="str">
        <f>""</f>
        <v/>
      </c>
      <c r="TP247" s="18" t="str">
        <f t="shared" si="238"/>
        <v/>
      </c>
      <c r="TQ247" s="18" t="str">
        <f>IF(OR(TK247=Spellcasting!$AC$18,TK247=Spellcasting!$AC$19),"ᵐ","")</f>
        <v/>
      </c>
      <c r="TR247" s="18" t="str">
        <f>IF(OR(TK247=Spellcasting!$AC$20,TK247=Spellcasting!$AC$21),"ˢ","")</f>
        <v/>
      </c>
      <c r="TS247" s="18" t="str">
        <f>""</f>
        <v/>
      </c>
      <c r="TT247" s="18" t="s">
        <v>484</v>
      </c>
      <c r="TU247" s="18" t="s">
        <v>851</v>
      </c>
      <c r="TV247" s="18" t="s">
        <v>558</v>
      </c>
      <c r="TW247" s="18" t="s">
        <v>541</v>
      </c>
      <c r="TX247" s="59" t="str">
        <f>""</f>
        <v/>
      </c>
      <c r="TY247" s="18" t="s">
        <v>498</v>
      </c>
      <c r="TZ247" s="18" t="s">
        <v>499</v>
      </c>
      <c r="UA247" s="142" t="s">
        <v>2204</v>
      </c>
      <c r="UB247" s="319" t="s">
        <v>2205</v>
      </c>
      <c r="UC247" s="18" t="str">
        <f ca="1">IF(UC$1&gt;=$TM247,1,"0")</f>
        <v>0</v>
      </c>
      <c r="UL247" s="18" t="str">
        <f t="shared" ca="1" si="256"/>
        <v>0</v>
      </c>
      <c r="WD247" s="18" t="str">
        <f ca="1">IF(SUM($VZ$1:$WC$1)&gt;0,IF(AND(SUM($VZ247:$WC247)&gt;0,$TM247=WE$1),MAX(WD$2:WD246)+1,""),IF(AND(SUM($UC247:$VY247)&gt;0,$TM247=WE$1),MAX(WD$2:WD246)+1,""))</f>
        <v/>
      </c>
      <c r="WE247" s="59" t="str">
        <f t="shared" ca="1" si="239"/>
        <v/>
      </c>
      <c r="WF247" s="18" t="str">
        <f ca="1">IF(AND(SUM($UB247:$VY247)&gt;0,$TM247=WG$1),MAX(WF$2:WF246)+1,"")</f>
        <v/>
      </c>
      <c r="WG247" s="59" t="str">
        <f t="shared" ca="1" si="240"/>
        <v/>
      </c>
      <c r="WH247" s="18" t="str">
        <f ca="1">IF(AND(SUM($UB247:$VY247)&gt;0,$TM247=WI$1),MAX(WH$2:WH246)+1,"")</f>
        <v/>
      </c>
      <c r="WI247" s="59" t="str">
        <f t="shared" ca="1" si="241"/>
        <v/>
      </c>
      <c r="WJ247" s="18" t="str">
        <f ca="1">IF(AND(SUM($UB247:$VY247)&gt;0,$TM247=WK$1),MAX(WJ$2:WJ246)+1,"")</f>
        <v/>
      </c>
      <c r="WK247" s="59" t="str">
        <f t="shared" ca="1" si="242"/>
        <v/>
      </c>
      <c r="WL247" s="18" t="str">
        <f ca="1">IF(AND(SUM($UB247:$VY247)&gt;0,$TM247=WM$1),MAX(WL$2:WL246)+1,"")</f>
        <v/>
      </c>
      <c r="WM247" s="59" t="str">
        <f t="shared" ca="1" si="243"/>
        <v/>
      </c>
      <c r="WN247" s="18" t="str">
        <f ca="1">IF(AND(SUM($UB247:$VY247)&gt;0,$TM247=WO$1),MAX(WN$2:WN246)+1,"")</f>
        <v/>
      </c>
      <c r="WO247" s="59" t="str">
        <f t="shared" ca="1" si="244"/>
        <v/>
      </c>
      <c r="WP247" s="18" t="str">
        <f ca="1">IF(AND(SUM($UB247:$VY247)&gt;0,$TM247=WQ$1),MAX(WP$2:WP246)+1,"")</f>
        <v/>
      </c>
      <c r="WQ247" s="59" t="str">
        <f t="shared" ca="1" si="245"/>
        <v/>
      </c>
      <c r="WR247" s="18" t="str">
        <f ca="1">IF(AND(SUM($UB247:$VY247)&gt;0,$TM247=WS$1),MAX(WR$2:WR246)+1,"")</f>
        <v/>
      </c>
      <c r="WS247" s="59" t="str">
        <f t="shared" ca="1" si="246"/>
        <v/>
      </c>
      <c r="WT247" s="18" t="str">
        <f ca="1">IF(AND(SUM($UB247:$VY247)&gt;0,$TM247=WU$1),MAX(WT$2:WT246)+1,"")</f>
        <v/>
      </c>
      <c r="WU247" s="59" t="str">
        <f t="shared" ca="1" si="247"/>
        <v/>
      </c>
      <c r="WV247" s="18" t="str">
        <f ca="1">IF(AND(SUM($UB247:$VY247)&gt;0,$TM247=WW$1),MAX(WV$2:WV246)+1,"")</f>
        <v/>
      </c>
      <c r="WW247" s="59" t="str">
        <f t="shared" ca="1" si="248"/>
        <v/>
      </c>
      <c r="WX247" s="18" t="str">
        <f ca="1">IF(AND(SUM($UB247:$VY247)&gt;0,$TM247=WY$1),MAX(WX$2:WX246)+1,"")</f>
        <v/>
      </c>
      <c r="WY247" s="59" t="str">
        <f t="shared" ca="1" si="249"/>
        <v/>
      </c>
      <c r="WZ247" s="59"/>
    </row>
    <row r="248" spans="530:624" ht="9.9499999999999993" customHeight="1" x14ac:dyDescent="0.2">
      <c r="TJ248" s="18">
        <f t="shared" si="253"/>
        <v>246</v>
      </c>
      <c r="TK248" s="58" t="s">
        <v>654</v>
      </c>
      <c r="TL248" s="58" t="s">
        <v>459</v>
      </c>
      <c r="TM248" s="18">
        <v>2</v>
      </c>
      <c r="TN248" s="59" t="str">
        <f t="shared" si="237"/>
        <v xml:space="preserve">Pass without Trace </v>
      </c>
      <c r="TO248" s="18" t="str">
        <f>""</f>
        <v/>
      </c>
      <c r="TP248" s="18" t="str">
        <f t="shared" si="238"/>
        <v/>
      </c>
      <c r="TQ248" s="18" t="str">
        <f>IF(OR(TK248=Spellcasting!$AC$18,TK248=Spellcasting!$AC$19),"ᵐ","")</f>
        <v/>
      </c>
      <c r="TR248" s="18" t="str">
        <f>IF(OR(TK248=Spellcasting!$AC$20,TK248=Spellcasting!$AC$21),"ˢ","")</f>
        <v/>
      </c>
      <c r="TS248" s="18" t="str">
        <f>""</f>
        <v/>
      </c>
      <c r="TT248" s="18" t="s">
        <v>484</v>
      </c>
      <c r="TU248" s="18" t="s">
        <v>509</v>
      </c>
      <c r="TV248" s="18" t="s">
        <v>490</v>
      </c>
      <c r="TW248" s="18" t="s">
        <v>495</v>
      </c>
      <c r="TX248" s="59" t="s">
        <v>1357</v>
      </c>
      <c r="TY248" s="18" t="s">
        <v>487</v>
      </c>
      <c r="TZ248" s="18" t="s">
        <v>488</v>
      </c>
      <c r="UA248" s="59" t="s">
        <v>1358</v>
      </c>
      <c r="UB248" s="319" t="s">
        <v>1362</v>
      </c>
      <c r="UE248" s="18" t="str">
        <f ca="1">IF(UE$1&gt;=$TM248,1,"0")</f>
        <v>0</v>
      </c>
      <c r="UI248" s="18" t="str">
        <f ca="1">IF(UI$1&gt;=$TM248,1,"0")</f>
        <v>0</v>
      </c>
      <c r="VD248" s="18" t="str">
        <f>IF(VD$1&gt;=$TM248,1,"0")</f>
        <v>0</v>
      </c>
      <c r="VK248" s="18" t="str">
        <f>IF(VK$1&gt;=$TM248,1,"0")</f>
        <v>0</v>
      </c>
      <c r="WD248" s="18" t="str">
        <f ca="1">IF(SUM($VZ$1:$WC$1)&gt;0,IF(AND(SUM($VZ248:$WC248)&gt;0,$TM248=WE$1),MAX(WD$2:WD247)+1,""),IF(AND(SUM($UC248:$VY248)&gt;0,$TM248=WE$1),MAX(WD$2:WD247)+1,""))</f>
        <v/>
      </c>
      <c r="WE248" s="59" t="str">
        <f t="shared" ca="1" si="239"/>
        <v/>
      </c>
      <c r="WF248" s="18" t="str">
        <f ca="1">IF(AND(SUM($UB248:$VY248)&gt;0,$TM248=WG$1),MAX(WF$2:WF247)+1,"")</f>
        <v/>
      </c>
      <c r="WG248" s="59" t="str">
        <f t="shared" ca="1" si="240"/>
        <v/>
      </c>
      <c r="WH248" s="18" t="str">
        <f ca="1">IF(AND(SUM($UB248:$VY248)&gt;0,$TM248=WI$1),MAX(WH$2:WH247)+1,"")</f>
        <v/>
      </c>
      <c r="WI248" s="59" t="str">
        <f t="shared" ca="1" si="241"/>
        <v/>
      </c>
      <c r="WJ248" s="18" t="str">
        <f ca="1">IF(AND(SUM($UB248:$VY248)&gt;0,$TM248=WK$1),MAX(WJ$2:WJ247)+1,"")</f>
        <v/>
      </c>
      <c r="WK248" s="59" t="str">
        <f t="shared" ca="1" si="242"/>
        <v/>
      </c>
      <c r="WL248" s="18" t="str">
        <f ca="1">IF(AND(SUM($UB248:$VY248)&gt;0,$TM248=WM$1),MAX(WL$2:WL247)+1,"")</f>
        <v/>
      </c>
      <c r="WM248" s="59" t="str">
        <f t="shared" ca="1" si="243"/>
        <v/>
      </c>
      <c r="WN248" s="18" t="str">
        <f ca="1">IF(AND(SUM($UB248:$VY248)&gt;0,$TM248=WO$1),MAX(WN$2:WN247)+1,"")</f>
        <v/>
      </c>
      <c r="WO248" s="59" t="str">
        <f t="shared" ca="1" si="244"/>
        <v/>
      </c>
      <c r="WP248" s="18" t="str">
        <f ca="1">IF(AND(SUM($UB248:$VY248)&gt;0,$TM248=WQ$1),MAX(WP$2:WP247)+1,"")</f>
        <v/>
      </c>
      <c r="WQ248" s="59" t="str">
        <f t="shared" ca="1" si="245"/>
        <v/>
      </c>
      <c r="WR248" s="18" t="str">
        <f ca="1">IF(AND(SUM($UB248:$VY248)&gt;0,$TM248=WS$1),MAX(WR$2:WR247)+1,"")</f>
        <v/>
      </c>
      <c r="WS248" s="59" t="str">
        <f t="shared" ca="1" si="246"/>
        <v/>
      </c>
      <c r="WT248" s="18" t="str">
        <f ca="1">IF(AND(SUM($UB248:$VY248)&gt;0,$TM248=WU$1),MAX(WT$2:WT247)+1,"")</f>
        <v/>
      </c>
      <c r="WU248" s="59" t="str">
        <f t="shared" ca="1" si="247"/>
        <v/>
      </c>
      <c r="WV248" s="18" t="str">
        <f ca="1">IF(AND(SUM($UB248:$VY248)&gt;0,$TM248=WW$1),MAX(WV$2:WV247)+1,"")</f>
        <v/>
      </c>
      <c r="WW248" s="59" t="str">
        <f t="shared" ca="1" si="248"/>
        <v/>
      </c>
      <c r="WX248" s="18" t="str">
        <f ca="1">IF(AND(SUM($UB248:$VY248)&gt;0,$TM248=WY$1),MAX(WX$2:WX247)+1,"")</f>
        <v/>
      </c>
      <c r="WY248" s="59" t="str">
        <f t="shared" ca="1" si="249"/>
        <v/>
      </c>
      <c r="WZ248" s="59"/>
    </row>
    <row r="249" spans="530:624" ht="9.9499999999999993" customHeight="1" x14ac:dyDescent="0.2">
      <c r="TJ249" s="18">
        <f t="shared" si="253"/>
        <v>247</v>
      </c>
      <c r="TK249" s="58" t="s">
        <v>655</v>
      </c>
      <c r="TL249" s="58" t="s">
        <v>462</v>
      </c>
      <c r="TM249" s="18">
        <v>5</v>
      </c>
      <c r="TN249" s="59" t="str">
        <f t="shared" si="237"/>
        <v xml:space="preserve">Passwall </v>
      </c>
      <c r="TO249" s="18" t="str">
        <f>""</f>
        <v/>
      </c>
      <c r="TP249" s="18" t="str">
        <f t="shared" si="238"/>
        <v/>
      </c>
      <c r="TQ249" s="18" t="str">
        <f>IF(OR(TK249=Spellcasting!$AC$18,TK249=Spellcasting!$AC$19),"ᵐ","")</f>
        <v/>
      </c>
      <c r="TR249" s="18" t="str">
        <f>IF(OR(TK249=Spellcasting!$AC$20,TK249=Spellcasting!$AC$21),"ˢ","")</f>
        <v/>
      </c>
      <c r="TS249" s="18" t="str">
        <f>""</f>
        <v/>
      </c>
      <c r="TT249" s="18" t="s">
        <v>484</v>
      </c>
      <c r="TU249" s="18" t="s">
        <v>851</v>
      </c>
      <c r="TV249" s="18" t="s">
        <v>521</v>
      </c>
      <c r="TW249" s="18" t="s">
        <v>495</v>
      </c>
      <c r="TX249" s="59" t="s">
        <v>2012</v>
      </c>
      <c r="TY249" s="18" t="s">
        <v>491</v>
      </c>
      <c r="TZ249" s="18" t="s">
        <v>492</v>
      </c>
      <c r="UA249" s="142" t="s">
        <v>2206</v>
      </c>
      <c r="UB249" s="319" t="s">
        <v>2207</v>
      </c>
      <c r="UL249" s="18" t="str">
        <f ca="1">IF(UL$1&gt;=$TM249,1,"0")</f>
        <v>0</v>
      </c>
      <c r="VL249" s="18" t="str">
        <f>IF(VL$1&gt;=$TM249,1,"0")</f>
        <v>0</v>
      </c>
      <c r="WD249" s="18" t="str">
        <f ca="1">IF(SUM($VZ$1:$WC$1)&gt;0,IF(AND(SUM($VZ249:$WC249)&gt;0,$TM249=WE$1),MAX(WD$2:WD248)+1,""),IF(AND(SUM($UC249:$VY249)&gt;0,$TM249=WE$1),MAX(WD$2:WD248)+1,""))</f>
        <v/>
      </c>
      <c r="WE249" s="59" t="str">
        <f t="shared" ca="1" si="239"/>
        <v/>
      </c>
      <c r="WF249" s="18" t="str">
        <f ca="1">IF(AND(SUM($UB249:$VY249)&gt;0,$TM249=WG$1),MAX(WF$2:WF248)+1,"")</f>
        <v/>
      </c>
      <c r="WG249" s="59" t="str">
        <f t="shared" ca="1" si="240"/>
        <v/>
      </c>
      <c r="WH249" s="18" t="str">
        <f ca="1">IF(AND(SUM($UB249:$VY249)&gt;0,$TM249=WI$1),MAX(WH$2:WH248)+1,"")</f>
        <v/>
      </c>
      <c r="WI249" s="59" t="str">
        <f t="shared" ca="1" si="241"/>
        <v/>
      </c>
      <c r="WJ249" s="18" t="str">
        <f ca="1">IF(AND(SUM($UB249:$VY249)&gt;0,$TM249=WK$1),MAX(WJ$2:WJ248)+1,"")</f>
        <v/>
      </c>
      <c r="WK249" s="59" t="str">
        <f t="shared" ca="1" si="242"/>
        <v/>
      </c>
      <c r="WL249" s="18" t="str">
        <f ca="1">IF(AND(SUM($UB249:$VY249)&gt;0,$TM249=WM$1),MAX(WL$2:WL248)+1,"")</f>
        <v/>
      </c>
      <c r="WM249" s="59" t="str">
        <f t="shared" ca="1" si="243"/>
        <v/>
      </c>
      <c r="WN249" s="18" t="str">
        <f ca="1">IF(AND(SUM($UB249:$VY249)&gt;0,$TM249=WO$1),MAX(WN$2:WN248)+1,"")</f>
        <v/>
      </c>
      <c r="WO249" s="59" t="str">
        <f t="shared" ca="1" si="244"/>
        <v/>
      </c>
      <c r="WP249" s="18" t="str">
        <f ca="1">IF(AND(SUM($UB249:$VY249)&gt;0,$TM249=WQ$1),MAX(WP$2:WP248)+1,"")</f>
        <v/>
      </c>
      <c r="WQ249" s="59" t="str">
        <f t="shared" ca="1" si="245"/>
        <v/>
      </c>
      <c r="WR249" s="18" t="str">
        <f ca="1">IF(AND(SUM($UB249:$VY249)&gt;0,$TM249=WS$1),MAX(WR$2:WR248)+1,"")</f>
        <v/>
      </c>
      <c r="WS249" s="59" t="str">
        <f t="shared" ca="1" si="246"/>
        <v/>
      </c>
      <c r="WT249" s="18" t="str">
        <f ca="1">IF(AND(SUM($UB249:$VY249)&gt;0,$TM249=WU$1),MAX(WT$2:WT248)+1,"")</f>
        <v/>
      </c>
      <c r="WU249" s="59" t="str">
        <f t="shared" ca="1" si="247"/>
        <v/>
      </c>
      <c r="WV249" s="18" t="str">
        <f ca="1">IF(AND(SUM($UB249:$VY249)&gt;0,$TM249=WW$1),MAX(WV$2:WV248)+1,"")</f>
        <v/>
      </c>
      <c r="WW249" s="59" t="str">
        <f t="shared" ca="1" si="248"/>
        <v/>
      </c>
      <c r="WX249" s="18" t="str">
        <f ca="1">IF(AND(SUM($UB249:$VY249)&gt;0,$TM249=WY$1),MAX(WX$2:WX248)+1,"")</f>
        <v/>
      </c>
      <c r="WY249" s="59" t="str">
        <f t="shared" ca="1" si="249"/>
        <v/>
      </c>
      <c r="WZ249" s="59"/>
    </row>
    <row r="250" spans="530:624" ht="9.9499999999999993" customHeight="1" x14ac:dyDescent="0.2">
      <c r="TJ250" s="18">
        <f t="shared" si="253"/>
        <v>248</v>
      </c>
      <c r="TK250" s="58" t="s">
        <v>656</v>
      </c>
      <c r="TL250" s="58" t="s">
        <v>459</v>
      </c>
      <c r="TM250" s="18">
        <v>2</v>
      </c>
      <c r="TN250" s="59" t="str">
        <f t="shared" si="237"/>
        <v xml:space="preserve">Phantasmal Force </v>
      </c>
      <c r="TO250" s="18" t="str">
        <f>""</f>
        <v/>
      </c>
      <c r="TP250" s="18" t="str">
        <f t="shared" si="238"/>
        <v/>
      </c>
      <c r="TQ250" s="18" t="str">
        <f>IF(OR(TK250=Spellcasting!$AC$18,TK250=Spellcasting!$AC$19),"ᵐ","")</f>
        <v/>
      </c>
      <c r="TR250" s="18" t="str">
        <f>IF(OR(TK250=Spellcasting!$AC$20,TK250=Spellcasting!$AC$21),"ˢ","")</f>
        <v/>
      </c>
      <c r="TS250" s="18" t="str">
        <f>""</f>
        <v/>
      </c>
      <c r="TT250" s="18" t="s">
        <v>484</v>
      </c>
      <c r="TU250" s="18" t="s">
        <v>850</v>
      </c>
      <c r="TV250" s="18" t="s">
        <v>558</v>
      </c>
      <c r="TW250" s="18" t="s">
        <v>495</v>
      </c>
      <c r="TX250" s="59" t="s">
        <v>1359</v>
      </c>
      <c r="TY250" s="18" t="s">
        <v>523</v>
      </c>
      <c r="TZ250" s="18" t="s">
        <v>524</v>
      </c>
      <c r="UA250" s="142" t="s">
        <v>1360</v>
      </c>
      <c r="UB250" s="319" t="s">
        <v>1361</v>
      </c>
      <c r="UC250" s="18" t="str">
        <f ca="1">IF(UC$1&gt;=$TM250,1,"0")</f>
        <v>0</v>
      </c>
      <c r="UF250" s="18" t="str">
        <f ca="1">IF(UF$1&gt;=$TM250,1,"0")</f>
        <v>0</v>
      </c>
      <c r="UL250" s="18" t="str">
        <f ca="1">IF(UL$1&gt;=$TM250,1,"0")</f>
        <v>0</v>
      </c>
      <c r="UV250" s="18" t="str">
        <f>IF(UV$1&gt;=$TM250,1,"0")</f>
        <v>0</v>
      </c>
      <c r="UX250" s="18" t="str">
        <f>IF(UX$1&gt;=$TM250,1,"0")</f>
        <v>0</v>
      </c>
      <c r="VQ250" s="18" t="str">
        <f>IF(VQ$1&gt;=$TM250,1,"0")</f>
        <v>0</v>
      </c>
      <c r="WD250" s="18" t="str">
        <f ca="1">IF(SUM($VZ$1:$WC$1)&gt;0,IF(AND(SUM($VZ250:$WC250)&gt;0,$TM250=WE$1),MAX(WD$2:WD249)+1,""),IF(AND(SUM($UC250:$VY250)&gt;0,$TM250=WE$1),MAX(WD$2:WD249)+1,""))</f>
        <v/>
      </c>
      <c r="WE250" s="59" t="str">
        <f t="shared" ca="1" si="239"/>
        <v/>
      </c>
      <c r="WF250" s="18" t="str">
        <f ca="1">IF(AND(SUM($UB250:$VY250)&gt;0,$TM250=WG$1),MAX(WF$2:WF249)+1,"")</f>
        <v/>
      </c>
      <c r="WG250" s="59" t="str">
        <f t="shared" ca="1" si="240"/>
        <v/>
      </c>
      <c r="WH250" s="18" t="str">
        <f ca="1">IF(AND(SUM($UB250:$VY250)&gt;0,$TM250=WI$1),MAX(WH$2:WH249)+1,"")</f>
        <v/>
      </c>
      <c r="WI250" s="59" t="str">
        <f t="shared" ca="1" si="241"/>
        <v/>
      </c>
      <c r="WJ250" s="18" t="str">
        <f ca="1">IF(AND(SUM($UB250:$VY250)&gt;0,$TM250=WK$1),MAX(WJ$2:WJ249)+1,"")</f>
        <v/>
      </c>
      <c r="WK250" s="59" t="str">
        <f t="shared" ca="1" si="242"/>
        <v/>
      </c>
      <c r="WL250" s="18" t="str">
        <f ca="1">IF(AND(SUM($UB250:$VY250)&gt;0,$TM250=WM$1),MAX(WL$2:WL249)+1,"")</f>
        <v/>
      </c>
      <c r="WM250" s="59" t="str">
        <f t="shared" ca="1" si="243"/>
        <v/>
      </c>
      <c r="WN250" s="18" t="str">
        <f ca="1">IF(AND(SUM($UB250:$VY250)&gt;0,$TM250=WO$1),MAX(WN$2:WN249)+1,"")</f>
        <v/>
      </c>
      <c r="WO250" s="59" t="str">
        <f t="shared" ca="1" si="244"/>
        <v/>
      </c>
      <c r="WP250" s="18" t="str">
        <f ca="1">IF(AND(SUM($UB250:$VY250)&gt;0,$TM250=WQ$1),MAX(WP$2:WP249)+1,"")</f>
        <v/>
      </c>
      <c r="WQ250" s="59" t="str">
        <f t="shared" ca="1" si="245"/>
        <v/>
      </c>
      <c r="WR250" s="18" t="str">
        <f ca="1">IF(AND(SUM($UB250:$VY250)&gt;0,$TM250=WS$1),MAX(WR$2:WR249)+1,"")</f>
        <v/>
      </c>
      <c r="WS250" s="59" t="str">
        <f t="shared" ca="1" si="246"/>
        <v/>
      </c>
      <c r="WT250" s="18" t="str">
        <f ca="1">IF(AND(SUM($UB250:$VY250)&gt;0,$TM250=WU$1),MAX(WT$2:WT249)+1,"")</f>
        <v/>
      </c>
      <c r="WU250" s="59" t="str">
        <f t="shared" ca="1" si="247"/>
        <v/>
      </c>
      <c r="WV250" s="18" t="str">
        <f ca="1">IF(AND(SUM($UB250:$VY250)&gt;0,$TM250=WW$1),MAX(WV$2:WV249)+1,"")</f>
        <v/>
      </c>
      <c r="WW250" s="59" t="str">
        <f t="shared" ca="1" si="248"/>
        <v/>
      </c>
      <c r="WX250" s="18" t="str">
        <f ca="1">IF(AND(SUM($UB250:$VY250)&gt;0,$TM250=WY$1),MAX(WX$2:WX249)+1,"")</f>
        <v/>
      </c>
      <c r="WY250" s="59" t="str">
        <f t="shared" ca="1" si="249"/>
        <v/>
      </c>
      <c r="WZ250" s="59"/>
    </row>
    <row r="251" spans="530:624" ht="9.9499999999999993" customHeight="1" x14ac:dyDescent="0.2">
      <c r="TJ251" s="18">
        <f t="shared" si="253"/>
        <v>249</v>
      </c>
      <c r="TK251" s="58" t="s">
        <v>1253</v>
      </c>
      <c r="TL251" s="58" t="s">
        <v>461</v>
      </c>
      <c r="TM251" s="18">
        <v>4</v>
      </c>
      <c r="TN251" s="59" t="str">
        <f t="shared" si="237"/>
        <v xml:space="preserve">Phantasmal Killer ᴴ </v>
      </c>
      <c r="TO251" s="350" t="s">
        <v>2991</v>
      </c>
      <c r="TP251" s="18" t="str">
        <f t="shared" si="238"/>
        <v/>
      </c>
      <c r="TQ251" s="18" t="str">
        <f>IF(OR(TK251=Spellcasting!$AC$18,TK251=Spellcasting!$AC$19),"ᵐ","")</f>
        <v/>
      </c>
      <c r="TR251" s="18" t="str">
        <f>IF(OR(TK251=Spellcasting!$AC$20,TK251=Spellcasting!$AC$21),"ˢ","")</f>
        <v/>
      </c>
      <c r="TS251" s="18" t="str">
        <f>""</f>
        <v/>
      </c>
      <c r="TT251" s="18" t="s">
        <v>484</v>
      </c>
      <c r="TU251" s="18" t="s">
        <v>848</v>
      </c>
      <c r="TV251" s="18" t="s">
        <v>558</v>
      </c>
      <c r="TW251" s="18" t="s">
        <v>486</v>
      </c>
      <c r="TX251" s="59" t="str">
        <f>""</f>
        <v/>
      </c>
      <c r="TY251" s="18" t="s">
        <v>523</v>
      </c>
      <c r="TZ251" s="18" t="s">
        <v>524</v>
      </c>
      <c r="UA251" s="142" t="s">
        <v>2716</v>
      </c>
      <c r="UB251" s="319" t="s">
        <v>2208</v>
      </c>
      <c r="UL251" s="18" t="str">
        <f ca="1">IF(UL$1&gt;=$TM251,1,"0")</f>
        <v>0</v>
      </c>
      <c r="VQ251" s="18" t="str">
        <f>IF(VQ$1&gt;=$TM251,1,"0")</f>
        <v>0</v>
      </c>
      <c r="WD251" s="18" t="str">
        <f ca="1">IF(SUM($VZ$1:$WC$1)&gt;0,IF(AND(SUM($VZ251:$WC251)&gt;0,$TM251=WE$1),MAX(WD$2:WD250)+1,""),IF(AND(SUM($UC251:$VY251)&gt;0,$TM251=WE$1),MAX(WD$2:WD250)+1,""))</f>
        <v/>
      </c>
      <c r="WE251" s="59" t="str">
        <f t="shared" ca="1" si="239"/>
        <v/>
      </c>
      <c r="WF251" s="18" t="str">
        <f ca="1">IF(AND(SUM($UB251:$VY251)&gt;0,$TM251=WG$1),MAX(WF$2:WF250)+1,"")</f>
        <v/>
      </c>
      <c r="WG251" s="59" t="str">
        <f t="shared" ca="1" si="240"/>
        <v/>
      </c>
      <c r="WH251" s="18" t="str">
        <f ca="1">IF(AND(SUM($UB251:$VY251)&gt;0,$TM251=WI$1),MAX(WH$2:WH250)+1,"")</f>
        <v/>
      </c>
      <c r="WI251" s="59" t="str">
        <f t="shared" ca="1" si="241"/>
        <v/>
      </c>
      <c r="WJ251" s="18" t="str">
        <f ca="1">IF(AND(SUM($UB251:$VY251)&gt;0,$TM251=WK$1),MAX(WJ$2:WJ250)+1,"")</f>
        <v/>
      </c>
      <c r="WK251" s="59" t="str">
        <f t="shared" ca="1" si="242"/>
        <v/>
      </c>
      <c r="WL251" s="18" t="str">
        <f ca="1">IF(AND(SUM($UB251:$VY251)&gt;0,$TM251=WM$1),MAX(WL$2:WL250)+1,"")</f>
        <v/>
      </c>
      <c r="WM251" s="59" t="str">
        <f t="shared" ca="1" si="243"/>
        <v/>
      </c>
      <c r="WN251" s="18" t="str">
        <f ca="1">IF(AND(SUM($UB251:$VY251)&gt;0,$TM251=WO$1),MAX(WN$2:WN250)+1,"")</f>
        <v/>
      </c>
      <c r="WO251" s="59" t="str">
        <f t="shared" ca="1" si="244"/>
        <v/>
      </c>
      <c r="WP251" s="18" t="str">
        <f ca="1">IF(AND(SUM($UB251:$VY251)&gt;0,$TM251=WQ$1),MAX(WP$2:WP250)+1,"")</f>
        <v/>
      </c>
      <c r="WQ251" s="59" t="str">
        <f t="shared" ca="1" si="245"/>
        <v/>
      </c>
      <c r="WR251" s="18" t="str">
        <f ca="1">IF(AND(SUM($UB251:$VY251)&gt;0,$TM251=WS$1),MAX(WR$2:WR250)+1,"")</f>
        <v/>
      </c>
      <c r="WS251" s="59" t="str">
        <f t="shared" ca="1" si="246"/>
        <v/>
      </c>
      <c r="WT251" s="18" t="str">
        <f ca="1">IF(AND(SUM($UB251:$VY251)&gt;0,$TM251=WU$1),MAX(WT$2:WT250)+1,"")</f>
        <v/>
      </c>
      <c r="WU251" s="59" t="str">
        <f t="shared" ca="1" si="247"/>
        <v/>
      </c>
      <c r="WV251" s="18" t="str">
        <f ca="1">IF(AND(SUM($UB251:$VY251)&gt;0,$TM251=WW$1),MAX(WV$2:WV250)+1,"")</f>
        <v/>
      </c>
      <c r="WW251" s="59" t="str">
        <f t="shared" ca="1" si="248"/>
        <v/>
      </c>
      <c r="WX251" s="18" t="str">
        <f ca="1">IF(AND(SUM($UB251:$VY251)&gt;0,$TM251=WY$1),MAX(WX$2:WX250)+1,"")</f>
        <v/>
      </c>
      <c r="WY251" s="59" t="str">
        <f t="shared" ca="1" si="249"/>
        <v/>
      </c>
      <c r="WZ251" s="59"/>
    </row>
    <row r="252" spans="530:624" ht="9.9499999999999993" customHeight="1" x14ac:dyDescent="0.2">
      <c r="TJ252" s="18">
        <f t="shared" si="253"/>
        <v>250</v>
      </c>
      <c r="TK252" s="58" t="s">
        <v>1241</v>
      </c>
      <c r="TL252" s="58" t="s">
        <v>460</v>
      </c>
      <c r="TM252" s="18">
        <v>3</v>
      </c>
      <c r="TN252" s="59" t="str">
        <f t="shared" si="237"/>
        <v xml:space="preserve">Phantom Steed </v>
      </c>
      <c r="TO252" s="18" t="str">
        <f>""</f>
        <v/>
      </c>
      <c r="TP252" s="18" t="str">
        <f t="shared" si="238"/>
        <v/>
      </c>
      <c r="TQ252" s="18" t="str">
        <f>IF(OR(TK252=Spellcasting!$AC$18,TK252=Spellcasting!$AC$19),"ᵐ","")</f>
        <v/>
      </c>
      <c r="TR252" s="18" t="str">
        <f>IF(OR(TK252=Spellcasting!$AC$20,TK252=Spellcasting!$AC$21),"ˢ","")</f>
        <v/>
      </c>
      <c r="TS252" s="18" t="s">
        <v>477</v>
      </c>
      <c r="TT252" s="18" t="s">
        <v>494</v>
      </c>
      <c r="TU252" s="18" t="s">
        <v>851</v>
      </c>
      <c r="TV252" s="18" t="s">
        <v>521</v>
      </c>
      <c r="TW252" s="18" t="s">
        <v>486</v>
      </c>
      <c r="TX252" s="59" t="str">
        <f>""</f>
        <v/>
      </c>
      <c r="TY252" s="18" t="s">
        <v>523</v>
      </c>
      <c r="TZ252" s="18" t="s">
        <v>524</v>
      </c>
      <c r="UA252" s="142" t="s">
        <v>1708</v>
      </c>
      <c r="UB252" s="319" t="s">
        <v>2686</v>
      </c>
      <c r="UL252" s="18" t="str">
        <f ca="1">IF(UL$1&gt;=$TM252,1,"0")</f>
        <v>0</v>
      </c>
      <c r="VQ252" s="18" t="str">
        <f>IF(VQ$1&gt;=$TM252,1,"0")</f>
        <v>0</v>
      </c>
      <c r="WD252" s="18" t="str">
        <f ca="1">IF(SUM($VZ$1:$WC$1)&gt;0,IF(AND(SUM($VZ252:$WC252)&gt;0,$TM252=WE$1),MAX(WD$2:WD251)+1,""),IF(AND(SUM($UC252:$VY252)&gt;0,$TM252=WE$1),MAX(WD$2:WD251)+1,""))</f>
        <v/>
      </c>
      <c r="WE252" s="59" t="str">
        <f t="shared" ca="1" si="239"/>
        <v/>
      </c>
      <c r="WF252" s="18" t="str">
        <f ca="1">IF(AND(SUM($UB252:$VY252)&gt;0,$TM252=WG$1),MAX(WF$2:WF251)+1,"")</f>
        <v/>
      </c>
      <c r="WG252" s="59" t="str">
        <f t="shared" ca="1" si="240"/>
        <v/>
      </c>
      <c r="WH252" s="18" t="str">
        <f ca="1">IF(AND(SUM($UB252:$VY252)&gt;0,$TM252=WI$1),MAX(WH$2:WH251)+1,"")</f>
        <v/>
      </c>
      <c r="WI252" s="59" t="str">
        <f t="shared" ca="1" si="241"/>
        <v/>
      </c>
      <c r="WJ252" s="18" t="str">
        <f ca="1">IF(AND(SUM($UB252:$VY252)&gt;0,$TM252=WK$1),MAX(WJ$2:WJ251)+1,"")</f>
        <v/>
      </c>
      <c r="WK252" s="59" t="str">
        <f t="shared" ca="1" si="242"/>
        <v/>
      </c>
      <c r="WL252" s="18" t="str">
        <f ca="1">IF(AND(SUM($UB252:$VY252)&gt;0,$TM252=WM$1),MAX(WL$2:WL251)+1,"")</f>
        <v/>
      </c>
      <c r="WM252" s="59" t="str">
        <f t="shared" ca="1" si="243"/>
        <v/>
      </c>
      <c r="WN252" s="18" t="str">
        <f ca="1">IF(AND(SUM($UB252:$VY252)&gt;0,$TM252=WO$1),MAX(WN$2:WN251)+1,"")</f>
        <v/>
      </c>
      <c r="WO252" s="59" t="str">
        <f t="shared" ca="1" si="244"/>
        <v/>
      </c>
      <c r="WP252" s="18" t="str">
        <f ca="1">IF(AND(SUM($UB252:$VY252)&gt;0,$TM252=WQ$1),MAX(WP$2:WP251)+1,"")</f>
        <v/>
      </c>
      <c r="WQ252" s="59" t="str">
        <f t="shared" ca="1" si="245"/>
        <v/>
      </c>
      <c r="WR252" s="18" t="str">
        <f ca="1">IF(AND(SUM($UB252:$VY252)&gt;0,$TM252=WS$1),MAX(WR$2:WR251)+1,"")</f>
        <v/>
      </c>
      <c r="WS252" s="59" t="str">
        <f t="shared" ca="1" si="246"/>
        <v/>
      </c>
      <c r="WT252" s="18" t="str">
        <f ca="1">IF(AND(SUM($UB252:$VY252)&gt;0,$TM252=WU$1),MAX(WT$2:WT251)+1,"")</f>
        <v/>
      </c>
      <c r="WU252" s="59" t="str">
        <f t="shared" ca="1" si="247"/>
        <v/>
      </c>
      <c r="WV252" s="18" t="str">
        <f ca="1">IF(AND(SUM($UB252:$VY252)&gt;0,$TM252=WW$1),MAX(WV$2:WV251)+1,"")</f>
        <v/>
      </c>
      <c r="WW252" s="59" t="str">
        <f t="shared" ca="1" si="248"/>
        <v/>
      </c>
      <c r="WX252" s="18" t="str">
        <f ca="1">IF(AND(SUM($UB252:$VY252)&gt;0,$TM252=WY$1),MAX(WX$2:WX251)+1,"")</f>
        <v/>
      </c>
      <c r="WY252" s="59" t="str">
        <f t="shared" ca="1" si="249"/>
        <v/>
      </c>
      <c r="WZ252" s="59"/>
    </row>
    <row r="253" spans="530:624" ht="9.9499999999999993" customHeight="1" x14ac:dyDescent="0.2">
      <c r="TJ253" s="18">
        <f t="shared" si="253"/>
        <v>251</v>
      </c>
      <c r="TK253" s="58" t="s">
        <v>657</v>
      </c>
      <c r="TL253" s="58" t="s">
        <v>463</v>
      </c>
      <c r="TM253" s="18">
        <v>6</v>
      </c>
      <c r="TN253" s="59" t="str">
        <f t="shared" si="237"/>
        <v xml:space="preserve">Planar Ally </v>
      </c>
      <c r="TO253" s="18" t="str">
        <f>""</f>
        <v/>
      </c>
      <c r="TP253" s="18" t="str">
        <f t="shared" si="238"/>
        <v/>
      </c>
      <c r="TQ253" s="18" t="str">
        <f>IF(OR(TK253=Spellcasting!$AC$18,TK253=Spellcasting!$AC$19),"ᵐ","")</f>
        <v/>
      </c>
      <c r="TR253" s="18" t="str">
        <f>IF(OR(TK253=Spellcasting!$AC$20,TK253=Spellcasting!$AC$21),"ˢ","")</f>
        <v/>
      </c>
      <c r="TS253" s="18" t="str">
        <f>""</f>
        <v/>
      </c>
      <c r="TT253" s="18" t="s">
        <v>582</v>
      </c>
      <c r="TU253" s="18" t="s">
        <v>850</v>
      </c>
      <c r="TV253" s="18" t="s">
        <v>505</v>
      </c>
      <c r="TW253" s="18" t="s">
        <v>486</v>
      </c>
      <c r="TX253" s="59" t="str">
        <f>""</f>
        <v/>
      </c>
      <c r="TY253" s="18" t="s">
        <v>516</v>
      </c>
      <c r="TZ253" s="18" t="s">
        <v>517</v>
      </c>
      <c r="UA253" s="142" t="s">
        <v>2259</v>
      </c>
      <c r="UB253" s="319" t="s">
        <v>2209</v>
      </c>
      <c r="UH253" s="18" t="str">
        <f ca="1">IF(UH$1&gt;=$TM253,1,"0")</f>
        <v>0</v>
      </c>
      <c r="WD253" s="18" t="str">
        <f ca="1">IF(SUM($VZ$1:$WC$1)&gt;0,IF(AND(SUM($VZ253:$WC253)&gt;0,$TM253=WE$1),MAX(WD$2:WD252)+1,""),IF(AND(SUM($UC253:$VY253)&gt;0,$TM253=WE$1),MAX(WD$2:WD252)+1,""))</f>
        <v/>
      </c>
      <c r="WE253" s="59" t="str">
        <f t="shared" ca="1" si="239"/>
        <v/>
      </c>
      <c r="WF253" s="18" t="str">
        <f ca="1">IF(AND(SUM($UB253:$VY253)&gt;0,$TM253=WG$1),MAX(WF$2:WF252)+1,"")</f>
        <v/>
      </c>
      <c r="WG253" s="59" t="str">
        <f t="shared" ca="1" si="240"/>
        <v/>
      </c>
      <c r="WH253" s="18" t="str">
        <f ca="1">IF(AND(SUM($UB253:$VY253)&gt;0,$TM253=WI$1),MAX(WH$2:WH252)+1,"")</f>
        <v/>
      </c>
      <c r="WI253" s="59" t="str">
        <f t="shared" ca="1" si="241"/>
        <v/>
      </c>
      <c r="WJ253" s="18" t="str">
        <f ca="1">IF(AND(SUM($UB253:$VY253)&gt;0,$TM253=WK$1),MAX(WJ$2:WJ252)+1,"")</f>
        <v/>
      </c>
      <c r="WK253" s="59" t="str">
        <f t="shared" ca="1" si="242"/>
        <v/>
      </c>
      <c r="WL253" s="18" t="str">
        <f ca="1">IF(AND(SUM($UB253:$VY253)&gt;0,$TM253=WM$1),MAX(WL$2:WL252)+1,"")</f>
        <v/>
      </c>
      <c r="WM253" s="59" t="str">
        <f t="shared" ca="1" si="243"/>
        <v/>
      </c>
      <c r="WN253" s="18" t="str">
        <f ca="1">IF(AND(SUM($UB253:$VY253)&gt;0,$TM253=WO$1),MAX(WN$2:WN252)+1,"")</f>
        <v/>
      </c>
      <c r="WO253" s="59" t="str">
        <f t="shared" ca="1" si="244"/>
        <v/>
      </c>
      <c r="WP253" s="18" t="str">
        <f ca="1">IF(AND(SUM($UB253:$VY253)&gt;0,$TM253=WQ$1),MAX(WP$2:WP252)+1,"")</f>
        <v/>
      </c>
      <c r="WQ253" s="59" t="str">
        <f t="shared" ca="1" si="245"/>
        <v/>
      </c>
      <c r="WR253" s="18" t="str">
        <f ca="1">IF(AND(SUM($UB253:$VY253)&gt;0,$TM253=WS$1),MAX(WR$2:WR252)+1,"")</f>
        <v/>
      </c>
      <c r="WS253" s="59" t="str">
        <f t="shared" ca="1" si="246"/>
        <v/>
      </c>
      <c r="WT253" s="18" t="str">
        <f ca="1">IF(AND(SUM($UB253:$VY253)&gt;0,$TM253=WU$1),MAX(WT$2:WT252)+1,"")</f>
        <v/>
      </c>
      <c r="WU253" s="59" t="str">
        <f t="shared" ca="1" si="247"/>
        <v/>
      </c>
      <c r="WV253" s="18" t="str">
        <f ca="1">IF(AND(SUM($UB253:$VY253)&gt;0,$TM253=WW$1),MAX(WV$2:WV252)+1,"")</f>
        <v/>
      </c>
      <c r="WW253" s="59" t="str">
        <f t="shared" ca="1" si="248"/>
        <v/>
      </c>
      <c r="WX253" s="18" t="str">
        <f ca="1">IF(AND(SUM($UB253:$VY253)&gt;0,$TM253=WY$1),MAX(WX$2:WX252)+1,"")</f>
        <v/>
      </c>
      <c r="WY253" s="59" t="str">
        <f t="shared" ca="1" si="249"/>
        <v/>
      </c>
      <c r="WZ253" s="59"/>
    </row>
    <row r="254" spans="530:624" ht="9.9499999999999993" customHeight="1" x14ac:dyDescent="0.2">
      <c r="TJ254" s="18">
        <f t="shared" si="253"/>
        <v>252</v>
      </c>
      <c r="TK254" s="58" t="s">
        <v>1941</v>
      </c>
      <c r="TL254" s="58" t="s">
        <v>462</v>
      </c>
      <c r="TM254" s="18">
        <v>5</v>
      </c>
      <c r="TN254" s="59" t="str">
        <f t="shared" si="237"/>
        <v xml:space="preserve">Planar Binding ᴴ </v>
      </c>
      <c r="TO254" s="350" t="s">
        <v>2991</v>
      </c>
      <c r="TP254" s="18" t="str">
        <f t="shared" si="238"/>
        <v/>
      </c>
      <c r="TQ254" s="18" t="str">
        <f>IF(OR(TK254=Spellcasting!$AC$18,TK254=Spellcasting!$AC$19),"ᵐ","")</f>
        <v/>
      </c>
      <c r="TR254" s="18" t="str">
        <f>IF(OR(TK254=Spellcasting!$AC$20,TK254=Spellcasting!$AC$21),"ˢ","")</f>
        <v/>
      </c>
      <c r="TS254" s="18" t="str">
        <f>""</f>
        <v/>
      </c>
      <c r="TT254" s="18" t="s">
        <v>521</v>
      </c>
      <c r="TU254" s="18" t="s">
        <v>850</v>
      </c>
      <c r="TV254" s="18" t="s">
        <v>497</v>
      </c>
      <c r="TW254" s="18" t="s">
        <v>495</v>
      </c>
      <c r="TX254" s="59" t="s">
        <v>2013</v>
      </c>
      <c r="TY254" s="18" t="s">
        <v>487</v>
      </c>
      <c r="TZ254" s="18" t="s">
        <v>488</v>
      </c>
      <c r="UA254" s="142" t="s">
        <v>2210</v>
      </c>
      <c r="UB254" s="319" t="s">
        <v>2211</v>
      </c>
      <c r="UC254" s="18" t="str">
        <f ca="1">IF(UC$1&gt;=$TM254,1,"0")</f>
        <v>0</v>
      </c>
      <c r="UH254" s="18" t="str">
        <f ca="1">IF(UH$1&gt;=$TM254,1,"0")</f>
        <v>0</v>
      </c>
      <c r="UI254" s="18" t="str">
        <f ca="1">IF(UI$1&gt;=$TM254,1,"0")</f>
        <v>0</v>
      </c>
      <c r="UL254" s="18" t="str">
        <f ca="1">IF(UL$1&gt;=$TM254,1,"0")</f>
        <v>0</v>
      </c>
      <c r="WD254" s="18" t="str">
        <f ca="1">IF(SUM($VZ$1:$WC$1)&gt;0,IF(AND(SUM($VZ254:$WC254)&gt;0,$TM254=WE$1),MAX(WD$2:WD253)+1,""),IF(AND(SUM($UC254:$VY254)&gt;0,$TM254=WE$1),MAX(WD$2:WD253)+1,""))</f>
        <v/>
      </c>
      <c r="WE254" s="59" t="str">
        <f t="shared" ca="1" si="239"/>
        <v/>
      </c>
      <c r="WF254" s="18" t="str">
        <f ca="1">IF(AND(SUM($UB254:$VY254)&gt;0,$TM254=WG$1),MAX(WF$2:WF253)+1,"")</f>
        <v/>
      </c>
      <c r="WG254" s="59" t="str">
        <f t="shared" ca="1" si="240"/>
        <v/>
      </c>
      <c r="WH254" s="18" t="str">
        <f ca="1">IF(AND(SUM($UB254:$VY254)&gt;0,$TM254=WI$1),MAX(WH$2:WH253)+1,"")</f>
        <v/>
      </c>
      <c r="WI254" s="59" t="str">
        <f t="shared" ca="1" si="241"/>
        <v/>
      </c>
      <c r="WJ254" s="18" t="str">
        <f ca="1">IF(AND(SUM($UB254:$VY254)&gt;0,$TM254=WK$1),MAX(WJ$2:WJ253)+1,"")</f>
        <v/>
      </c>
      <c r="WK254" s="59" t="str">
        <f t="shared" ca="1" si="242"/>
        <v/>
      </c>
      <c r="WL254" s="18" t="str">
        <f ca="1">IF(AND(SUM($UB254:$VY254)&gt;0,$TM254=WM$1),MAX(WL$2:WL253)+1,"")</f>
        <v/>
      </c>
      <c r="WM254" s="59" t="str">
        <f t="shared" ca="1" si="243"/>
        <v/>
      </c>
      <c r="WN254" s="18" t="str">
        <f ca="1">IF(AND(SUM($UB254:$VY254)&gt;0,$TM254=WO$1),MAX(WN$2:WN253)+1,"")</f>
        <v/>
      </c>
      <c r="WO254" s="59" t="str">
        <f t="shared" ca="1" si="244"/>
        <v/>
      </c>
      <c r="WP254" s="18" t="str">
        <f ca="1">IF(AND(SUM($UB254:$VY254)&gt;0,$TM254=WQ$1),MAX(WP$2:WP253)+1,"")</f>
        <v/>
      </c>
      <c r="WQ254" s="59" t="str">
        <f t="shared" ca="1" si="245"/>
        <v/>
      </c>
      <c r="WR254" s="18" t="str">
        <f ca="1">IF(AND(SUM($UB254:$VY254)&gt;0,$TM254=WS$1),MAX(WR$2:WR253)+1,"")</f>
        <v/>
      </c>
      <c r="WS254" s="59" t="str">
        <f t="shared" ca="1" si="246"/>
        <v/>
      </c>
      <c r="WT254" s="18" t="str">
        <f ca="1">IF(AND(SUM($UB254:$VY254)&gt;0,$TM254=WU$1),MAX(WT$2:WT253)+1,"")</f>
        <v/>
      </c>
      <c r="WU254" s="59" t="str">
        <f t="shared" ca="1" si="247"/>
        <v/>
      </c>
      <c r="WV254" s="18" t="str">
        <f ca="1">IF(AND(SUM($UB254:$VY254)&gt;0,$TM254=WW$1),MAX(WV$2:WV253)+1,"")</f>
        <v/>
      </c>
      <c r="WW254" s="59" t="str">
        <f t="shared" ca="1" si="248"/>
        <v/>
      </c>
      <c r="WX254" s="18" t="str">
        <f ca="1">IF(AND(SUM($UB254:$VY254)&gt;0,$TM254=WY$1),MAX(WX$2:WX253)+1,"")</f>
        <v/>
      </c>
      <c r="WY254" s="59" t="str">
        <f t="shared" ca="1" si="249"/>
        <v/>
      </c>
      <c r="WZ254" s="59"/>
    </row>
    <row r="255" spans="530:624" ht="9.9499999999999993" customHeight="1" x14ac:dyDescent="0.2">
      <c r="TJ255" s="18">
        <f t="shared" si="253"/>
        <v>253</v>
      </c>
      <c r="TK255" s="58" t="s">
        <v>658</v>
      </c>
      <c r="TL255" s="58" t="s">
        <v>464</v>
      </c>
      <c r="TM255" s="18">
        <v>7</v>
      </c>
      <c r="TN255" s="59" t="str">
        <f t="shared" si="237"/>
        <v xml:space="preserve">Plane Shift </v>
      </c>
      <c r="TO255" s="18" t="str">
        <f>""</f>
        <v/>
      </c>
      <c r="TP255" s="18" t="str">
        <f t="shared" si="238"/>
        <v/>
      </c>
      <c r="TQ255" s="18" t="str">
        <f>IF(OR(TK255=Spellcasting!$AC$18,TK255=Spellcasting!$AC$19),"ᵐ","")</f>
        <v/>
      </c>
      <c r="TR255" s="18" t="str">
        <f>IF(OR(TK255=Spellcasting!$AC$20,TK255=Spellcasting!$AC$21),"ˢ","")</f>
        <v/>
      </c>
      <c r="TS255" s="18" t="str">
        <f>""</f>
        <v/>
      </c>
      <c r="TT255" s="18" t="s">
        <v>484</v>
      </c>
      <c r="TU255" s="18" t="s">
        <v>519</v>
      </c>
      <c r="TV255" s="18" t="s">
        <v>505</v>
      </c>
      <c r="TW255" s="18" t="s">
        <v>495</v>
      </c>
      <c r="TX255" s="59" t="s">
        <v>2014</v>
      </c>
      <c r="TY255" s="18" t="s">
        <v>516</v>
      </c>
      <c r="TZ255" s="18" t="s">
        <v>517</v>
      </c>
      <c r="UA255" s="142" t="s">
        <v>2212</v>
      </c>
      <c r="UB255" s="319" t="s">
        <v>2213</v>
      </c>
      <c r="UF255" s="18" t="str">
        <f ca="1">IF(UF$1&gt;=$TM255,1,"0")</f>
        <v>0</v>
      </c>
      <c r="UG255" s="18" t="str">
        <f ca="1">IF(UG$1&gt;=$TM255,1,"0")</f>
        <v>0</v>
      </c>
      <c r="UH255" s="18" t="str">
        <f ca="1">IF(UH$1&gt;=$TM255,1,"0")</f>
        <v>0</v>
      </c>
      <c r="UI255" s="18" t="str">
        <f ca="1">IF(UI$1&gt;=$TM255,1,"0")</f>
        <v>0</v>
      </c>
      <c r="UL255" s="18" t="str">
        <f ca="1">IF(UL$1&gt;=$TM255,1,"0")</f>
        <v>0</v>
      </c>
      <c r="WD255" s="18" t="str">
        <f ca="1">IF(SUM($VZ$1:$WC$1)&gt;0,IF(AND(SUM($VZ255:$WC255)&gt;0,$TM255=WE$1),MAX(WD$2:WD254)+1,""),IF(AND(SUM($UC255:$VY255)&gt;0,$TM255=WE$1),MAX(WD$2:WD254)+1,""))</f>
        <v/>
      </c>
      <c r="WE255" s="59" t="str">
        <f t="shared" ca="1" si="239"/>
        <v/>
      </c>
      <c r="WF255" s="18" t="str">
        <f ca="1">IF(AND(SUM($UB255:$VY255)&gt;0,$TM255=WG$1),MAX(WF$2:WF254)+1,"")</f>
        <v/>
      </c>
      <c r="WG255" s="59" t="str">
        <f t="shared" ca="1" si="240"/>
        <v/>
      </c>
      <c r="WH255" s="18" t="str">
        <f ca="1">IF(AND(SUM($UB255:$VY255)&gt;0,$TM255=WI$1),MAX(WH$2:WH254)+1,"")</f>
        <v/>
      </c>
      <c r="WI255" s="59" t="str">
        <f t="shared" ca="1" si="241"/>
        <v/>
      </c>
      <c r="WJ255" s="18" t="str">
        <f ca="1">IF(AND(SUM($UB255:$VY255)&gt;0,$TM255=WK$1),MAX(WJ$2:WJ254)+1,"")</f>
        <v/>
      </c>
      <c r="WK255" s="59" t="str">
        <f t="shared" ca="1" si="242"/>
        <v/>
      </c>
      <c r="WL255" s="18" t="str">
        <f ca="1">IF(AND(SUM($UB255:$VY255)&gt;0,$TM255=WM$1),MAX(WL$2:WL254)+1,"")</f>
        <v/>
      </c>
      <c r="WM255" s="59" t="str">
        <f t="shared" ca="1" si="243"/>
        <v/>
      </c>
      <c r="WN255" s="18" t="str">
        <f ca="1">IF(AND(SUM($UB255:$VY255)&gt;0,$TM255=WO$1),MAX(WN$2:WN254)+1,"")</f>
        <v/>
      </c>
      <c r="WO255" s="59" t="str">
        <f t="shared" ca="1" si="244"/>
        <v/>
      </c>
      <c r="WP255" s="18" t="str">
        <f ca="1">IF(AND(SUM($UB255:$VY255)&gt;0,$TM255=WQ$1),MAX(WP$2:WP254)+1,"")</f>
        <v/>
      </c>
      <c r="WQ255" s="59" t="str">
        <f t="shared" ca="1" si="245"/>
        <v/>
      </c>
      <c r="WR255" s="18" t="str">
        <f ca="1">IF(AND(SUM($UB255:$VY255)&gt;0,$TM255=WS$1),MAX(WR$2:WR254)+1,"")</f>
        <v/>
      </c>
      <c r="WS255" s="59" t="str">
        <f t="shared" ca="1" si="246"/>
        <v/>
      </c>
      <c r="WT255" s="18" t="str">
        <f ca="1">IF(AND(SUM($UB255:$VY255)&gt;0,$TM255=WU$1),MAX(WT$2:WT254)+1,"")</f>
        <v/>
      </c>
      <c r="WU255" s="59" t="str">
        <f t="shared" ca="1" si="247"/>
        <v/>
      </c>
      <c r="WV255" s="18" t="str">
        <f ca="1">IF(AND(SUM($UB255:$VY255)&gt;0,$TM255=WW$1),MAX(WV$2:WV254)+1,"")</f>
        <v/>
      </c>
      <c r="WW255" s="59" t="str">
        <f t="shared" ca="1" si="248"/>
        <v/>
      </c>
      <c r="WX255" s="18" t="str">
        <f ca="1">IF(AND(SUM($UB255:$VY255)&gt;0,$TM255=WY$1),MAX(WX$2:WX254)+1,"")</f>
        <v/>
      </c>
      <c r="WY255" s="59" t="str">
        <f t="shared" ca="1" si="249"/>
        <v/>
      </c>
      <c r="WZ255" s="59"/>
    </row>
    <row r="256" spans="530:624" ht="9.9499999999999993" customHeight="1" x14ac:dyDescent="0.2">
      <c r="TJ256" s="18">
        <f t="shared" si="253"/>
        <v>254</v>
      </c>
      <c r="TK256" s="58" t="s">
        <v>659</v>
      </c>
      <c r="TL256" s="58" t="s">
        <v>460</v>
      </c>
      <c r="TM256" s="18">
        <v>3</v>
      </c>
      <c r="TN256" s="59" t="str">
        <f t="shared" si="237"/>
        <v xml:space="preserve">Plant Growth </v>
      </c>
      <c r="TO256" s="18" t="str">
        <f>""</f>
        <v/>
      </c>
      <c r="TP256" s="18" t="str">
        <f t="shared" si="238"/>
        <v/>
      </c>
      <c r="TQ256" s="18" t="str">
        <f>IF(OR(TK256=Spellcasting!$AC$18,TK256=Spellcasting!$AC$19),"ᵐ","")</f>
        <v/>
      </c>
      <c r="TR256" s="18" t="str">
        <f>IF(OR(TK256=Spellcasting!$AC$20,TK256=Spellcasting!$AC$21),"ˢ","")</f>
        <v/>
      </c>
      <c r="TS256" s="18" t="s">
        <v>477</v>
      </c>
      <c r="TT256" s="18" t="s">
        <v>1709</v>
      </c>
      <c r="TU256" s="18" t="s">
        <v>660</v>
      </c>
      <c r="TV256" s="18" t="s">
        <v>505</v>
      </c>
      <c r="TW256" s="18" t="s">
        <v>486</v>
      </c>
      <c r="TX256" s="59" t="str">
        <f>""</f>
        <v/>
      </c>
      <c r="TY256" s="18" t="s">
        <v>491</v>
      </c>
      <c r="TZ256" s="18" t="s">
        <v>492</v>
      </c>
      <c r="UA256" s="142" t="s">
        <v>2247</v>
      </c>
      <c r="UB256" s="319" t="s">
        <v>2095</v>
      </c>
      <c r="UC256" s="18" t="str">
        <f ca="1">IF(UC$1&gt;=$TM256,1,"0")</f>
        <v>0</v>
      </c>
      <c r="UE256" s="18" t="str">
        <f ca="1">IF(UE$1&gt;=$TM256,1,"0")</f>
        <v>0</v>
      </c>
      <c r="UI256" s="18" t="str">
        <f ca="1">IF(UI$1&gt;=$TM256,1,"0")</f>
        <v>0</v>
      </c>
      <c r="UP256" s="18" t="str">
        <f>IF(UP$1&gt;=$TM256,1,"0")</f>
        <v>0</v>
      </c>
      <c r="UV256" s="18" t="str">
        <f>IF(UV$1&gt;=$TM256,1,"0")</f>
        <v>0</v>
      </c>
      <c r="VB256" s="18" t="str">
        <f>IF(VB$1&gt;=$TM256,1,"0")</f>
        <v>0</v>
      </c>
      <c r="VJ256" s="18" t="str">
        <f>IF(VJ$1&gt;=$TM256,1,"0")</f>
        <v>0</v>
      </c>
      <c r="WD256" s="18" t="str">
        <f ca="1">IF(SUM($VZ$1:$WC$1)&gt;0,IF(AND(SUM($VZ256:$WC256)&gt;0,$TM256=WE$1),MAX(WD$2:WD255)+1,""),IF(AND(SUM($UC256:$VY256)&gt;0,$TM256=WE$1),MAX(WD$2:WD255)+1,""))</f>
        <v/>
      </c>
      <c r="WE256" s="59" t="str">
        <f t="shared" ca="1" si="239"/>
        <v/>
      </c>
      <c r="WF256" s="18" t="str">
        <f ca="1">IF(AND(SUM($UB256:$VY256)&gt;0,$TM256=WG$1),MAX(WF$2:WF255)+1,"")</f>
        <v/>
      </c>
      <c r="WG256" s="59" t="str">
        <f t="shared" ca="1" si="240"/>
        <v/>
      </c>
      <c r="WH256" s="18" t="str">
        <f ca="1">IF(AND(SUM($UB256:$VY256)&gt;0,$TM256=WI$1),MAX(WH$2:WH255)+1,"")</f>
        <v/>
      </c>
      <c r="WI256" s="59" t="str">
        <f t="shared" ca="1" si="241"/>
        <v/>
      </c>
      <c r="WJ256" s="18" t="str">
        <f ca="1">IF(AND(SUM($UB256:$VY256)&gt;0,$TM256=WK$1),MAX(WJ$2:WJ255)+1,"")</f>
        <v/>
      </c>
      <c r="WK256" s="59" t="str">
        <f t="shared" ca="1" si="242"/>
        <v/>
      </c>
      <c r="WL256" s="18" t="str">
        <f ca="1">IF(AND(SUM($UB256:$VY256)&gt;0,$TM256=WM$1),MAX(WL$2:WL255)+1,"")</f>
        <v/>
      </c>
      <c r="WM256" s="59" t="str">
        <f t="shared" ca="1" si="243"/>
        <v/>
      </c>
      <c r="WN256" s="18" t="str">
        <f ca="1">IF(AND(SUM($UB256:$VY256)&gt;0,$TM256=WO$1),MAX(WN$2:WN255)+1,"")</f>
        <v/>
      </c>
      <c r="WO256" s="59" t="str">
        <f t="shared" ca="1" si="244"/>
        <v/>
      </c>
      <c r="WP256" s="18" t="str">
        <f ca="1">IF(AND(SUM($UB256:$VY256)&gt;0,$TM256=WQ$1),MAX(WP$2:WP255)+1,"")</f>
        <v/>
      </c>
      <c r="WQ256" s="59" t="str">
        <f t="shared" ca="1" si="245"/>
        <v/>
      </c>
      <c r="WR256" s="18" t="str">
        <f ca="1">IF(AND(SUM($UB256:$VY256)&gt;0,$TM256=WS$1),MAX(WR$2:WR255)+1,"")</f>
        <v/>
      </c>
      <c r="WS256" s="59" t="str">
        <f t="shared" ca="1" si="246"/>
        <v/>
      </c>
      <c r="WT256" s="18" t="str">
        <f ca="1">IF(AND(SUM($UB256:$VY256)&gt;0,$TM256=WU$1),MAX(WT$2:WT255)+1,"")</f>
        <v/>
      </c>
      <c r="WU256" s="59" t="str">
        <f t="shared" ca="1" si="247"/>
        <v/>
      </c>
      <c r="WV256" s="18" t="str">
        <f ca="1">IF(AND(SUM($UB256:$VY256)&gt;0,$TM256=WW$1),MAX(WV$2:WV255)+1,"")</f>
        <v/>
      </c>
      <c r="WW256" s="59" t="str">
        <f t="shared" ca="1" si="248"/>
        <v/>
      </c>
      <c r="WX256" s="18" t="str">
        <f ca="1">IF(AND(SUM($UB256:$VY256)&gt;0,$TM256=WY$1),MAX(WX$2:WX255)+1,"")</f>
        <v/>
      </c>
      <c r="WY256" s="59" t="str">
        <f t="shared" ca="1" si="249"/>
        <v/>
      </c>
      <c r="WZ256" s="59"/>
    </row>
    <row r="257" spans="530:623" ht="9.9499999999999993" customHeight="1" x14ac:dyDescent="0.2">
      <c r="TJ257" s="18">
        <f t="shared" si="253"/>
        <v>255</v>
      </c>
      <c r="TK257" s="58" t="s">
        <v>1934</v>
      </c>
      <c r="TL257" s="58" t="s">
        <v>1840</v>
      </c>
      <c r="TM257" s="18">
        <v>0.5</v>
      </c>
      <c r="TN257" s="59" t="str">
        <f t="shared" si="237"/>
        <v xml:space="preserve">Poison Spray </v>
      </c>
      <c r="TO257" s="18" t="str">
        <f>""</f>
        <v/>
      </c>
      <c r="TP257" s="18" t="str">
        <f t="shared" si="238"/>
        <v/>
      </c>
      <c r="TQ257" s="18" t="str">
        <f>IF(OR(TK257=Spellcasting!$AC$18,TK257=Spellcasting!$AC$19),"ᵐ","")</f>
        <v/>
      </c>
      <c r="TR257" s="18" t="str">
        <f>IF(OR(TK257=Spellcasting!$AC$20,TK257=Spellcasting!$AC$21),"ˢ","")</f>
        <v/>
      </c>
      <c r="TS257" s="18" t="str">
        <f>""</f>
        <v/>
      </c>
      <c r="TT257" s="18" t="s">
        <v>484</v>
      </c>
      <c r="TU257" s="18" t="s">
        <v>504</v>
      </c>
      <c r="TV257" s="18" t="s">
        <v>505</v>
      </c>
      <c r="TW257" s="18" t="s">
        <v>486</v>
      </c>
      <c r="TX257" s="59" t="str">
        <f>""</f>
        <v/>
      </c>
      <c r="TY257" s="18" t="s">
        <v>516</v>
      </c>
      <c r="TZ257" s="18" t="s">
        <v>517</v>
      </c>
      <c r="UA257" s="92" t="s">
        <v>1985</v>
      </c>
      <c r="UB257" s="539" t="str">
        <f ca="1">IF(CharacterLevel&gt;16,"4d12",IF(CharacterLevel&gt;10,"3d12",IF(CharacterLevel&gt;4,"2d12","1d12")))&amp;IF(AD248=TRUE,"+"&amp;CHAMod,"")&amp;" poison, con save"&amp;IF(WizardEvocationLevel&gt;=6," ½",", no damage")</f>
        <v>1d12 poison, con save, no damage</v>
      </c>
      <c r="UF257" s="18" t="str">
        <f ca="1">IF(UF$1&gt;=$TM257,1,"0")</f>
        <v>0</v>
      </c>
      <c r="UG257" s="18" t="str">
        <f ca="1">IF(UG$1&gt;=$TM257,1,"0")</f>
        <v>0</v>
      </c>
      <c r="UI257" s="18" t="str">
        <f ca="1">IF(UI$1&gt;=$TM257,1,"0")</f>
        <v>0</v>
      </c>
      <c r="UL257" s="18" t="str">
        <f ca="1">IF(UL$1&gt;=$TM257,1,"0")</f>
        <v>0</v>
      </c>
      <c r="VB257" s="18" t="str">
        <f>IF(VB$1&gt;=$TM257,1,"0")</f>
        <v>0</v>
      </c>
      <c r="VP257" s="18" t="str">
        <f>IF(VP$1&gt;=$TM257,1,"0")</f>
        <v>0</v>
      </c>
      <c r="VQ257" s="18" t="str">
        <f>IF(VQ$1&gt;=$TM257,1,"0")</f>
        <v>0</v>
      </c>
      <c r="VZ257" s="345"/>
      <c r="WA257" s="345"/>
      <c r="WB257" s="18" t="str">
        <f>IF(WB$1&gt;=$TM257,1,"0")</f>
        <v>0</v>
      </c>
      <c r="WC257" s="18"/>
      <c r="WD257" s="18" t="str">
        <f ca="1">IF(SUM($VZ$1:$WC$1)&gt;0,IF(AND(SUM($VZ257:$WC257)&gt;0,$TM257=WE$1),MAX(WD$2:WD256)+1,""),IF(AND(SUM($UC257:$VY257)&gt;0,$TM257=WE$1),MAX(WD$2:WD256)+1,""))</f>
        <v/>
      </c>
      <c r="WE257" s="59" t="str">
        <f t="shared" ca="1" si="239"/>
        <v/>
      </c>
      <c r="WF257" s="18" t="str">
        <f ca="1">IF(AND(SUM($UB257:$VY257)&gt;0,$TM257=WG$1),MAX(WF$2:WF256)+1,"")</f>
        <v/>
      </c>
      <c r="WG257" s="59" t="str">
        <f t="shared" ca="1" si="240"/>
        <v/>
      </c>
      <c r="WH257" s="18" t="str">
        <f ca="1">IF(AND(SUM($UB257:$VY257)&gt;0,$TM257=WI$1),MAX(WH$2:WH256)+1,"")</f>
        <v/>
      </c>
      <c r="WI257" s="59" t="str">
        <f t="shared" ca="1" si="241"/>
        <v/>
      </c>
      <c r="WJ257" s="18" t="str">
        <f ca="1">IF(AND(SUM($UB257:$VY257)&gt;0,$TM257=WK$1),MAX(WJ$2:WJ256)+1,"")</f>
        <v/>
      </c>
      <c r="WK257" s="59" t="str">
        <f t="shared" ca="1" si="242"/>
        <v/>
      </c>
      <c r="WL257" s="18" t="str">
        <f ca="1">IF(AND(SUM($UB257:$VY257)&gt;0,$TM257=WM$1),MAX(WL$2:WL256)+1,"")</f>
        <v/>
      </c>
      <c r="WM257" s="59" t="str">
        <f t="shared" ca="1" si="243"/>
        <v/>
      </c>
      <c r="WN257" s="18" t="str">
        <f ca="1">IF(AND(SUM($UB257:$VY257)&gt;0,$TM257=WO$1),MAX(WN$2:WN256)+1,"")</f>
        <v/>
      </c>
      <c r="WO257" s="59" t="str">
        <f t="shared" ca="1" si="244"/>
        <v/>
      </c>
      <c r="WP257" s="18" t="str">
        <f ca="1">IF(AND(SUM($UB257:$VY257)&gt;0,$TM257=WQ$1),MAX(WP$2:WP256)+1,"")</f>
        <v/>
      </c>
      <c r="WQ257" s="59" t="str">
        <f t="shared" ca="1" si="245"/>
        <v/>
      </c>
      <c r="WR257" s="18" t="str">
        <f ca="1">IF(AND(SUM($UB257:$VY257)&gt;0,$TM257=WS$1),MAX(WR$2:WR256)+1,"")</f>
        <v/>
      </c>
      <c r="WS257" s="59" t="str">
        <f t="shared" ca="1" si="246"/>
        <v/>
      </c>
      <c r="WT257" s="18" t="str">
        <f ca="1">IF(AND(SUM($UB257:$VY257)&gt;0,$TM257=WU$1),MAX(WT$2:WT256)+1,"")</f>
        <v/>
      </c>
      <c r="WU257" s="59" t="str">
        <f t="shared" ca="1" si="247"/>
        <v/>
      </c>
      <c r="WV257" s="18" t="str">
        <f ca="1">IF(AND(SUM($UB257:$VY257)&gt;0,$TM257=WW$1),MAX(WV$2:WV256)+1,"")</f>
        <v/>
      </c>
      <c r="WW257" s="59" t="str">
        <f t="shared" ca="1" si="248"/>
        <v/>
      </c>
      <c r="WX257" s="18" t="str">
        <f ca="1">IF(AND(SUM($UB257:$VY257)&gt;0,$TM257=WY$1),MAX(WX$2:WX256)+1,"")</f>
        <v/>
      </c>
      <c r="WY257" s="59" t="str">
        <f t="shared" ca="1" si="249"/>
        <v/>
      </c>
    </row>
    <row r="258" spans="530:623" ht="9.9499999999999993" customHeight="1" x14ac:dyDescent="0.2">
      <c r="TJ258" s="18">
        <f t="shared" si="253"/>
        <v>256</v>
      </c>
      <c r="TK258" s="58" t="s">
        <v>661</v>
      </c>
      <c r="TL258" s="58" t="s">
        <v>461</v>
      </c>
      <c r="TM258" s="18">
        <v>4</v>
      </c>
      <c r="TN258" s="59" t="str">
        <f t="shared" si="237"/>
        <v xml:space="preserve">Polymorph </v>
      </c>
      <c r="TO258" s="18" t="str">
        <f>""</f>
        <v/>
      </c>
      <c r="TP258" s="18" t="str">
        <f t="shared" si="238"/>
        <v/>
      </c>
      <c r="TQ258" s="18" t="str">
        <f>IF(OR(TK258=Spellcasting!$AC$18,TK258=Spellcasting!$AC$19),"ᵐ","")</f>
        <v/>
      </c>
      <c r="TR258" s="18" t="str">
        <f>IF(OR(TK258=Spellcasting!$AC$20,TK258=Spellcasting!$AC$21),"ˢ","")</f>
        <v/>
      </c>
      <c r="TS258" s="18" t="str">
        <f>""</f>
        <v/>
      </c>
      <c r="TT258" s="18" t="s">
        <v>484</v>
      </c>
      <c r="TU258" s="18" t="s">
        <v>850</v>
      </c>
      <c r="TV258" s="18" t="s">
        <v>490</v>
      </c>
      <c r="TW258" s="18" t="s">
        <v>495</v>
      </c>
      <c r="TX258" s="59" t="s">
        <v>2015</v>
      </c>
      <c r="TY258" s="18" t="s">
        <v>491</v>
      </c>
      <c r="TZ258" s="18" t="s">
        <v>492</v>
      </c>
      <c r="UA258" s="142" t="s">
        <v>2225</v>
      </c>
      <c r="UB258" s="319" t="s">
        <v>2214</v>
      </c>
      <c r="UC258" s="18" t="str">
        <f ca="1">IF(UC$1&gt;=$TM258,1,"0")</f>
        <v>0</v>
      </c>
      <c r="UF258" s="18" t="str">
        <f ca="1">IF(UF$1&gt;=$TM258,1,"0")</f>
        <v>0</v>
      </c>
      <c r="UI258" s="18" t="str">
        <f ca="1">IF(UI$1&gt;=$TM258,1,"0")</f>
        <v>0</v>
      </c>
      <c r="UL258" s="18" t="str">
        <f ca="1">IF(UL$1&gt;=$TM258,1,"0")</f>
        <v>0</v>
      </c>
      <c r="VD258" s="18" t="str">
        <f>IF(VD$1&gt;=$TM258,1,"0")</f>
        <v>0</v>
      </c>
      <c r="WD258" s="18" t="str">
        <f ca="1">IF(SUM($VZ$1:$WC$1)&gt;0,IF(AND(SUM($VZ258:$WC258)&gt;0,$TM258=WE$1),MAX(WD$2:WD257)+1,""),IF(AND(SUM($UC258:$VY258)&gt;0,$TM258=WE$1),MAX(WD$2:WD257)+1,""))</f>
        <v/>
      </c>
      <c r="WE258" s="59" t="str">
        <f t="shared" ca="1" si="239"/>
        <v/>
      </c>
      <c r="WF258" s="18" t="str">
        <f ca="1">IF(AND(SUM($UB258:$VY258)&gt;0,$TM258=WG$1),MAX(WF$2:WF257)+1,"")</f>
        <v/>
      </c>
      <c r="WG258" s="59" t="str">
        <f t="shared" ca="1" si="240"/>
        <v/>
      </c>
      <c r="WH258" s="18" t="str">
        <f ca="1">IF(AND(SUM($UB258:$VY258)&gt;0,$TM258=WI$1),MAX(WH$2:WH257)+1,"")</f>
        <v/>
      </c>
      <c r="WI258" s="59" t="str">
        <f t="shared" ca="1" si="241"/>
        <v/>
      </c>
      <c r="WJ258" s="18" t="str">
        <f ca="1">IF(AND(SUM($UB258:$VY258)&gt;0,$TM258=WK$1),MAX(WJ$2:WJ257)+1,"")</f>
        <v/>
      </c>
      <c r="WK258" s="59" t="str">
        <f t="shared" ca="1" si="242"/>
        <v/>
      </c>
      <c r="WL258" s="18" t="str">
        <f ca="1">IF(AND(SUM($UB258:$VY258)&gt;0,$TM258=WM$1),MAX(WL$2:WL257)+1,"")</f>
        <v/>
      </c>
      <c r="WM258" s="59" t="str">
        <f t="shared" ca="1" si="243"/>
        <v/>
      </c>
      <c r="WN258" s="18" t="str">
        <f ca="1">IF(AND(SUM($UB258:$VY258)&gt;0,$TM258=WO$1),MAX(WN$2:WN257)+1,"")</f>
        <v/>
      </c>
      <c r="WO258" s="59" t="str">
        <f t="shared" ca="1" si="244"/>
        <v/>
      </c>
      <c r="WP258" s="18" t="str">
        <f ca="1">IF(AND(SUM($UB258:$VY258)&gt;0,$TM258=WQ$1),MAX(WP$2:WP257)+1,"")</f>
        <v/>
      </c>
      <c r="WQ258" s="59" t="str">
        <f t="shared" ca="1" si="245"/>
        <v/>
      </c>
      <c r="WR258" s="18" t="str">
        <f ca="1">IF(AND(SUM($UB258:$VY258)&gt;0,$TM258=WS$1),MAX(WR$2:WR257)+1,"")</f>
        <v/>
      </c>
      <c r="WS258" s="59" t="str">
        <f t="shared" ca="1" si="246"/>
        <v/>
      </c>
      <c r="WT258" s="18" t="str">
        <f ca="1">IF(AND(SUM($UB258:$VY258)&gt;0,$TM258=WU$1),MAX(WT$2:WT257)+1,"")</f>
        <v/>
      </c>
      <c r="WU258" s="59" t="str">
        <f t="shared" ca="1" si="247"/>
        <v/>
      </c>
      <c r="WV258" s="18" t="str">
        <f ca="1">IF(AND(SUM($UB258:$VY258)&gt;0,$TM258=WW$1),MAX(WV$2:WV257)+1,"")</f>
        <v/>
      </c>
      <c r="WW258" s="59" t="str">
        <f t="shared" ca="1" si="248"/>
        <v/>
      </c>
      <c r="WX258" s="18" t="str">
        <f ca="1">IF(AND(SUM($UB258:$VY258)&gt;0,$TM258=WY$1),MAX(WX$2:WX257)+1,"")</f>
        <v/>
      </c>
      <c r="WY258" s="59" t="str">
        <f t="shared" ca="1" si="249"/>
        <v/>
      </c>
    </row>
    <row r="259" spans="530:623" ht="9.9499999999999993" customHeight="1" x14ac:dyDescent="0.2">
      <c r="TJ259" s="18">
        <f t="shared" si="253"/>
        <v>257</v>
      </c>
      <c r="TK259" s="58" t="s">
        <v>2748</v>
      </c>
      <c r="TL259" s="58" t="s">
        <v>466</v>
      </c>
      <c r="TM259" s="18">
        <v>9</v>
      </c>
      <c r="TN259" s="59" t="str">
        <f t="shared" ref="TN259:TN322" si="257">TK259&amp;" "&amp;TO259&amp;TP259&amp;TQ259&amp;TR259</f>
        <v xml:space="preserve">Power Word Heal </v>
      </c>
      <c r="TO259" s="18" t="str">
        <f>""</f>
        <v/>
      </c>
      <c r="TP259" s="18" t="str">
        <f t="shared" ref="TP259:TP322" si="258">IF(SUM(UY259:VE259)&gt;0,"ᵈ","")&amp;IF(SUM(UO259:UQ259)&gt;0,"ᵒ","")&amp;IF(SUM(VG259:VO259)&gt;0,"ᶜ","")</f>
        <v/>
      </c>
      <c r="TQ259" s="18" t="str">
        <f>IF(OR(TK259=Spellcasting!$AC$18,TK259=Spellcasting!$AC$19),"ᵐ","")</f>
        <v/>
      </c>
      <c r="TR259" s="18" t="str">
        <f>IF(OR(TK259=Spellcasting!$AC$20,TK259=Spellcasting!$AC$21),"ˢ","")</f>
        <v/>
      </c>
      <c r="TS259" s="18" t="str">
        <f>""</f>
        <v/>
      </c>
      <c r="TT259" s="18" t="s">
        <v>484</v>
      </c>
      <c r="TU259" s="18" t="s">
        <v>519</v>
      </c>
      <c r="TV259" s="18" t="s">
        <v>505</v>
      </c>
      <c r="TW259" s="18" t="s">
        <v>486</v>
      </c>
      <c r="TY259" s="18" t="s">
        <v>534</v>
      </c>
      <c r="TZ259" s="18" t="s">
        <v>535</v>
      </c>
      <c r="UA259" s="59" t="s">
        <v>2749</v>
      </c>
      <c r="UB259" s="319" t="s">
        <v>2750</v>
      </c>
      <c r="WD259" s="18" t="str">
        <f>IF(SUM($VZ$1:$WC$1)&gt;0,IF(AND(SUM($VZ259:$WC259)&gt;0,$TM259=WE$1),MAX(WD$2:WD258)+1,""),IF(AND(SUM($UC259:$VY259)&gt;0,$TM259=WE$1),MAX(WD$2:WD258)+1,""))</f>
        <v/>
      </c>
      <c r="WE259" s="59" t="str">
        <f t="shared" si="239"/>
        <v/>
      </c>
      <c r="WF259" s="18" t="str">
        <f>IF(AND(SUM($UB259:$VY259)&gt;0,$TM259=WG$1),MAX(WF$2:WF258)+1,"")</f>
        <v/>
      </c>
      <c r="WG259" s="59" t="str">
        <f t="shared" si="240"/>
        <v/>
      </c>
      <c r="WH259" s="18" t="str">
        <f>IF(AND(SUM($UB259:$VY259)&gt;0,$TM259=WI$1),MAX(WH$2:WH258)+1,"")</f>
        <v/>
      </c>
      <c r="WI259" s="59" t="str">
        <f t="shared" si="241"/>
        <v/>
      </c>
      <c r="WJ259" s="18" t="str">
        <f>IF(AND(SUM($UB259:$VY259)&gt;0,$TM259=WK$1),MAX(WJ$2:WJ258)+1,"")</f>
        <v/>
      </c>
      <c r="WK259" s="59" t="str">
        <f t="shared" si="242"/>
        <v/>
      </c>
      <c r="WL259" s="18" t="str">
        <f>IF(AND(SUM($UB259:$VY259)&gt;0,$TM259=WM$1),MAX(WL$2:WL258)+1,"")</f>
        <v/>
      </c>
      <c r="WM259" s="59" t="str">
        <f t="shared" si="243"/>
        <v/>
      </c>
      <c r="WN259" s="18" t="str">
        <f>IF(AND(SUM($UB259:$VY259)&gt;0,$TM259=WO$1),MAX(WN$2:WN258)+1,"")</f>
        <v/>
      </c>
      <c r="WO259" s="59" t="str">
        <f t="shared" si="244"/>
        <v/>
      </c>
      <c r="WP259" s="18" t="str">
        <f>IF(AND(SUM($UB259:$VY259)&gt;0,$TM259=WQ$1),MAX(WP$2:WP258)+1,"")</f>
        <v/>
      </c>
      <c r="WQ259" s="59" t="str">
        <f t="shared" si="245"/>
        <v/>
      </c>
      <c r="WR259" s="18" t="str">
        <f>IF(AND(SUM($UB259:$VY259)&gt;0,$TM259=WS$1),MAX(WR$2:WR258)+1,"")</f>
        <v/>
      </c>
      <c r="WS259" s="59" t="str">
        <f t="shared" si="246"/>
        <v/>
      </c>
      <c r="WT259" s="18" t="str">
        <f>IF(AND(SUM($UB259:$VY259)&gt;0,$TM259=WU$1),MAX(WT$2:WT258)+1,"")</f>
        <v/>
      </c>
      <c r="WU259" s="59" t="str">
        <f t="shared" si="247"/>
        <v/>
      </c>
      <c r="WV259" s="18" t="str">
        <f>IF(AND(SUM($UB259:$VY259)&gt;0,$TM259=WW$1),MAX(WV$2:WV258)+1,"")</f>
        <v/>
      </c>
      <c r="WW259" s="59" t="str">
        <f t="shared" si="248"/>
        <v/>
      </c>
      <c r="WX259" s="18" t="str">
        <f>IF(AND(SUM($UB259:$VY259)&gt;0,$TM259=WY$1),MAX(WX$2:WX258)+1,"")</f>
        <v/>
      </c>
      <c r="WY259" s="59" t="str">
        <f t="shared" si="249"/>
        <v/>
      </c>
    </row>
    <row r="260" spans="530:623" ht="9.9499999999999993" customHeight="1" x14ac:dyDescent="0.2">
      <c r="TJ260" s="18">
        <f t="shared" si="253"/>
        <v>258</v>
      </c>
      <c r="TK260" s="58" t="s">
        <v>662</v>
      </c>
      <c r="TL260" s="58" t="s">
        <v>466</v>
      </c>
      <c r="TM260" s="18">
        <v>9</v>
      </c>
      <c r="TN260" s="59" t="str">
        <f t="shared" si="257"/>
        <v xml:space="preserve">Power Word Kill </v>
      </c>
      <c r="TO260" s="18" t="str">
        <f>""</f>
        <v/>
      </c>
      <c r="TP260" s="18" t="str">
        <f t="shared" si="258"/>
        <v/>
      </c>
      <c r="TQ260" s="18" t="str">
        <f>IF(OR(TK260=Spellcasting!$AC$18,TK260=Spellcasting!$AC$19),"ᵐ","")</f>
        <v/>
      </c>
      <c r="TR260" s="18" t="str">
        <f>IF(OR(TK260=Spellcasting!$AC$20,TK260=Spellcasting!$AC$21),"ˢ","")</f>
        <v/>
      </c>
      <c r="TS260" s="18" t="str">
        <f>""</f>
        <v/>
      </c>
      <c r="TT260" s="18" t="s">
        <v>484</v>
      </c>
      <c r="TU260" s="18" t="s">
        <v>850</v>
      </c>
      <c r="TV260" s="18" t="s">
        <v>505</v>
      </c>
      <c r="TW260" s="18" t="s">
        <v>541</v>
      </c>
      <c r="TX260" s="59" t="str">
        <f>""</f>
        <v/>
      </c>
      <c r="TY260" s="18" t="s">
        <v>498</v>
      </c>
      <c r="TZ260" s="18" t="s">
        <v>499</v>
      </c>
      <c r="UA260" s="59" t="s">
        <v>2215</v>
      </c>
      <c r="UB260" s="319" t="s">
        <v>2217</v>
      </c>
      <c r="UC260" s="18" t="str">
        <f ca="1">IF(UC$1&gt;=$TM260,1,"0")</f>
        <v>0</v>
      </c>
      <c r="UF260" s="18" t="str">
        <f ca="1">IF(UF$1&gt;=$TM260,1,"0")</f>
        <v>0</v>
      </c>
      <c r="UG260" s="18" t="str">
        <f ca="1">IF(UG$1&gt;=$TM260,1,"0")</f>
        <v>0</v>
      </c>
      <c r="UL260" s="18" t="str">
        <f ca="1">IF(UL$1&gt;=$TM260,1,"0")</f>
        <v>0</v>
      </c>
      <c r="WD260" s="18" t="str">
        <f ca="1">IF(SUM($VZ$1:$WC$1)&gt;0,IF(AND(SUM($VZ260:$WC260)&gt;0,$TM260=WE$1),MAX(WD$2:WD259)+1,""),IF(AND(SUM($UC260:$VY260)&gt;0,$TM260=WE$1),MAX(WD$2:WD259)+1,""))</f>
        <v/>
      </c>
      <c r="WE260" s="59" t="str">
        <f t="shared" ref="WE260:WE323" ca="1" si="259">IF(AND(WD260&lt;&gt;"",$TM260=WE$1),$TK260,"")</f>
        <v/>
      </c>
      <c r="WF260" s="18" t="str">
        <f ca="1">IF(AND(SUM($UB260:$VY260)&gt;0,$TM260=WG$1),MAX(WF$2:WF259)+1,"")</f>
        <v/>
      </c>
      <c r="WG260" s="59" t="str">
        <f t="shared" ref="WG260:WG323" ca="1" si="260">IF(AND(WF260&lt;&gt;"",$TM260=WG$1),$TK260,"")</f>
        <v/>
      </c>
      <c r="WH260" s="18" t="str">
        <f ca="1">IF(AND(SUM($UB260:$VY260)&gt;0,$TM260=WI$1),MAX(WH$2:WH259)+1,"")</f>
        <v/>
      </c>
      <c r="WI260" s="59" t="str">
        <f t="shared" ref="WI260:WI323" ca="1" si="261">IF(AND(WH260&lt;&gt;"",$TM260=WI$1),$TK260,"")</f>
        <v/>
      </c>
      <c r="WJ260" s="18" t="str">
        <f ca="1">IF(AND(SUM($UB260:$VY260)&gt;0,$TM260=WK$1),MAX(WJ$2:WJ259)+1,"")</f>
        <v/>
      </c>
      <c r="WK260" s="59" t="str">
        <f t="shared" ref="WK260:WK323" ca="1" si="262">IF(AND(WJ260&lt;&gt;"",$TM260=WK$1),$TK260,"")</f>
        <v/>
      </c>
      <c r="WL260" s="18" t="str">
        <f ca="1">IF(AND(SUM($UB260:$VY260)&gt;0,$TM260=WM$1),MAX(WL$2:WL259)+1,"")</f>
        <v/>
      </c>
      <c r="WM260" s="59" t="str">
        <f t="shared" ref="WM260:WM323" ca="1" si="263">IF(AND(WL260&lt;&gt;"",$TM260=WM$1),$TK260,"")</f>
        <v/>
      </c>
      <c r="WN260" s="18" t="str">
        <f ca="1">IF(AND(SUM($UB260:$VY260)&gt;0,$TM260=WO$1),MAX(WN$2:WN259)+1,"")</f>
        <v/>
      </c>
      <c r="WO260" s="59" t="str">
        <f t="shared" ref="WO260:WO323" ca="1" si="264">IF(AND(WN260&lt;&gt;"",$TM260=WO$1),$TK260,"")</f>
        <v/>
      </c>
      <c r="WP260" s="18" t="str">
        <f ca="1">IF(AND(SUM($UB260:$VY260)&gt;0,$TM260=WQ$1),MAX(WP$2:WP259)+1,"")</f>
        <v/>
      </c>
      <c r="WQ260" s="59" t="str">
        <f t="shared" ref="WQ260:WQ323" ca="1" si="265">IF(AND(WP260&lt;&gt;"",$TM260=WQ$1),$TK260,"")</f>
        <v/>
      </c>
      <c r="WR260" s="18" t="str">
        <f ca="1">IF(AND(SUM($UB260:$VY260)&gt;0,$TM260=WS$1),MAX(WR$2:WR259)+1,"")</f>
        <v/>
      </c>
      <c r="WS260" s="59" t="str">
        <f t="shared" ref="WS260:WS323" ca="1" si="266">IF(AND(WR260&lt;&gt;"",$TM260=WS$1),$TK260,"")</f>
        <v/>
      </c>
      <c r="WT260" s="18" t="str">
        <f ca="1">IF(AND(SUM($UB260:$VY260)&gt;0,$TM260=WU$1),MAX(WT$2:WT259)+1,"")</f>
        <v/>
      </c>
      <c r="WU260" s="59" t="str">
        <f t="shared" ref="WU260:WU323" ca="1" si="267">IF(AND(WT260&lt;&gt;"",$TM260=WU$1),$TK260,"")</f>
        <v/>
      </c>
      <c r="WV260" s="18" t="str">
        <f ca="1">IF(AND(SUM($UB260:$VY260)&gt;0,$TM260=WW$1),MAX(WV$2:WV259)+1,"")</f>
        <v/>
      </c>
      <c r="WW260" s="59" t="str">
        <f t="shared" ref="WW260:WW323" ca="1" si="268">IF(AND(WV260&lt;&gt;"",$TM260=WW$1),$TK260,"")</f>
        <v/>
      </c>
      <c r="WX260" s="18" t="str">
        <f ca="1">IF(AND(SUM($UB260:$VY260)&gt;0,$TM260=WY$1),MAX(WX$2:WX259)+1,"")</f>
        <v/>
      </c>
      <c r="WY260" s="59" t="str">
        <f t="shared" ref="WY260:WY323" ca="1" si="269">IF(AND(WX260&lt;&gt;"",$TM260=WY$1),$TK260,"")</f>
        <v/>
      </c>
    </row>
    <row r="261" spans="530:623" ht="9.9499999999999993" customHeight="1" x14ac:dyDescent="0.2">
      <c r="TJ261" s="18">
        <f t="shared" si="253"/>
        <v>259</v>
      </c>
      <c r="TK261" s="58" t="s">
        <v>663</v>
      </c>
      <c r="TL261" s="58" t="s">
        <v>465</v>
      </c>
      <c r="TM261" s="18">
        <v>8</v>
      </c>
      <c r="TN261" s="59" t="str">
        <f t="shared" si="257"/>
        <v xml:space="preserve">Power Word Stun </v>
      </c>
      <c r="TO261" s="18" t="str">
        <f>""</f>
        <v/>
      </c>
      <c r="TP261" s="18" t="str">
        <f t="shared" si="258"/>
        <v/>
      </c>
      <c r="TQ261" s="18" t="str">
        <f>IF(OR(TK261=Spellcasting!$AC$18,TK261=Spellcasting!$AC$19),"ᵐ","")</f>
        <v/>
      </c>
      <c r="TR261" s="18" t="str">
        <f>IF(OR(TK261=Spellcasting!$AC$20,TK261=Spellcasting!$AC$21),"ˢ","")</f>
        <v/>
      </c>
      <c r="TS261" s="18" t="str">
        <f>""</f>
        <v/>
      </c>
      <c r="TT261" s="18" t="s">
        <v>484</v>
      </c>
      <c r="TU261" s="18" t="s">
        <v>850</v>
      </c>
      <c r="TV261" s="18" t="s">
        <v>505</v>
      </c>
      <c r="TW261" s="18" t="s">
        <v>541</v>
      </c>
      <c r="TX261" s="59" t="str">
        <f>""</f>
        <v/>
      </c>
      <c r="TY261" s="18" t="s">
        <v>498</v>
      </c>
      <c r="TZ261" s="18" t="s">
        <v>499</v>
      </c>
      <c r="UA261" s="142" t="s">
        <v>2216</v>
      </c>
      <c r="UB261" s="538" t="s">
        <v>2218</v>
      </c>
      <c r="UC261" s="18" t="str">
        <f ca="1">IF(UC$1&gt;=$TM261,1,"0")</f>
        <v>0</v>
      </c>
      <c r="UF261" s="18" t="str">
        <f ca="1">IF(UF$1&gt;=$TM261,1,"0")</f>
        <v>0</v>
      </c>
      <c r="UG261" s="18" t="str">
        <f ca="1">IF(UG$1&gt;=$TM261,1,"0")</f>
        <v>0</v>
      </c>
      <c r="UL261" s="18" t="str">
        <f ca="1">IF(UL$1&gt;=$TM261,1,"0")</f>
        <v>0</v>
      </c>
      <c r="VZ261" s="179"/>
      <c r="WA261" s="179"/>
      <c r="WB261" s="179"/>
      <c r="WC261" s="179"/>
      <c r="WD261" s="18" t="str">
        <f ca="1">IF(SUM($VZ$1:$WC$1)&gt;0,IF(AND(SUM($VZ261:$WC261)&gt;0,$TM261=WE$1),MAX(WD$2:WD260)+1,""),IF(AND(SUM($UC261:$VY261)&gt;0,$TM261=WE$1),MAX(WD$2:WD260)+1,""))</f>
        <v/>
      </c>
      <c r="WE261" s="59" t="str">
        <f t="shared" ca="1" si="259"/>
        <v/>
      </c>
      <c r="WF261" s="18" t="str">
        <f ca="1">IF(AND(SUM($UB261:$VY261)&gt;0,$TM261=WG$1),MAX(WF$2:WF260)+1,"")</f>
        <v/>
      </c>
      <c r="WG261" s="59" t="str">
        <f t="shared" ca="1" si="260"/>
        <v/>
      </c>
      <c r="WH261" s="18" t="str">
        <f ca="1">IF(AND(SUM($UB261:$VY261)&gt;0,$TM261=WI$1),MAX(WH$2:WH260)+1,"")</f>
        <v/>
      </c>
      <c r="WI261" s="59" t="str">
        <f t="shared" ca="1" si="261"/>
        <v/>
      </c>
      <c r="WJ261" s="18" t="str">
        <f ca="1">IF(AND(SUM($UB261:$VY261)&gt;0,$TM261=WK$1),MAX(WJ$2:WJ260)+1,"")</f>
        <v/>
      </c>
      <c r="WK261" s="59" t="str">
        <f t="shared" ca="1" si="262"/>
        <v/>
      </c>
      <c r="WL261" s="18" t="str">
        <f ca="1">IF(AND(SUM($UB261:$VY261)&gt;0,$TM261=WM$1),MAX(WL$2:WL260)+1,"")</f>
        <v/>
      </c>
      <c r="WM261" s="59" t="str">
        <f t="shared" ca="1" si="263"/>
        <v/>
      </c>
      <c r="WN261" s="18" t="str">
        <f ca="1">IF(AND(SUM($UB261:$VY261)&gt;0,$TM261=WO$1),MAX(WN$2:WN260)+1,"")</f>
        <v/>
      </c>
      <c r="WO261" s="59" t="str">
        <f t="shared" ca="1" si="264"/>
        <v/>
      </c>
      <c r="WP261" s="18" t="str">
        <f ca="1">IF(AND(SUM($UB261:$VY261)&gt;0,$TM261=WQ$1),MAX(WP$2:WP260)+1,"")</f>
        <v/>
      </c>
      <c r="WQ261" s="59" t="str">
        <f t="shared" ca="1" si="265"/>
        <v/>
      </c>
      <c r="WR261" s="18" t="str">
        <f ca="1">IF(AND(SUM($UB261:$VY261)&gt;0,$TM261=WS$1),MAX(WR$2:WR260)+1,"")</f>
        <v/>
      </c>
      <c r="WS261" s="59" t="str">
        <f t="shared" ca="1" si="266"/>
        <v/>
      </c>
      <c r="WT261" s="18" t="str">
        <f ca="1">IF(AND(SUM($UB261:$VY261)&gt;0,$TM261=WU$1),MAX(WT$2:WT260)+1,"")</f>
        <v/>
      </c>
      <c r="WU261" s="59" t="str">
        <f t="shared" ca="1" si="267"/>
        <v/>
      </c>
      <c r="WV261" s="18" t="str">
        <f ca="1">IF(AND(SUM($UB261:$VY261)&gt;0,$TM261=WW$1),MAX(WV$2:WV260)+1,"")</f>
        <v/>
      </c>
      <c r="WW261" s="59" t="str">
        <f t="shared" ca="1" si="268"/>
        <v/>
      </c>
      <c r="WX261" s="18" t="str">
        <f ca="1">IF(AND(SUM($UB261:$VY261)&gt;0,$TM261=WY$1),MAX(WX$2:WX260)+1,"")</f>
        <v/>
      </c>
      <c r="WY261" s="59" t="str">
        <f t="shared" ca="1" si="269"/>
        <v/>
      </c>
    </row>
    <row r="262" spans="530:623" ht="9.9499999999999993" customHeight="1" x14ac:dyDescent="0.2">
      <c r="TJ262" s="18">
        <f t="shared" si="253"/>
        <v>260</v>
      </c>
      <c r="TK262" s="58" t="s">
        <v>664</v>
      </c>
      <c r="TL262" s="58" t="s">
        <v>459</v>
      </c>
      <c r="TM262" s="18">
        <v>2</v>
      </c>
      <c r="TN262" s="59" t="str">
        <f t="shared" si="257"/>
        <v xml:space="preserve">Prayer of Healing </v>
      </c>
      <c r="TO262" s="18" t="str">
        <f>""</f>
        <v/>
      </c>
      <c r="TP262" s="18" t="str">
        <f t="shared" si="258"/>
        <v/>
      </c>
      <c r="TQ262" s="18" t="str">
        <f>IF(OR(TK262=Spellcasting!$AC$18,TK262=Spellcasting!$AC$19),"ᵐ","")</f>
        <v/>
      </c>
      <c r="TR262" s="18" t="str">
        <f>IF(OR(TK262=Spellcasting!$AC$20,TK262=Spellcasting!$AC$21),"ˢ","")</f>
        <v/>
      </c>
      <c r="TS262" s="18" t="str">
        <f>""</f>
        <v/>
      </c>
      <c r="TT262" s="18" t="s">
        <v>582</v>
      </c>
      <c r="TU262" s="18" t="s">
        <v>851</v>
      </c>
      <c r="TV262" s="18" t="s">
        <v>505</v>
      </c>
      <c r="TW262" s="18" t="s">
        <v>541</v>
      </c>
      <c r="TX262" s="59" t="str">
        <f>""</f>
        <v/>
      </c>
      <c r="TY262" s="18" t="s">
        <v>534</v>
      </c>
      <c r="TZ262" s="18" t="s">
        <v>535</v>
      </c>
      <c r="UA262" s="142" t="s">
        <v>3216</v>
      </c>
      <c r="UB262" s="319" t="s">
        <v>2315</v>
      </c>
      <c r="UH262" s="18" t="str">
        <f ca="1">IF(UH$1&gt;=$TM262,1,"0")</f>
        <v>0</v>
      </c>
      <c r="WD262" s="18" t="str">
        <f ca="1">IF(SUM($VZ$1:$WC$1)&gt;0,IF(AND(SUM($VZ262:$WC262)&gt;0,$TM262=WE$1),MAX(WD$2:WD261)+1,""),IF(AND(SUM($UC262:$VY262)&gt;0,$TM262=WE$1),MAX(WD$2:WD261)+1,""))</f>
        <v/>
      </c>
      <c r="WE262" s="59" t="str">
        <f t="shared" ca="1" si="259"/>
        <v/>
      </c>
      <c r="WF262" s="18" t="str">
        <f ca="1">IF(AND(SUM($UB262:$VY262)&gt;0,$TM262=WG$1),MAX(WF$2:WF261)+1,"")</f>
        <v/>
      </c>
      <c r="WG262" s="59" t="str">
        <f t="shared" ca="1" si="260"/>
        <v/>
      </c>
      <c r="WH262" s="18" t="str">
        <f ca="1">IF(AND(SUM($UB262:$VY262)&gt;0,$TM262=WI$1),MAX(WH$2:WH261)+1,"")</f>
        <v/>
      </c>
      <c r="WI262" s="59" t="str">
        <f t="shared" ca="1" si="261"/>
        <v/>
      </c>
      <c r="WJ262" s="18" t="str">
        <f ca="1">IF(AND(SUM($UB262:$VY262)&gt;0,$TM262=WK$1),MAX(WJ$2:WJ261)+1,"")</f>
        <v/>
      </c>
      <c r="WK262" s="59" t="str">
        <f t="shared" ca="1" si="262"/>
        <v/>
      </c>
      <c r="WL262" s="18" t="str">
        <f ca="1">IF(AND(SUM($UB262:$VY262)&gt;0,$TM262=WM$1),MAX(WL$2:WL261)+1,"")</f>
        <v/>
      </c>
      <c r="WM262" s="59" t="str">
        <f t="shared" ca="1" si="263"/>
        <v/>
      </c>
      <c r="WN262" s="18" t="str">
        <f ca="1">IF(AND(SUM($UB262:$VY262)&gt;0,$TM262=WO$1),MAX(WN$2:WN261)+1,"")</f>
        <v/>
      </c>
      <c r="WO262" s="59" t="str">
        <f t="shared" ca="1" si="264"/>
        <v/>
      </c>
      <c r="WP262" s="18" t="str">
        <f ca="1">IF(AND(SUM($UB262:$VY262)&gt;0,$TM262=WQ$1),MAX(WP$2:WP261)+1,"")</f>
        <v/>
      </c>
      <c r="WQ262" s="59" t="str">
        <f t="shared" ca="1" si="265"/>
        <v/>
      </c>
      <c r="WR262" s="18" t="str">
        <f ca="1">IF(AND(SUM($UB262:$VY262)&gt;0,$TM262=WS$1),MAX(WR$2:WR261)+1,"")</f>
        <v/>
      </c>
      <c r="WS262" s="59" t="str">
        <f t="shared" ca="1" si="266"/>
        <v/>
      </c>
      <c r="WT262" s="18" t="str">
        <f ca="1">IF(AND(SUM($UB262:$VY262)&gt;0,$TM262=WU$1),MAX(WT$2:WT261)+1,"")</f>
        <v/>
      </c>
      <c r="WU262" s="59" t="str">
        <f t="shared" ca="1" si="267"/>
        <v/>
      </c>
      <c r="WV262" s="18" t="str">
        <f ca="1">IF(AND(SUM($UB262:$VY262)&gt;0,$TM262=WW$1),MAX(WV$2:WV261)+1,"")</f>
        <v/>
      </c>
      <c r="WW262" s="59" t="str">
        <f t="shared" ca="1" si="268"/>
        <v/>
      </c>
      <c r="WX262" s="18" t="str">
        <f ca="1">IF(AND(SUM($UB262:$VY262)&gt;0,$TM262=WY$1),MAX(WX$2:WX261)+1,"")</f>
        <v/>
      </c>
      <c r="WY262" s="59" t="str">
        <f t="shared" ca="1" si="269"/>
        <v/>
      </c>
    </row>
    <row r="263" spans="530:623" ht="9.9499999999999993" customHeight="1" x14ac:dyDescent="0.2">
      <c r="TJ263" s="18">
        <f t="shared" si="253"/>
        <v>261</v>
      </c>
      <c r="TK263" s="58" t="s">
        <v>665</v>
      </c>
      <c r="TL263" s="58" t="s">
        <v>1840</v>
      </c>
      <c r="TM263" s="18">
        <v>0.5</v>
      </c>
      <c r="TN263" s="59" t="str">
        <f t="shared" si="257"/>
        <v xml:space="preserve">Prestidigitation </v>
      </c>
      <c r="TO263" s="18" t="str">
        <f>""</f>
        <v/>
      </c>
      <c r="TP263" s="18" t="str">
        <f t="shared" si="258"/>
        <v/>
      </c>
      <c r="TQ263" s="18" t="str">
        <f>IF(OR(TK263=Spellcasting!$AC$18,TK263=Spellcasting!$AC$19),"ᵐ","")</f>
        <v/>
      </c>
      <c r="TR263" s="18" t="str">
        <f>IF(OR(TK263=Spellcasting!$AC$20,TK263=Spellcasting!$AC$21),"ˢ","")</f>
        <v/>
      </c>
      <c r="TS263" s="18" t="str">
        <f>""</f>
        <v/>
      </c>
      <c r="TT263" s="18" t="s">
        <v>484</v>
      </c>
      <c r="TU263" s="18" t="s">
        <v>504</v>
      </c>
      <c r="TV263" s="18" t="s">
        <v>476</v>
      </c>
      <c r="TW263" s="18" t="s">
        <v>486</v>
      </c>
      <c r="TX263" s="59" t="str">
        <f>""</f>
        <v/>
      </c>
      <c r="TY263" s="18" t="s">
        <v>491</v>
      </c>
      <c r="TZ263" s="18" t="s">
        <v>492</v>
      </c>
      <c r="UA263" s="142" t="s">
        <v>2260</v>
      </c>
      <c r="UB263" s="319" t="s">
        <v>996</v>
      </c>
      <c r="UC263" s="18" t="str">
        <f ca="1">IF(UC$1&gt;=$TM263,1,"0")</f>
        <v>0</v>
      </c>
      <c r="UF263" s="18" t="str">
        <f ca="1">IF(UF$1&gt;=$TM263,1,"0")</f>
        <v>0</v>
      </c>
      <c r="UG263" s="18" t="str">
        <f ca="1">IF(UG$1&gt;=$TM263,1,"0")</f>
        <v>0</v>
      </c>
      <c r="UL263" s="18" t="str">
        <f ca="1">IF(UL$1&gt;=$TM263,1,"0")</f>
        <v>0</v>
      </c>
      <c r="VP263" s="18" t="str">
        <f>IF(VP$1&gt;=$TM263,1,"0")</f>
        <v>0</v>
      </c>
      <c r="VQ263" s="18" t="str">
        <f>IF(VQ$1&gt;=$TM263,1,"0")</f>
        <v>0</v>
      </c>
      <c r="WB263" s="18" t="str">
        <f>IF(WB$1&gt;=$TM263,1,"0")</f>
        <v>0</v>
      </c>
      <c r="WC263" s="18"/>
      <c r="WD263" s="18" t="str">
        <f ca="1">IF(SUM($VZ$1:$WC$1)&gt;0,IF(AND(SUM($VZ263:$WC263)&gt;0,$TM263=WE$1),MAX(WD$2:WD262)+1,""),IF(AND(SUM($UC263:$VY263)&gt;0,$TM263=WE$1),MAX(WD$2:WD262)+1,""))</f>
        <v/>
      </c>
      <c r="WE263" s="59" t="str">
        <f t="shared" ca="1" si="259"/>
        <v/>
      </c>
      <c r="WF263" s="18" t="str">
        <f ca="1">IF(AND(SUM($UB263:$VY263)&gt;0,$TM263=WG$1),MAX(WF$2:WF262)+1,"")</f>
        <v/>
      </c>
      <c r="WG263" s="59" t="str">
        <f t="shared" ca="1" si="260"/>
        <v/>
      </c>
      <c r="WH263" s="18" t="str">
        <f ca="1">IF(AND(SUM($UB263:$VY263)&gt;0,$TM263=WI$1),MAX(WH$2:WH262)+1,"")</f>
        <v/>
      </c>
      <c r="WI263" s="59" t="str">
        <f t="shared" ca="1" si="261"/>
        <v/>
      </c>
      <c r="WJ263" s="18" t="str">
        <f ca="1">IF(AND(SUM($UB263:$VY263)&gt;0,$TM263=WK$1),MAX(WJ$2:WJ262)+1,"")</f>
        <v/>
      </c>
      <c r="WK263" s="59" t="str">
        <f t="shared" ca="1" si="262"/>
        <v/>
      </c>
      <c r="WL263" s="18" t="str">
        <f ca="1">IF(AND(SUM($UB263:$VY263)&gt;0,$TM263=WM$1),MAX(WL$2:WL262)+1,"")</f>
        <v/>
      </c>
      <c r="WM263" s="59" t="str">
        <f t="shared" ca="1" si="263"/>
        <v/>
      </c>
      <c r="WN263" s="18" t="str">
        <f ca="1">IF(AND(SUM($UB263:$VY263)&gt;0,$TM263=WO$1),MAX(WN$2:WN262)+1,"")</f>
        <v/>
      </c>
      <c r="WO263" s="59" t="str">
        <f t="shared" ca="1" si="264"/>
        <v/>
      </c>
      <c r="WP263" s="18" t="str">
        <f ca="1">IF(AND(SUM($UB263:$VY263)&gt;0,$TM263=WQ$1),MAX(WP$2:WP262)+1,"")</f>
        <v/>
      </c>
      <c r="WQ263" s="59" t="str">
        <f t="shared" ca="1" si="265"/>
        <v/>
      </c>
      <c r="WR263" s="18" t="str">
        <f ca="1">IF(AND(SUM($UB263:$VY263)&gt;0,$TM263=WS$1),MAX(WR$2:WR262)+1,"")</f>
        <v/>
      </c>
      <c r="WS263" s="59" t="str">
        <f t="shared" ca="1" si="266"/>
        <v/>
      </c>
      <c r="WT263" s="18" t="str">
        <f ca="1">IF(AND(SUM($UB263:$VY263)&gt;0,$TM263=WU$1),MAX(WT$2:WT262)+1,"")</f>
        <v/>
      </c>
      <c r="WU263" s="59" t="str">
        <f t="shared" ca="1" si="267"/>
        <v/>
      </c>
      <c r="WV263" s="18" t="str">
        <f ca="1">IF(AND(SUM($UB263:$VY263)&gt;0,$TM263=WW$1),MAX(WV$2:WV262)+1,"")</f>
        <v/>
      </c>
      <c r="WW263" s="59" t="str">
        <f t="shared" ca="1" si="268"/>
        <v/>
      </c>
      <c r="WX263" s="18" t="str">
        <f ca="1">IF(AND(SUM($UB263:$VY263)&gt;0,$TM263=WY$1),MAX(WX$2:WX262)+1,"")</f>
        <v/>
      </c>
      <c r="WY263" s="59" t="str">
        <f t="shared" ca="1" si="269"/>
        <v/>
      </c>
    </row>
    <row r="264" spans="530:623" ht="9.9499999999999993" customHeight="1" x14ac:dyDescent="0.2">
      <c r="TJ264" s="18">
        <f t="shared" si="253"/>
        <v>262</v>
      </c>
      <c r="TK264" s="58" t="s">
        <v>666</v>
      </c>
      <c r="TL264" s="58" t="s">
        <v>464</v>
      </c>
      <c r="TM264" s="18">
        <v>7</v>
      </c>
      <c r="TN264" s="59" t="str">
        <f t="shared" si="257"/>
        <v xml:space="preserve">Prismatic Spray </v>
      </c>
      <c r="TO264" s="18" t="str">
        <f>""</f>
        <v/>
      </c>
      <c r="TP264" s="18" t="str">
        <f t="shared" si="258"/>
        <v/>
      </c>
      <c r="TQ264" s="18" t="str">
        <f>IF(OR(TK264=Spellcasting!$AC$18,TK264=Spellcasting!$AC$19),"ᵐ","")</f>
        <v/>
      </c>
      <c r="TR264" s="18" t="str">
        <f>IF(OR(TK264=Spellcasting!$AC$20,TK264=Spellcasting!$AC$21),"ˢ","")</f>
        <v/>
      </c>
      <c r="TS264" s="18" t="str">
        <f>""</f>
        <v/>
      </c>
      <c r="TT264" s="18" t="s">
        <v>484</v>
      </c>
      <c r="TU264" s="18" t="s">
        <v>509</v>
      </c>
      <c r="TV264" s="18" t="s">
        <v>505</v>
      </c>
      <c r="TW264" s="18" t="s">
        <v>486</v>
      </c>
      <c r="TX264" s="59" t="str">
        <f>""</f>
        <v/>
      </c>
      <c r="TY264" s="18" t="s">
        <v>534</v>
      </c>
      <c r="TZ264" s="18" t="s">
        <v>535</v>
      </c>
      <c r="UA264" s="142" t="s">
        <v>2049</v>
      </c>
      <c r="UB264" s="319" t="str">
        <f ca="1">"60ft cone, 8 colored rays (10d6"&amp;IF(WizardEvocationLevel&gt;=10,"+"&amp;INTMod,"")&amp;"), dex save ½"</f>
        <v>60ft cone, 8 colored rays (10d6), dex save ½</v>
      </c>
      <c r="UF264" s="18" t="str">
        <f ca="1">IF(UF$1&gt;=$TM264,1,"0")</f>
        <v>0</v>
      </c>
      <c r="UL264" s="18" t="str">
        <f ca="1">IF(UL$1&gt;=$TM264,1,"0")</f>
        <v>0</v>
      </c>
      <c r="WD264" s="18" t="str">
        <f ca="1">IF(SUM($VZ$1:$WC$1)&gt;0,IF(AND(SUM($VZ264:$WC264)&gt;0,$TM264=WE$1),MAX(WD$2:WD263)+1,""),IF(AND(SUM($UC264:$VY264)&gt;0,$TM264=WE$1),MAX(WD$2:WD263)+1,""))</f>
        <v/>
      </c>
      <c r="WE264" s="59" t="str">
        <f t="shared" ca="1" si="259"/>
        <v/>
      </c>
      <c r="WF264" s="18" t="str">
        <f ca="1">IF(AND(SUM($UB264:$VY264)&gt;0,$TM264=WG$1),MAX(WF$2:WF263)+1,"")</f>
        <v/>
      </c>
      <c r="WG264" s="59" t="str">
        <f t="shared" ca="1" si="260"/>
        <v/>
      </c>
      <c r="WH264" s="18" t="str">
        <f ca="1">IF(AND(SUM($UB264:$VY264)&gt;0,$TM264=WI$1),MAX(WH$2:WH263)+1,"")</f>
        <v/>
      </c>
      <c r="WI264" s="59" t="str">
        <f t="shared" ca="1" si="261"/>
        <v/>
      </c>
      <c r="WJ264" s="18" t="str">
        <f ca="1">IF(AND(SUM($UB264:$VY264)&gt;0,$TM264=WK$1),MAX(WJ$2:WJ263)+1,"")</f>
        <v/>
      </c>
      <c r="WK264" s="59" t="str">
        <f t="shared" ca="1" si="262"/>
        <v/>
      </c>
      <c r="WL264" s="18" t="str">
        <f ca="1">IF(AND(SUM($UB264:$VY264)&gt;0,$TM264=WM$1),MAX(WL$2:WL263)+1,"")</f>
        <v/>
      </c>
      <c r="WM264" s="59" t="str">
        <f t="shared" ca="1" si="263"/>
        <v/>
      </c>
      <c r="WN264" s="18" t="str">
        <f ca="1">IF(AND(SUM($UB264:$VY264)&gt;0,$TM264=WO$1),MAX(WN$2:WN263)+1,"")</f>
        <v/>
      </c>
      <c r="WO264" s="59" t="str">
        <f t="shared" ca="1" si="264"/>
        <v/>
      </c>
      <c r="WP264" s="18" t="str">
        <f ca="1">IF(AND(SUM($UB264:$VY264)&gt;0,$TM264=WQ$1),MAX(WP$2:WP263)+1,"")</f>
        <v/>
      </c>
      <c r="WQ264" s="59" t="str">
        <f t="shared" ca="1" si="265"/>
        <v/>
      </c>
      <c r="WR264" s="18" t="str">
        <f ca="1">IF(AND(SUM($UB264:$VY264)&gt;0,$TM264=WS$1),MAX(WR$2:WR263)+1,"")</f>
        <v/>
      </c>
      <c r="WS264" s="59" t="str">
        <f t="shared" ca="1" si="266"/>
        <v/>
      </c>
      <c r="WT264" s="18" t="str">
        <f ca="1">IF(AND(SUM($UB264:$VY264)&gt;0,$TM264=WU$1),MAX(WT$2:WT263)+1,"")</f>
        <v/>
      </c>
      <c r="WU264" s="59" t="str">
        <f t="shared" ca="1" si="267"/>
        <v/>
      </c>
      <c r="WV264" s="18" t="str">
        <f ca="1">IF(AND(SUM($UB264:$VY264)&gt;0,$TM264=WW$1),MAX(WV$2:WV263)+1,"")</f>
        <v/>
      </c>
      <c r="WW264" s="59" t="str">
        <f t="shared" ca="1" si="268"/>
        <v/>
      </c>
      <c r="WX264" s="18" t="str">
        <f ca="1">IF(AND(SUM($UB264:$VY264)&gt;0,$TM264=WY$1),MAX(WX$2:WX263)+1,"")</f>
        <v/>
      </c>
      <c r="WY264" s="59" t="str">
        <f t="shared" ca="1" si="269"/>
        <v/>
      </c>
    </row>
    <row r="265" spans="530:623" ht="9.9499999999999993" customHeight="1" x14ac:dyDescent="0.2">
      <c r="TJ265" s="18">
        <f t="shared" si="253"/>
        <v>263</v>
      </c>
      <c r="TK265" s="58" t="s">
        <v>1965</v>
      </c>
      <c r="TL265" s="58" t="s">
        <v>466</v>
      </c>
      <c r="TM265" s="18">
        <v>9</v>
      </c>
      <c r="TN265" s="59" t="str">
        <f t="shared" si="257"/>
        <v xml:space="preserve">Prismatic Wall </v>
      </c>
      <c r="TO265" s="18" t="str">
        <f>""</f>
        <v/>
      </c>
      <c r="TP265" s="18" t="str">
        <f t="shared" si="258"/>
        <v/>
      </c>
      <c r="TQ265" s="18" t="str">
        <f>IF(OR(TK265=Spellcasting!$AC$18,TK265=Spellcasting!$AC$19),"ᵐ","")</f>
        <v/>
      </c>
      <c r="TR265" s="18" t="str">
        <f>IF(OR(TK265=Spellcasting!$AC$20,TK265=Spellcasting!$AC$21),"ˢ","")</f>
        <v/>
      </c>
      <c r="TS265" s="18" t="str">
        <f>""</f>
        <v/>
      </c>
      <c r="TT265" s="18" t="s">
        <v>484</v>
      </c>
      <c r="TU265" s="18" t="s">
        <v>850</v>
      </c>
      <c r="TV265" s="18" t="s">
        <v>582</v>
      </c>
      <c r="TW265" s="18" t="s">
        <v>486</v>
      </c>
      <c r="TX265" s="59" t="str">
        <f>""</f>
        <v/>
      </c>
      <c r="TY265" s="18" t="s">
        <v>487</v>
      </c>
      <c r="TZ265" s="18" t="s">
        <v>488</v>
      </c>
      <c r="UA265" s="142" t="s">
        <v>2219</v>
      </c>
      <c r="UB265" s="319" t="s">
        <v>2220</v>
      </c>
      <c r="UL265" s="18" t="str">
        <f ca="1">IF(UL$1&gt;=$TM265,1,"0")</f>
        <v>0</v>
      </c>
      <c r="WD265" s="18" t="str">
        <f ca="1">IF(SUM($VZ$1:$WC$1)&gt;0,IF(AND(SUM($VZ265:$WC265)&gt;0,$TM265=WE$1),MAX(WD$2:WD264)+1,""),IF(AND(SUM($UC265:$VY265)&gt;0,$TM265=WE$1),MAX(WD$2:WD264)+1,""))</f>
        <v/>
      </c>
      <c r="WE265" s="59" t="str">
        <f t="shared" ca="1" si="259"/>
        <v/>
      </c>
      <c r="WF265" s="18" t="str">
        <f ca="1">IF(AND(SUM($UB265:$VY265)&gt;0,$TM265=WG$1),MAX(WF$2:WF264)+1,"")</f>
        <v/>
      </c>
      <c r="WG265" s="59" t="str">
        <f t="shared" ca="1" si="260"/>
        <v/>
      </c>
      <c r="WH265" s="18" t="str">
        <f ca="1">IF(AND(SUM($UB265:$VY265)&gt;0,$TM265=WI$1),MAX(WH$2:WH264)+1,"")</f>
        <v/>
      </c>
      <c r="WI265" s="59" t="str">
        <f t="shared" ca="1" si="261"/>
        <v/>
      </c>
      <c r="WJ265" s="18" t="str">
        <f ca="1">IF(AND(SUM($UB265:$VY265)&gt;0,$TM265=WK$1),MAX(WJ$2:WJ264)+1,"")</f>
        <v/>
      </c>
      <c r="WK265" s="59" t="str">
        <f t="shared" ca="1" si="262"/>
        <v/>
      </c>
      <c r="WL265" s="18" t="str">
        <f ca="1">IF(AND(SUM($UB265:$VY265)&gt;0,$TM265=WM$1),MAX(WL$2:WL264)+1,"")</f>
        <v/>
      </c>
      <c r="WM265" s="59" t="str">
        <f t="shared" ca="1" si="263"/>
        <v/>
      </c>
      <c r="WN265" s="18" t="str">
        <f ca="1">IF(AND(SUM($UB265:$VY265)&gt;0,$TM265=WO$1),MAX(WN$2:WN264)+1,"")</f>
        <v/>
      </c>
      <c r="WO265" s="59" t="str">
        <f t="shared" ca="1" si="264"/>
        <v/>
      </c>
      <c r="WP265" s="18" t="str">
        <f ca="1">IF(AND(SUM($UB265:$VY265)&gt;0,$TM265=WQ$1),MAX(WP$2:WP264)+1,"")</f>
        <v/>
      </c>
      <c r="WQ265" s="59" t="str">
        <f t="shared" ca="1" si="265"/>
        <v/>
      </c>
      <c r="WR265" s="18" t="str">
        <f ca="1">IF(AND(SUM($UB265:$VY265)&gt;0,$TM265=WS$1),MAX(WR$2:WR264)+1,"")</f>
        <v/>
      </c>
      <c r="WS265" s="59" t="str">
        <f t="shared" ca="1" si="266"/>
        <v/>
      </c>
      <c r="WT265" s="18" t="str">
        <f ca="1">IF(AND(SUM($UB265:$VY265)&gt;0,$TM265=WU$1),MAX(WT$2:WT264)+1,"")</f>
        <v/>
      </c>
      <c r="WU265" s="59" t="str">
        <f t="shared" ca="1" si="267"/>
        <v/>
      </c>
      <c r="WV265" s="18" t="str">
        <f ca="1">IF(AND(SUM($UB265:$VY265)&gt;0,$TM265=WW$1),MAX(WV$2:WV264)+1,"")</f>
        <v/>
      </c>
      <c r="WW265" s="59" t="str">
        <f t="shared" ca="1" si="268"/>
        <v/>
      </c>
      <c r="WX265" s="18" t="str">
        <f ca="1">IF(AND(SUM($UB265:$VY265)&gt;0,$TM265=WY$1),MAX(WX$2:WX264)+1,"")</f>
        <v/>
      </c>
      <c r="WY265" s="59" t="str">
        <f t="shared" ca="1" si="269"/>
        <v/>
      </c>
    </row>
    <row r="266" spans="530:623" ht="9.9499999999999993" customHeight="1" x14ac:dyDescent="0.2">
      <c r="TJ266" s="18">
        <f t="shared" si="253"/>
        <v>264</v>
      </c>
      <c r="TK266" s="58" t="s">
        <v>2079</v>
      </c>
      <c r="TL266" s="58" t="s">
        <v>1840</v>
      </c>
      <c r="TM266" s="18">
        <v>0.5</v>
      </c>
      <c r="TN266" s="59" t="str">
        <f t="shared" si="257"/>
        <v xml:space="preserve">Produce Flame </v>
      </c>
      <c r="TO266" s="18" t="str">
        <f>""</f>
        <v/>
      </c>
      <c r="TP266" s="18" t="str">
        <f t="shared" si="258"/>
        <v/>
      </c>
      <c r="TQ266" s="18" t="str">
        <f>IF(OR(TK266=Spellcasting!$AC$18,TK266=Spellcasting!$AC$19),"ᵐ","")</f>
        <v/>
      </c>
      <c r="TR266" s="18" t="str">
        <f>IF(OR(TK266=Spellcasting!$AC$20,TK266=Spellcasting!$AC$21),"ˢ","")</f>
        <v/>
      </c>
      <c r="TS266" s="18" t="str">
        <f>""</f>
        <v/>
      </c>
      <c r="TT266" s="18" t="s">
        <v>484</v>
      </c>
      <c r="TU266" s="18" t="s">
        <v>509</v>
      </c>
      <c r="TV266" s="18" t="s">
        <v>582</v>
      </c>
      <c r="TW266" s="18" t="s">
        <v>486</v>
      </c>
      <c r="TX266" s="59" t="str">
        <f>""</f>
        <v/>
      </c>
      <c r="TY266" s="18" t="s">
        <v>516</v>
      </c>
      <c r="TZ266" s="18" t="s">
        <v>517</v>
      </c>
      <c r="UA266" s="142" t="s">
        <v>2277</v>
      </c>
      <c r="UB266" s="319" t="str">
        <f>"ranged, 30ft range, "&amp;IF(CharacterLevel&gt;16,"4d8",IF(CharacterLevel&gt;10,"3d8",IF(CharacterLevel&gt;4,"2d8","1d8")))&amp;" fire"</f>
        <v>ranged, 30ft range, 1d8 fire</v>
      </c>
      <c r="UI266" s="18" t="str">
        <f ca="1">IF(UI$1&gt;=$TM266,1,"0")</f>
        <v>0</v>
      </c>
      <c r="VB266" s="18" t="str">
        <f>IF(VB$1&gt;=$TM266,1,"0")</f>
        <v>0</v>
      </c>
      <c r="WD266" s="18" t="str">
        <f ca="1">IF(SUM($VZ$1:$WC$1)&gt;0,IF(AND(SUM($VZ266:$WC266)&gt;0,$TM266=WE$1),MAX(WD$2:WD265)+1,""),IF(AND(SUM($UC266:$VY266)&gt;0,$TM266=WE$1),MAX(WD$2:WD265)+1,""))</f>
        <v/>
      </c>
      <c r="WE266" s="59" t="str">
        <f t="shared" ca="1" si="259"/>
        <v/>
      </c>
      <c r="WF266" s="18" t="str">
        <f ca="1">IF(AND(SUM($UB266:$VY266)&gt;0,$TM266=WG$1),MAX(WF$2:WF265)+1,"")</f>
        <v/>
      </c>
      <c r="WG266" s="59" t="str">
        <f t="shared" ca="1" si="260"/>
        <v/>
      </c>
      <c r="WH266" s="18" t="str">
        <f ca="1">IF(AND(SUM($UB266:$VY266)&gt;0,$TM266=WI$1),MAX(WH$2:WH265)+1,"")</f>
        <v/>
      </c>
      <c r="WI266" s="59" t="str">
        <f t="shared" ca="1" si="261"/>
        <v/>
      </c>
      <c r="WJ266" s="18" t="str">
        <f ca="1">IF(AND(SUM($UB266:$VY266)&gt;0,$TM266=WK$1),MAX(WJ$2:WJ265)+1,"")</f>
        <v/>
      </c>
      <c r="WK266" s="59" t="str">
        <f t="shared" ca="1" si="262"/>
        <v/>
      </c>
      <c r="WL266" s="18" t="str">
        <f ca="1">IF(AND(SUM($UB266:$VY266)&gt;0,$TM266=WM$1),MAX(WL$2:WL265)+1,"")</f>
        <v/>
      </c>
      <c r="WM266" s="59" t="str">
        <f t="shared" ca="1" si="263"/>
        <v/>
      </c>
      <c r="WN266" s="18" t="str">
        <f ca="1">IF(AND(SUM($UB266:$VY266)&gt;0,$TM266=WO$1),MAX(WN$2:WN265)+1,"")</f>
        <v/>
      </c>
      <c r="WO266" s="59" t="str">
        <f t="shared" ca="1" si="264"/>
        <v/>
      </c>
      <c r="WP266" s="18" t="str">
        <f ca="1">IF(AND(SUM($UB266:$VY266)&gt;0,$TM266=WQ$1),MAX(WP$2:WP265)+1,"")</f>
        <v/>
      </c>
      <c r="WQ266" s="59" t="str">
        <f t="shared" ca="1" si="265"/>
        <v/>
      </c>
      <c r="WR266" s="18" t="str">
        <f ca="1">IF(AND(SUM($UB266:$VY266)&gt;0,$TM266=WS$1),MAX(WR$2:WR265)+1,"")</f>
        <v/>
      </c>
      <c r="WS266" s="59" t="str">
        <f t="shared" ca="1" si="266"/>
        <v/>
      </c>
      <c r="WT266" s="18" t="str">
        <f ca="1">IF(AND(SUM($UB266:$VY266)&gt;0,$TM266=WU$1),MAX(WT$2:WT265)+1,"")</f>
        <v/>
      </c>
      <c r="WU266" s="59" t="str">
        <f t="shared" ca="1" si="267"/>
        <v/>
      </c>
      <c r="WV266" s="18" t="str">
        <f ca="1">IF(AND(SUM($UB266:$VY266)&gt;0,$TM266=WW$1),MAX(WV$2:WV265)+1,"")</f>
        <v/>
      </c>
      <c r="WW266" s="59" t="str">
        <f t="shared" ca="1" si="268"/>
        <v/>
      </c>
      <c r="WX266" s="18" t="str">
        <f ca="1">IF(AND(SUM($UB266:$VY266)&gt;0,$TM266=WY$1),MAX(WX$2:WX265)+1,"")</f>
        <v/>
      </c>
      <c r="WY266" s="59" t="str">
        <f t="shared" ca="1" si="269"/>
        <v/>
      </c>
    </row>
    <row r="267" spans="530:623" ht="9.9499999999999993" customHeight="1" x14ac:dyDescent="0.2">
      <c r="TJ267" s="18">
        <f t="shared" si="253"/>
        <v>265</v>
      </c>
      <c r="TK267" s="58" t="s">
        <v>1950</v>
      </c>
      <c r="TL267" s="58" t="s">
        <v>463</v>
      </c>
      <c r="TM267" s="18">
        <v>6</v>
      </c>
      <c r="TN267" s="59" t="str">
        <f t="shared" si="257"/>
        <v xml:space="preserve">Programmed Illusion </v>
      </c>
      <c r="TO267" s="18" t="str">
        <f>""</f>
        <v/>
      </c>
      <c r="TP267" s="18" t="str">
        <f t="shared" si="258"/>
        <v/>
      </c>
      <c r="TQ267" s="18" t="str">
        <f>IF(OR(TK267=Spellcasting!$AC$18,TK267=Spellcasting!$AC$19),"ᵐ","")</f>
        <v/>
      </c>
      <c r="TR267" s="18" t="str">
        <f>IF(OR(TK267=Spellcasting!$AC$20,TK267=Spellcasting!$AC$21),"ˢ","")</f>
        <v/>
      </c>
      <c r="TS267" s="18" t="str">
        <f>""</f>
        <v/>
      </c>
      <c r="TT267" s="18" t="s">
        <v>484</v>
      </c>
      <c r="TU267" s="18" t="s">
        <v>848</v>
      </c>
      <c r="TV267" s="18" t="s">
        <v>857</v>
      </c>
      <c r="TW267" s="18" t="s">
        <v>495</v>
      </c>
      <c r="TX267" s="59" t="s">
        <v>2016</v>
      </c>
      <c r="TY267" s="18" t="s">
        <v>523</v>
      </c>
      <c r="TZ267" s="18" t="s">
        <v>524</v>
      </c>
      <c r="UA267" s="142" t="s">
        <v>2278</v>
      </c>
      <c r="UB267" s="319" t="s">
        <v>2279</v>
      </c>
      <c r="UC267" s="18" t="str">
        <f ca="1">IF(UC$1&gt;=$TM267,1,"0")</f>
        <v>0</v>
      </c>
      <c r="UL267" s="18" t="str">
        <f ca="1">IF(UL$1&gt;=$TM267,1,"0")</f>
        <v>0</v>
      </c>
      <c r="WD267" s="18" t="str">
        <f ca="1">IF(SUM($VZ$1:$WC$1)&gt;0,IF(AND(SUM($VZ267:$WC267)&gt;0,$TM267=WE$1),MAX(WD$2:WD266)+1,""),IF(AND(SUM($UC267:$VY267)&gt;0,$TM267=WE$1),MAX(WD$2:WD266)+1,""))</f>
        <v/>
      </c>
      <c r="WE267" s="59" t="str">
        <f t="shared" ca="1" si="259"/>
        <v/>
      </c>
      <c r="WF267" s="18" t="str">
        <f ca="1">IF(AND(SUM($UB267:$VY267)&gt;0,$TM267=WG$1),MAX(WF$2:WF266)+1,"")</f>
        <v/>
      </c>
      <c r="WG267" s="59" t="str">
        <f t="shared" ca="1" si="260"/>
        <v/>
      </c>
      <c r="WH267" s="18" t="str">
        <f ca="1">IF(AND(SUM($UB267:$VY267)&gt;0,$TM267=WI$1),MAX(WH$2:WH266)+1,"")</f>
        <v/>
      </c>
      <c r="WI267" s="59" t="str">
        <f t="shared" ca="1" si="261"/>
        <v/>
      </c>
      <c r="WJ267" s="18" t="str">
        <f ca="1">IF(AND(SUM($UB267:$VY267)&gt;0,$TM267=WK$1),MAX(WJ$2:WJ266)+1,"")</f>
        <v/>
      </c>
      <c r="WK267" s="59" t="str">
        <f t="shared" ca="1" si="262"/>
        <v/>
      </c>
      <c r="WL267" s="18" t="str">
        <f ca="1">IF(AND(SUM($UB267:$VY267)&gt;0,$TM267=WM$1),MAX(WL$2:WL266)+1,"")</f>
        <v/>
      </c>
      <c r="WM267" s="59" t="str">
        <f t="shared" ca="1" si="263"/>
        <v/>
      </c>
      <c r="WN267" s="18" t="str">
        <f ca="1">IF(AND(SUM($UB267:$VY267)&gt;0,$TM267=WO$1),MAX(WN$2:WN266)+1,"")</f>
        <v/>
      </c>
      <c r="WO267" s="59" t="str">
        <f t="shared" ca="1" si="264"/>
        <v/>
      </c>
      <c r="WP267" s="18" t="str">
        <f ca="1">IF(AND(SUM($UB267:$VY267)&gt;0,$TM267=WQ$1),MAX(WP$2:WP266)+1,"")</f>
        <v/>
      </c>
      <c r="WQ267" s="59" t="str">
        <f t="shared" ca="1" si="265"/>
        <v/>
      </c>
      <c r="WR267" s="18" t="str">
        <f ca="1">IF(AND(SUM($UB267:$VY267)&gt;0,$TM267=WS$1),MAX(WR$2:WR266)+1,"")</f>
        <v/>
      </c>
      <c r="WS267" s="59" t="str">
        <f t="shared" ca="1" si="266"/>
        <v/>
      </c>
      <c r="WT267" s="18" t="str">
        <f ca="1">IF(AND(SUM($UB267:$VY267)&gt;0,$TM267=WU$1),MAX(WT$2:WT266)+1,"")</f>
        <v/>
      </c>
      <c r="WU267" s="59" t="str">
        <f t="shared" ca="1" si="267"/>
        <v/>
      </c>
      <c r="WV267" s="18" t="str">
        <f ca="1">IF(AND(SUM($UB267:$VY267)&gt;0,$TM267=WW$1),MAX(WV$2:WV266)+1,"")</f>
        <v/>
      </c>
      <c r="WW267" s="59" t="str">
        <f t="shared" ca="1" si="268"/>
        <v/>
      </c>
      <c r="WX267" s="18" t="str">
        <f ca="1">IF(AND(SUM($UB267:$VY267)&gt;0,$TM267=WY$1),MAX(WX$2:WX266)+1,"")</f>
        <v/>
      </c>
      <c r="WY267" s="59" t="str">
        <f t="shared" ca="1" si="269"/>
        <v/>
      </c>
    </row>
    <row r="268" spans="530:623" ht="9.9499999999999993" customHeight="1" x14ac:dyDescent="0.2">
      <c r="TJ268" s="18">
        <f t="shared" si="253"/>
        <v>266</v>
      </c>
      <c r="TK268" s="58" t="s">
        <v>1955</v>
      </c>
      <c r="TL268" s="58" t="s">
        <v>464</v>
      </c>
      <c r="TM268" s="18">
        <v>7</v>
      </c>
      <c r="TN268" s="59" t="str">
        <f t="shared" si="257"/>
        <v xml:space="preserve">Project Image </v>
      </c>
      <c r="TO268" s="18" t="str">
        <f>""</f>
        <v/>
      </c>
      <c r="TP268" s="18" t="str">
        <f t="shared" si="258"/>
        <v/>
      </c>
      <c r="TQ268" s="18" t="str">
        <f>IF(OR(TK268=Spellcasting!$AC$18,TK268=Spellcasting!$AC$19),"ᵐ","")</f>
        <v/>
      </c>
      <c r="TR268" s="18" t="str">
        <f>IF(OR(TK268=Spellcasting!$AC$20,TK268=Spellcasting!$AC$21),"ˢ","")</f>
        <v/>
      </c>
      <c r="TS268" s="18" t="str">
        <f>""</f>
        <v/>
      </c>
      <c r="TT268" s="18" t="s">
        <v>484</v>
      </c>
      <c r="TU268" s="18" t="s">
        <v>2017</v>
      </c>
      <c r="TV268" s="18" t="s">
        <v>641</v>
      </c>
      <c r="TW268" s="18" t="s">
        <v>495</v>
      </c>
      <c r="TX268" s="59" t="s">
        <v>2018</v>
      </c>
      <c r="TY268" s="18" t="s">
        <v>523</v>
      </c>
      <c r="TZ268" s="18" t="s">
        <v>524</v>
      </c>
      <c r="UA268" s="142" t="s">
        <v>2280</v>
      </c>
      <c r="UB268" s="319" t="s">
        <v>2281</v>
      </c>
      <c r="UC268" s="18" t="str">
        <f ca="1">IF(UC$1&gt;=$TM268,1,"0")</f>
        <v>0</v>
      </c>
      <c r="UL268" s="18" t="str">
        <f ca="1">IF(UL$1&gt;=$TM268,1,"0")</f>
        <v>0</v>
      </c>
      <c r="WD268" s="18" t="str">
        <f ca="1">IF(SUM($VZ$1:$WC$1)&gt;0,IF(AND(SUM($VZ268:$WC268)&gt;0,$TM268=WE$1),MAX(WD$2:WD267)+1,""),IF(AND(SUM($UC268:$VY268)&gt;0,$TM268=WE$1),MAX(WD$2:WD267)+1,""))</f>
        <v/>
      </c>
      <c r="WE268" s="59" t="str">
        <f t="shared" ca="1" si="259"/>
        <v/>
      </c>
      <c r="WF268" s="18" t="str">
        <f ca="1">IF(AND(SUM($UB268:$VY268)&gt;0,$TM268=WG$1),MAX(WF$2:WF267)+1,"")</f>
        <v/>
      </c>
      <c r="WG268" s="59" t="str">
        <f t="shared" ca="1" si="260"/>
        <v/>
      </c>
      <c r="WH268" s="18" t="str">
        <f ca="1">IF(AND(SUM($UB268:$VY268)&gt;0,$TM268=WI$1),MAX(WH$2:WH267)+1,"")</f>
        <v/>
      </c>
      <c r="WI268" s="59" t="str">
        <f t="shared" ca="1" si="261"/>
        <v/>
      </c>
      <c r="WJ268" s="18" t="str">
        <f ca="1">IF(AND(SUM($UB268:$VY268)&gt;0,$TM268=WK$1),MAX(WJ$2:WJ267)+1,"")</f>
        <v/>
      </c>
      <c r="WK268" s="59" t="str">
        <f t="shared" ca="1" si="262"/>
        <v/>
      </c>
      <c r="WL268" s="18" t="str">
        <f ca="1">IF(AND(SUM($UB268:$VY268)&gt;0,$TM268=WM$1),MAX(WL$2:WL267)+1,"")</f>
        <v/>
      </c>
      <c r="WM268" s="59" t="str">
        <f t="shared" ca="1" si="263"/>
        <v/>
      </c>
      <c r="WN268" s="18" t="str">
        <f ca="1">IF(AND(SUM($UB268:$VY268)&gt;0,$TM268=WO$1),MAX(WN$2:WN267)+1,"")</f>
        <v/>
      </c>
      <c r="WO268" s="59" t="str">
        <f t="shared" ca="1" si="264"/>
        <v/>
      </c>
      <c r="WP268" s="18" t="str">
        <f ca="1">IF(AND(SUM($UB268:$VY268)&gt;0,$TM268=WQ$1),MAX(WP$2:WP267)+1,"")</f>
        <v/>
      </c>
      <c r="WQ268" s="59" t="str">
        <f t="shared" ca="1" si="265"/>
        <v/>
      </c>
      <c r="WR268" s="18" t="str">
        <f ca="1">IF(AND(SUM($UB268:$VY268)&gt;0,$TM268=WS$1),MAX(WR$2:WR267)+1,"")</f>
        <v/>
      </c>
      <c r="WS268" s="59" t="str">
        <f t="shared" ca="1" si="266"/>
        <v/>
      </c>
      <c r="WT268" s="18" t="str">
        <f ca="1">IF(AND(SUM($UB268:$VY268)&gt;0,$TM268=WU$1),MAX(WT$2:WT267)+1,"")</f>
        <v/>
      </c>
      <c r="WU268" s="59" t="str">
        <f t="shared" ca="1" si="267"/>
        <v/>
      </c>
      <c r="WV268" s="18" t="str">
        <f ca="1">IF(AND(SUM($UB268:$VY268)&gt;0,$TM268=WW$1),MAX(WV$2:WV267)+1,"")</f>
        <v/>
      </c>
      <c r="WW268" s="59" t="str">
        <f t="shared" ca="1" si="268"/>
        <v/>
      </c>
      <c r="WX268" s="18" t="str">
        <f ca="1">IF(AND(SUM($UB268:$VY268)&gt;0,$TM268=WY$1),MAX(WX$2:WX267)+1,"")</f>
        <v/>
      </c>
      <c r="WY268" s="59" t="str">
        <f t="shared" ca="1" si="269"/>
        <v/>
      </c>
    </row>
    <row r="269" spans="530:623" ht="9.9499999999999993" customHeight="1" x14ac:dyDescent="0.2">
      <c r="TJ269" s="18">
        <f t="shared" si="253"/>
        <v>267</v>
      </c>
      <c r="TK269" s="58" t="s">
        <v>667</v>
      </c>
      <c r="TL269" s="58" t="s">
        <v>460</v>
      </c>
      <c r="TM269" s="18">
        <v>3</v>
      </c>
      <c r="TN269" s="59" t="str">
        <f t="shared" si="257"/>
        <v xml:space="preserve">Protection from Energy </v>
      </c>
      <c r="TO269" s="18" t="str">
        <f>""</f>
        <v/>
      </c>
      <c r="TP269" s="18" t="str">
        <f t="shared" si="258"/>
        <v/>
      </c>
      <c r="TQ269" s="18" t="str">
        <f>IF(OR(TK269=Spellcasting!$AC$18,TK269=Spellcasting!$AC$19),"ᵐ","")</f>
        <v/>
      </c>
      <c r="TR269" s="18" t="str">
        <f>IF(OR(TK269=Spellcasting!$AC$20,TK269=Spellcasting!$AC$21),"ˢ","")</f>
        <v/>
      </c>
      <c r="TS269" s="18" t="str">
        <f>""</f>
        <v/>
      </c>
      <c r="TT269" s="18" t="s">
        <v>484</v>
      </c>
      <c r="TU269" s="18" t="s">
        <v>519</v>
      </c>
      <c r="TV269" s="18" t="s">
        <v>490</v>
      </c>
      <c r="TW269" s="18" t="s">
        <v>486</v>
      </c>
      <c r="TX269" s="59" t="str">
        <f>""</f>
        <v/>
      </c>
      <c r="TY269" s="18" t="s">
        <v>487</v>
      </c>
      <c r="TZ269" s="18" t="s">
        <v>488</v>
      </c>
      <c r="UA269" s="59" t="s">
        <v>1710</v>
      </c>
      <c r="UB269" s="319" t="s">
        <v>1716</v>
      </c>
      <c r="UE269" s="18" t="str">
        <f ca="1">IF(UE$1&gt;=$TM269,1,"0")</f>
        <v>0</v>
      </c>
      <c r="UF269" s="18" t="str">
        <f ca="1">IF(UF$1&gt;=$TM269,1,"0")</f>
        <v>0</v>
      </c>
      <c r="UH269" s="18" t="str">
        <f ca="1">IF(UH$1&gt;=$TM269,1,"0")</f>
        <v>0</v>
      </c>
      <c r="UI269" s="18" t="str">
        <f ca="1">IF(UI$1&gt;=$TM269,1,"0")</f>
        <v>0</v>
      </c>
      <c r="UL269" s="18" t="str">
        <f ca="1">IF(UL$1&gt;=$TM269,1,"0")</f>
        <v>0</v>
      </c>
      <c r="UP269" s="18" t="str">
        <f>IF(UP$1&gt;=$TM269,1,"0")</f>
        <v>0</v>
      </c>
      <c r="UQ269" s="18" t="str">
        <f>IF(UQ$1&gt;=$TM269,1,"0")</f>
        <v>0</v>
      </c>
      <c r="VI269" s="18" t="str">
        <f>IF(VI$1&gt;=$TM269,1,"0")</f>
        <v>0</v>
      </c>
      <c r="VP269" s="18" t="str">
        <f>IF(VP$1&gt;=$TM269,1,"0")</f>
        <v>0</v>
      </c>
      <c r="WD269" s="18" t="str">
        <f ca="1">IF(SUM($VZ$1:$WC$1)&gt;0,IF(AND(SUM($VZ269:$WC269)&gt;0,$TM269=WE$1),MAX(WD$2:WD268)+1,""),IF(AND(SUM($UC269:$VY269)&gt;0,$TM269=WE$1),MAX(WD$2:WD268)+1,""))</f>
        <v/>
      </c>
      <c r="WE269" s="59" t="str">
        <f t="shared" ca="1" si="259"/>
        <v/>
      </c>
      <c r="WF269" s="18" t="str">
        <f ca="1">IF(AND(SUM($UB269:$VY269)&gt;0,$TM269=WG$1),MAX(WF$2:WF268)+1,"")</f>
        <v/>
      </c>
      <c r="WG269" s="59" t="str">
        <f t="shared" ca="1" si="260"/>
        <v/>
      </c>
      <c r="WH269" s="18" t="str">
        <f ca="1">IF(AND(SUM($UB269:$VY269)&gt;0,$TM269=WI$1),MAX(WH$2:WH268)+1,"")</f>
        <v/>
      </c>
      <c r="WI269" s="59" t="str">
        <f t="shared" ca="1" si="261"/>
        <v/>
      </c>
      <c r="WJ269" s="18" t="str">
        <f ca="1">IF(AND(SUM($UB269:$VY269)&gt;0,$TM269=WK$1),MAX(WJ$2:WJ268)+1,"")</f>
        <v/>
      </c>
      <c r="WK269" s="59" t="str">
        <f t="shared" ca="1" si="262"/>
        <v/>
      </c>
      <c r="WL269" s="18" t="str">
        <f ca="1">IF(AND(SUM($UB269:$VY269)&gt;0,$TM269=WM$1),MAX(WL$2:WL268)+1,"")</f>
        <v/>
      </c>
      <c r="WM269" s="59" t="str">
        <f t="shared" ca="1" si="263"/>
        <v/>
      </c>
      <c r="WN269" s="18" t="str">
        <f ca="1">IF(AND(SUM($UB269:$VY269)&gt;0,$TM269=WO$1),MAX(WN$2:WN268)+1,"")</f>
        <v/>
      </c>
      <c r="WO269" s="59" t="str">
        <f t="shared" ca="1" si="264"/>
        <v/>
      </c>
      <c r="WP269" s="18" t="str">
        <f ca="1">IF(AND(SUM($UB269:$VY269)&gt;0,$TM269=WQ$1),MAX(WP$2:WP268)+1,"")</f>
        <v/>
      </c>
      <c r="WQ269" s="59" t="str">
        <f t="shared" ca="1" si="265"/>
        <v/>
      </c>
      <c r="WR269" s="18" t="str">
        <f ca="1">IF(AND(SUM($UB269:$VY269)&gt;0,$TM269=WS$1),MAX(WR$2:WR268)+1,"")</f>
        <v/>
      </c>
      <c r="WS269" s="59" t="str">
        <f t="shared" ca="1" si="266"/>
        <v/>
      </c>
      <c r="WT269" s="18" t="str">
        <f ca="1">IF(AND(SUM($UB269:$VY269)&gt;0,$TM269=WU$1),MAX(WT$2:WT268)+1,"")</f>
        <v/>
      </c>
      <c r="WU269" s="59" t="str">
        <f t="shared" ca="1" si="267"/>
        <v/>
      </c>
      <c r="WV269" s="18" t="str">
        <f ca="1">IF(AND(SUM($UB269:$VY269)&gt;0,$TM269=WW$1),MAX(WV$2:WV268)+1,"")</f>
        <v/>
      </c>
      <c r="WW269" s="59" t="str">
        <f t="shared" ca="1" si="268"/>
        <v/>
      </c>
      <c r="WX269" s="18" t="str">
        <f ca="1">IF(AND(SUM($UB269:$VY269)&gt;0,$TM269=WY$1),MAX(WX$2:WX268)+1,"")</f>
        <v/>
      </c>
      <c r="WY269" s="59" t="str">
        <f t="shared" ca="1" si="269"/>
        <v/>
      </c>
    </row>
    <row r="270" spans="530:623" ht="9.9499999999999993" customHeight="1" x14ac:dyDescent="0.2">
      <c r="TJ270" s="18">
        <f t="shared" si="253"/>
        <v>268</v>
      </c>
      <c r="TK270" s="58" t="s">
        <v>1218</v>
      </c>
      <c r="TL270" s="58" t="s">
        <v>448</v>
      </c>
      <c r="TM270" s="18">
        <v>1</v>
      </c>
      <c r="TN270" s="59" t="str">
        <f t="shared" si="257"/>
        <v xml:space="preserve">Protection from Evil and Good </v>
      </c>
      <c r="TO270" s="18" t="str">
        <f>""</f>
        <v/>
      </c>
      <c r="TP270" s="18" t="str">
        <f t="shared" si="258"/>
        <v/>
      </c>
      <c r="TQ270" s="18" t="str">
        <f>IF(OR(TK270=Spellcasting!$AC$18,TK270=Spellcasting!$AC$19),"ᵐ","")</f>
        <v/>
      </c>
      <c r="TR270" s="18" t="str">
        <f>IF(OR(TK270=Spellcasting!$AC$20,TK270=Spellcasting!$AC$21),"ˢ","")</f>
        <v/>
      </c>
      <c r="TS270" s="18" t="str">
        <f>""</f>
        <v/>
      </c>
      <c r="TT270" s="18" t="s">
        <v>484</v>
      </c>
      <c r="TU270" s="18" t="s">
        <v>519</v>
      </c>
      <c r="TV270" s="18" t="s">
        <v>515</v>
      </c>
      <c r="TW270" s="18" t="s">
        <v>495</v>
      </c>
      <c r="TX270" s="59" t="s">
        <v>1416</v>
      </c>
      <c r="TY270" s="18" t="s">
        <v>487</v>
      </c>
      <c r="TZ270" s="18" t="s">
        <v>488</v>
      </c>
      <c r="UA270" s="142" t="s">
        <v>1417</v>
      </c>
      <c r="UB270" s="319" t="s">
        <v>2104</v>
      </c>
      <c r="UD270" s="18" t="str">
        <f ca="1">IF(UD$1&gt;=$TM270,1,"0")</f>
        <v>0</v>
      </c>
      <c r="UG270" s="18" t="str">
        <f ca="1">IF(UG$1&gt;=$TM270,1,"0")</f>
        <v>0</v>
      </c>
      <c r="UH270" s="18" t="str">
        <f ca="1">IF(UH$1&gt;=$TM270,1,"0")</f>
        <v>0</v>
      </c>
      <c r="UL270" s="18" t="str">
        <f ca="1">IF(UL$1&gt;=$TM270,1,"0")</f>
        <v>0</v>
      </c>
      <c r="UO270" s="18" t="str">
        <f>IF(UO$1&gt;=$TM270,1,"0")</f>
        <v>0</v>
      </c>
      <c r="VP270" s="18" t="str">
        <f>IF(VP$1&gt;=$TM270,1,"0")</f>
        <v>0</v>
      </c>
      <c r="WD270" s="18" t="str">
        <f ca="1">IF(SUM($VZ$1:$WC$1)&gt;0,IF(AND(SUM($VZ270:$WC270)&gt;0,$TM270=WE$1),MAX(WD$2:WD269)+1,""),IF(AND(SUM($UC270:$VY270)&gt;0,$TM270=WE$1),MAX(WD$2:WD269)+1,""))</f>
        <v/>
      </c>
      <c r="WE270" s="59" t="str">
        <f t="shared" ca="1" si="259"/>
        <v/>
      </c>
      <c r="WF270" s="18" t="str">
        <f ca="1">IF(AND(SUM($UB270:$VY270)&gt;0,$TM270=WG$1),MAX(WF$2:WF269)+1,"")</f>
        <v/>
      </c>
      <c r="WG270" s="59" t="str">
        <f t="shared" ca="1" si="260"/>
        <v/>
      </c>
      <c r="WH270" s="18" t="str">
        <f ca="1">IF(AND(SUM($UB270:$VY270)&gt;0,$TM270=WI$1),MAX(WH$2:WH269)+1,"")</f>
        <v/>
      </c>
      <c r="WI270" s="59" t="str">
        <f t="shared" ca="1" si="261"/>
        <v/>
      </c>
      <c r="WJ270" s="18" t="str">
        <f ca="1">IF(AND(SUM($UB270:$VY270)&gt;0,$TM270=WK$1),MAX(WJ$2:WJ269)+1,"")</f>
        <v/>
      </c>
      <c r="WK270" s="59" t="str">
        <f t="shared" ca="1" si="262"/>
        <v/>
      </c>
      <c r="WL270" s="18" t="str">
        <f ca="1">IF(AND(SUM($UB270:$VY270)&gt;0,$TM270=WM$1),MAX(WL$2:WL269)+1,"")</f>
        <v/>
      </c>
      <c r="WM270" s="59" t="str">
        <f t="shared" ca="1" si="263"/>
        <v/>
      </c>
      <c r="WN270" s="18" t="str">
        <f ca="1">IF(AND(SUM($UB270:$VY270)&gt;0,$TM270=WO$1),MAX(WN$2:WN269)+1,"")</f>
        <v/>
      </c>
      <c r="WO270" s="59" t="str">
        <f t="shared" ca="1" si="264"/>
        <v/>
      </c>
      <c r="WP270" s="18" t="str">
        <f ca="1">IF(AND(SUM($UB270:$VY270)&gt;0,$TM270=WQ$1),MAX(WP$2:WP269)+1,"")</f>
        <v/>
      </c>
      <c r="WQ270" s="59" t="str">
        <f t="shared" ca="1" si="265"/>
        <v/>
      </c>
      <c r="WR270" s="18" t="str">
        <f ca="1">IF(AND(SUM($UB270:$VY270)&gt;0,$TM270=WS$1),MAX(WR$2:WR269)+1,"")</f>
        <v/>
      </c>
      <c r="WS270" s="59" t="str">
        <f t="shared" ca="1" si="266"/>
        <v/>
      </c>
      <c r="WT270" s="18" t="str">
        <f ca="1">IF(AND(SUM($UB270:$VY270)&gt;0,$TM270=WU$1),MAX(WT$2:WT269)+1,"")</f>
        <v/>
      </c>
      <c r="WU270" s="59" t="str">
        <f t="shared" ca="1" si="267"/>
        <v/>
      </c>
      <c r="WV270" s="18" t="str">
        <f ca="1">IF(AND(SUM($UB270:$VY270)&gt;0,$TM270=WW$1),MAX(WV$2:WV269)+1,"")</f>
        <v/>
      </c>
      <c r="WW270" s="59" t="str">
        <f t="shared" ca="1" si="268"/>
        <v/>
      </c>
      <c r="WX270" s="18" t="str">
        <f ca="1">IF(AND(SUM($UB270:$VY270)&gt;0,$TM270=WY$1),MAX(WX$2:WX269)+1,"")</f>
        <v/>
      </c>
      <c r="WY270" s="59" t="str">
        <f t="shared" ca="1" si="269"/>
        <v/>
      </c>
    </row>
    <row r="271" spans="530:623" ht="9.9499999999999993" customHeight="1" x14ac:dyDescent="0.2">
      <c r="TJ271" s="18">
        <f t="shared" si="253"/>
        <v>269</v>
      </c>
      <c r="TK271" s="58" t="s">
        <v>668</v>
      </c>
      <c r="TL271" s="58" t="s">
        <v>459</v>
      </c>
      <c r="TM271" s="18">
        <v>2</v>
      </c>
      <c r="TN271" s="59" t="str">
        <f t="shared" si="257"/>
        <v xml:space="preserve">Protection from Poison </v>
      </c>
      <c r="TO271" s="18" t="str">
        <f>""</f>
        <v/>
      </c>
      <c r="TP271" s="18" t="str">
        <f t="shared" si="258"/>
        <v/>
      </c>
      <c r="TQ271" s="18" t="str">
        <f>IF(OR(TK271=Spellcasting!$AC$18,TK271=Spellcasting!$AC$19),"ᵐ","")</f>
        <v/>
      </c>
      <c r="TR271" s="18" t="str">
        <f>IF(OR(TK271=Spellcasting!$AC$20,TK271=Spellcasting!$AC$21),"ˢ","")</f>
        <v/>
      </c>
      <c r="TS271" s="18" t="str">
        <f>""</f>
        <v/>
      </c>
      <c r="TT271" s="18" t="s">
        <v>484</v>
      </c>
      <c r="TU271" s="18" t="s">
        <v>519</v>
      </c>
      <c r="TV271" s="18" t="s">
        <v>521</v>
      </c>
      <c r="TW271" s="18" t="s">
        <v>486</v>
      </c>
      <c r="TX271" s="59" t="str">
        <f>""</f>
        <v/>
      </c>
      <c r="TY271" s="18" t="s">
        <v>487</v>
      </c>
      <c r="TZ271" s="18" t="s">
        <v>488</v>
      </c>
      <c r="UA271" s="142" t="s">
        <v>1363</v>
      </c>
      <c r="UB271" s="319" t="s">
        <v>1364</v>
      </c>
      <c r="UD271" s="18" t="str">
        <f ca="1">IF(UD$1&gt;=$TM271,1,"0")</f>
        <v>0</v>
      </c>
      <c r="UE271" s="18" t="str">
        <f ca="1">IF(UE$1&gt;=$TM271,1,"0")</f>
        <v>0</v>
      </c>
      <c r="UH271" s="18" t="str">
        <f ca="1">IF(UH$1&gt;=$TM271,1,"0")</f>
        <v>0</v>
      </c>
      <c r="UI271" s="18" t="str">
        <f ca="1">IF(UI$1&gt;=$TM271,1,"0")</f>
        <v>0</v>
      </c>
      <c r="WD271" s="18" t="str">
        <f ca="1">IF(SUM($VZ$1:$WC$1)&gt;0,IF(AND(SUM($VZ271:$WC271)&gt;0,$TM271=WE$1),MAX(WD$2:WD270)+1,""),IF(AND(SUM($UC271:$VY271)&gt;0,$TM271=WE$1),MAX(WD$2:WD270)+1,""))</f>
        <v/>
      </c>
      <c r="WE271" s="59" t="str">
        <f t="shared" ca="1" si="259"/>
        <v/>
      </c>
      <c r="WF271" s="18" t="str">
        <f ca="1">IF(AND(SUM($UB271:$VY271)&gt;0,$TM271=WG$1),MAX(WF$2:WF270)+1,"")</f>
        <v/>
      </c>
      <c r="WG271" s="59" t="str">
        <f t="shared" ca="1" si="260"/>
        <v/>
      </c>
      <c r="WH271" s="18" t="str">
        <f ca="1">IF(AND(SUM($UB271:$VY271)&gt;0,$TM271=WI$1),MAX(WH$2:WH270)+1,"")</f>
        <v/>
      </c>
      <c r="WI271" s="59" t="str">
        <f t="shared" ca="1" si="261"/>
        <v/>
      </c>
      <c r="WJ271" s="18" t="str">
        <f ca="1">IF(AND(SUM($UB271:$VY271)&gt;0,$TM271=WK$1),MAX(WJ$2:WJ270)+1,"")</f>
        <v/>
      </c>
      <c r="WK271" s="59" t="str">
        <f t="shared" ca="1" si="262"/>
        <v/>
      </c>
      <c r="WL271" s="18" t="str">
        <f ca="1">IF(AND(SUM($UB271:$VY271)&gt;0,$TM271=WM$1),MAX(WL$2:WL270)+1,"")</f>
        <v/>
      </c>
      <c r="WM271" s="59" t="str">
        <f t="shared" ca="1" si="263"/>
        <v/>
      </c>
      <c r="WN271" s="18" t="str">
        <f ca="1">IF(AND(SUM($UB271:$VY271)&gt;0,$TM271=WO$1),MAX(WN$2:WN270)+1,"")</f>
        <v/>
      </c>
      <c r="WO271" s="59" t="str">
        <f t="shared" ca="1" si="264"/>
        <v/>
      </c>
      <c r="WP271" s="18" t="str">
        <f ca="1">IF(AND(SUM($UB271:$VY271)&gt;0,$TM271=WQ$1),MAX(WP$2:WP270)+1,"")</f>
        <v/>
      </c>
      <c r="WQ271" s="59" t="str">
        <f t="shared" ca="1" si="265"/>
        <v/>
      </c>
      <c r="WR271" s="18" t="str">
        <f ca="1">IF(AND(SUM($UB271:$VY271)&gt;0,$TM271=WS$1),MAX(WR$2:WR270)+1,"")</f>
        <v/>
      </c>
      <c r="WS271" s="59" t="str">
        <f t="shared" ca="1" si="266"/>
        <v/>
      </c>
      <c r="WT271" s="18" t="str">
        <f ca="1">IF(AND(SUM($UB271:$VY271)&gt;0,$TM271=WU$1),MAX(WT$2:WT270)+1,"")</f>
        <v/>
      </c>
      <c r="WU271" s="59" t="str">
        <f t="shared" ca="1" si="267"/>
        <v/>
      </c>
      <c r="WV271" s="18" t="str">
        <f ca="1">IF(AND(SUM($UB271:$VY271)&gt;0,$TM271=WW$1),MAX(WV$2:WV270)+1,"")</f>
        <v/>
      </c>
      <c r="WW271" s="59" t="str">
        <f t="shared" ca="1" si="268"/>
        <v/>
      </c>
      <c r="WX271" s="18" t="str">
        <f ca="1">IF(AND(SUM($UB271:$VY271)&gt;0,$TM271=WY$1),MAX(WX$2:WX270)+1,"")</f>
        <v/>
      </c>
      <c r="WY271" s="59" t="str">
        <f t="shared" ca="1" si="269"/>
        <v/>
      </c>
    </row>
    <row r="272" spans="530:623" ht="9.9499999999999993" customHeight="1" x14ac:dyDescent="0.2">
      <c r="TJ272" s="18">
        <f t="shared" ref="TJ272:TJ335" si="270">TJ271+1</f>
        <v>270</v>
      </c>
      <c r="TK272" s="58" t="s">
        <v>669</v>
      </c>
      <c r="TL272" s="58" t="s">
        <v>448</v>
      </c>
      <c r="TM272" s="18">
        <v>1</v>
      </c>
      <c r="TN272" s="59" t="str">
        <f t="shared" si="257"/>
        <v xml:space="preserve">Purify Food and Drink </v>
      </c>
      <c r="TO272" s="18" t="str">
        <f>""</f>
        <v/>
      </c>
      <c r="TP272" s="18" t="str">
        <f t="shared" si="258"/>
        <v/>
      </c>
      <c r="TQ272" s="18" t="str">
        <f>IF(OR(TK272=Spellcasting!$AC$18,TK272=Spellcasting!$AC$19),"ᵐ","")</f>
        <v/>
      </c>
      <c r="TR272" s="18" t="str">
        <f>IF(OR(TK272=Spellcasting!$AC$20,TK272=Spellcasting!$AC$21),"ˢ","")</f>
        <v/>
      </c>
      <c r="TS272" s="18" t="s">
        <v>477</v>
      </c>
      <c r="TT272" s="18" t="s">
        <v>501</v>
      </c>
      <c r="TU272" s="18" t="s">
        <v>504</v>
      </c>
      <c r="TV272" s="18" t="s">
        <v>505</v>
      </c>
      <c r="TW272" s="18" t="s">
        <v>486</v>
      </c>
      <c r="TX272" s="59" t="str">
        <f>""</f>
        <v/>
      </c>
      <c r="TY272" s="18" t="s">
        <v>491</v>
      </c>
      <c r="TZ272" s="18" t="s">
        <v>492</v>
      </c>
      <c r="UA272" s="59" t="s">
        <v>1418</v>
      </c>
      <c r="UB272" s="319" t="s">
        <v>2096</v>
      </c>
      <c r="UD272" s="18" t="str">
        <f ca="1">IF(UD$1&gt;=$TM272,1,"0")</f>
        <v>0</v>
      </c>
      <c r="UH272" s="18" t="str">
        <f ca="1">IF(UH$1&gt;=$TM272,1,"0")</f>
        <v>0</v>
      </c>
      <c r="UI272" s="18" t="str">
        <f ca="1">IF(UI$1&gt;=$TM272,1,"0")</f>
        <v>0</v>
      </c>
      <c r="WD272" s="18" t="str">
        <f ca="1">IF(SUM($VZ$1:$WC$1)&gt;0,IF(AND(SUM($VZ272:$WC272)&gt;0,$TM272=WE$1),MAX(WD$2:WD271)+1,""),IF(AND(SUM($UC272:$VY272)&gt;0,$TM272=WE$1),MAX(WD$2:WD271)+1,""))</f>
        <v/>
      </c>
      <c r="WE272" s="59" t="str">
        <f t="shared" ca="1" si="259"/>
        <v/>
      </c>
      <c r="WF272" s="18" t="str">
        <f ca="1">IF(AND(SUM($UB272:$VY272)&gt;0,$TM272=WG$1),MAX(WF$2:WF271)+1,"")</f>
        <v/>
      </c>
      <c r="WG272" s="59" t="str">
        <f t="shared" ca="1" si="260"/>
        <v/>
      </c>
      <c r="WH272" s="18" t="str">
        <f ca="1">IF(AND(SUM($UB272:$VY272)&gt;0,$TM272=WI$1),MAX(WH$2:WH271)+1,"")</f>
        <v/>
      </c>
      <c r="WI272" s="59" t="str">
        <f t="shared" ca="1" si="261"/>
        <v/>
      </c>
      <c r="WJ272" s="18" t="str">
        <f ca="1">IF(AND(SUM($UB272:$VY272)&gt;0,$TM272=WK$1),MAX(WJ$2:WJ271)+1,"")</f>
        <v/>
      </c>
      <c r="WK272" s="59" t="str">
        <f t="shared" ca="1" si="262"/>
        <v/>
      </c>
      <c r="WL272" s="18" t="str">
        <f ca="1">IF(AND(SUM($UB272:$VY272)&gt;0,$TM272=WM$1),MAX(WL$2:WL271)+1,"")</f>
        <v/>
      </c>
      <c r="WM272" s="59" t="str">
        <f t="shared" ca="1" si="263"/>
        <v/>
      </c>
      <c r="WN272" s="18" t="str">
        <f ca="1">IF(AND(SUM($UB272:$VY272)&gt;0,$TM272=WO$1),MAX(WN$2:WN271)+1,"")</f>
        <v/>
      </c>
      <c r="WO272" s="59" t="str">
        <f t="shared" ca="1" si="264"/>
        <v/>
      </c>
      <c r="WP272" s="18" t="str">
        <f ca="1">IF(AND(SUM($UB272:$VY272)&gt;0,$TM272=WQ$1),MAX(WP$2:WP271)+1,"")</f>
        <v/>
      </c>
      <c r="WQ272" s="59" t="str">
        <f t="shared" ca="1" si="265"/>
        <v/>
      </c>
      <c r="WR272" s="18" t="str">
        <f ca="1">IF(AND(SUM($UB272:$VY272)&gt;0,$TM272=WS$1),MAX(WR$2:WR271)+1,"")</f>
        <v/>
      </c>
      <c r="WS272" s="59" t="str">
        <f t="shared" ca="1" si="266"/>
        <v/>
      </c>
      <c r="WT272" s="18" t="str">
        <f ca="1">IF(AND(SUM($UB272:$VY272)&gt;0,$TM272=WU$1),MAX(WT$2:WT271)+1,"")</f>
        <v/>
      </c>
      <c r="WU272" s="59" t="str">
        <f t="shared" ca="1" si="267"/>
        <v/>
      </c>
      <c r="WV272" s="18" t="str">
        <f ca="1">IF(AND(SUM($UB272:$VY272)&gt;0,$TM272=WW$1),MAX(WV$2:WV271)+1,"")</f>
        <v/>
      </c>
      <c r="WW272" s="59" t="str">
        <f t="shared" ca="1" si="268"/>
        <v/>
      </c>
      <c r="WX272" s="18" t="str">
        <f ca="1">IF(AND(SUM($UB272:$VY272)&gt;0,$TM272=WY$1),MAX(WX$2:WX271)+1,"")</f>
        <v/>
      </c>
      <c r="WY272" s="59" t="str">
        <f t="shared" ca="1" si="269"/>
        <v/>
      </c>
    </row>
    <row r="273" spans="530:623" ht="9.9499999999999993" customHeight="1" x14ac:dyDescent="0.2">
      <c r="TJ273" s="18">
        <f t="shared" si="270"/>
        <v>271</v>
      </c>
      <c r="TK273" s="58" t="s">
        <v>670</v>
      </c>
      <c r="TL273" s="58" t="s">
        <v>462</v>
      </c>
      <c r="TM273" s="18">
        <v>5</v>
      </c>
      <c r="TN273" s="59" t="str">
        <f t="shared" si="257"/>
        <v xml:space="preserve">Raise Dead </v>
      </c>
      <c r="TO273" s="18" t="str">
        <f>""</f>
        <v/>
      </c>
      <c r="TP273" s="18" t="str">
        <f t="shared" si="258"/>
        <v/>
      </c>
      <c r="TQ273" s="18" t="str">
        <f>IF(OR(TK273=Spellcasting!$AC$18,TK273=Spellcasting!$AC$19),"ᵐ","")</f>
        <v/>
      </c>
      <c r="TR273" s="18" t="str">
        <f>IF(OR(TK273=Spellcasting!$AC$20,TK273=Spellcasting!$AC$21),"ˢ","")</f>
        <v/>
      </c>
      <c r="TS273" s="18" t="str">
        <f>""</f>
        <v/>
      </c>
      <c r="TT273" s="18" t="s">
        <v>521</v>
      </c>
      <c r="TU273" s="18" t="s">
        <v>519</v>
      </c>
      <c r="TV273" s="18" t="s">
        <v>505</v>
      </c>
      <c r="TW273" s="18" t="s">
        <v>495</v>
      </c>
      <c r="TX273" s="59" t="s">
        <v>2068</v>
      </c>
      <c r="TY273" s="18" t="s">
        <v>506</v>
      </c>
      <c r="TZ273" s="18" t="s">
        <v>507</v>
      </c>
      <c r="UA273" s="142" t="s">
        <v>2282</v>
      </c>
      <c r="UB273" s="319" t="s">
        <v>2283</v>
      </c>
      <c r="UC273" s="18" t="str">
        <f ca="1">IF(UC$1&gt;=$TM273,1,"0")</f>
        <v>0</v>
      </c>
      <c r="UD273" s="18" t="str">
        <f ca="1">IF(UD$1&gt;=$TM273,1,"0")</f>
        <v>0</v>
      </c>
      <c r="UH273" s="18" t="str">
        <f ca="1">IF(UH$1&gt;=$TM273,1,"0")</f>
        <v>0</v>
      </c>
      <c r="UZ273" s="18" t="str">
        <f>IF(UZ$1&gt;=$TM273,1,"0")</f>
        <v>0</v>
      </c>
      <c r="WD273" s="18" t="str">
        <f ca="1">IF(SUM($VZ$1:$WC$1)&gt;0,IF(AND(SUM($VZ273:$WC273)&gt;0,$TM273=WE$1),MAX(WD$2:WD272)+1,""),IF(AND(SUM($UC273:$VY273)&gt;0,$TM273=WE$1),MAX(WD$2:WD272)+1,""))</f>
        <v/>
      </c>
      <c r="WE273" s="59" t="str">
        <f t="shared" ca="1" si="259"/>
        <v/>
      </c>
      <c r="WF273" s="18" t="str">
        <f ca="1">IF(AND(SUM($UB273:$VY273)&gt;0,$TM273=WG$1),MAX(WF$2:WF272)+1,"")</f>
        <v/>
      </c>
      <c r="WG273" s="59" t="str">
        <f t="shared" ca="1" si="260"/>
        <v/>
      </c>
      <c r="WH273" s="18" t="str">
        <f ca="1">IF(AND(SUM($UB273:$VY273)&gt;0,$TM273=WI$1),MAX(WH$2:WH272)+1,"")</f>
        <v/>
      </c>
      <c r="WI273" s="59" t="str">
        <f t="shared" ca="1" si="261"/>
        <v/>
      </c>
      <c r="WJ273" s="18" t="str">
        <f ca="1">IF(AND(SUM($UB273:$VY273)&gt;0,$TM273=WK$1),MAX(WJ$2:WJ272)+1,"")</f>
        <v/>
      </c>
      <c r="WK273" s="59" t="str">
        <f t="shared" ca="1" si="262"/>
        <v/>
      </c>
      <c r="WL273" s="18" t="str">
        <f ca="1">IF(AND(SUM($UB273:$VY273)&gt;0,$TM273=WM$1),MAX(WL$2:WL272)+1,"")</f>
        <v/>
      </c>
      <c r="WM273" s="59" t="str">
        <f t="shared" ca="1" si="263"/>
        <v/>
      </c>
      <c r="WN273" s="18" t="str">
        <f ca="1">IF(AND(SUM($UB273:$VY273)&gt;0,$TM273=WO$1),MAX(WN$2:WN272)+1,"")</f>
        <v/>
      </c>
      <c r="WO273" s="59" t="str">
        <f t="shared" ca="1" si="264"/>
        <v/>
      </c>
      <c r="WP273" s="18" t="str">
        <f ca="1">IF(AND(SUM($UB273:$VY273)&gt;0,$TM273=WQ$1),MAX(WP$2:WP272)+1,"")</f>
        <v/>
      </c>
      <c r="WQ273" s="59" t="str">
        <f t="shared" ca="1" si="265"/>
        <v/>
      </c>
      <c r="WR273" s="18" t="str">
        <f ca="1">IF(AND(SUM($UB273:$VY273)&gt;0,$TM273=WS$1),MAX(WR$2:WR272)+1,"")</f>
        <v/>
      </c>
      <c r="WS273" s="59" t="str">
        <f t="shared" ca="1" si="266"/>
        <v/>
      </c>
      <c r="WT273" s="18" t="str">
        <f ca="1">IF(AND(SUM($UB273:$VY273)&gt;0,$TM273=WU$1),MAX(WT$2:WT272)+1,"")</f>
        <v/>
      </c>
      <c r="WU273" s="59" t="str">
        <f t="shared" ca="1" si="267"/>
        <v/>
      </c>
      <c r="WV273" s="18" t="str">
        <f ca="1">IF(AND(SUM($UB273:$VY273)&gt;0,$TM273=WW$1),MAX(WV$2:WV272)+1,"")</f>
        <v/>
      </c>
      <c r="WW273" s="59" t="str">
        <f t="shared" ca="1" si="268"/>
        <v/>
      </c>
      <c r="WX273" s="18" t="str">
        <f ca="1">IF(AND(SUM($UB273:$VY273)&gt;0,$TM273=WY$1),MAX(WX$2:WX272)+1,"")</f>
        <v/>
      </c>
      <c r="WY273" s="59" t="str">
        <f t="shared" ca="1" si="269"/>
        <v/>
      </c>
    </row>
    <row r="274" spans="530:623" ht="9.9499999999999993" customHeight="1" x14ac:dyDescent="0.2">
      <c r="TJ274" s="18">
        <f t="shared" si="270"/>
        <v>272</v>
      </c>
      <c r="TK274" s="58" t="s">
        <v>1942</v>
      </c>
      <c r="TL274" s="58" t="s">
        <v>462</v>
      </c>
      <c r="TM274" s="18">
        <v>5</v>
      </c>
      <c r="TN274" s="59" t="str">
        <f t="shared" si="257"/>
        <v xml:space="preserve">Rary's Telepathic Bond </v>
      </c>
      <c r="TO274" s="18" t="str">
        <f>""</f>
        <v/>
      </c>
      <c r="TP274" s="18" t="str">
        <f t="shared" si="258"/>
        <v/>
      </c>
      <c r="TQ274" s="18" t="str">
        <f>IF(OR(TK274=Spellcasting!$AC$18,TK274=Spellcasting!$AC$19),"ᵐ","")</f>
        <v/>
      </c>
      <c r="TR274" s="18" t="str">
        <f>IF(OR(TK274=Spellcasting!$AC$20,TK274=Spellcasting!$AC$21),"ˢ","")</f>
        <v/>
      </c>
      <c r="TS274" s="18" t="s">
        <v>477</v>
      </c>
      <c r="TT274" s="18" t="s">
        <v>501</v>
      </c>
      <c r="TU274" s="18" t="s">
        <v>851</v>
      </c>
      <c r="TV274" s="18" t="s">
        <v>521</v>
      </c>
      <c r="TW274" s="18" t="s">
        <v>495</v>
      </c>
      <c r="TX274" s="59" t="s">
        <v>2019</v>
      </c>
      <c r="TY274" s="18" t="s">
        <v>511</v>
      </c>
      <c r="TZ274" s="18" t="s">
        <v>512</v>
      </c>
      <c r="UA274" s="142" t="s">
        <v>2284</v>
      </c>
      <c r="UB274" s="319" t="s">
        <v>2285</v>
      </c>
      <c r="UL274" s="18" t="str">
        <f ca="1">IF(UL$1&gt;=$TM274,1,"0")</f>
        <v>0</v>
      </c>
      <c r="WD274" s="18" t="str">
        <f ca="1">IF(SUM($VZ$1:$WC$1)&gt;0,IF(AND(SUM($VZ274:$WC274)&gt;0,$TM274=WE$1),MAX(WD$2:WD273)+1,""),IF(AND(SUM($UC274:$VY274)&gt;0,$TM274=WE$1),MAX(WD$2:WD273)+1,""))</f>
        <v/>
      </c>
      <c r="WE274" s="59" t="str">
        <f t="shared" ca="1" si="259"/>
        <v/>
      </c>
      <c r="WF274" s="18" t="str">
        <f ca="1">IF(AND(SUM($UB274:$VY274)&gt;0,$TM274=WG$1),MAX(WF$2:WF273)+1,"")</f>
        <v/>
      </c>
      <c r="WG274" s="59" t="str">
        <f t="shared" ca="1" si="260"/>
        <v/>
      </c>
      <c r="WH274" s="18" t="str">
        <f ca="1">IF(AND(SUM($UB274:$VY274)&gt;0,$TM274=WI$1),MAX(WH$2:WH273)+1,"")</f>
        <v/>
      </c>
      <c r="WI274" s="59" t="str">
        <f t="shared" ca="1" si="261"/>
        <v/>
      </c>
      <c r="WJ274" s="18" t="str">
        <f ca="1">IF(AND(SUM($UB274:$VY274)&gt;0,$TM274=WK$1),MAX(WJ$2:WJ273)+1,"")</f>
        <v/>
      </c>
      <c r="WK274" s="59" t="str">
        <f t="shared" ca="1" si="262"/>
        <v/>
      </c>
      <c r="WL274" s="18" t="str">
        <f ca="1">IF(AND(SUM($UB274:$VY274)&gt;0,$TM274=WM$1),MAX(WL$2:WL273)+1,"")</f>
        <v/>
      </c>
      <c r="WM274" s="59" t="str">
        <f t="shared" ca="1" si="263"/>
        <v/>
      </c>
      <c r="WN274" s="18" t="str">
        <f ca="1">IF(AND(SUM($UB274:$VY274)&gt;0,$TM274=WO$1),MAX(WN$2:WN273)+1,"")</f>
        <v/>
      </c>
      <c r="WO274" s="59" t="str">
        <f t="shared" ca="1" si="264"/>
        <v/>
      </c>
      <c r="WP274" s="18" t="str">
        <f ca="1">IF(AND(SUM($UB274:$VY274)&gt;0,$TM274=WQ$1),MAX(WP$2:WP273)+1,"")</f>
        <v/>
      </c>
      <c r="WQ274" s="59" t="str">
        <f t="shared" ca="1" si="265"/>
        <v/>
      </c>
      <c r="WR274" s="18" t="str">
        <f ca="1">IF(AND(SUM($UB274:$VY274)&gt;0,$TM274=WS$1),MAX(WR$2:WR273)+1,"")</f>
        <v/>
      </c>
      <c r="WS274" s="59" t="str">
        <f t="shared" ca="1" si="266"/>
        <v/>
      </c>
      <c r="WT274" s="18" t="str">
        <f ca="1">IF(AND(SUM($UB274:$VY274)&gt;0,$TM274=WU$1),MAX(WT$2:WT273)+1,"")</f>
        <v/>
      </c>
      <c r="WU274" s="59" t="str">
        <f t="shared" ca="1" si="267"/>
        <v/>
      </c>
      <c r="WV274" s="18" t="str">
        <f ca="1">IF(AND(SUM($UB274:$VY274)&gt;0,$TM274=WW$1),MAX(WV$2:WV273)+1,"")</f>
        <v/>
      </c>
      <c r="WW274" s="59" t="str">
        <f t="shared" ca="1" si="268"/>
        <v/>
      </c>
      <c r="WX274" s="18" t="str">
        <f ca="1">IF(AND(SUM($UB274:$VY274)&gt;0,$TM274=WY$1),MAX(WX$2:WX273)+1,"")</f>
        <v/>
      </c>
      <c r="WY274" s="59" t="str">
        <f t="shared" ca="1" si="269"/>
        <v/>
      </c>
    </row>
    <row r="275" spans="530:623" ht="9.9499999999999993" customHeight="1" x14ac:dyDescent="0.2">
      <c r="TJ275" s="18">
        <f t="shared" si="270"/>
        <v>273</v>
      </c>
      <c r="TK275" s="58" t="s">
        <v>671</v>
      </c>
      <c r="TL275" s="58" t="s">
        <v>459</v>
      </c>
      <c r="TM275" s="18">
        <v>2</v>
      </c>
      <c r="TN275" s="59" t="str">
        <f t="shared" si="257"/>
        <v xml:space="preserve">Ray of Enfeeblement </v>
      </c>
      <c r="TO275" s="18" t="str">
        <f>""</f>
        <v/>
      </c>
      <c r="TP275" s="18" t="str">
        <f t="shared" si="258"/>
        <v/>
      </c>
      <c r="TQ275" s="18" t="str">
        <f>IF(OR(TK275=Spellcasting!$AC$18,TK275=Spellcasting!$AC$19),"ᵐ","")</f>
        <v/>
      </c>
      <c r="TR275" s="18" t="str">
        <f>IF(OR(TK275=Spellcasting!$AC$20,TK275=Spellcasting!$AC$21),"ˢ","")</f>
        <v/>
      </c>
      <c r="TS275" s="18" t="str">
        <f>""</f>
        <v/>
      </c>
      <c r="TT275" s="18" t="s">
        <v>484</v>
      </c>
      <c r="TU275" s="18" t="s">
        <v>850</v>
      </c>
      <c r="TV275" s="18" t="s">
        <v>558</v>
      </c>
      <c r="TW275" s="18" t="s">
        <v>486</v>
      </c>
      <c r="TX275" s="59" t="str">
        <f>""</f>
        <v/>
      </c>
      <c r="TY275" s="18" t="s">
        <v>506</v>
      </c>
      <c r="TZ275" s="18" t="s">
        <v>507</v>
      </c>
      <c r="UA275" s="142" t="s">
        <v>1365</v>
      </c>
      <c r="UB275" s="319" t="s">
        <v>3003</v>
      </c>
      <c r="UG275" s="18" t="str">
        <f ca="1">IF(UG$1&gt;=$TM275,1,"0")</f>
        <v>0</v>
      </c>
      <c r="UL275" s="18" t="str">
        <f ca="1">IF(UL$1&gt;=$TM275,1,"0")</f>
        <v>0</v>
      </c>
      <c r="WD275" s="18" t="str">
        <f ca="1">IF(SUM($VZ$1:$WC$1)&gt;0,IF(AND(SUM($VZ275:$WC275)&gt;0,$TM275=WE$1),MAX(WD$2:WD274)+1,""),IF(AND(SUM($UC275:$VY275)&gt;0,$TM275=WE$1),MAX(WD$2:WD274)+1,""))</f>
        <v/>
      </c>
      <c r="WE275" s="59" t="str">
        <f t="shared" ca="1" si="259"/>
        <v/>
      </c>
      <c r="WF275" s="18" t="str">
        <f ca="1">IF(AND(SUM($UB275:$VY275)&gt;0,$TM275=WG$1),MAX(WF$2:WF274)+1,"")</f>
        <v/>
      </c>
      <c r="WG275" s="59" t="str">
        <f t="shared" ca="1" si="260"/>
        <v/>
      </c>
      <c r="WH275" s="18" t="str">
        <f ca="1">IF(AND(SUM($UB275:$VY275)&gt;0,$TM275=WI$1),MAX(WH$2:WH274)+1,"")</f>
        <v/>
      </c>
      <c r="WI275" s="59" t="str">
        <f t="shared" ca="1" si="261"/>
        <v/>
      </c>
      <c r="WJ275" s="18" t="str">
        <f ca="1">IF(AND(SUM($UB275:$VY275)&gt;0,$TM275=WK$1),MAX(WJ$2:WJ274)+1,"")</f>
        <v/>
      </c>
      <c r="WK275" s="59" t="str">
        <f t="shared" ca="1" si="262"/>
        <v/>
      </c>
      <c r="WL275" s="18" t="str">
        <f ca="1">IF(AND(SUM($UB275:$VY275)&gt;0,$TM275=WM$1),MAX(WL$2:WL274)+1,"")</f>
        <v/>
      </c>
      <c r="WM275" s="59" t="str">
        <f t="shared" ca="1" si="263"/>
        <v/>
      </c>
      <c r="WN275" s="18" t="str">
        <f ca="1">IF(AND(SUM($UB275:$VY275)&gt;0,$TM275=WO$1),MAX(WN$2:WN274)+1,"")</f>
        <v/>
      </c>
      <c r="WO275" s="59" t="str">
        <f t="shared" ca="1" si="264"/>
        <v/>
      </c>
      <c r="WP275" s="18" t="str">
        <f ca="1">IF(AND(SUM($UB275:$VY275)&gt;0,$TM275=WQ$1),MAX(WP$2:WP274)+1,"")</f>
        <v/>
      </c>
      <c r="WQ275" s="59" t="str">
        <f t="shared" ca="1" si="265"/>
        <v/>
      </c>
      <c r="WR275" s="18" t="str">
        <f ca="1">IF(AND(SUM($UB275:$VY275)&gt;0,$TM275=WS$1),MAX(WR$2:WR274)+1,"")</f>
        <v/>
      </c>
      <c r="WS275" s="59" t="str">
        <f t="shared" ca="1" si="266"/>
        <v/>
      </c>
      <c r="WT275" s="18" t="str">
        <f ca="1">IF(AND(SUM($UB275:$VY275)&gt;0,$TM275=WU$1),MAX(WT$2:WT274)+1,"")</f>
        <v/>
      </c>
      <c r="WU275" s="59" t="str">
        <f t="shared" ca="1" si="267"/>
        <v/>
      </c>
      <c r="WV275" s="18" t="str">
        <f ca="1">IF(AND(SUM($UB275:$VY275)&gt;0,$TM275=WW$1),MAX(WV$2:WV274)+1,"")</f>
        <v/>
      </c>
      <c r="WW275" s="59" t="str">
        <f t="shared" ca="1" si="268"/>
        <v/>
      </c>
      <c r="WX275" s="18" t="str">
        <f ca="1">IF(AND(SUM($UB275:$VY275)&gt;0,$TM275=WY$1),MAX(WX$2:WX274)+1,"")</f>
        <v/>
      </c>
      <c r="WY275" s="59" t="str">
        <f t="shared" ca="1" si="269"/>
        <v/>
      </c>
    </row>
    <row r="276" spans="530:623" ht="9.9499999999999993" customHeight="1" x14ac:dyDescent="0.2">
      <c r="TJ276" s="18">
        <f t="shared" si="270"/>
        <v>274</v>
      </c>
      <c r="TK276" s="58" t="s">
        <v>672</v>
      </c>
      <c r="TL276" s="58" t="s">
        <v>1840</v>
      </c>
      <c r="TM276" s="18">
        <v>0.5</v>
      </c>
      <c r="TN276" s="59" t="str">
        <f t="shared" si="257"/>
        <v xml:space="preserve">Ray of Frost </v>
      </c>
      <c r="TO276" s="18" t="str">
        <f>""</f>
        <v/>
      </c>
      <c r="TP276" s="18" t="str">
        <f t="shared" si="258"/>
        <v/>
      </c>
      <c r="TQ276" s="18" t="str">
        <f>IF(OR(TK276=Spellcasting!$AC$18,TK276=Spellcasting!$AC$19),"ᵐ","")</f>
        <v/>
      </c>
      <c r="TR276" s="18" t="str">
        <f>IF(OR(TK276=Spellcasting!$AC$20,TK276=Spellcasting!$AC$21),"ˢ","")</f>
        <v/>
      </c>
      <c r="TS276" s="18" t="str">
        <f>""</f>
        <v/>
      </c>
      <c r="TT276" s="18" t="s">
        <v>484</v>
      </c>
      <c r="TU276" s="18" t="s">
        <v>850</v>
      </c>
      <c r="TV276" s="18" t="s">
        <v>505</v>
      </c>
      <c r="TW276" s="18" t="s">
        <v>486</v>
      </c>
      <c r="TX276" s="59" t="str">
        <f>""</f>
        <v/>
      </c>
      <c r="TY276" s="18" t="s">
        <v>534</v>
      </c>
      <c r="TZ276" s="18" t="s">
        <v>535</v>
      </c>
      <c r="UA276" s="142" t="s">
        <v>1859</v>
      </c>
      <c r="UB276" s="319" t="str">
        <f ca="1">"ranged, "&amp;IF(CharacterLevel&gt;16,"4d8",IF(CharacterLevel&gt;10,"3d8",IF(CharacterLevel&gt;4,"2d8","1d8")))&amp;IF(WizardEvocationLevel&gt;=10,"+"&amp;INTMod,IF(AD261=TRUE,"+"&amp;CHAMod,""))&amp;" cold, -10ft move"</f>
        <v>ranged, 1d8 cold, -10ft move</v>
      </c>
      <c r="UF276" s="18" t="str">
        <f ca="1">IF(UF$1&gt;=$TM276,1,"0")</f>
        <v>0</v>
      </c>
      <c r="UL276" s="18" t="str">
        <f ca="1">IF(UL$1&gt;=$TM276,1,"0")</f>
        <v>0</v>
      </c>
      <c r="VP276" s="18" t="str">
        <f>IF(VP$1&gt;=$TM276,1,"0")</f>
        <v>0</v>
      </c>
      <c r="VQ276" s="18" t="str">
        <f>IF(VQ$1&gt;=$TM276,1,"0")</f>
        <v>0</v>
      </c>
      <c r="WB276" s="18" t="str">
        <f>IF(WB$1&gt;=$TM276,1,"0")</f>
        <v>0</v>
      </c>
      <c r="WC276" s="18"/>
      <c r="WD276" s="18" t="str">
        <f ca="1">IF(SUM($VZ$1:$WC$1)&gt;0,IF(AND(SUM($VZ276:$WC276)&gt;0,$TM276=WE$1),MAX(WD$2:WD275)+1,""),IF(AND(SUM($UC276:$VY276)&gt;0,$TM276=WE$1),MAX(WD$2:WD275)+1,""))</f>
        <v/>
      </c>
      <c r="WE276" s="59" t="str">
        <f t="shared" ca="1" si="259"/>
        <v/>
      </c>
      <c r="WF276" s="18" t="str">
        <f ca="1">IF(AND(SUM($UB276:$VY276)&gt;0,$TM276=WG$1),MAX(WF$2:WF275)+1,"")</f>
        <v/>
      </c>
      <c r="WG276" s="59" t="str">
        <f t="shared" ca="1" si="260"/>
        <v/>
      </c>
      <c r="WH276" s="18" t="str">
        <f ca="1">IF(AND(SUM($UB276:$VY276)&gt;0,$TM276=WI$1),MAX(WH$2:WH275)+1,"")</f>
        <v/>
      </c>
      <c r="WI276" s="59" t="str">
        <f t="shared" ca="1" si="261"/>
        <v/>
      </c>
      <c r="WJ276" s="18" t="str">
        <f ca="1">IF(AND(SUM($UB276:$VY276)&gt;0,$TM276=WK$1),MAX(WJ$2:WJ275)+1,"")</f>
        <v/>
      </c>
      <c r="WK276" s="59" t="str">
        <f t="shared" ca="1" si="262"/>
        <v/>
      </c>
      <c r="WL276" s="18" t="str">
        <f ca="1">IF(AND(SUM($UB276:$VY276)&gt;0,$TM276=WM$1),MAX(WL$2:WL275)+1,"")</f>
        <v/>
      </c>
      <c r="WM276" s="59" t="str">
        <f t="shared" ca="1" si="263"/>
        <v/>
      </c>
      <c r="WN276" s="18" t="str">
        <f ca="1">IF(AND(SUM($UB276:$VY276)&gt;0,$TM276=WO$1),MAX(WN$2:WN275)+1,"")</f>
        <v/>
      </c>
      <c r="WO276" s="59" t="str">
        <f t="shared" ca="1" si="264"/>
        <v/>
      </c>
      <c r="WP276" s="18" t="str">
        <f ca="1">IF(AND(SUM($UB276:$VY276)&gt;0,$TM276=WQ$1),MAX(WP$2:WP275)+1,"")</f>
        <v/>
      </c>
      <c r="WQ276" s="59" t="str">
        <f t="shared" ca="1" si="265"/>
        <v/>
      </c>
      <c r="WR276" s="18" t="str">
        <f ca="1">IF(AND(SUM($UB276:$VY276)&gt;0,$TM276=WS$1),MAX(WR$2:WR275)+1,"")</f>
        <v/>
      </c>
      <c r="WS276" s="59" t="str">
        <f t="shared" ca="1" si="266"/>
        <v/>
      </c>
      <c r="WT276" s="18" t="str">
        <f ca="1">IF(AND(SUM($UB276:$VY276)&gt;0,$TM276=WU$1),MAX(WT$2:WT275)+1,"")</f>
        <v/>
      </c>
      <c r="WU276" s="59" t="str">
        <f t="shared" ca="1" si="267"/>
        <v/>
      </c>
      <c r="WV276" s="18" t="str">
        <f ca="1">IF(AND(SUM($UB276:$VY276)&gt;0,$TM276=WW$1),MAX(WV$2:WV275)+1,"")</f>
        <v/>
      </c>
      <c r="WW276" s="59" t="str">
        <f t="shared" ca="1" si="268"/>
        <v/>
      </c>
      <c r="WX276" s="18" t="str">
        <f ca="1">IF(AND(SUM($UB276:$VY276)&gt;0,$TM276=WY$1),MAX(WX$2:WX275)+1,"")</f>
        <v/>
      </c>
      <c r="WY276" s="59" t="str">
        <f t="shared" ca="1" si="269"/>
        <v/>
      </c>
    </row>
    <row r="277" spans="530:623" ht="9.9499999999999993" customHeight="1" x14ac:dyDescent="0.2">
      <c r="TJ277" s="18">
        <f t="shared" si="270"/>
        <v>275</v>
      </c>
      <c r="TK277" s="58" t="s">
        <v>1222</v>
      </c>
      <c r="TL277" s="58" t="s">
        <v>448</v>
      </c>
      <c r="TM277" s="18">
        <v>1</v>
      </c>
      <c r="TN277" s="59" t="str">
        <f t="shared" si="257"/>
        <v xml:space="preserve">Ray of Sickness ᴴ </v>
      </c>
      <c r="TO277" s="350" t="s">
        <v>2991</v>
      </c>
      <c r="TP277" s="18" t="str">
        <f t="shared" si="258"/>
        <v/>
      </c>
      <c r="TQ277" s="18" t="str">
        <f>IF(OR(TK277=Spellcasting!$AC$18,TK277=Spellcasting!$AC$19),"ᵐ","")</f>
        <v/>
      </c>
      <c r="TR277" s="18" t="str">
        <f>IF(OR(TK277=Spellcasting!$AC$20,TK277=Spellcasting!$AC$21),"ˢ","")</f>
        <v/>
      </c>
      <c r="TS277" s="18" t="str">
        <f>""</f>
        <v/>
      </c>
      <c r="TT277" s="18" t="s">
        <v>484</v>
      </c>
      <c r="TU277" s="18" t="s">
        <v>850</v>
      </c>
      <c r="TV277" s="18" t="s">
        <v>505</v>
      </c>
      <c r="TW277" s="18" t="s">
        <v>486</v>
      </c>
      <c r="TX277" s="59" t="str">
        <f>""</f>
        <v/>
      </c>
      <c r="TY277" s="18" t="s">
        <v>506</v>
      </c>
      <c r="TZ277" s="18" t="s">
        <v>507</v>
      </c>
      <c r="UA277" s="142" t="s">
        <v>3188</v>
      </c>
      <c r="UB277" s="319" t="s">
        <v>2271</v>
      </c>
      <c r="UL277" s="18" t="str">
        <f ca="1">IF(UL$1&gt;=$TM277,1,"0")</f>
        <v>0</v>
      </c>
      <c r="WD277" s="18" t="str">
        <f ca="1">IF(SUM($VZ$1:$WC$1)&gt;0,IF(AND(SUM($VZ277:$WC277)&gt;0,$TM277=WE$1),MAX(WD$2:WD276)+1,""),IF(AND(SUM($UC277:$VY277)&gt;0,$TM277=WE$1),MAX(WD$2:WD276)+1,""))</f>
        <v/>
      </c>
      <c r="WE277" s="59" t="str">
        <f t="shared" ca="1" si="259"/>
        <v/>
      </c>
      <c r="WF277" s="18" t="str">
        <f ca="1">IF(AND(SUM($UB277:$VY277)&gt;0,$TM277=WG$1),MAX(WF$2:WF276)+1,"")</f>
        <v/>
      </c>
      <c r="WG277" s="59" t="str">
        <f t="shared" ca="1" si="260"/>
        <v/>
      </c>
      <c r="WH277" s="18" t="str">
        <f ca="1">IF(AND(SUM($UB277:$VY277)&gt;0,$TM277=WI$1),MAX(WH$2:WH276)+1,"")</f>
        <v/>
      </c>
      <c r="WI277" s="59" t="str">
        <f t="shared" ca="1" si="261"/>
        <v/>
      </c>
      <c r="WJ277" s="18" t="str">
        <f ca="1">IF(AND(SUM($UB277:$VY277)&gt;0,$TM277=WK$1),MAX(WJ$2:WJ276)+1,"")</f>
        <v/>
      </c>
      <c r="WK277" s="59" t="str">
        <f t="shared" ca="1" si="262"/>
        <v/>
      </c>
      <c r="WL277" s="18" t="str">
        <f ca="1">IF(AND(SUM($UB277:$VY277)&gt;0,$TM277=WM$1),MAX(WL$2:WL276)+1,"")</f>
        <v/>
      </c>
      <c r="WM277" s="59" t="str">
        <f t="shared" ca="1" si="263"/>
        <v/>
      </c>
      <c r="WN277" s="18" t="str">
        <f ca="1">IF(AND(SUM($UB277:$VY277)&gt;0,$TM277=WO$1),MAX(WN$2:WN276)+1,"")</f>
        <v/>
      </c>
      <c r="WO277" s="59" t="str">
        <f t="shared" ca="1" si="264"/>
        <v/>
      </c>
      <c r="WP277" s="18" t="str">
        <f ca="1">IF(AND(SUM($UB277:$VY277)&gt;0,$TM277=WQ$1),MAX(WP$2:WP276)+1,"")</f>
        <v/>
      </c>
      <c r="WQ277" s="59" t="str">
        <f t="shared" ca="1" si="265"/>
        <v/>
      </c>
      <c r="WR277" s="18" t="str">
        <f ca="1">IF(AND(SUM($UB277:$VY277)&gt;0,$TM277=WS$1),MAX(WR$2:WR276)+1,"")</f>
        <v/>
      </c>
      <c r="WS277" s="59" t="str">
        <f t="shared" ca="1" si="266"/>
        <v/>
      </c>
      <c r="WT277" s="18" t="str">
        <f ca="1">IF(AND(SUM($UB277:$VY277)&gt;0,$TM277=WU$1),MAX(WT$2:WT276)+1,"")</f>
        <v/>
      </c>
      <c r="WU277" s="59" t="str">
        <f t="shared" ca="1" si="267"/>
        <v/>
      </c>
      <c r="WV277" s="18" t="str">
        <f ca="1">IF(AND(SUM($UB277:$VY277)&gt;0,$TM277=WW$1),MAX(WV$2:WV276)+1,"")</f>
        <v/>
      </c>
      <c r="WW277" s="59" t="str">
        <f t="shared" ca="1" si="268"/>
        <v/>
      </c>
      <c r="WX277" s="18" t="str">
        <f ca="1">IF(AND(SUM($UB277:$VY277)&gt;0,$TM277=WY$1),MAX(WX$2:WX276)+1,"")</f>
        <v/>
      </c>
      <c r="WY277" s="59" t="str">
        <f t="shared" ca="1" si="269"/>
        <v/>
      </c>
    </row>
    <row r="278" spans="530:623" ht="9.9499999999999993" customHeight="1" x14ac:dyDescent="0.2">
      <c r="TJ278" s="18">
        <f t="shared" si="270"/>
        <v>276</v>
      </c>
      <c r="TK278" s="58" t="s">
        <v>673</v>
      </c>
      <c r="TL278" s="58" t="s">
        <v>464</v>
      </c>
      <c r="TM278" s="18">
        <v>7</v>
      </c>
      <c r="TN278" s="59" t="str">
        <f t="shared" si="257"/>
        <v xml:space="preserve">Regenerate </v>
      </c>
      <c r="TO278" s="18" t="str">
        <f>""</f>
        <v/>
      </c>
      <c r="TP278" s="18" t="str">
        <f t="shared" si="258"/>
        <v/>
      </c>
      <c r="TQ278" s="18" t="str">
        <f>IF(OR(TK278=Spellcasting!$AC$18,TK278=Spellcasting!$AC$19),"ᵐ","")</f>
        <v/>
      </c>
      <c r="TR278" s="18" t="str">
        <f>IF(OR(TK278=Spellcasting!$AC$20,TK278=Spellcasting!$AC$21),"ˢ","")</f>
        <v/>
      </c>
      <c r="TS278" s="18" t="str">
        <f>""</f>
        <v/>
      </c>
      <c r="TT278" s="18" t="s">
        <v>503</v>
      </c>
      <c r="TU278" s="18" t="s">
        <v>519</v>
      </c>
      <c r="TV278" s="18" t="s">
        <v>521</v>
      </c>
      <c r="TW278" s="18" t="s">
        <v>495</v>
      </c>
      <c r="TX278" s="59" t="s">
        <v>2069</v>
      </c>
      <c r="TY278" s="18" t="s">
        <v>491</v>
      </c>
      <c r="TZ278" s="18" t="s">
        <v>492</v>
      </c>
      <c r="UA278" s="142" t="s">
        <v>3213</v>
      </c>
      <c r="UB278" s="319" t="s">
        <v>2286</v>
      </c>
      <c r="UC278" s="18" t="str">
        <f ca="1">IF(UC$1&gt;=$TM278,1,"0")</f>
        <v>0</v>
      </c>
      <c r="UH278" s="18" t="str">
        <f ca="1">IF(UH$1&gt;=$TM278,1,"0")</f>
        <v>0</v>
      </c>
      <c r="UI278" s="18" t="str">
        <f ca="1">IF(UI$1&gt;=$TM278,1,"0")</f>
        <v>0</v>
      </c>
      <c r="WD278" s="18" t="str">
        <f ca="1">IF(SUM($VZ$1:$WC$1)&gt;0,IF(AND(SUM($VZ278:$WC278)&gt;0,$TM278=WE$1),MAX(WD$2:WD277)+1,""),IF(AND(SUM($UC278:$VY278)&gt;0,$TM278=WE$1),MAX(WD$2:WD277)+1,""))</f>
        <v/>
      </c>
      <c r="WE278" s="59" t="str">
        <f t="shared" ca="1" si="259"/>
        <v/>
      </c>
      <c r="WF278" s="18" t="str">
        <f ca="1">IF(AND(SUM($UB278:$VY278)&gt;0,$TM278=WG$1),MAX(WF$2:WF277)+1,"")</f>
        <v/>
      </c>
      <c r="WG278" s="59" t="str">
        <f t="shared" ca="1" si="260"/>
        <v/>
      </c>
      <c r="WH278" s="18" t="str">
        <f ca="1">IF(AND(SUM($UB278:$VY278)&gt;0,$TM278=WI$1),MAX(WH$2:WH277)+1,"")</f>
        <v/>
      </c>
      <c r="WI278" s="59" t="str">
        <f t="shared" ca="1" si="261"/>
        <v/>
      </c>
      <c r="WJ278" s="18" t="str">
        <f ca="1">IF(AND(SUM($UB278:$VY278)&gt;0,$TM278=WK$1),MAX(WJ$2:WJ277)+1,"")</f>
        <v/>
      </c>
      <c r="WK278" s="59" t="str">
        <f t="shared" ca="1" si="262"/>
        <v/>
      </c>
      <c r="WL278" s="18" t="str">
        <f ca="1">IF(AND(SUM($UB278:$VY278)&gt;0,$TM278=WM$1),MAX(WL$2:WL277)+1,"")</f>
        <v/>
      </c>
      <c r="WM278" s="59" t="str">
        <f t="shared" ca="1" si="263"/>
        <v/>
      </c>
      <c r="WN278" s="18" t="str">
        <f ca="1">IF(AND(SUM($UB278:$VY278)&gt;0,$TM278=WO$1),MAX(WN$2:WN277)+1,"")</f>
        <v/>
      </c>
      <c r="WO278" s="59" t="str">
        <f t="shared" ca="1" si="264"/>
        <v/>
      </c>
      <c r="WP278" s="18" t="str">
        <f ca="1">IF(AND(SUM($UB278:$VY278)&gt;0,$TM278=WQ$1),MAX(WP$2:WP277)+1,"")</f>
        <v/>
      </c>
      <c r="WQ278" s="59" t="str">
        <f t="shared" ca="1" si="265"/>
        <v/>
      </c>
      <c r="WR278" s="18" t="str">
        <f ca="1">IF(AND(SUM($UB278:$VY278)&gt;0,$TM278=WS$1),MAX(WR$2:WR277)+1,"")</f>
        <v/>
      </c>
      <c r="WS278" s="59" t="str">
        <f t="shared" ca="1" si="266"/>
        <v/>
      </c>
      <c r="WT278" s="18" t="str">
        <f ca="1">IF(AND(SUM($UB278:$VY278)&gt;0,$TM278=WU$1),MAX(WT$2:WT277)+1,"")</f>
        <v/>
      </c>
      <c r="WU278" s="59" t="str">
        <f t="shared" ca="1" si="267"/>
        <v/>
      </c>
      <c r="WV278" s="18" t="str">
        <f ca="1">IF(AND(SUM($UB278:$VY278)&gt;0,$TM278=WW$1),MAX(WV$2:WV277)+1,"")</f>
        <v/>
      </c>
      <c r="WW278" s="59" t="str">
        <f t="shared" ca="1" si="268"/>
        <v/>
      </c>
      <c r="WX278" s="18" t="str">
        <f ca="1">IF(AND(SUM($UB278:$VY278)&gt;0,$TM278=WY$1),MAX(WX$2:WX277)+1,"")</f>
        <v/>
      </c>
      <c r="WY278" s="59" t="str">
        <f t="shared" ca="1" si="269"/>
        <v/>
      </c>
    </row>
    <row r="279" spans="530:623" ht="9.9499999999999993" customHeight="1" x14ac:dyDescent="0.2">
      <c r="TJ279" s="18">
        <f t="shared" si="270"/>
        <v>277</v>
      </c>
      <c r="TK279" s="58" t="s">
        <v>2687</v>
      </c>
      <c r="TL279" s="58" t="s">
        <v>462</v>
      </c>
      <c r="TM279" s="18">
        <v>5</v>
      </c>
      <c r="TN279" s="59" t="str">
        <f t="shared" si="257"/>
        <v xml:space="preserve">Reincarnate </v>
      </c>
      <c r="TO279" s="18" t="str">
        <f>""</f>
        <v/>
      </c>
      <c r="TP279" s="18" t="str">
        <f t="shared" si="258"/>
        <v/>
      </c>
      <c r="TQ279" s="18" t="str">
        <f>IF(OR(TK279=Spellcasting!$AC$18,TK279=Spellcasting!$AC$19),"ᵐ","")</f>
        <v/>
      </c>
      <c r="TR279" s="18" t="str">
        <f>IF(OR(TK279=Spellcasting!$AC$20,TK279=Spellcasting!$AC$21),"ˢ","")</f>
        <v/>
      </c>
      <c r="TS279" s="18" t="str">
        <f>""</f>
        <v/>
      </c>
      <c r="TT279" s="18" t="s">
        <v>521</v>
      </c>
      <c r="TU279" s="18" t="s">
        <v>519</v>
      </c>
      <c r="TV279" s="18" t="s">
        <v>505</v>
      </c>
      <c r="TW279" s="18" t="s">
        <v>495</v>
      </c>
      <c r="TX279" s="59" t="s">
        <v>2688</v>
      </c>
      <c r="TY279" s="18" t="s">
        <v>491</v>
      </c>
      <c r="TZ279" s="18" t="s">
        <v>492</v>
      </c>
      <c r="UA279" s="142" t="s">
        <v>3197</v>
      </c>
      <c r="UB279" s="319" t="s">
        <v>2689</v>
      </c>
      <c r="UI279" s="18" t="str">
        <f ca="1">IF(UI$1&gt;=$TM279,1,"0")</f>
        <v>0</v>
      </c>
      <c r="WD279" s="18" t="str">
        <f ca="1">IF(SUM($VZ$1:$WC$1)&gt;0,IF(AND(SUM($VZ279:$WC279)&gt;0,$TM279=WE$1),MAX(WD$2:WD278)+1,""),IF(AND(SUM($UC279:$VY279)&gt;0,$TM279=WE$1),MAX(WD$2:WD278)+1,""))</f>
        <v/>
      </c>
      <c r="WE279" s="59" t="str">
        <f t="shared" ca="1" si="259"/>
        <v/>
      </c>
      <c r="WF279" s="18" t="str">
        <f ca="1">IF(AND(SUM($UB279:$VY279)&gt;0,$TM279=WG$1),MAX(WF$2:WF278)+1,"")</f>
        <v/>
      </c>
      <c r="WG279" s="59" t="str">
        <f t="shared" ca="1" si="260"/>
        <v/>
      </c>
      <c r="WH279" s="18" t="str">
        <f ca="1">IF(AND(SUM($UB279:$VY279)&gt;0,$TM279=WI$1),MAX(WH$2:WH278)+1,"")</f>
        <v/>
      </c>
      <c r="WI279" s="59" t="str">
        <f t="shared" ca="1" si="261"/>
        <v/>
      </c>
      <c r="WJ279" s="18" t="str">
        <f ca="1">IF(AND(SUM($UB279:$VY279)&gt;0,$TM279=WK$1),MAX(WJ$2:WJ278)+1,"")</f>
        <v/>
      </c>
      <c r="WK279" s="59" t="str">
        <f t="shared" ca="1" si="262"/>
        <v/>
      </c>
      <c r="WL279" s="18" t="str">
        <f ca="1">IF(AND(SUM($UB279:$VY279)&gt;0,$TM279=WM$1),MAX(WL$2:WL278)+1,"")</f>
        <v/>
      </c>
      <c r="WM279" s="59" t="str">
        <f t="shared" ca="1" si="263"/>
        <v/>
      </c>
      <c r="WN279" s="18" t="str">
        <f ca="1">IF(AND(SUM($UB279:$VY279)&gt;0,$TM279=WO$1),MAX(WN$2:WN278)+1,"")</f>
        <v/>
      </c>
      <c r="WO279" s="59" t="str">
        <f t="shared" ca="1" si="264"/>
        <v/>
      </c>
      <c r="WP279" s="18" t="str">
        <f ca="1">IF(AND(SUM($UB279:$VY279)&gt;0,$TM279=WQ$1),MAX(WP$2:WP278)+1,"")</f>
        <v/>
      </c>
      <c r="WQ279" s="59" t="str">
        <f t="shared" ca="1" si="265"/>
        <v/>
      </c>
      <c r="WR279" s="18" t="str">
        <f ca="1">IF(AND(SUM($UB279:$VY279)&gt;0,$TM279=WS$1),MAX(WR$2:WR278)+1,"")</f>
        <v/>
      </c>
      <c r="WS279" s="59" t="str">
        <f t="shared" ca="1" si="266"/>
        <v/>
      </c>
      <c r="WT279" s="18" t="str">
        <f ca="1">IF(AND(SUM($UB279:$VY279)&gt;0,$TM279=WU$1),MAX(WT$2:WT278)+1,"")</f>
        <v/>
      </c>
      <c r="WU279" s="59" t="str">
        <f t="shared" ca="1" si="267"/>
        <v/>
      </c>
      <c r="WV279" s="18" t="str">
        <f ca="1">IF(AND(SUM($UB279:$VY279)&gt;0,$TM279=WW$1),MAX(WV$2:WV278)+1,"")</f>
        <v/>
      </c>
      <c r="WW279" s="59" t="str">
        <f t="shared" ca="1" si="268"/>
        <v/>
      </c>
      <c r="WX279" s="18" t="str">
        <f ca="1">IF(AND(SUM($UB279:$VY279)&gt;0,$TM279=WY$1),MAX(WX$2:WX278)+1,"")</f>
        <v/>
      </c>
      <c r="WY279" s="59" t="str">
        <f t="shared" ca="1" si="269"/>
        <v/>
      </c>
    </row>
    <row r="280" spans="530:623" ht="9.9499999999999993" customHeight="1" x14ac:dyDescent="0.2">
      <c r="TJ280" s="18">
        <f t="shared" si="270"/>
        <v>278</v>
      </c>
      <c r="TK280" s="58" t="s">
        <v>674</v>
      </c>
      <c r="TL280" s="58" t="s">
        <v>460</v>
      </c>
      <c r="TM280" s="18">
        <v>3</v>
      </c>
      <c r="TN280" s="59" t="str">
        <f t="shared" si="257"/>
        <v xml:space="preserve">Remove Curse </v>
      </c>
      <c r="TO280" s="18" t="str">
        <f>""</f>
        <v/>
      </c>
      <c r="TP280" s="18" t="str">
        <f t="shared" si="258"/>
        <v/>
      </c>
      <c r="TQ280" s="18" t="str">
        <f>IF(OR(TK280=Spellcasting!$AC$18,TK280=Spellcasting!$AC$19),"ᵐ","")</f>
        <v/>
      </c>
      <c r="TR280" s="18" t="str">
        <f>IF(OR(TK280=Spellcasting!$AC$20,TK280=Spellcasting!$AC$21),"ˢ","")</f>
        <v/>
      </c>
      <c r="TS280" s="18" t="str">
        <f>""</f>
        <v/>
      </c>
      <c r="TT280" s="18" t="s">
        <v>484</v>
      </c>
      <c r="TU280" s="18" t="s">
        <v>519</v>
      </c>
      <c r="TV280" s="18" t="s">
        <v>505</v>
      </c>
      <c r="TW280" s="18" t="s">
        <v>486</v>
      </c>
      <c r="TX280" s="59" t="str">
        <f>""</f>
        <v/>
      </c>
      <c r="TY280" s="18" t="s">
        <v>487</v>
      </c>
      <c r="TZ280" s="18" t="s">
        <v>488</v>
      </c>
      <c r="UA280" s="59" t="s">
        <v>1711</v>
      </c>
      <c r="UB280" s="319" t="s">
        <v>1715</v>
      </c>
      <c r="UD280" s="18" t="str">
        <f ca="1">IF(UD$1&gt;=$TM280,1,"0")</f>
        <v>0</v>
      </c>
      <c r="UG280" s="18" t="str">
        <f ca="1">IF(UG$1&gt;=$TM280,1,"0")</f>
        <v>0</v>
      </c>
      <c r="UH280" s="18" t="str">
        <f ca="1">IF(UH$1&gt;=$TM280,1,"0")</f>
        <v>0</v>
      </c>
      <c r="UL280" s="18" t="str">
        <f ca="1">IF(UL$1&gt;=$TM280,1,"0")</f>
        <v>0</v>
      </c>
      <c r="VP280" s="18" t="str">
        <f>IF(VP$1&gt;=$TM280,1,"0")</f>
        <v>0</v>
      </c>
      <c r="WD280" s="18" t="str">
        <f ca="1">IF(SUM($VZ$1:$WC$1)&gt;0,IF(AND(SUM($VZ280:$WC280)&gt;0,$TM280=WE$1),MAX(WD$2:WD279)+1,""),IF(AND(SUM($UC280:$VY280)&gt;0,$TM280=WE$1),MAX(WD$2:WD279)+1,""))</f>
        <v/>
      </c>
      <c r="WE280" s="59" t="str">
        <f t="shared" ca="1" si="259"/>
        <v/>
      </c>
      <c r="WF280" s="18" t="str">
        <f ca="1">IF(AND(SUM($UB280:$VY280)&gt;0,$TM280=WG$1),MAX(WF$2:WF279)+1,"")</f>
        <v/>
      </c>
      <c r="WG280" s="59" t="str">
        <f t="shared" ca="1" si="260"/>
        <v/>
      </c>
      <c r="WH280" s="18" t="str">
        <f ca="1">IF(AND(SUM($UB280:$VY280)&gt;0,$TM280=WI$1),MAX(WH$2:WH279)+1,"")</f>
        <v/>
      </c>
      <c r="WI280" s="59" t="str">
        <f t="shared" ca="1" si="261"/>
        <v/>
      </c>
      <c r="WJ280" s="18" t="str">
        <f ca="1">IF(AND(SUM($UB280:$VY280)&gt;0,$TM280=WK$1),MAX(WJ$2:WJ279)+1,"")</f>
        <v/>
      </c>
      <c r="WK280" s="59" t="str">
        <f t="shared" ca="1" si="262"/>
        <v/>
      </c>
      <c r="WL280" s="18" t="str">
        <f ca="1">IF(AND(SUM($UB280:$VY280)&gt;0,$TM280=WM$1),MAX(WL$2:WL279)+1,"")</f>
        <v/>
      </c>
      <c r="WM280" s="59" t="str">
        <f t="shared" ca="1" si="263"/>
        <v/>
      </c>
      <c r="WN280" s="18" t="str">
        <f ca="1">IF(AND(SUM($UB280:$VY280)&gt;0,$TM280=WO$1),MAX(WN$2:WN279)+1,"")</f>
        <v/>
      </c>
      <c r="WO280" s="59" t="str">
        <f t="shared" ca="1" si="264"/>
        <v/>
      </c>
      <c r="WP280" s="18" t="str">
        <f ca="1">IF(AND(SUM($UB280:$VY280)&gt;0,$TM280=WQ$1),MAX(WP$2:WP279)+1,"")</f>
        <v/>
      </c>
      <c r="WQ280" s="59" t="str">
        <f t="shared" ca="1" si="265"/>
        <v/>
      </c>
      <c r="WR280" s="18" t="str">
        <f ca="1">IF(AND(SUM($UB280:$VY280)&gt;0,$TM280=WS$1),MAX(WR$2:WR279)+1,"")</f>
        <v/>
      </c>
      <c r="WS280" s="59" t="str">
        <f t="shared" ca="1" si="266"/>
        <v/>
      </c>
      <c r="WT280" s="18" t="str">
        <f ca="1">IF(AND(SUM($UB280:$VY280)&gt;0,$TM280=WU$1),MAX(WT$2:WT279)+1,"")</f>
        <v/>
      </c>
      <c r="WU280" s="59" t="str">
        <f t="shared" ca="1" si="267"/>
        <v/>
      </c>
      <c r="WV280" s="18" t="str">
        <f ca="1">IF(AND(SUM($UB280:$VY280)&gt;0,$TM280=WW$1),MAX(WV$2:WV279)+1,"")</f>
        <v/>
      </c>
      <c r="WW280" s="59" t="str">
        <f t="shared" ca="1" si="268"/>
        <v/>
      </c>
      <c r="WX280" s="18" t="str">
        <f ca="1">IF(AND(SUM($UB280:$VY280)&gt;0,$TM280=WY$1),MAX(WX$2:WX279)+1,"")</f>
        <v/>
      </c>
      <c r="WY280" s="59" t="str">
        <f t="shared" ca="1" si="269"/>
        <v/>
      </c>
    </row>
    <row r="281" spans="530:623" ht="9.9499999999999993" customHeight="1" x14ac:dyDescent="0.2">
      <c r="TJ281" s="18">
        <f t="shared" si="270"/>
        <v>279</v>
      </c>
      <c r="TK281" s="58" t="s">
        <v>675</v>
      </c>
      <c r="TL281" s="58" t="s">
        <v>1840</v>
      </c>
      <c r="TM281" s="18">
        <v>0.5</v>
      </c>
      <c r="TN281" s="59" t="str">
        <f t="shared" si="257"/>
        <v xml:space="preserve">Resistance </v>
      </c>
      <c r="TO281" s="18" t="str">
        <f>""</f>
        <v/>
      </c>
      <c r="TP281" s="18" t="str">
        <f t="shared" si="258"/>
        <v/>
      </c>
      <c r="TQ281" s="18" t="str">
        <f>IF(OR(TK281=Spellcasting!$AC$18,TK281=Spellcasting!$AC$19),"ᵐ","")</f>
        <v/>
      </c>
      <c r="TR281" s="18" t="str">
        <f>IF(OR(TK281=Spellcasting!$AC$20,TK281=Spellcasting!$AC$21),"ˢ","")</f>
        <v/>
      </c>
      <c r="TS281" s="18" t="str">
        <f>""</f>
        <v/>
      </c>
      <c r="TT281" s="18" t="s">
        <v>484</v>
      </c>
      <c r="TU281" s="18" t="s">
        <v>519</v>
      </c>
      <c r="TV281" s="18" t="s">
        <v>558</v>
      </c>
      <c r="TW281" s="18" t="s">
        <v>495</v>
      </c>
      <c r="TX281" s="59" t="s">
        <v>998</v>
      </c>
      <c r="TY281" s="18" t="s">
        <v>487</v>
      </c>
      <c r="TZ281" s="18" t="s">
        <v>488</v>
      </c>
      <c r="UA281" s="142" t="s">
        <v>997</v>
      </c>
      <c r="UB281" s="319" t="s">
        <v>1386</v>
      </c>
      <c r="UH281" s="18" t="str">
        <f ca="1">IF(UH$1&gt;=$TM281,1,"0")</f>
        <v>0</v>
      </c>
      <c r="UI281" s="18" t="str">
        <f ca="1">IF(UI$1&gt;=$TM281,1,"0")</f>
        <v>0</v>
      </c>
      <c r="VB281" s="18" t="str">
        <f>IF(VB$1&gt;=$TM281,1,"0")</f>
        <v>0</v>
      </c>
      <c r="WD281" s="18" t="str">
        <f ca="1">IF(SUM($VZ$1:$WC$1)&gt;0,IF(AND(SUM($VZ281:$WC281)&gt;0,$TM281=WE$1),MAX(WD$2:WD280)+1,""),IF(AND(SUM($UC281:$VY281)&gt;0,$TM281=WE$1),MAX(WD$2:WD280)+1,""))</f>
        <v/>
      </c>
      <c r="WE281" s="59" t="str">
        <f t="shared" ca="1" si="259"/>
        <v/>
      </c>
      <c r="WF281" s="18" t="str">
        <f ca="1">IF(AND(SUM($UB281:$VY281)&gt;0,$TM281=WG$1),MAX(WF$2:WF280)+1,"")</f>
        <v/>
      </c>
      <c r="WG281" s="59" t="str">
        <f t="shared" ca="1" si="260"/>
        <v/>
      </c>
      <c r="WH281" s="18" t="str">
        <f ca="1">IF(AND(SUM($UB281:$VY281)&gt;0,$TM281=WI$1),MAX(WH$2:WH280)+1,"")</f>
        <v/>
      </c>
      <c r="WI281" s="59" t="str">
        <f t="shared" ca="1" si="261"/>
        <v/>
      </c>
      <c r="WJ281" s="18" t="str">
        <f ca="1">IF(AND(SUM($UB281:$VY281)&gt;0,$TM281=WK$1),MAX(WJ$2:WJ280)+1,"")</f>
        <v/>
      </c>
      <c r="WK281" s="59" t="str">
        <f t="shared" ca="1" si="262"/>
        <v/>
      </c>
      <c r="WL281" s="18" t="str">
        <f ca="1">IF(AND(SUM($UB281:$VY281)&gt;0,$TM281=WM$1),MAX(WL$2:WL280)+1,"")</f>
        <v/>
      </c>
      <c r="WM281" s="59" t="str">
        <f t="shared" ca="1" si="263"/>
        <v/>
      </c>
      <c r="WN281" s="18" t="str">
        <f ca="1">IF(AND(SUM($UB281:$VY281)&gt;0,$TM281=WO$1),MAX(WN$2:WN280)+1,"")</f>
        <v/>
      </c>
      <c r="WO281" s="59" t="str">
        <f t="shared" ca="1" si="264"/>
        <v/>
      </c>
      <c r="WP281" s="18" t="str">
        <f ca="1">IF(AND(SUM($UB281:$VY281)&gt;0,$TM281=WQ$1),MAX(WP$2:WP280)+1,"")</f>
        <v/>
      </c>
      <c r="WQ281" s="59" t="str">
        <f t="shared" ca="1" si="265"/>
        <v/>
      </c>
      <c r="WR281" s="18" t="str">
        <f ca="1">IF(AND(SUM($UB281:$VY281)&gt;0,$TM281=WS$1),MAX(WR$2:WR280)+1,"")</f>
        <v/>
      </c>
      <c r="WS281" s="59" t="str">
        <f t="shared" ca="1" si="266"/>
        <v/>
      </c>
      <c r="WT281" s="18" t="str">
        <f ca="1">IF(AND(SUM($UB281:$VY281)&gt;0,$TM281=WU$1),MAX(WT$2:WT280)+1,"")</f>
        <v/>
      </c>
      <c r="WU281" s="59" t="str">
        <f t="shared" ca="1" si="267"/>
        <v/>
      </c>
      <c r="WV281" s="18" t="str">
        <f ca="1">IF(AND(SUM($UB281:$VY281)&gt;0,$TM281=WW$1),MAX(WV$2:WV280)+1,"")</f>
        <v/>
      </c>
      <c r="WW281" s="59" t="str">
        <f t="shared" ca="1" si="268"/>
        <v/>
      </c>
      <c r="WX281" s="18" t="str">
        <f ca="1">IF(AND(SUM($UB281:$VY281)&gt;0,$TM281=WY$1),MAX(WX$2:WX280)+1,"")</f>
        <v/>
      </c>
      <c r="WY281" s="59" t="str">
        <f t="shared" ca="1" si="269"/>
        <v/>
      </c>
    </row>
    <row r="282" spans="530:623" ht="9.9499999999999993" customHeight="1" x14ac:dyDescent="0.2">
      <c r="TJ282" s="18">
        <f t="shared" si="270"/>
        <v>280</v>
      </c>
      <c r="TK282" s="58" t="s">
        <v>676</v>
      </c>
      <c r="TL282" s="58" t="s">
        <v>464</v>
      </c>
      <c r="TM282" s="18">
        <v>7</v>
      </c>
      <c r="TN282" s="59" t="str">
        <f t="shared" si="257"/>
        <v xml:space="preserve">Resurrection </v>
      </c>
      <c r="TO282" s="18" t="str">
        <f>""</f>
        <v/>
      </c>
      <c r="TP282" s="18" t="str">
        <f t="shared" si="258"/>
        <v/>
      </c>
      <c r="TQ282" s="18" t="str">
        <f>IF(OR(TK282=Spellcasting!$AC$18,TK282=Spellcasting!$AC$19),"ᵐ","")</f>
        <v/>
      </c>
      <c r="TR282" s="18" t="str">
        <f>IF(OR(TK282=Spellcasting!$AC$20,TK282=Spellcasting!$AC$21),"ˢ","")</f>
        <v/>
      </c>
      <c r="TS282" s="18" t="str">
        <f>""</f>
        <v/>
      </c>
      <c r="TT282" s="18" t="s">
        <v>521</v>
      </c>
      <c r="TU282" s="18" t="s">
        <v>519</v>
      </c>
      <c r="TV282" s="18" t="s">
        <v>505</v>
      </c>
      <c r="TW282" s="18" t="s">
        <v>495</v>
      </c>
      <c r="TX282" s="59" t="s">
        <v>2070</v>
      </c>
      <c r="TY282" s="18" t="s">
        <v>506</v>
      </c>
      <c r="TZ282" s="18" t="s">
        <v>507</v>
      </c>
      <c r="UA282" s="142" t="s">
        <v>2287</v>
      </c>
      <c r="UB282" s="319" t="s">
        <v>2288</v>
      </c>
      <c r="UC282" s="18" t="str">
        <f ca="1">IF(UC$1&gt;=$TM282,1,"0")</f>
        <v>0</v>
      </c>
      <c r="UH282" s="18" t="str">
        <f ca="1">IF(UH$1&gt;=$TM282,1,"0")</f>
        <v>0</v>
      </c>
      <c r="WD282" s="18" t="str">
        <f ca="1">IF(SUM($VZ$1:$WC$1)&gt;0,IF(AND(SUM($VZ282:$WC282)&gt;0,$TM282=WE$1),MAX(WD$2:WD281)+1,""),IF(AND(SUM($UC282:$VY282)&gt;0,$TM282=WE$1),MAX(WD$2:WD281)+1,""))</f>
        <v/>
      </c>
      <c r="WE282" s="59" t="str">
        <f t="shared" ca="1" si="259"/>
        <v/>
      </c>
      <c r="WF282" s="18" t="str">
        <f ca="1">IF(AND(SUM($UB282:$VY282)&gt;0,$TM282=WG$1),MAX(WF$2:WF281)+1,"")</f>
        <v/>
      </c>
      <c r="WG282" s="59" t="str">
        <f t="shared" ca="1" si="260"/>
        <v/>
      </c>
      <c r="WH282" s="18" t="str">
        <f ca="1">IF(AND(SUM($UB282:$VY282)&gt;0,$TM282=WI$1),MAX(WH$2:WH281)+1,"")</f>
        <v/>
      </c>
      <c r="WI282" s="59" t="str">
        <f t="shared" ca="1" si="261"/>
        <v/>
      </c>
      <c r="WJ282" s="18" t="str">
        <f ca="1">IF(AND(SUM($UB282:$VY282)&gt;0,$TM282=WK$1),MAX(WJ$2:WJ281)+1,"")</f>
        <v/>
      </c>
      <c r="WK282" s="59" t="str">
        <f t="shared" ca="1" si="262"/>
        <v/>
      </c>
      <c r="WL282" s="18" t="str">
        <f ca="1">IF(AND(SUM($UB282:$VY282)&gt;0,$TM282=WM$1),MAX(WL$2:WL281)+1,"")</f>
        <v/>
      </c>
      <c r="WM282" s="59" t="str">
        <f t="shared" ca="1" si="263"/>
        <v/>
      </c>
      <c r="WN282" s="18" t="str">
        <f ca="1">IF(AND(SUM($UB282:$VY282)&gt;0,$TM282=WO$1),MAX(WN$2:WN281)+1,"")</f>
        <v/>
      </c>
      <c r="WO282" s="59" t="str">
        <f t="shared" ca="1" si="264"/>
        <v/>
      </c>
      <c r="WP282" s="18" t="str">
        <f ca="1">IF(AND(SUM($UB282:$VY282)&gt;0,$TM282=WQ$1),MAX(WP$2:WP281)+1,"")</f>
        <v/>
      </c>
      <c r="WQ282" s="59" t="str">
        <f t="shared" ca="1" si="265"/>
        <v/>
      </c>
      <c r="WR282" s="18" t="str">
        <f ca="1">IF(AND(SUM($UB282:$VY282)&gt;0,$TM282=WS$1),MAX(WR$2:WR281)+1,"")</f>
        <v/>
      </c>
      <c r="WS282" s="59" t="str">
        <f t="shared" ca="1" si="266"/>
        <v/>
      </c>
      <c r="WT282" s="18" t="str">
        <f ca="1">IF(AND(SUM($UB282:$VY282)&gt;0,$TM282=WU$1),MAX(WT$2:WT281)+1,"")</f>
        <v/>
      </c>
      <c r="WU282" s="59" t="str">
        <f t="shared" ca="1" si="267"/>
        <v/>
      </c>
      <c r="WV282" s="18" t="str">
        <f ca="1">IF(AND(SUM($UB282:$VY282)&gt;0,$TM282=WW$1),MAX(WV$2:WV281)+1,"")</f>
        <v/>
      </c>
      <c r="WW282" s="59" t="str">
        <f t="shared" ca="1" si="268"/>
        <v/>
      </c>
      <c r="WX282" s="18" t="str">
        <f ca="1">IF(AND(SUM($UB282:$VY282)&gt;0,$TM282=WY$1),MAX(WX$2:WX281)+1,"")</f>
        <v/>
      </c>
      <c r="WY282" s="59" t="str">
        <f t="shared" ca="1" si="269"/>
        <v/>
      </c>
    </row>
    <row r="283" spans="530:623" ht="9.9499999999999993" customHeight="1" x14ac:dyDescent="0.2">
      <c r="TJ283" s="18">
        <f t="shared" si="270"/>
        <v>281</v>
      </c>
      <c r="TK283" s="58" t="s">
        <v>1956</v>
      </c>
      <c r="TL283" s="58" t="s">
        <v>464</v>
      </c>
      <c r="TM283" s="18">
        <v>7</v>
      </c>
      <c r="TN283" s="59" t="str">
        <f t="shared" si="257"/>
        <v xml:space="preserve">Reverse Gravity </v>
      </c>
      <c r="TO283" s="18" t="str">
        <f>""</f>
        <v/>
      </c>
      <c r="TP283" s="18" t="str">
        <f t="shared" si="258"/>
        <v/>
      </c>
      <c r="TQ283" s="18" t="str">
        <f>IF(OR(TK283=Spellcasting!$AC$18,TK283=Spellcasting!$AC$19),"ᵐ","")</f>
        <v/>
      </c>
      <c r="TR283" s="18" t="str">
        <f>IF(OR(TK283=Spellcasting!$AC$20,TK283=Spellcasting!$AC$21),"ˢ","")</f>
        <v/>
      </c>
      <c r="TS283" s="18" t="str">
        <f>""</f>
        <v/>
      </c>
      <c r="TT283" s="18" t="s">
        <v>484</v>
      </c>
      <c r="TU283" s="18" t="s">
        <v>533</v>
      </c>
      <c r="TV283" s="18" t="s">
        <v>558</v>
      </c>
      <c r="TW283" s="18" t="s">
        <v>495</v>
      </c>
      <c r="TX283" s="59" t="s">
        <v>2020</v>
      </c>
      <c r="TY283" s="18" t="s">
        <v>491</v>
      </c>
      <c r="TZ283" s="18" t="s">
        <v>492</v>
      </c>
      <c r="UA283" s="142" t="s">
        <v>2289</v>
      </c>
      <c r="UB283" s="319" t="s">
        <v>2290</v>
      </c>
      <c r="UF283" s="18" t="str">
        <f ca="1">IF(UF$1&gt;=$TM283,1,"0")</f>
        <v>0</v>
      </c>
      <c r="UI283" s="18" t="str">
        <f ca="1">IF(UI$1&gt;=$TM283,1,"0")</f>
        <v>0</v>
      </c>
      <c r="UL283" s="18" t="str">
        <f ca="1">IF(UL$1&gt;=$TM283,1,"0")</f>
        <v>0</v>
      </c>
      <c r="WD283" s="18" t="str">
        <f ca="1">IF(SUM($VZ$1:$WC$1)&gt;0,IF(AND(SUM($VZ283:$WC283)&gt;0,$TM283=WE$1),MAX(WD$2:WD282)+1,""),IF(AND(SUM($UC283:$VY283)&gt;0,$TM283=WE$1),MAX(WD$2:WD282)+1,""))</f>
        <v/>
      </c>
      <c r="WE283" s="59" t="str">
        <f t="shared" ca="1" si="259"/>
        <v/>
      </c>
      <c r="WF283" s="18" t="str">
        <f ca="1">IF(AND(SUM($UB283:$VY283)&gt;0,$TM283=WG$1),MAX(WF$2:WF282)+1,"")</f>
        <v/>
      </c>
      <c r="WG283" s="59" t="str">
        <f t="shared" ca="1" si="260"/>
        <v/>
      </c>
      <c r="WH283" s="18" t="str">
        <f ca="1">IF(AND(SUM($UB283:$VY283)&gt;0,$TM283=WI$1),MAX(WH$2:WH282)+1,"")</f>
        <v/>
      </c>
      <c r="WI283" s="59" t="str">
        <f t="shared" ca="1" si="261"/>
        <v/>
      </c>
      <c r="WJ283" s="18" t="str">
        <f ca="1">IF(AND(SUM($UB283:$VY283)&gt;0,$TM283=WK$1),MAX(WJ$2:WJ282)+1,"")</f>
        <v/>
      </c>
      <c r="WK283" s="59" t="str">
        <f t="shared" ca="1" si="262"/>
        <v/>
      </c>
      <c r="WL283" s="18" t="str">
        <f ca="1">IF(AND(SUM($UB283:$VY283)&gt;0,$TM283=WM$1),MAX(WL$2:WL282)+1,"")</f>
        <v/>
      </c>
      <c r="WM283" s="59" t="str">
        <f t="shared" ca="1" si="263"/>
        <v/>
      </c>
      <c r="WN283" s="18" t="str">
        <f ca="1">IF(AND(SUM($UB283:$VY283)&gt;0,$TM283=WO$1),MAX(WN$2:WN282)+1,"")</f>
        <v/>
      </c>
      <c r="WO283" s="59" t="str">
        <f t="shared" ca="1" si="264"/>
        <v/>
      </c>
      <c r="WP283" s="18" t="str">
        <f ca="1">IF(AND(SUM($UB283:$VY283)&gt;0,$TM283=WQ$1),MAX(WP$2:WP282)+1,"")</f>
        <v/>
      </c>
      <c r="WQ283" s="59" t="str">
        <f t="shared" ca="1" si="265"/>
        <v/>
      </c>
      <c r="WR283" s="18" t="str">
        <f ca="1">IF(AND(SUM($UB283:$VY283)&gt;0,$TM283=WS$1),MAX(WR$2:WR282)+1,"")</f>
        <v/>
      </c>
      <c r="WS283" s="59" t="str">
        <f t="shared" ca="1" si="266"/>
        <v/>
      </c>
      <c r="WT283" s="18" t="str">
        <f ca="1">IF(AND(SUM($UB283:$VY283)&gt;0,$TM283=WU$1),MAX(WT$2:WT282)+1,"")</f>
        <v/>
      </c>
      <c r="WU283" s="59" t="str">
        <f t="shared" ca="1" si="267"/>
        <v/>
      </c>
      <c r="WV283" s="18" t="str">
        <f ca="1">IF(AND(SUM($UB283:$VY283)&gt;0,$TM283=WW$1),MAX(WV$2:WV282)+1,"")</f>
        <v/>
      </c>
      <c r="WW283" s="59" t="str">
        <f t="shared" ca="1" si="268"/>
        <v/>
      </c>
      <c r="WX283" s="18" t="str">
        <f ca="1">IF(AND(SUM($UB283:$VY283)&gt;0,$TM283=WY$1),MAX(WX$2:WX282)+1,"")</f>
        <v/>
      </c>
      <c r="WY283" s="59" t="str">
        <f t="shared" ca="1" si="269"/>
        <v/>
      </c>
    </row>
    <row r="284" spans="530:623" ht="9.9499999999999993" customHeight="1" x14ac:dyDescent="0.2">
      <c r="TJ284" s="18">
        <f t="shared" si="270"/>
        <v>282</v>
      </c>
      <c r="TK284" s="58" t="s">
        <v>1975</v>
      </c>
      <c r="TL284" s="58" t="s">
        <v>460</v>
      </c>
      <c r="TM284" s="18">
        <v>3</v>
      </c>
      <c r="TN284" s="59" t="str">
        <f t="shared" si="257"/>
        <v xml:space="preserve">Revivify </v>
      </c>
      <c r="TO284" s="18" t="str">
        <f>""</f>
        <v/>
      </c>
      <c r="TP284" s="18" t="str">
        <f t="shared" si="258"/>
        <v/>
      </c>
      <c r="TQ284" s="18" t="str">
        <f>IF(OR(TK284=Spellcasting!$AC$18,TK284=Spellcasting!$AC$19),"ᵐ","")</f>
        <v/>
      </c>
      <c r="TR284" s="18" t="str">
        <f>IF(OR(TK284=Spellcasting!$AC$20,TK284=Spellcasting!$AC$21),"ˢ","")</f>
        <v/>
      </c>
      <c r="TS284" s="18" t="str">
        <f>""</f>
        <v/>
      </c>
      <c r="TT284" s="18" t="s">
        <v>484</v>
      </c>
      <c r="TU284" s="18" t="s">
        <v>519</v>
      </c>
      <c r="TV284" s="18" t="s">
        <v>505</v>
      </c>
      <c r="TW284" s="18" t="s">
        <v>495</v>
      </c>
      <c r="TX284" s="59" t="s">
        <v>2071</v>
      </c>
      <c r="TY284" s="18" t="s">
        <v>516</v>
      </c>
      <c r="TZ284" s="18" t="s">
        <v>517</v>
      </c>
      <c r="UA284" s="59" t="s">
        <v>2291</v>
      </c>
      <c r="UB284" s="319" t="s">
        <v>2292</v>
      </c>
      <c r="UD284" s="18" t="str">
        <f ca="1">IF(UD$1&gt;=$TM284,1,"0")</f>
        <v>0</v>
      </c>
      <c r="UH284" s="18" t="str">
        <f ca="1">IF(UH$1&gt;=$TM284,1,"0")</f>
        <v>0</v>
      </c>
      <c r="UZ284" s="18" t="str">
        <f>IF(UZ$1&gt;=$TM284,1,"0")</f>
        <v>0</v>
      </c>
      <c r="WD284" s="18" t="str">
        <f ca="1">IF(SUM($VZ$1:$WC$1)&gt;0,IF(AND(SUM($VZ284:$WC284)&gt;0,$TM284=WE$1),MAX(WD$2:WD283)+1,""),IF(AND(SUM($UC284:$VY284)&gt;0,$TM284=WE$1),MAX(WD$2:WD283)+1,""))</f>
        <v/>
      </c>
      <c r="WE284" s="59" t="str">
        <f t="shared" ca="1" si="259"/>
        <v/>
      </c>
      <c r="WF284" s="18" t="str">
        <f ca="1">IF(AND(SUM($UB284:$VY284)&gt;0,$TM284=WG$1),MAX(WF$2:WF283)+1,"")</f>
        <v/>
      </c>
      <c r="WG284" s="59" t="str">
        <f t="shared" ca="1" si="260"/>
        <v/>
      </c>
      <c r="WH284" s="18" t="str">
        <f ca="1">IF(AND(SUM($UB284:$VY284)&gt;0,$TM284=WI$1),MAX(WH$2:WH283)+1,"")</f>
        <v/>
      </c>
      <c r="WI284" s="59" t="str">
        <f t="shared" ca="1" si="261"/>
        <v/>
      </c>
      <c r="WJ284" s="18" t="str">
        <f ca="1">IF(AND(SUM($UB284:$VY284)&gt;0,$TM284=WK$1),MAX(WJ$2:WJ283)+1,"")</f>
        <v/>
      </c>
      <c r="WK284" s="59" t="str">
        <f t="shared" ca="1" si="262"/>
        <v/>
      </c>
      <c r="WL284" s="18" t="str">
        <f ca="1">IF(AND(SUM($UB284:$VY284)&gt;0,$TM284=WM$1),MAX(WL$2:WL283)+1,"")</f>
        <v/>
      </c>
      <c r="WM284" s="59" t="str">
        <f t="shared" ca="1" si="263"/>
        <v/>
      </c>
      <c r="WN284" s="18" t="str">
        <f ca="1">IF(AND(SUM($UB284:$VY284)&gt;0,$TM284=WO$1),MAX(WN$2:WN283)+1,"")</f>
        <v/>
      </c>
      <c r="WO284" s="59" t="str">
        <f t="shared" ca="1" si="264"/>
        <v/>
      </c>
      <c r="WP284" s="18" t="str">
        <f ca="1">IF(AND(SUM($UB284:$VY284)&gt;0,$TM284=WQ$1),MAX(WP$2:WP283)+1,"")</f>
        <v/>
      </c>
      <c r="WQ284" s="59" t="str">
        <f t="shared" ca="1" si="265"/>
        <v/>
      </c>
      <c r="WR284" s="18" t="str">
        <f ca="1">IF(AND(SUM($UB284:$VY284)&gt;0,$TM284=WS$1),MAX(WR$2:WR283)+1,"")</f>
        <v/>
      </c>
      <c r="WS284" s="59" t="str">
        <f t="shared" ca="1" si="266"/>
        <v/>
      </c>
      <c r="WT284" s="18" t="str">
        <f ca="1">IF(AND(SUM($UB284:$VY284)&gt;0,$TM284=WU$1),MAX(WT$2:WT283)+1,"")</f>
        <v/>
      </c>
      <c r="WU284" s="59" t="str">
        <f t="shared" ca="1" si="267"/>
        <v/>
      </c>
      <c r="WV284" s="18" t="str">
        <f ca="1">IF(AND(SUM($UB284:$VY284)&gt;0,$TM284=WW$1),MAX(WV$2:WV283)+1,"")</f>
        <v/>
      </c>
      <c r="WW284" s="59" t="str">
        <f t="shared" ca="1" si="268"/>
        <v/>
      </c>
      <c r="WX284" s="18" t="str">
        <f ca="1">IF(AND(SUM($UB284:$VY284)&gt;0,$TM284=WY$1),MAX(WX$2:WX283)+1,"")</f>
        <v/>
      </c>
      <c r="WY284" s="59" t="str">
        <f t="shared" ca="1" si="269"/>
        <v/>
      </c>
    </row>
    <row r="285" spans="530:623" ht="9.9499999999999993" customHeight="1" x14ac:dyDescent="0.2">
      <c r="TJ285" s="18">
        <f t="shared" si="270"/>
        <v>283</v>
      </c>
      <c r="TK285" s="58" t="s">
        <v>677</v>
      </c>
      <c r="TL285" s="58" t="s">
        <v>459</v>
      </c>
      <c r="TM285" s="18">
        <v>2</v>
      </c>
      <c r="TN285" s="59" t="str">
        <f t="shared" si="257"/>
        <v xml:space="preserve">Rope Trick </v>
      </c>
      <c r="TO285" s="18" t="str">
        <f>""</f>
        <v/>
      </c>
      <c r="TP285" s="18" t="str">
        <f t="shared" si="258"/>
        <v/>
      </c>
      <c r="TQ285" s="18" t="str">
        <f>IF(OR(TK285=Spellcasting!$AC$18,TK285=Spellcasting!$AC$19),"ᵐ","")</f>
        <v/>
      </c>
      <c r="TR285" s="18" t="str">
        <f>IF(OR(TK285=Spellcasting!$AC$20,TK285=Spellcasting!$AC$21),"ˢ","")</f>
        <v/>
      </c>
      <c r="TS285" s="18" t="str">
        <f>""</f>
        <v/>
      </c>
      <c r="TT285" s="18" t="s">
        <v>484</v>
      </c>
      <c r="TU285" s="18" t="s">
        <v>519</v>
      </c>
      <c r="TV285" s="18" t="s">
        <v>521</v>
      </c>
      <c r="TW285" s="18" t="s">
        <v>495</v>
      </c>
      <c r="TX285" s="59" t="s">
        <v>1366</v>
      </c>
      <c r="TY285" s="18" t="s">
        <v>491</v>
      </c>
      <c r="TZ285" s="18" t="s">
        <v>492</v>
      </c>
      <c r="UA285" s="142" t="s">
        <v>1367</v>
      </c>
      <c r="UB285" s="319" t="s">
        <v>1368</v>
      </c>
      <c r="UL285" s="18" t="str">
        <f ca="1">IF(UL$1&gt;=$TM285,1,"0")</f>
        <v>0</v>
      </c>
      <c r="WD285" s="18" t="str">
        <f ca="1">IF(SUM($VZ$1:$WC$1)&gt;0,IF(AND(SUM($VZ285:$WC285)&gt;0,$TM285=WE$1),MAX(WD$2:WD284)+1,""),IF(AND(SUM($UC285:$VY285)&gt;0,$TM285=WE$1),MAX(WD$2:WD284)+1,""))</f>
        <v/>
      </c>
      <c r="WE285" s="59" t="str">
        <f t="shared" ca="1" si="259"/>
        <v/>
      </c>
      <c r="WF285" s="18" t="str">
        <f ca="1">IF(AND(SUM($UB285:$VY285)&gt;0,$TM285=WG$1),MAX(WF$2:WF284)+1,"")</f>
        <v/>
      </c>
      <c r="WG285" s="59" t="str">
        <f t="shared" ca="1" si="260"/>
        <v/>
      </c>
      <c r="WH285" s="18" t="str">
        <f ca="1">IF(AND(SUM($UB285:$VY285)&gt;0,$TM285=WI$1),MAX(WH$2:WH284)+1,"")</f>
        <v/>
      </c>
      <c r="WI285" s="59" t="str">
        <f t="shared" ca="1" si="261"/>
        <v/>
      </c>
      <c r="WJ285" s="18" t="str">
        <f ca="1">IF(AND(SUM($UB285:$VY285)&gt;0,$TM285=WK$1),MAX(WJ$2:WJ284)+1,"")</f>
        <v/>
      </c>
      <c r="WK285" s="59" t="str">
        <f t="shared" ca="1" si="262"/>
        <v/>
      </c>
      <c r="WL285" s="18" t="str">
        <f ca="1">IF(AND(SUM($UB285:$VY285)&gt;0,$TM285=WM$1),MAX(WL$2:WL284)+1,"")</f>
        <v/>
      </c>
      <c r="WM285" s="59" t="str">
        <f t="shared" ca="1" si="263"/>
        <v/>
      </c>
      <c r="WN285" s="18" t="str">
        <f ca="1">IF(AND(SUM($UB285:$VY285)&gt;0,$TM285=WO$1),MAX(WN$2:WN284)+1,"")</f>
        <v/>
      </c>
      <c r="WO285" s="59" t="str">
        <f t="shared" ca="1" si="264"/>
        <v/>
      </c>
      <c r="WP285" s="18" t="str">
        <f ca="1">IF(AND(SUM($UB285:$VY285)&gt;0,$TM285=WQ$1),MAX(WP$2:WP284)+1,"")</f>
        <v/>
      </c>
      <c r="WQ285" s="59" t="str">
        <f t="shared" ca="1" si="265"/>
        <v/>
      </c>
      <c r="WR285" s="18" t="str">
        <f ca="1">IF(AND(SUM($UB285:$VY285)&gt;0,$TM285=WS$1),MAX(WR$2:WR284)+1,"")</f>
        <v/>
      </c>
      <c r="WS285" s="59" t="str">
        <f t="shared" ca="1" si="266"/>
        <v/>
      </c>
      <c r="WT285" s="18" t="str">
        <f ca="1">IF(AND(SUM($UB285:$VY285)&gt;0,$TM285=WU$1),MAX(WT$2:WT284)+1,"")</f>
        <v/>
      </c>
      <c r="WU285" s="59" t="str">
        <f t="shared" ca="1" si="267"/>
        <v/>
      </c>
      <c r="WV285" s="18" t="str">
        <f ca="1">IF(AND(SUM($UB285:$VY285)&gt;0,$TM285=WW$1),MAX(WV$2:WV284)+1,"")</f>
        <v/>
      </c>
      <c r="WW285" s="59" t="str">
        <f t="shared" ca="1" si="268"/>
        <v/>
      </c>
      <c r="WX285" s="18" t="str">
        <f ca="1">IF(AND(SUM($UB285:$VY285)&gt;0,$TM285=WY$1),MAX(WX$2:WX284)+1,"")</f>
        <v/>
      </c>
      <c r="WY285" s="59" t="str">
        <f t="shared" ca="1" si="269"/>
        <v/>
      </c>
    </row>
    <row r="286" spans="530:623" ht="9.9499999999999993" customHeight="1" x14ac:dyDescent="0.2">
      <c r="TJ286" s="18">
        <f t="shared" si="270"/>
        <v>284</v>
      </c>
      <c r="TK286" s="58" t="s">
        <v>678</v>
      </c>
      <c r="TL286" s="58" t="s">
        <v>1840</v>
      </c>
      <c r="TM286" s="18">
        <v>0.5</v>
      </c>
      <c r="TN286" s="59" t="str">
        <f t="shared" si="257"/>
        <v xml:space="preserve">Sacred Flame </v>
      </c>
      <c r="TO286" s="18" t="str">
        <f>""</f>
        <v/>
      </c>
      <c r="TP286" s="18" t="str">
        <f t="shared" si="258"/>
        <v/>
      </c>
      <c r="TQ286" s="18" t="str">
        <f>IF(OR(TK286=Spellcasting!$AC$18,TK286=Spellcasting!$AC$19),"ᵐ","")</f>
        <v/>
      </c>
      <c r="TR286" s="18" t="str">
        <f>IF(OR(TK286=Spellcasting!$AC$20,TK286=Spellcasting!$AC$21),"ˢ","")</f>
        <v/>
      </c>
      <c r="TS286" s="18" t="str">
        <f>""</f>
        <v/>
      </c>
      <c r="TT286" s="18" t="s">
        <v>484</v>
      </c>
      <c r="TU286" s="18" t="s">
        <v>850</v>
      </c>
      <c r="TV286" s="18" t="s">
        <v>505</v>
      </c>
      <c r="TW286" s="18" t="s">
        <v>486</v>
      </c>
      <c r="TX286" s="59" t="str">
        <f>""</f>
        <v/>
      </c>
      <c r="TY286" s="18" t="s">
        <v>534</v>
      </c>
      <c r="TZ286" s="18" t="s">
        <v>535</v>
      </c>
      <c r="UA286" s="142" t="s">
        <v>1860</v>
      </c>
      <c r="UB286" s="319" t="str">
        <f>IF(CharacterLevel&gt;16,"4d8",IF(CharacterLevel&gt;10,"3d8",IF(CharacterLevel&gt;4,"2d8","1d8"))) &amp;" radiant, dex"</f>
        <v>1d8 radiant, dex</v>
      </c>
      <c r="UH286" s="18" t="str">
        <f ca="1">IF(UH$1&gt;=$TM286,1,"0")</f>
        <v>0</v>
      </c>
      <c r="WD286" s="18" t="str">
        <f ca="1">IF(SUM($VZ$1:$WC$1)&gt;0,IF(AND(SUM($VZ286:$WC286)&gt;0,$TM286=WE$1),MAX(WD$2:WD285)+1,""),IF(AND(SUM($UC286:$VY286)&gt;0,$TM286=WE$1),MAX(WD$2:WD285)+1,""))</f>
        <v/>
      </c>
      <c r="WE286" s="59" t="str">
        <f t="shared" ca="1" si="259"/>
        <v/>
      </c>
      <c r="WF286" s="18" t="str">
        <f ca="1">IF(AND(SUM($UB286:$VY286)&gt;0,$TM286=WG$1),MAX(WF$2:WF285)+1,"")</f>
        <v/>
      </c>
      <c r="WG286" s="59" t="str">
        <f t="shared" ca="1" si="260"/>
        <v/>
      </c>
      <c r="WH286" s="18" t="str">
        <f ca="1">IF(AND(SUM($UB286:$VY286)&gt;0,$TM286=WI$1),MAX(WH$2:WH285)+1,"")</f>
        <v/>
      </c>
      <c r="WI286" s="59" t="str">
        <f t="shared" ca="1" si="261"/>
        <v/>
      </c>
      <c r="WJ286" s="18" t="str">
        <f ca="1">IF(AND(SUM($UB286:$VY286)&gt;0,$TM286=WK$1),MAX(WJ$2:WJ285)+1,"")</f>
        <v/>
      </c>
      <c r="WK286" s="59" t="str">
        <f t="shared" ca="1" si="262"/>
        <v/>
      </c>
      <c r="WL286" s="18" t="str">
        <f ca="1">IF(AND(SUM($UB286:$VY286)&gt;0,$TM286=WM$1),MAX(WL$2:WL285)+1,"")</f>
        <v/>
      </c>
      <c r="WM286" s="59" t="str">
        <f t="shared" ca="1" si="263"/>
        <v/>
      </c>
      <c r="WN286" s="18" t="str">
        <f ca="1">IF(AND(SUM($UB286:$VY286)&gt;0,$TM286=WO$1),MAX(WN$2:WN285)+1,"")</f>
        <v/>
      </c>
      <c r="WO286" s="59" t="str">
        <f t="shared" ca="1" si="264"/>
        <v/>
      </c>
      <c r="WP286" s="18" t="str">
        <f ca="1">IF(AND(SUM($UB286:$VY286)&gt;0,$TM286=WQ$1),MAX(WP$2:WP285)+1,"")</f>
        <v/>
      </c>
      <c r="WQ286" s="59" t="str">
        <f t="shared" ca="1" si="265"/>
        <v/>
      </c>
      <c r="WR286" s="18" t="str">
        <f ca="1">IF(AND(SUM($UB286:$VY286)&gt;0,$TM286=WS$1),MAX(WR$2:WR285)+1,"")</f>
        <v/>
      </c>
      <c r="WS286" s="59" t="str">
        <f t="shared" ca="1" si="266"/>
        <v/>
      </c>
      <c r="WT286" s="18" t="str">
        <f ca="1">IF(AND(SUM($UB286:$VY286)&gt;0,$TM286=WU$1),MAX(WT$2:WT285)+1,"")</f>
        <v/>
      </c>
      <c r="WU286" s="59" t="str">
        <f t="shared" ca="1" si="267"/>
        <v/>
      </c>
      <c r="WV286" s="18" t="str">
        <f ca="1">IF(AND(SUM($UB286:$VY286)&gt;0,$TM286=WW$1),MAX(WV$2:WV285)+1,"")</f>
        <v/>
      </c>
      <c r="WW286" s="59" t="str">
        <f t="shared" ca="1" si="268"/>
        <v/>
      </c>
      <c r="WX286" s="18" t="str">
        <f ca="1">IF(AND(SUM($UB286:$VY286)&gt;0,$TM286=WY$1),MAX(WX$2:WX285)+1,"")</f>
        <v/>
      </c>
      <c r="WY286" s="59" t="str">
        <f t="shared" ca="1" si="269"/>
        <v/>
      </c>
    </row>
    <row r="287" spans="530:623" ht="9.9499999999999993" customHeight="1" x14ac:dyDescent="0.2">
      <c r="TJ287" s="18">
        <f t="shared" si="270"/>
        <v>285</v>
      </c>
      <c r="TK287" s="58" t="s">
        <v>679</v>
      </c>
      <c r="TL287" s="58" t="s">
        <v>448</v>
      </c>
      <c r="TM287" s="18">
        <v>1</v>
      </c>
      <c r="TN287" s="59" t="str">
        <f t="shared" si="257"/>
        <v xml:space="preserve">Sanctuary </v>
      </c>
      <c r="TO287" s="18" t="str">
        <f>""</f>
        <v/>
      </c>
      <c r="TP287" s="18" t="str">
        <f t="shared" si="258"/>
        <v/>
      </c>
      <c r="TQ287" s="18" t="str">
        <f>IF(OR(TK287=Spellcasting!$AC$18,TK287=Spellcasting!$AC$19),"ᵐ","")</f>
        <v/>
      </c>
      <c r="TR287" s="18" t="str">
        <f>IF(OR(TK287=Spellcasting!$AC$20,TK287=Spellcasting!$AC$21),"ˢ","")</f>
        <v/>
      </c>
      <c r="TS287" s="18" t="str">
        <f>""</f>
        <v/>
      </c>
      <c r="TT287" s="18" t="s">
        <v>1256</v>
      </c>
      <c r="TU287" s="18" t="s">
        <v>851</v>
      </c>
      <c r="TV287" s="18" t="s">
        <v>503</v>
      </c>
      <c r="TW287" s="18" t="s">
        <v>495</v>
      </c>
      <c r="TX287" s="59" t="s">
        <v>1419</v>
      </c>
      <c r="TY287" s="18" t="s">
        <v>487</v>
      </c>
      <c r="TZ287" s="18" t="s">
        <v>488</v>
      </c>
      <c r="UA287" s="59" t="s">
        <v>2226</v>
      </c>
      <c r="UB287" s="319" t="s">
        <v>1420</v>
      </c>
      <c r="UH287" s="18" t="str">
        <f ca="1">IF(UH$1&gt;=$TM287,1,"0")</f>
        <v>0</v>
      </c>
      <c r="UO287" s="18" t="str">
        <f>IF(UO$1&gt;=$TM287,1,"0")</f>
        <v>0</v>
      </c>
      <c r="WD287" s="18" t="str">
        <f ca="1">IF(SUM($VZ$1:$WC$1)&gt;0,IF(AND(SUM($VZ287:$WC287)&gt;0,$TM287=WE$1),MAX(WD$2:WD286)+1,""),IF(AND(SUM($UC287:$VY287)&gt;0,$TM287=WE$1),MAX(WD$2:WD286)+1,""))</f>
        <v/>
      </c>
      <c r="WE287" s="59" t="str">
        <f t="shared" ca="1" si="259"/>
        <v/>
      </c>
      <c r="WF287" s="18" t="str">
        <f ca="1">IF(AND(SUM($UB287:$VY287)&gt;0,$TM287=WG$1),MAX(WF$2:WF286)+1,"")</f>
        <v/>
      </c>
      <c r="WG287" s="59" t="str">
        <f t="shared" ca="1" si="260"/>
        <v/>
      </c>
      <c r="WH287" s="18" t="str">
        <f ca="1">IF(AND(SUM($UB287:$VY287)&gt;0,$TM287=WI$1),MAX(WH$2:WH286)+1,"")</f>
        <v/>
      </c>
      <c r="WI287" s="59" t="str">
        <f t="shared" ca="1" si="261"/>
        <v/>
      </c>
      <c r="WJ287" s="18" t="str">
        <f ca="1">IF(AND(SUM($UB287:$VY287)&gt;0,$TM287=WK$1),MAX(WJ$2:WJ286)+1,"")</f>
        <v/>
      </c>
      <c r="WK287" s="59" t="str">
        <f t="shared" ca="1" si="262"/>
        <v/>
      </c>
      <c r="WL287" s="18" t="str">
        <f ca="1">IF(AND(SUM($UB287:$VY287)&gt;0,$TM287=WM$1),MAX(WL$2:WL286)+1,"")</f>
        <v/>
      </c>
      <c r="WM287" s="59" t="str">
        <f t="shared" ca="1" si="263"/>
        <v/>
      </c>
      <c r="WN287" s="18" t="str">
        <f ca="1">IF(AND(SUM($UB287:$VY287)&gt;0,$TM287=WO$1),MAX(WN$2:WN286)+1,"")</f>
        <v/>
      </c>
      <c r="WO287" s="59" t="str">
        <f t="shared" ca="1" si="264"/>
        <v/>
      </c>
      <c r="WP287" s="18" t="str">
        <f ca="1">IF(AND(SUM($UB287:$VY287)&gt;0,$TM287=WQ$1),MAX(WP$2:WP286)+1,"")</f>
        <v/>
      </c>
      <c r="WQ287" s="59" t="str">
        <f t="shared" ca="1" si="265"/>
        <v/>
      </c>
      <c r="WR287" s="18" t="str">
        <f ca="1">IF(AND(SUM($UB287:$VY287)&gt;0,$TM287=WS$1),MAX(WR$2:WR286)+1,"")</f>
        <v/>
      </c>
      <c r="WS287" s="59" t="str">
        <f t="shared" ca="1" si="266"/>
        <v/>
      </c>
      <c r="WT287" s="18" t="str">
        <f ca="1">IF(AND(SUM($UB287:$VY287)&gt;0,$TM287=WU$1),MAX(WT$2:WT286)+1,"")</f>
        <v/>
      </c>
      <c r="WU287" s="59" t="str">
        <f t="shared" ca="1" si="267"/>
        <v/>
      </c>
      <c r="WV287" s="18" t="str">
        <f ca="1">IF(AND(SUM($UB287:$VY287)&gt;0,$TM287=WW$1),MAX(WV$2:WV286)+1,"")</f>
        <v/>
      </c>
      <c r="WW287" s="59" t="str">
        <f t="shared" ca="1" si="268"/>
        <v/>
      </c>
      <c r="WX287" s="18" t="str">
        <f ca="1">IF(AND(SUM($UB287:$VY287)&gt;0,$TM287=WY$1),MAX(WX$2:WX286)+1,"")</f>
        <v/>
      </c>
      <c r="WY287" s="59" t="str">
        <f t="shared" ca="1" si="269"/>
        <v/>
      </c>
    </row>
    <row r="288" spans="530:623" ht="9.9499999999999993" customHeight="1" x14ac:dyDescent="0.2">
      <c r="TJ288" s="18">
        <f t="shared" si="270"/>
        <v>286</v>
      </c>
      <c r="TK288" s="58" t="s">
        <v>680</v>
      </c>
      <c r="TL288" s="58" t="s">
        <v>459</v>
      </c>
      <c r="TM288" s="18">
        <v>2</v>
      </c>
      <c r="TN288" s="59" t="str">
        <f t="shared" si="257"/>
        <v xml:space="preserve">Scorching Ray ᴴ </v>
      </c>
      <c r="TO288" s="350" t="s">
        <v>2991</v>
      </c>
      <c r="TP288" s="18" t="str">
        <f t="shared" si="258"/>
        <v/>
      </c>
      <c r="TQ288" s="18" t="str">
        <f>IF(OR(TK288=Spellcasting!$AC$18,TK288=Spellcasting!$AC$19),"ᵐ","")</f>
        <v/>
      </c>
      <c r="TR288" s="18" t="str">
        <f>IF(OR(TK288=Spellcasting!$AC$20,TK288=Spellcasting!$AC$21),"ˢ","")</f>
        <v/>
      </c>
      <c r="TS288" s="18" t="str">
        <f>""</f>
        <v/>
      </c>
      <c r="TT288" s="18" t="s">
        <v>484</v>
      </c>
      <c r="TU288" s="18" t="s">
        <v>848</v>
      </c>
      <c r="TV288" s="18" t="s">
        <v>505</v>
      </c>
      <c r="TW288" s="18" t="s">
        <v>486</v>
      </c>
      <c r="TX288" s="59" t="str">
        <f>""</f>
        <v/>
      </c>
      <c r="TY288" s="18" t="s">
        <v>534</v>
      </c>
      <c r="TZ288" s="18" t="s">
        <v>535</v>
      </c>
      <c r="UA288" s="142" t="s">
        <v>3189</v>
      </c>
      <c r="UB288" s="319" t="str">
        <f ca="1">"ranged, 3 rays, 2d6"&amp;IF(WizardEvocationLevel&gt;=10,"+"&amp;INTMod,IF(AD154=TRUE,"+"&amp;CHAMod,""))&amp;" fire each"</f>
        <v>ranged, 3 rays, 2d6 fire each</v>
      </c>
      <c r="UF288" s="18" t="str">
        <f ca="1">IF(UF$1&gt;=$TM288,1,"0")</f>
        <v>0</v>
      </c>
      <c r="UL288" s="18" t="str">
        <f ca="1">IF(UL$1&gt;=$TM288,1,"0")</f>
        <v>0</v>
      </c>
      <c r="UW288" s="18" t="str">
        <f>IF(UW$1&gt;=$TM288,1,"0")</f>
        <v>0</v>
      </c>
      <c r="VA288" s="18" t="str">
        <f>IF(VA$1&gt;=$TM288,1,"0")</f>
        <v>0</v>
      </c>
      <c r="VP288" s="18" t="str">
        <f>IF(VP$1&gt;=$TM288,1,"0")</f>
        <v>0</v>
      </c>
      <c r="WD288" s="18" t="str">
        <f ca="1">IF(SUM($VZ$1:$WC$1)&gt;0,IF(AND(SUM($VZ288:$WC288)&gt;0,$TM288=WE$1),MAX(WD$2:WD287)+1,""),IF(AND(SUM($UC288:$VY288)&gt;0,$TM288=WE$1),MAX(WD$2:WD287)+1,""))</f>
        <v/>
      </c>
      <c r="WE288" s="59" t="str">
        <f t="shared" ca="1" si="259"/>
        <v/>
      </c>
      <c r="WF288" s="18" t="str">
        <f ca="1">IF(AND(SUM($UB288:$VY288)&gt;0,$TM288=WG$1),MAX(WF$2:WF287)+1,"")</f>
        <v/>
      </c>
      <c r="WG288" s="59" t="str">
        <f t="shared" ca="1" si="260"/>
        <v/>
      </c>
      <c r="WH288" s="18" t="str">
        <f ca="1">IF(AND(SUM($UB288:$VY288)&gt;0,$TM288=WI$1),MAX(WH$2:WH287)+1,"")</f>
        <v/>
      </c>
      <c r="WI288" s="59" t="str">
        <f t="shared" ca="1" si="261"/>
        <v/>
      </c>
      <c r="WJ288" s="18" t="str">
        <f ca="1">IF(AND(SUM($UB288:$VY288)&gt;0,$TM288=WK$1),MAX(WJ$2:WJ287)+1,"")</f>
        <v/>
      </c>
      <c r="WK288" s="59" t="str">
        <f t="shared" ca="1" si="262"/>
        <v/>
      </c>
      <c r="WL288" s="18" t="str">
        <f ca="1">IF(AND(SUM($UB288:$VY288)&gt;0,$TM288=WM$1),MAX(WL$2:WL287)+1,"")</f>
        <v/>
      </c>
      <c r="WM288" s="59" t="str">
        <f t="shared" ca="1" si="263"/>
        <v/>
      </c>
      <c r="WN288" s="18" t="str">
        <f ca="1">IF(AND(SUM($UB288:$VY288)&gt;0,$TM288=WO$1),MAX(WN$2:WN287)+1,"")</f>
        <v/>
      </c>
      <c r="WO288" s="59" t="str">
        <f t="shared" ca="1" si="264"/>
        <v/>
      </c>
      <c r="WP288" s="18" t="str">
        <f ca="1">IF(AND(SUM($UB288:$VY288)&gt;0,$TM288=WQ$1),MAX(WP$2:WP287)+1,"")</f>
        <v/>
      </c>
      <c r="WQ288" s="59" t="str">
        <f t="shared" ca="1" si="265"/>
        <v/>
      </c>
      <c r="WR288" s="18" t="str">
        <f ca="1">IF(AND(SUM($UB288:$VY288)&gt;0,$TM288=WS$1),MAX(WR$2:WR287)+1,"")</f>
        <v/>
      </c>
      <c r="WS288" s="59" t="str">
        <f t="shared" ca="1" si="266"/>
        <v/>
      </c>
      <c r="WT288" s="18" t="str">
        <f ca="1">IF(AND(SUM($UB288:$VY288)&gt;0,$TM288=WU$1),MAX(WT$2:WT287)+1,"")</f>
        <v/>
      </c>
      <c r="WU288" s="59" t="str">
        <f t="shared" ca="1" si="267"/>
        <v/>
      </c>
      <c r="WV288" s="18" t="str">
        <f ca="1">IF(AND(SUM($UB288:$VY288)&gt;0,$TM288=WW$1),MAX(WV$2:WV287)+1,"")</f>
        <v/>
      </c>
      <c r="WW288" s="59" t="str">
        <f t="shared" ca="1" si="268"/>
        <v/>
      </c>
      <c r="WX288" s="18" t="str">
        <f ca="1">IF(AND(SUM($UB288:$VY288)&gt;0,$TM288=WY$1),MAX(WX$2:WX287)+1,"")</f>
        <v/>
      </c>
      <c r="WY288" s="59" t="str">
        <f t="shared" ca="1" si="269"/>
        <v/>
      </c>
    </row>
    <row r="289" spans="530:623" ht="9.9499999999999993" customHeight="1" x14ac:dyDescent="0.2">
      <c r="TJ289" s="18">
        <f t="shared" si="270"/>
        <v>287</v>
      </c>
      <c r="TK289" s="58" t="s">
        <v>681</v>
      </c>
      <c r="TL289" s="58" t="s">
        <v>462</v>
      </c>
      <c r="TM289" s="18">
        <v>5</v>
      </c>
      <c r="TN289" s="59" t="str">
        <f t="shared" si="257"/>
        <v xml:space="preserve">Scrying </v>
      </c>
      <c r="TO289" s="18" t="str">
        <f>""</f>
        <v/>
      </c>
      <c r="TP289" s="18" t="str">
        <f t="shared" si="258"/>
        <v/>
      </c>
      <c r="TQ289" s="18" t="str">
        <f>IF(OR(TK289=Spellcasting!$AC$18,TK289=Spellcasting!$AC$19),"ᵐ","")</f>
        <v/>
      </c>
      <c r="TR289" s="18" t="str">
        <f>IF(OR(TK289=Spellcasting!$AC$20,TK289=Spellcasting!$AC$21),"ˢ","")</f>
        <v/>
      </c>
      <c r="TS289" s="18" t="str">
        <f>""</f>
        <v/>
      </c>
      <c r="TT289" s="18" t="s">
        <v>582</v>
      </c>
      <c r="TU289" s="18" t="s">
        <v>509</v>
      </c>
      <c r="TV289" s="18" t="s">
        <v>515</v>
      </c>
      <c r="TW289" s="18" t="s">
        <v>495</v>
      </c>
      <c r="TX289" s="59" t="s">
        <v>2021</v>
      </c>
      <c r="TY289" s="18" t="s">
        <v>511</v>
      </c>
      <c r="TZ289" s="18" t="s">
        <v>512</v>
      </c>
      <c r="UA289" s="142" t="s">
        <v>2294</v>
      </c>
      <c r="UB289" s="319" t="s">
        <v>2293</v>
      </c>
      <c r="UC289" s="18" t="str">
        <f ca="1">IF(UC$1&gt;=$TM289,1,"0")</f>
        <v>0</v>
      </c>
      <c r="UG289" s="18" t="str">
        <f ca="1">IF(UG$1&gt;=$TM289,1,"0")</f>
        <v>0</v>
      </c>
      <c r="UH289" s="18" t="str">
        <f ca="1">IF(UH$1&gt;=$TM289,1,"0")</f>
        <v>0</v>
      </c>
      <c r="UI289" s="18" t="str">
        <f ca="1">IF(UI$1&gt;=$TM289,1,"0")</f>
        <v>0</v>
      </c>
      <c r="UL289" s="18" t="str">
        <f ca="1">IF(UL$1&gt;=$TM289,1,"0")</f>
        <v>0</v>
      </c>
      <c r="UQ289" s="18" t="str">
        <f>IF(UQ$1&gt;=$TM289,1,"0")</f>
        <v>0</v>
      </c>
      <c r="UY289" s="18" t="str">
        <f>IF(UY$1&gt;=$TM289,1,"0")</f>
        <v>0</v>
      </c>
      <c r="VA289" s="18" t="str">
        <f>IF(VA$1&gt;=$TM289,1,"0")</f>
        <v>0</v>
      </c>
      <c r="VH289" s="18" t="str">
        <f>IF(VH$1&gt;=$TM289,1,"0")</f>
        <v>0</v>
      </c>
      <c r="VM289" s="18" t="str">
        <f>IF(VM$1&gt;=$TM289,1,"0")</f>
        <v>0</v>
      </c>
      <c r="WD289" s="18" t="str">
        <f ca="1">IF(SUM($VZ$1:$WC$1)&gt;0,IF(AND(SUM($VZ289:$WC289)&gt;0,$TM289=WE$1),MAX(WD$2:WD288)+1,""),IF(AND(SUM($UC289:$VY289)&gt;0,$TM289=WE$1),MAX(WD$2:WD288)+1,""))</f>
        <v/>
      </c>
      <c r="WE289" s="59" t="str">
        <f t="shared" ca="1" si="259"/>
        <v/>
      </c>
      <c r="WF289" s="18" t="str">
        <f ca="1">IF(AND(SUM($UB289:$VY289)&gt;0,$TM289=WG$1),MAX(WF$2:WF288)+1,"")</f>
        <v/>
      </c>
      <c r="WG289" s="59" t="str">
        <f t="shared" ca="1" si="260"/>
        <v/>
      </c>
      <c r="WH289" s="18" t="str">
        <f ca="1">IF(AND(SUM($UB289:$VY289)&gt;0,$TM289=WI$1),MAX(WH$2:WH288)+1,"")</f>
        <v/>
      </c>
      <c r="WI289" s="59" t="str">
        <f t="shared" ca="1" si="261"/>
        <v/>
      </c>
      <c r="WJ289" s="18" t="str">
        <f ca="1">IF(AND(SUM($UB289:$VY289)&gt;0,$TM289=WK$1),MAX(WJ$2:WJ288)+1,"")</f>
        <v/>
      </c>
      <c r="WK289" s="59" t="str">
        <f t="shared" ca="1" si="262"/>
        <v/>
      </c>
      <c r="WL289" s="18" t="str">
        <f ca="1">IF(AND(SUM($UB289:$VY289)&gt;0,$TM289=WM$1),MAX(WL$2:WL288)+1,"")</f>
        <v/>
      </c>
      <c r="WM289" s="59" t="str">
        <f t="shared" ca="1" si="263"/>
        <v/>
      </c>
      <c r="WN289" s="18" t="str">
        <f ca="1">IF(AND(SUM($UB289:$VY289)&gt;0,$TM289=WO$1),MAX(WN$2:WN288)+1,"")</f>
        <v/>
      </c>
      <c r="WO289" s="59" t="str">
        <f t="shared" ca="1" si="264"/>
        <v/>
      </c>
      <c r="WP289" s="18" t="str">
        <f ca="1">IF(AND(SUM($UB289:$VY289)&gt;0,$TM289=WQ$1),MAX(WP$2:WP288)+1,"")</f>
        <v/>
      </c>
      <c r="WQ289" s="59" t="str">
        <f t="shared" ca="1" si="265"/>
        <v/>
      </c>
      <c r="WR289" s="18" t="str">
        <f ca="1">IF(AND(SUM($UB289:$VY289)&gt;0,$TM289=WS$1),MAX(WR$2:WR288)+1,"")</f>
        <v/>
      </c>
      <c r="WS289" s="59" t="str">
        <f t="shared" ca="1" si="266"/>
        <v/>
      </c>
      <c r="WT289" s="18" t="str">
        <f ca="1">IF(AND(SUM($UB289:$VY289)&gt;0,$TM289=WU$1),MAX(WT$2:WT288)+1,"")</f>
        <v/>
      </c>
      <c r="WU289" s="59" t="str">
        <f t="shared" ca="1" si="267"/>
        <v/>
      </c>
      <c r="WV289" s="18" t="str">
        <f ca="1">IF(AND(SUM($UB289:$VY289)&gt;0,$TM289=WW$1),MAX(WV$2:WV288)+1,"")</f>
        <v/>
      </c>
      <c r="WW289" s="59" t="str">
        <f t="shared" ca="1" si="268"/>
        <v/>
      </c>
      <c r="WX289" s="18" t="str">
        <f ca="1">IF(AND(SUM($UB289:$VY289)&gt;0,$TM289=WY$1),MAX(WX$2:WX288)+1,"")</f>
        <v/>
      </c>
      <c r="WY289" s="59" t="str">
        <f t="shared" ca="1" si="269"/>
        <v/>
      </c>
    </row>
    <row r="290" spans="530:623" ht="9.9499999999999993" customHeight="1" x14ac:dyDescent="0.2">
      <c r="TJ290" s="18">
        <f t="shared" si="270"/>
        <v>288</v>
      </c>
      <c r="TK290" s="58" t="s">
        <v>682</v>
      </c>
      <c r="TL290" s="58" t="s">
        <v>448</v>
      </c>
      <c r="TM290" s="18">
        <v>1</v>
      </c>
      <c r="TN290" s="59" t="str">
        <f t="shared" si="257"/>
        <v xml:space="preserve">Searing Smite ᴴ </v>
      </c>
      <c r="TO290" s="350" t="s">
        <v>2991</v>
      </c>
      <c r="TP290" s="18" t="str">
        <f t="shared" si="258"/>
        <v/>
      </c>
      <c r="TQ290" s="18" t="str">
        <f>IF(OR(TK290=Spellcasting!$AC$18,TK290=Spellcasting!$AC$19),"ᵐ","")</f>
        <v/>
      </c>
      <c r="TR290" s="18" t="str">
        <f>IF(OR(TK290=Spellcasting!$AC$20,TK290=Spellcasting!$AC$21),"ˢ","")</f>
        <v/>
      </c>
      <c r="TS290" s="18" t="str">
        <f>""</f>
        <v/>
      </c>
      <c r="TT290" s="18" t="s">
        <v>1256</v>
      </c>
      <c r="TU290" s="18" t="s">
        <v>509</v>
      </c>
      <c r="TV290" s="18" t="s">
        <v>558</v>
      </c>
      <c r="TW290" s="18" t="s">
        <v>541</v>
      </c>
      <c r="TX290" s="59" t="str">
        <f>""</f>
        <v/>
      </c>
      <c r="TY290" s="18" t="s">
        <v>534</v>
      </c>
      <c r="TZ290" s="18" t="s">
        <v>535</v>
      </c>
      <c r="UA290" s="142" t="s">
        <v>3190</v>
      </c>
      <c r="UB290" s="537" t="s">
        <v>2742</v>
      </c>
      <c r="UD290" s="18" t="str">
        <f ca="1">IF(UD$1&gt;=$TM290,1,"0")</f>
        <v>0</v>
      </c>
      <c r="VZ290" s="258"/>
      <c r="WA290" s="258"/>
      <c r="WB290" s="258"/>
      <c r="WC290" s="258"/>
      <c r="WD290" s="18" t="str">
        <f ca="1">IF(SUM($VZ$1:$WC$1)&gt;0,IF(AND(SUM($VZ290:$WC290)&gt;0,$TM290=WE$1),MAX(WD$2:WD289)+1,""),IF(AND(SUM($UC290:$VY290)&gt;0,$TM290=WE$1),MAX(WD$2:WD289)+1,""))</f>
        <v/>
      </c>
      <c r="WE290" s="59" t="str">
        <f t="shared" ca="1" si="259"/>
        <v/>
      </c>
      <c r="WF290" s="18" t="str">
        <f ca="1">IF(AND(SUM($UB290:$VY290)&gt;0,$TM290=WG$1),MAX(WF$2:WF289)+1,"")</f>
        <v/>
      </c>
      <c r="WG290" s="59" t="str">
        <f t="shared" ca="1" si="260"/>
        <v/>
      </c>
      <c r="WH290" s="18" t="str">
        <f ca="1">IF(AND(SUM($UB290:$VY290)&gt;0,$TM290=WI$1),MAX(WH$2:WH289)+1,"")</f>
        <v/>
      </c>
      <c r="WI290" s="59" t="str">
        <f t="shared" ca="1" si="261"/>
        <v/>
      </c>
      <c r="WJ290" s="18" t="str">
        <f ca="1">IF(AND(SUM($UB290:$VY290)&gt;0,$TM290=WK$1),MAX(WJ$2:WJ289)+1,"")</f>
        <v/>
      </c>
      <c r="WK290" s="59" t="str">
        <f t="shared" ca="1" si="262"/>
        <v/>
      </c>
      <c r="WL290" s="18" t="str">
        <f ca="1">IF(AND(SUM($UB290:$VY290)&gt;0,$TM290=WM$1),MAX(WL$2:WL289)+1,"")</f>
        <v/>
      </c>
      <c r="WM290" s="59" t="str">
        <f t="shared" ca="1" si="263"/>
        <v/>
      </c>
      <c r="WN290" s="18" t="str">
        <f ca="1">IF(AND(SUM($UB290:$VY290)&gt;0,$TM290=WO$1),MAX(WN$2:WN289)+1,"")</f>
        <v/>
      </c>
      <c r="WO290" s="59" t="str">
        <f t="shared" ca="1" si="264"/>
        <v/>
      </c>
      <c r="WP290" s="18" t="str">
        <f ca="1">IF(AND(SUM($UB290:$VY290)&gt;0,$TM290=WQ$1),MAX(WP$2:WP289)+1,"")</f>
        <v/>
      </c>
      <c r="WQ290" s="59" t="str">
        <f t="shared" ca="1" si="265"/>
        <v/>
      </c>
      <c r="WR290" s="18" t="str">
        <f ca="1">IF(AND(SUM($UB290:$VY290)&gt;0,$TM290=WS$1),MAX(WR$2:WR289)+1,"")</f>
        <v/>
      </c>
      <c r="WS290" s="59" t="str">
        <f t="shared" ca="1" si="266"/>
        <v/>
      </c>
      <c r="WT290" s="18" t="str">
        <f ca="1">IF(AND(SUM($UB290:$VY290)&gt;0,$TM290=WU$1),MAX(WT$2:WT289)+1,"")</f>
        <v/>
      </c>
      <c r="WU290" s="59" t="str">
        <f t="shared" ca="1" si="267"/>
        <v/>
      </c>
      <c r="WV290" s="18" t="str">
        <f ca="1">IF(AND(SUM($UB290:$VY290)&gt;0,$TM290=WW$1),MAX(WV$2:WV289)+1,"")</f>
        <v/>
      </c>
      <c r="WW290" s="59" t="str">
        <f t="shared" ca="1" si="268"/>
        <v/>
      </c>
      <c r="WX290" s="18" t="str">
        <f ca="1">IF(AND(SUM($UB290:$VY290)&gt;0,$TM290=WY$1),MAX(WX$2:WX289)+1,"")</f>
        <v/>
      </c>
      <c r="WY290" s="59" t="str">
        <f t="shared" ca="1" si="269"/>
        <v/>
      </c>
    </row>
    <row r="291" spans="530:623" ht="9.9499999999999993" customHeight="1" x14ac:dyDescent="0.2">
      <c r="TJ291" s="18">
        <f t="shared" si="270"/>
        <v>289</v>
      </c>
      <c r="TK291" s="58" t="s">
        <v>1232</v>
      </c>
      <c r="TL291" s="58" t="s">
        <v>459</v>
      </c>
      <c r="TM291" s="18">
        <v>2</v>
      </c>
      <c r="TN291" s="59" t="str">
        <f t="shared" si="257"/>
        <v xml:space="preserve">See Invisibility </v>
      </c>
      <c r="TO291" s="18" t="str">
        <f>""</f>
        <v/>
      </c>
      <c r="TP291" s="18" t="str">
        <f t="shared" si="258"/>
        <v/>
      </c>
      <c r="TQ291" s="18" t="str">
        <f>IF(OR(TK291=Spellcasting!$AC$18,TK291=Spellcasting!$AC$19),"ᵐ","")</f>
        <v/>
      </c>
      <c r="TR291" s="18" t="str">
        <f>IF(OR(TK291=Spellcasting!$AC$20,TK291=Spellcasting!$AC$21),"ˢ","")</f>
        <v/>
      </c>
      <c r="TS291" s="18" t="str">
        <f>""</f>
        <v/>
      </c>
      <c r="TT291" s="18" t="s">
        <v>484</v>
      </c>
      <c r="TU291" s="18" t="s">
        <v>509</v>
      </c>
      <c r="TV291" s="18" t="s">
        <v>521</v>
      </c>
      <c r="TW291" s="18" t="s">
        <v>495</v>
      </c>
      <c r="TX291" s="59" t="s">
        <v>1369</v>
      </c>
      <c r="TY291" s="18" t="s">
        <v>511</v>
      </c>
      <c r="TZ291" s="18" t="s">
        <v>512</v>
      </c>
      <c r="UA291" s="59" t="s">
        <v>1370</v>
      </c>
      <c r="UB291" s="319" t="s">
        <v>1371</v>
      </c>
      <c r="UC291" s="18" t="str">
        <f ca="1">IF(UC$1&gt;=$TM291,1,"0")</f>
        <v>0</v>
      </c>
      <c r="UF291" s="18" t="str">
        <f ca="1">IF(UF$1&gt;=$TM291,1,"0")</f>
        <v>0</v>
      </c>
      <c r="UL291" s="18" t="str">
        <f t="shared" ref="UL291:UL297" ca="1" si="271">IF(UL$1&gt;=$TM291,1,"0")</f>
        <v>0</v>
      </c>
      <c r="WD291" s="18" t="str">
        <f ca="1">IF(SUM($VZ$1:$WC$1)&gt;0,IF(AND(SUM($VZ291:$WC291)&gt;0,$TM291=WE$1),MAX(WD$2:WD290)+1,""),IF(AND(SUM($UC291:$VY291)&gt;0,$TM291=WE$1),MAX(WD$2:WD290)+1,""))</f>
        <v/>
      </c>
      <c r="WE291" s="59" t="str">
        <f t="shared" ca="1" si="259"/>
        <v/>
      </c>
      <c r="WF291" s="18" t="str">
        <f ca="1">IF(AND(SUM($UB291:$VY291)&gt;0,$TM291=WG$1),MAX(WF$2:WF290)+1,"")</f>
        <v/>
      </c>
      <c r="WG291" s="59" t="str">
        <f t="shared" ca="1" si="260"/>
        <v/>
      </c>
      <c r="WH291" s="18" t="str">
        <f ca="1">IF(AND(SUM($UB291:$VY291)&gt;0,$TM291=WI$1),MAX(WH$2:WH290)+1,"")</f>
        <v/>
      </c>
      <c r="WI291" s="59" t="str">
        <f t="shared" ca="1" si="261"/>
        <v/>
      </c>
      <c r="WJ291" s="18" t="str">
        <f ca="1">IF(AND(SUM($UB291:$VY291)&gt;0,$TM291=WK$1),MAX(WJ$2:WJ290)+1,"")</f>
        <v/>
      </c>
      <c r="WK291" s="59" t="str">
        <f t="shared" ca="1" si="262"/>
        <v/>
      </c>
      <c r="WL291" s="18" t="str">
        <f ca="1">IF(AND(SUM($UB291:$VY291)&gt;0,$TM291=WM$1),MAX(WL$2:WL290)+1,"")</f>
        <v/>
      </c>
      <c r="WM291" s="59" t="str">
        <f t="shared" ca="1" si="263"/>
        <v/>
      </c>
      <c r="WN291" s="18" t="str">
        <f ca="1">IF(AND(SUM($UB291:$VY291)&gt;0,$TM291=WO$1),MAX(WN$2:WN290)+1,"")</f>
        <v/>
      </c>
      <c r="WO291" s="59" t="str">
        <f t="shared" ca="1" si="264"/>
        <v/>
      </c>
      <c r="WP291" s="18" t="str">
        <f ca="1">IF(AND(SUM($UB291:$VY291)&gt;0,$TM291=WQ$1),MAX(WP$2:WP290)+1,"")</f>
        <v/>
      </c>
      <c r="WQ291" s="59" t="str">
        <f t="shared" ca="1" si="265"/>
        <v/>
      </c>
      <c r="WR291" s="18" t="str">
        <f ca="1">IF(AND(SUM($UB291:$VY291)&gt;0,$TM291=WS$1),MAX(WR$2:WR290)+1,"")</f>
        <v/>
      </c>
      <c r="WS291" s="59" t="str">
        <f t="shared" ca="1" si="266"/>
        <v/>
      </c>
      <c r="WT291" s="18" t="str">
        <f ca="1">IF(AND(SUM($UB291:$VY291)&gt;0,$TM291=WU$1),MAX(WT$2:WT290)+1,"")</f>
        <v/>
      </c>
      <c r="WU291" s="59" t="str">
        <f t="shared" ca="1" si="267"/>
        <v/>
      </c>
      <c r="WV291" s="18" t="str">
        <f ca="1">IF(AND(SUM($UB291:$VY291)&gt;0,$TM291=WW$1),MAX(WV$2:WV290)+1,"")</f>
        <v/>
      </c>
      <c r="WW291" s="59" t="str">
        <f t="shared" ca="1" si="268"/>
        <v/>
      </c>
      <c r="WX291" s="18" t="str">
        <f ca="1">IF(AND(SUM($UB291:$VY291)&gt;0,$TM291=WY$1),MAX(WX$2:WX290)+1,"")</f>
        <v/>
      </c>
      <c r="WY291" s="59" t="str">
        <f t="shared" ca="1" si="269"/>
        <v/>
      </c>
    </row>
    <row r="292" spans="530:623" ht="9.9499999999999993" customHeight="1" x14ac:dyDescent="0.2">
      <c r="TJ292" s="18">
        <f t="shared" si="270"/>
        <v>290</v>
      </c>
      <c r="TK292" s="58" t="s">
        <v>683</v>
      </c>
      <c r="TL292" s="58" t="s">
        <v>462</v>
      </c>
      <c r="TM292" s="18">
        <v>5</v>
      </c>
      <c r="TN292" s="59" t="str">
        <f t="shared" si="257"/>
        <v xml:space="preserve">Seeming </v>
      </c>
      <c r="TO292" s="18" t="str">
        <f>""</f>
        <v/>
      </c>
      <c r="TP292" s="18" t="str">
        <f t="shared" si="258"/>
        <v/>
      </c>
      <c r="TQ292" s="18" t="str">
        <f>IF(OR(TK292=Spellcasting!$AC$18,TK292=Spellcasting!$AC$19),"ᵐ","")</f>
        <v/>
      </c>
      <c r="TR292" s="18" t="str">
        <f>IF(OR(TK292=Spellcasting!$AC$20,TK292=Spellcasting!$AC$21),"ˢ","")</f>
        <v/>
      </c>
      <c r="TS292" s="18" t="str">
        <f>""</f>
        <v/>
      </c>
      <c r="TT292" s="18" t="s">
        <v>484</v>
      </c>
      <c r="TU292" s="18" t="s">
        <v>851</v>
      </c>
      <c r="TV292" s="18" t="s">
        <v>485</v>
      </c>
      <c r="TW292" s="18" t="s">
        <v>486</v>
      </c>
      <c r="TX292" s="59" t="str">
        <f>""</f>
        <v/>
      </c>
      <c r="TY292" s="18" t="s">
        <v>523</v>
      </c>
      <c r="TZ292" s="18" t="s">
        <v>524</v>
      </c>
      <c r="UA292" s="142" t="s">
        <v>2324</v>
      </c>
      <c r="UB292" s="319" t="s">
        <v>2295</v>
      </c>
      <c r="UC292" s="18" t="str">
        <f ca="1">IF(UC$1&gt;=$TM292,1,"0")</f>
        <v>0</v>
      </c>
      <c r="UF292" s="18" t="str">
        <f ca="1">IF(UF$1&gt;=$TM292,1,"0")</f>
        <v>0</v>
      </c>
      <c r="UL292" s="18" t="str">
        <f t="shared" ca="1" si="271"/>
        <v>0</v>
      </c>
      <c r="UV292" s="18" t="str">
        <f>IF(UV$1&gt;=$TM292,1,"0")</f>
        <v>0</v>
      </c>
      <c r="WD292" s="18" t="str">
        <f ca="1">IF(SUM($VZ$1:$WC$1)&gt;0,IF(AND(SUM($VZ292:$WC292)&gt;0,$TM292=WE$1),MAX(WD$2:WD291)+1,""),IF(AND(SUM($UC292:$VY292)&gt;0,$TM292=WE$1),MAX(WD$2:WD291)+1,""))</f>
        <v/>
      </c>
      <c r="WE292" s="59" t="str">
        <f t="shared" ca="1" si="259"/>
        <v/>
      </c>
      <c r="WF292" s="18" t="str">
        <f ca="1">IF(AND(SUM($UB292:$VY292)&gt;0,$TM292=WG$1),MAX(WF$2:WF291)+1,"")</f>
        <v/>
      </c>
      <c r="WG292" s="59" t="str">
        <f t="shared" ca="1" si="260"/>
        <v/>
      </c>
      <c r="WH292" s="18" t="str">
        <f ca="1">IF(AND(SUM($UB292:$VY292)&gt;0,$TM292=WI$1),MAX(WH$2:WH291)+1,"")</f>
        <v/>
      </c>
      <c r="WI292" s="59" t="str">
        <f t="shared" ca="1" si="261"/>
        <v/>
      </c>
      <c r="WJ292" s="18" t="str">
        <f ca="1">IF(AND(SUM($UB292:$VY292)&gt;0,$TM292=WK$1),MAX(WJ$2:WJ291)+1,"")</f>
        <v/>
      </c>
      <c r="WK292" s="59" t="str">
        <f t="shared" ca="1" si="262"/>
        <v/>
      </c>
      <c r="WL292" s="18" t="str">
        <f ca="1">IF(AND(SUM($UB292:$VY292)&gt;0,$TM292=WM$1),MAX(WL$2:WL291)+1,"")</f>
        <v/>
      </c>
      <c r="WM292" s="59" t="str">
        <f t="shared" ca="1" si="263"/>
        <v/>
      </c>
      <c r="WN292" s="18" t="str">
        <f ca="1">IF(AND(SUM($UB292:$VY292)&gt;0,$TM292=WO$1),MAX(WN$2:WN291)+1,"")</f>
        <v/>
      </c>
      <c r="WO292" s="59" t="str">
        <f t="shared" ca="1" si="264"/>
        <v/>
      </c>
      <c r="WP292" s="18" t="str">
        <f ca="1">IF(AND(SUM($UB292:$VY292)&gt;0,$TM292=WQ$1),MAX(WP$2:WP291)+1,"")</f>
        <v/>
      </c>
      <c r="WQ292" s="59" t="str">
        <f t="shared" ca="1" si="265"/>
        <v/>
      </c>
      <c r="WR292" s="18" t="str">
        <f ca="1">IF(AND(SUM($UB292:$VY292)&gt;0,$TM292=WS$1),MAX(WR$2:WR291)+1,"")</f>
        <v/>
      </c>
      <c r="WS292" s="59" t="str">
        <f t="shared" ca="1" si="266"/>
        <v/>
      </c>
      <c r="WT292" s="18" t="str">
        <f ca="1">IF(AND(SUM($UB292:$VY292)&gt;0,$TM292=WU$1),MAX(WT$2:WT291)+1,"")</f>
        <v/>
      </c>
      <c r="WU292" s="59" t="str">
        <f t="shared" ca="1" si="267"/>
        <v/>
      </c>
      <c r="WV292" s="18" t="str">
        <f ca="1">IF(AND(SUM($UB292:$VY292)&gt;0,$TM292=WW$1),MAX(WV$2:WV291)+1,"")</f>
        <v/>
      </c>
      <c r="WW292" s="59" t="str">
        <f t="shared" ca="1" si="268"/>
        <v/>
      </c>
      <c r="WX292" s="18" t="str">
        <f ca="1">IF(AND(SUM($UB292:$VY292)&gt;0,$TM292=WY$1),MAX(WX$2:WX291)+1,"")</f>
        <v/>
      </c>
      <c r="WY292" s="59" t="str">
        <f t="shared" ca="1" si="269"/>
        <v/>
      </c>
    </row>
    <row r="293" spans="530:623" ht="9.9499999999999993" customHeight="1" x14ac:dyDescent="0.2">
      <c r="TJ293" s="18">
        <f t="shared" si="270"/>
        <v>291</v>
      </c>
      <c r="TK293" s="58" t="s">
        <v>1242</v>
      </c>
      <c r="TL293" s="58" t="s">
        <v>460</v>
      </c>
      <c r="TM293" s="18">
        <v>3</v>
      </c>
      <c r="TN293" s="59" t="str">
        <f t="shared" si="257"/>
        <v xml:space="preserve">Sending </v>
      </c>
      <c r="TO293" s="18" t="str">
        <f>""</f>
        <v/>
      </c>
      <c r="TP293" s="18" t="str">
        <f t="shared" si="258"/>
        <v/>
      </c>
      <c r="TQ293" s="18" t="str">
        <f>IF(OR(TK293=Spellcasting!$AC$18,TK293=Spellcasting!$AC$19),"ᵐ","")</f>
        <v/>
      </c>
      <c r="TR293" s="18" t="str">
        <f>IF(OR(TK293=Spellcasting!$AC$20,TK293=Spellcasting!$AC$21),"ˢ","")</f>
        <v/>
      </c>
      <c r="TS293" s="18" t="str">
        <f>""</f>
        <v/>
      </c>
      <c r="TT293" s="18" t="s">
        <v>484</v>
      </c>
      <c r="TU293" s="18" t="s">
        <v>1712</v>
      </c>
      <c r="TV293" s="18" t="s">
        <v>547</v>
      </c>
      <c r="TW293" s="18" t="s">
        <v>495</v>
      </c>
      <c r="TX293" s="59" t="s">
        <v>1713</v>
      </c>
      <c r="TY293" s="18" t="s">
        <v>534</v>
      </c>
      <c r="TZ293" s="18" t="s">
        <v>535</v>
      </c>
      <c r="UA293" s="142" t="s">
        <v>1714</v>
      </c>
      <c r="UB293" s="319" t="s">
        <v>2724</v>
      </c>
      <c r="UC293" s="18" t="str">
        <f ca="1">IF(UC$1&gt;=$TM293,1,"0")</f>
        <v>0</v>
      </c>
      <c r="UH293" s="18" t="str">
        <f ca="1">IF(UH$1&gt;=$TM293,1,"0")</f>
        <v>0</v>
      </c>
      <c r="UL293" s="18" t="str">
        <f t="shared" ca="1" si="271"/>
        <v>0</v>
      </c>
      <c r="UX293" s="18" t="str">
        <f>IF(UX$1&gt;=$TM293,1,"0")</f>
        <v>0</v>
      </c>
      <c r="VP293" s="18" t="str">
        <f>IF(VP$1&gt;=$TM293,1,"0")</f>
        <v>0</v>
      </c>
      <c r="WD293" s="18" t="str">
        <f ca="1">IF(SUM($VZ$1:$WC$1)&gt;0,IF(AND(SUM($VZ293:$WC293)&gt;0,$TM293=WE$1),MAX(WD$2:WD292)+1,""),IF(AND(SUM($UC293:$VY293)&gt;0,$TM293=WE$1),MAX(WD$2:WD292)+1,""))</f>
        <v/>
      </c>
      <c r="WE293" s="59" t="str">
        <f t="shared" ca="1" si="259"/>
        <v/>
      </c>
      <c r="WF293" s="18" t="str">
        <f ca="1">IF(AND(SUM($UB293:$VY293)&gt;0,$TM293=WG$1),MAX(WF$2:WF292)+1,"")</f>
        <v/>
      </c>
      <c r="WG293" s="59" t="str">
        <f t="shared" ca="1" si="260"/>
        <v/>
      </c>
      <c r="WH293" s="18" t="str">
        <f ca="1">IF(AND(SUM($UB293:$VY293)&gt;0,$TM293=WI$1),MAX(WH$2:WH292)+1,"")</f>
        <v/>
      </c>
      <c r="WI293" s="59" t="str">
        <f t="shared" ca="1" si="261"/>
        <v/>
      </c>
      <c r="WJ293" s="18" t="str">
        <f ca="1">IF(AND(SUM($UB293:$VY293)&gt;0,$TM293=WK$1),MAX(WJ$2:WJ292)+1,"")</f>
        <v/>
      </c>
      <c r="WK293" s="59" t="str">
        <f t="shared" ca="1" si="262"/>
        <v/>
      </c>
      <c r="WL293" s="18" t="str">
        <f ca="1">IF(AND(SUM($UB293:$VY293)&gt;0,$TM293=WM$1),MAX(WL$2:WL292)+1,"")</f>
        <v/>
      </c>
      <c r="WM293" s="59" t="str">
        <f t="shared" ca="1" si="263"/>
        <v/>
      </c>
      <c r="WN293" s="18" t="str">
        <f ca="1">IF(AND(SUM($UB293:$VY293)&gt;0,$TM293=WO$1),MAX(WN$2:WN292)+1,"")</f>
        <v/>
      </c>
      <c r="WO293" s="59" t="str">
        <f t="shared" ca="1" si="264"/>
        <v/>
      </c>
      <c r="WP293" s="18" t="str">
        <f ca="1">IF(AND(SUM($UB293:$VY293)&gt;0,$TM293=WQ$1),MAX(WP$2:WP292)+1,"")</f>
        <v/>
      </c>
      <c r="WQ293" s="59" t="str">
        <f t="shared" ca="1" si="265"/>
        <v/>
      </c>
      <c r="WR293" s="18" t="str">
        <f ca="1">IF(AND(SUM($UB293:$VY293)&gt;0,$TM293=WS$1),MAX(WR$2:WR292)+1,"")</f>
        <v/>
      </c>
      <c r="WS293" s="59" t="str">
        <f t="shared" ca="1" si="266"/>
        <v/>
      </c>
      <c r="WT293" s="18" t="str">
        <f ca="1">IF(AND(SUM($UB293:$VY293)&gt;0,$TM293=WU$1),MAX(WT$2:WT292)+1,"")</f>
        <v/>
      </c>
      <c r="WU293" s="59" t="str">
        <f t="shared" ca="1" si="267"/>
        <v/>
      </c>
      <c r="WV293" s="18" t="str">
        <f ca="1">IF(AND(SUM($UB293:$VY293)&gt;0,$TM293=WW$1),MAX(WV$2:WV292)+1,"")</f>
        <v/>
      </c>
      <c r="WW293" s="59" t="str">
        <f t="shared" ca="1" si="268"/>
        <v/>
      </c>
      <c r="WX293" s="18" t="str">
        <f ca="1">IF(AND(SUM($UB293:$VY293)&gt;0,$TM293=WY$1),MAX(WX$2:WX292)+1,"")</f>
        <v/>
      </c>
      <c r="WY293" s="59" t="str">
        <f t="shared" ca="1" si="269"/>
        <v/>
      </c>
    </row>
    <row r="294" spans="530:623" ht="9.9499999999999993" customHeight="1" x14ac:dyDescent="0.2">
      <c r="TJ294" s="18">
        <f t="shared" si="270"/>
        <v>292</v>
      </c>
      <c r="TK294" s="58" t="s">
        <v>1957</v>
      </c>
      <c r="TL294" s="58" t="s">
        <v>464</v>
      </c>
      <c r="TM294" s="18">
        <v>7</v>
      </c>
      <c r="TN294" s="59" t="str">
        <f t="shared" si="257"/>
        <v xml:space="preserve">Sequester </v>
      </c>
      <c r="TO294" s="18" t="str">
        <f>""</f>
        <v/>
      </c>
      <c r="TP294" s="18" t="str">
        <f t="shared" si="258"/>
        <v/>
      </c>
      <c r="TQ294" s="18" t="str">
        <f>IF(OR(TK294=Spellcasting!$AC$18,TK294=Spellcasting!$AC$19),"ᵐ","")</f>
        <v/>
      </c>
      <c r="TR294" s="18" t="str">
        <f>IF(OR(TK294=Spellcasting!$AC$20,TK294=Spellcasting!$AC$21),"ˢ","")</f>
        <v/>
      </c>
      <c r="TS294" s="18" t="str">
        <f>""</f>
        <v/>
      </c>
      <c r="TT294" s="18" t="s">
        <v>484</v>
      </c>
      <c r="TU294" s="18" t="s">
        <v>519</v>
      </c>
      <c r="TV294" s="18" t="s">
        <v>857</v>
      </c>
      <c r="TW294" s="18" t="s">
        <v>495</v>
      </c>
      <c r="TX294" s="59" t="s">
        <v>2022</v>
      </c>
      <c r="TY294" s="18" t="s">
        <v>491</v>
      </c>
      <c r="TZ294" s="18" t="s">
        <v>492</v>
      </c>
      <c r="UA294" s="142" t="s">
        <v>2325</v>
      </c>
      <c r="UB294" s="319" t="s">
        <v>2296</v>
      </c>
      <c r="UL294" s="18" t="str">
        <f t="shared" ca="1" si="271"/>
        <v>0</v>
      </c>
      <c r="WD294" s="18" t="str">
        <f ca="1">IF(SUM($VZ$1:$WC$1)&gt;0,IF(AND(SUM($VZ294:$WC294)&gt;0,$TM294=WE$1),MAX(WD$2:WD293)+1,""),IF(AND(SUM($UC294:$VY294)&gt;0,$TM294=WE$1),MAX(WD$2:WD293)+1,""))</f>
        <v/>
      </c>
      <c r="WE294" s="59" t="str">
        <f t="shared" ca="1" si="259"/>
        <v/>
      </c>
      <c r="WF294" s="18" t="str">
        <f ca="1">IF(AND(SUM($UB294:$VY294)&gt;0,$TM294=WG$1),MAX(WF$2:WF293)+1,"")</f>
        <v/>
      </c>
      <c r="WG294" s="59" t="str">
        <f t="shared" ca="1" si="260"/>
        <v/>
      </c>
      <c r="WH294" s="18" t="str">
        <f ca="1">IF(AND(SUM($UB294:$VY294)&gt;0,$TM294=WI$1),MAX(WH$2:WH293)+1,"")</f>
        <v/>
      </c>
      <c r="WI294" s="59" t="str">
        <f t="shared" ca="1" si="261"/>
        <v/>
      </c>
      <c r="WJ294" s="18" t="str">
        <f ca="1">IF(AND(SUM($UB294:$VY294)&gt;0,$TM294=WK$1),MAX(WJ$2:WJ293)+1,"")</f>
        <v/>
      </c>
      <c r="WK294" s="59" t="str">
        <f t="shared" ca="1" si="262"/>
        <v/>
      </c>
      <c r="WL294" s="18" t="str">
        <f ca="1">IF(AND(SUM($UB294:$VY294)&gt;0,$TM294=WM$1),MAX(WL$2:WL293)+1,"")</f>
        <v/>
      </c>
      <c r="WM294" s="59" t="str">
        <f t="shared" ca="1" si="263"/>
        <v/>
      </c>
      <c r="WN294" s="18" t="str">
        <f ca="1">IF(AND(SUM($UB294:$VY294)&gt;0,$TM294=WO$1),MAX(WN$2:WN293)+1,"")</f>
        <v/>
      </c>
      <c r="WO294" s="59" t="str">
        <f t="shared" ca="1" si="264"/>
        <v/>
      </c>
      <c r="WP294" s="18" t="str">
        <f ca="1">IF(AND(SUM($UB294:$VY294)&gt;0,$TM294=WQ$1),MAX(WP$2:WP293)+1,"")</f>
        <v/>
      </c>
      <c r="WQ294" s="59" t="str">
        <f t="shared" ca="1" si="265"/>
        <v/>
      </c>
      <c r="WR294" s="18" t="str">
        <f ca="1">IF(AND(SUM($UB294:$VY294)&gt;0,$TM294=WS$1),MAX(WR$2:WR293)+1,"")</f>
        <v/>
      </c>
      <c r="WS294" s="59" t="str">
        <f t="shared" ca="1" si="266"/>
        <v/>
      </c>
      <c r="WT294" s="18" t="str">
        <f ca="1">IF(AND(SUM($UB294:$VY294)&gt;0,$TM294=WU$1),MAX(WT$2:WT293)+1,"")</f>
        <v/>
      </c>
      <c r="WU294" s="59" t="str">
        <f t="shared" ca="1" si="267"/>
        <v/>
      </c>
      <c r="WV294" s="18" t="str">
        <f ca="1">IF(AND(SUM($UB294:$VY294)&gt;0,$TM294=WW$1),MAX(WV$2:WV293)+1,"")</f>
        <v/>
      </c>
      <c r="WW294" s="59" t="str">
        <f t="shared" ca="1" si="268"/>
        <v/>
      </c>
      <c r="WX294" s="18" t="str">
        <f ca="1">IF(AND(SUM($UB294:$VY294)&gt;0,$TM294=WY$1),MAX(WX$2:WX293)+1,"")</f>
        <v/>
      </c>
      <c r="WY294" s="59" t="str">
        <f t="shared" ca="1" si="269"/>
        <v/>
      </c>
    </row>
    <row r="295" spans="530:623" ht="9.9499999999999993" customHeight="1" x14ac:dyDescent="0.2">
      <c r="TJ295" s="18">
        <f t="shared" si="270"/>
        <v>293</v>
      </c>
      <c r="TK295" s="58" t="s">
        <v>1966</v>
      </c>
      <c r="TL295" s="58" t="s">
        <v>466</v>
      </c>
      <c r="TM295" s="18">
        <v>9</v>
      </c>
      <c r="TN295" s="59" t="str">
        <f t="shared" si="257"/>
        <v xml:space="preserve">Shapechange </v>
      </c>
      <c r="TO295" s="18" t="str">
        <f>""</f>
        <v/>
      </c>
      <c r="TP295" s="18" t="str">
        <f t="shared" si="258"/>
        <v/>
      </c>
      <c r="TQ295" s="18" t="str">
        <f>IF(OR(TK295=Spellcasting!$AC$18,TK295=Spellcasting!$AC$19),"ᵐ","")</f>
        <v/>
      </c>
      <c r="TR295" s="18" t="str">
        <f>IF(OR(TK295=Spellcasting!$AC$20,TK295=Spellcasting!$AC$21),"ˢ","")</f>
        <v/>
      </c>
      <c r="TS295" s="18" t="str">
        <f>""</f>
        <v/>
      </c>
      <c r="TT295" s="18" t="s">
        <v>484</v>
      </c>
      <c r="TU295" s="18" t="s">
        <v>509</v>
      </c>
      <c r="TV295" s="18" t="s">
        <v>490</v>
      </c>
      <c r="TW295" s="18" t="s">
        <v>495</v>
      </c>
      <c r="TX295" s="59" t="s">
        <v>2023</v>
      </c>
      <c r="TY295" s="18" t="s">
        <v>491</v>
      </c>
      <c r="TZ295" s="18" t="s">
        <v>492</v>
      </c>
      <c r="UA295" s="142" t="s">
        <v>2297</v>
      </c>
      <c r="UB295" s="319" t="s">
        <v>2298</v>
      </c>
      <c r="UI295" s="18" t="str">
        <f ca="1">IF(UI$1&gt;=$TM295,1,"0")</f>
        <v>0</v>
      </c>
      <c r="UL295" s="18" t="str">
        <f t="shared" ca="1" si="271"/>
        <v>0</v>
      </c>
      <c r="WD295" s="18" t="str">
        <f ca="1">IF(SUM($VZ$1:$WC$1)&gt;0,IF(AND(SUM($VZ295:$WC295)&gt;0,$TM295=WE$1),MAX(WD$2:WD294)+1,""),IF(AND(SUM($UC295:$VY295)&gt;0,$TM295=WE$1),MAX(WD$2:WD294)+1,""))</f>
        <v/>
      </c>
      <c r="WE295" s="59" t="str">
        <f t="shared" ca="1" si="259"/>
        <v/>
      </c>
      <c r="WF295" s="18" t="str">
        <f ca="1">IF(AND(SUM($UB295:$VY295)&gt;0,$TM295=WG$1),MAX(WF$2:WF294)+1,"")</f>
        <v/>
      </c>
      <c r="WG295" s="59" t="str">
        <f t="shared" ca="1" si="260"/>
        <v/>
      </c>
      <c r="WH295" s="18" t="str">
        <f ca="1">IF(AND(SUM($UB295:$VY295)&gt;0,$TM295=WI$1),MAX(WH$2:WH294)+1,"")</f>
        <v/>
      </c>
      <c r="WI295" s="59" t="str">
        <f t="shared" ca="1" si="261"/>
        <v/>
      </c>
      <c r="WJ295" s="18" t="str">
        <f ca="1">IF(AND(SUM($UB295:$VY295)&gt;0,$TM295=WK$1),MAX(WJ$2:WJ294)+1,"")</f>
        <v/>
      </c>
      <c r="WK295" s="59" t="str">
        <f t="shared" ca="1" si="262"/>
        <v/>
      </c>
      <c r="WL295" s="18" t="str">
        <f ca="1">IF(AND(SUM($UB295:$VY295)&gt;0,$TM295=WM$1),MAX(WL$2:WL294)+1,"")</f>
        <v/>
      </c>
      <c r="WM295" s="59" t="str">
        <f t="shared" ca="1" si="263"/>
        <v/>
      </c>
      <c r="WN295" s="18" t="str">
        <f ca="1">IF(AND(SUM($UB295:$VY295)&gt;0,$TM295=WO$1),MAX(WN$2:WN294)+1,"")</f>
        <v/>
      </c>
      <c r="WO295" s="59" t="str">
        <f t="shared" ca="1" si="264"/>
        <v/>
      </c>
      <c r="WP295" s="18" t="str">
        <f ca="1">IF(AND(SUM($UB295:$VY295)&gt;0,$TM295=WQ$1),MAX(WP$2:WP294)+1,"")</f>
        <v/>
      </c>
      <c r="WQ295" s="59" t="str">
        <f t="shared" ca="1" si="265"/>
        <v/>
      </c>
      <c r="WR295" s="18" t="str">
        <f ca="1">IF(AND(SUM($UB295:$VY295)&gt;0,$TM295=WS$1),MAX(WR$2:WR294)+1,"")</f>
        <v/>
      </c>
      <c r="WS295" s="59" t="str">
        <f t="shared" ca="1" si="266"/>
        <v/>
      </c>
      <c r="WT295" s="18" t="str">
        <f ca="1">IF(AND(SUM($UB295:$VY295)&gt;0,$TM295=WU$1),MAX(WT$2:WT294)+1,"")</f>
        <v/>
      </c>
      <c r="WU295" s="59" t="str">
        <f t="shared" ca="1" si="267"/>
        <v/>
      </c>
      <c r="WV295" s="18" t="str">
        <f ca="1">IF(AND(SUM($UB295:$VY295)&gt;0,$TM295=WW$1),MAX(WV$2:WV294)+1,"")</f>
        <v/>
      </c>
      <c r="WW295" s="59" t="str">
        <f t="shared" ca="1" si="268"/>
        <v/>
      </c>
      <c r="WX295" s="18" t="str">
        <f ca="1">IF(AND(SUM($UB295:$VY295)&gt;0,$TM295=WY$1),MAX(WX$2:WX294)+1,"")</f>
        <v/>
      </c>
      <c r="WY295" s="59" t="str">
        <f t="shared" ca="1" si="269"/>
        <v/>
      </c>
    </row>
    <row r="296" spans="530:623" ht="9.9499999999999993" customHeight="1" x14ac:dyDescent="0.2">
      <c r="TJ296" s="18">
        <f t="shared" si="270"/>
        <v>294</v>
      </c>
      <c r="TK296" s="58" t="s">
        <v>1233</v>
      </c>
      <c r="TL296" s="58" t="s">
        <v>459</v>
      </c>
      <c r="TM296" s="18">
        <v>2</v>
      </c>
      <c r="TN296" s="59" t="str">
        <f t="shared" si="257"/>
        <v xml:space="preserve">Shatter ᴴ </v>
      </c>
      <c r="TO296" s="350" t="s">
        <v>2991</v>
      </c>
      <c r="TP296" s="18" t="str">
        <f t="shared" si="258"/>
        <v/>
      </c>
      <c r="TQ296" s="18" t="str">
        <f>IF(OR(TK296=Spellcasting!$AC$18,TK296=Spellcasting!$AC$19),"ᵐ","")</f>
        <v/>
      </c>
      <c r="TR296" s="18" t="str">
        <f>IF(OR(TK296=Spellcasting!$AC$20,TK296=Spellcasting!$AC$21),"ˢ","")</f>
        <v/>
      </c>
      <c r="TS296" s="18" t="str">
        <f>""</f>
        <v/>
      </c>
      <c r="TT296" s="18" t="s">
        <v>484</v>
      </c>
      <c r="TU296" s="18" t="s">
        <v>850</v>
      </c>
      <c r="TV296" s="18" t="s">
        <v>505</v>
      </c>
      <c r="TW296" s="18" t="s">
        <v>495</v>
      </c>
      <c r="TX296" s="59" t="s">
        <v>1372</v>
      </c>
      <c r="TY296" s="18" t="s">
        <v>534</v>
      </c>
      <c r="TZ296" s="18" t="s">
        <v>535</v>
      </c>
      <c r="UA296" s="142" t="s">
        <v>3191</v>
      </c>
      <c r="UB296" s="319" t="str">
        <f ca="1">"10ft rad, 3d8"&amp;IF(WizardEvocationLevel&gt;=10,"+"&amp;INTMod,"")&amp;" thunder, con save ½"</f>
        <v>10ft rad, 3d8 thunder, con save ½</v>
      </c>
      <c r="UC296" s="18" t="str">
        <f ca="1">IF(UC$1&gt;=$TM296,1,"0")</f>
        <v>0</v>
      </c>
      <c r="UF296" s="18" t="str">
        <f ca="1">IF(UF$1&gt;=$TM296,1,"0")</f>
        <v>0</v>
      </c>
      <c r="UG296" s="18" t="str">
        <f ca="1">IF(UG$1&gt;=$TM296,1,"0")</f>
        <v>0</v>
      </c>
      <c r="UL296" s="18" t="str">
        <f t="shared" ca="1" si="271"/>
        <v>0</v>
      </c>
      <c r="VC296" s="18" t="str">
        <f>IF(VC$1&gt;=$TM296,1,"0")</f>
        <v>0</v>
      </c>
      <c r="VP296" s="18" t="str">
        <f>IF(VP$1&gt;=$TM296,1,"0")</f>
        <v>0</v>
      </c>
      <c r="WD296" s="18" t="str">
        <f ca="1">IF(SUM($VZ$1:$WC$1)&gt;0,IF(AND(SUM($VZ296:$WC296)&gt;0,$TM296=WE$1),MAX(WD$2:WD295)+1,""),IF(AND(SUM($UC296:$VY296)&gt;0,$TM296=WE$1),MAX(WD$2:WD295)+1,""))</f>
        <v/>
      </c>
      <c r="WE296" s="59" t="str">
        <f t="shared" ca="1" si="259"/>
        <v/>
      </c>
      <c r="WF296" s="18" t="str">
        <f ca="1">IF(AND(SUM($UB296:$VY296)&gt;0,$TM296=WG$1),MAX(WF$2:WF295)+1,"")</f>
        <v/>
      </c>
      <c r="WG296" s="59" t="str">
        <f t="shared" ca="1" si="260"/>
        <v/>
      </c>
      <c r="WH296" s="18" t="str">
        <f ca="1">IF(AND(SUM($UB296:$VY296)&gt;0,$TM296=WI$1),MAX(WH$2:WH295)+1,"")</f>
        <v/>
      </c>
      <c r="WI296" s="59" t="str">
        <f t="shared" ca="1" si="261"/>
        <v/>
      </c>
      <c r="WJ296" s="18" t="str">
        <f ca="1">IF(AND(SUM($UB296:$VY296)&gt;0,$TM296=WK$1),MAX(WJ$2:WJ295)+1,"")</f>
        <v/>
      </c>
      <c r="WK296" s="59" t="str">
        <f t="shared" ca="1" si="262"/>
        <v/>
      </c>
      <c r="WL296" s="18" t="str">
        <f ca="1">IF(AND(SUM($UB296:$VY296)&gt;0,$TM296=WM$1),MAX(WL$2:WL295)+1,"")</f>
        <v/>
      </c>
      <c r="WM296" s="59" t="str">
        <f t="shared" ca="1" si="263"/>
        <v/>
      </c>
      <c r="WN296" s="18" t="str">
        <f ca="1">IF(AND(SUM($UB296:$VY296)&gt;0,$TM296=WO$1),MAX(WN$2:WN295)+1,"")</f>
        <v/>
      </c>
      <c r="WO296" s="59" t="str">
        <f t="shared" ca="1" si="264"/>
        <v/>
      </c>
      <c r="WP296" s="18" t="str">
        <f ca="1">IF(AND(SUM($UB296:$VY296)&gt;0,$TM296=WQ$1),MAX(WP$2:WP295)+1,"")</f>
        <v/>
      </c>
      <c r="WQ296" s="59" t="str">
        <f t="shared" ca="1" si="265"/>
        <v/>
      </c>
      <c r="WR296" s="18" t="str">
        <f ca="1">IF(AND(SUM($UB296:$VY296)&gt;0,$TM296=WS$1),MAX(WR$2:WR295)+1,"")</f>
        <v/>
      </c>
      <c r="WS296" s="59" t="str">
        <f t="shared" ca="1" si="266"/>
        <v/>
      </c>
      <c r="WT296" s="18" t="str">
        <f ca="1">IF(AND(SUM($UB296:$VY296)&gt;0,$TM296=WU$1),MAX(WT$2:WT295)+1,"")</f>
        <v/>
      </c>
      <c r="WU296" s="59" t="str">
        <f t="shared" ca="1" si="267"/>
        <v/>
      </c>
      <c r="WV296" s="18" t="str">
        <f ca="1">IF(AND(SUM($UB296:$VY296)&gt;0,$TM296=WW$1),MAX(WV$2:WV295)+1,"")</f>
        <v/>
      </c>
      <c r="WW296" s="59" t="str">
        <f t="shared" ca="1" si="268"/>
        <v/>
      </c>
      <c r="WX296" s="18" t="str">
        <f ca="1">IF(AND(SUM($UB296:$VY296)&gt;0,$TM296=WY$1),MAX(WX$2:WX295)+1,"")</f>
        <v/>
      </c>
      <c r="WY296" s="59" t="str">
        <f t="shared" ca="1" si="269"/>
        <v/>
      </c>
    </row>
    <row r="297" spans="530:623" ht="9.9499999999999993" customHeight="1" x14ac:dyDescent="0.2">
      <c r="TJ297" s="18">
        <f t="shared" si="270"/>
        <v>295</v>
      </c>
      <c r="TK297" s="58" t="s">
        <v>245</v>
      </c>
      <c r="TL297" s="58" t="s">
        <v>448</v>
      </c>
      <c r="TM297" s="18">
        <v>1</v>
      </c>
      <c r="TN297" s="59" t="str">
        <f t="shared" si="257"/>
        <v xml:space="preserve">Shield </v>
      </c>
      <c r="TO297" s="18" t="str">
        <f>""</f>
        <v/>
      </c>
      <c r="TP297" s="18" t="str">
        <f t="shared" si="258"/>
        <v/>
      </c>
      <c r="TQ297" s="18" t="str">
        <f>IF(OR(TK297=Spellcasting!$AC$18,TK297=Spellcasting!$AC$19),"ᵐ","")</f>
        <v/>
      </c>
      <c r="TR297" s="18" t="str">
        <f>IF(OR(TK297=Spellcasting!$AC$20,TK297=Spellcasting!$AC$21),"ˢ","")</f>
        <v/>
      </c>
      <c r="TS297" s="18" t="str">
        <f>""</f>
        <v/>
      </c>
      <c r="TT297" s="18" t="s">
        <v>475</v>
      </c>
      <c r="TU297" s="18" t="s">
        <v>509</v>
      </c>
      <c r="TV297" s="18" t="s">
        <v>547</v>
      </c>
      <c r="TW297" s="18" t="s">
        <v>486</v>
      </c>
      <c r="TX297" s="59" t="str">
        <f>""</f>
        <v/>
      </c>
      <c r="TY297" s="18" t="s">
        <v>487</v>
      </c>
      <c r="TZ297" s="18" t="s">
        <v>488</v>
      </c>
      <c r="UA297" s="59" t="s">
        <v>1421</v>
      </c>
      <c r="UB297" s="537" t="s">
        <v>1440</v>
      </c>
      <c r="UF297" s="18" t="str">
        <f ca="1">IF(UF$1&gt;=$TM297,1,"0")</f>
        <v>0</v>
      </c>
      <c r="UL297" s="18" t="str">
        <f t="shared" ca="1" si="271"/>
        <v>0</v>
      </c>
      <c r="VP297" s="18" t="str">
        <f>IF(VP$1&gt;=$TM297,1,"0")</f>
        <v>0</v>
      </c>
      <c r="VZ297" s="258"/>
      <c r="WA297" s="258"/>
      <c r="WB297" s="258"/>
      <c r="WC297" s="258"/>
      <c r="WD297" s="18" t="str">
        <f ca="1">IF(SUM($VZ$1:$WC$1)&gt;0,IF(AND(SUM($VZ297:$WC297)&gt;0,$TM297=WE$1),MAX(WD$2:WD296)+1,""),IF(AND(SUM($UC297:$VY297)&gt;0,$TM297=WE$1),MAX(WD$2:WD296)+1,""))</f>
        <v/>
      </c>
      <c r="WE297" s="59" t="str">
        <f t="shared" ca="1" si="259"/>
        <v/>
      </c>
      <c r="WF297" s="18" t="str">
        <f ca="1">IF(AND(SUM($UB297:$VY297)&gt;0,$TM297=WG$1),MAX(WF$2:WF296)+1,"")</f>
        <v/>
      </c>
      <c r="WG297" s="59" t="str">
        <f t="shared" ca="1" si="260"/>
        <v/>
      </c>
      <c r="WH297" s="18" t="str">
        <f ca="1">IF(AND(SUM($UB297:$VY297)&gt;0,$TM297=WI$1),MAX(WH$2:WH296)+1,"")</f>
        <v/>
      </c>
      <c r="WI297" s="59" t="str">
        <f t="shared" ca="1" si="261"/>
        <v/>
      </c>
      <c r="WJ297" s="18" t="str">
        <f ca="1">IF(AND(SUM($UB297:$VY297)&gt;0,$TM297=WK$1),MAX(WJ$2:WJ296)+1,"")</f>
        <v/>
      </c>
      <c r="WK297" s="59" t="str">
        <f t="shared" ca="1" si="262"/>
        <v/>
      </c>
      <c r="WL297" s="18" t="str">
        <f ca="1">IF(AND(SUM($UB297:$VY297)&gt;0,$TM297=WM$1),MAX(WL$2:WL296)+1,"")</f>
        <v/>
      </c>
      <c r="WM297" s="59" t="str">
        <f t="shared" ca="1" si="263"/>
        <v/>
      </c>
      <c r="WN297" s="18" t="str">
        <f ca="1">IF(AND(SUM($UB297:$VY297)&gt;0,$TM297=WO$1),MAX(WN$2:WN296)+1,"")</f>
        <v/>
      </c>
      <c r="WO297" s="59" t="str">
        <f t="shared" ca="1" si="264"/>
        <v/>
      </c>
      <c r="WP297" s="18" t="str">
        <f ca="1">IF(AND(SUM($UB297:$VY297)&gt;0,$TM297=WQ$1),MAX(WP$2:WP296)+1,"")</f>
        <v/>
      </c>
      <c r="WQ297" s="59" t="str">
        <f t="shared" ca="1" si="265"/>
        <v/>
      </c>
      <c r="WR297" s="18" t="str">
        <f ca="1">IF(AND(SUM($UB297:$VY297)&gt;0,$TM297=WS$1),MAX(WR$2:WR296)+1,"")</f>
        <v/>
      </c>
      <c r="WS297" s="59" t="str">
        <f t="shared" ca="1" si="266"/>
        <v/>
      </c>
      <c r="WT297" s="18" t="str">
        <f ca="1">IF(AND(SUM($UB297:$VY297)&gt;0,$TM297=WU$1),MAX(WT$2:WT296)+1,"")</f>
        <v/>
      </c>
      <c r="WU297" s="59" t="str">
        <f t="shared" ca="1" si="267"/>
        <v/>
      </c>
      <c r="WV297" s="18" t="str">
        <f ca="1">IF(AND(SUM($UB297:$VY297)&gt;0,$TM297=WW$1),MAX(WV$2:WV296)+1,"")</f>
        <v/>
      </c>
      <c r="WW297" s="59" t="str">
        <f t="shared" ca="1" si="268"/>
        <v/>
      </c>
      <c r="WX297" s="18" t="str">
        <f ca="1">IF(AND(SUM($UB297:$VY297)&gt;0,$TM297=WY$1),MAX(WX$2:WX296)+1,"")</f>
        <v/>
      </c>
      <c r="WY297" s="59" t="str">
        <f t="shared" ca="1" si="269"/>
        <v/>
      </c>
    </row>
    <row r="298" spans="530:623" ht="9.9499999999999993" customHeight="1" x14ac:dyDescent="0.2">
      <c r="TJ298" s="18">
        <f t="shared" si="270"/>
        <v>296</v>
      </c>
      <c r="TK298" s="58" t="s">
        <v>685</v>
      </c>
      <c r="TL298" s="58" t="s">
        <v>448</v>
      </c>
      <c r="TM298" s="18">
        <v>1</v>
      </c>
      <c r="TN298" s="59" t="str">
        <f t="shared" si="257"/>
        <v xml:space="preserve">Shield of Faith </v>
      </c>
      <c r="TO298" s="18" t="str">
        <f>""</f>
        <v/>
      </c>
      <c r="TP298" s="18" t="str">
        <f t="shared" si="258"/>
        <v/>
      </c>
      <c r="TQ298" s="18" t="str">
        <f>IF(OR(TK298=Spellcasting!$AC$18,TK298=Spellcasting!$AC$19),"ᵐ","")</f>
        <v/>
      </c>
      <c r="TR298" s="18" t="str">
        <f>IF(OR(TK298=Spellcasting!$AC$20,TK298=Spellcasting!$AC$21),"ˢ","")</f>
        <v/>
      </c>
      <c r="TS298" s="18" t="str">
        <f>""</f>
        <v/>
      </c>
      <c r="TT298" s="18" t="s">
        <v>1256</v>
      </c>
      <c r="TU298" s="18" t="s">
        <v>850</v>
      </c>
      <c r="TV298" s="18" t="s">
        <v>515</v>
      </c>
      <c r="TW298" s="18" t="s">
        <v>495</v>
      </c>
      <c r="TX298" s="59" t="s">
        <v>1422</v>
      </c>
      <c r="TY298" s="18" t="s">
        <v>487</v>
      </c>
      <c r="TZ298" s="18" t="s">
        <v>488</v>
      </c>
      <c r="UA298" s="142" t="s">
        <v>1423</v>
      </c>
      <c r="UB298" s="537" t="s">
        <v>1424</v>
      </c>
      <c r="UD298" s="18" t="str">
        <f ca="1">IF(UD$1&gt;=$TM298,1,"0")</f>
        <v>0</v>
      </c>
      <c r="UH298" s="18" t="str">
        <f ca="1">IF(UH$1&gt;=$TM298,1,"0")</f>
        <v>0</v>
      </c>
      <c r="VE298" s="18" t="str">
        <f>IF(VE$1&gt;=$TM298,1,"0")</f>
        <v>0</v>
      </c>
      <c r="VZ298" s="258"/>
      <c r="WA298" s="258"/>
      <c r="WB298" s="258"/>
      <c r="WC298" s="258"/>
      <c r="WD298" s="18" t="str">
        <f ca="1">IF(SUM($VZ$1:$WC$1)&gt;0,IF(AND(SUM($VZ298:$WC298)&gt;0,$TM298=WE$1),MAX(WD$2:WD297)+1,""),IF(AND(SUM($UC298:$VY298)&gt;0,$TM298=WE$1),MAX(WD$2:WD297)+1,""))</f>
        <v/>
      </c>
      <c r="WE298" s="59" t="str">
        <f t="shared" ca="1" si="259"/>
        <v/>
      </c>
      <c r="WF298" s="18" t="str">
        <f ca="1">IF(AND(SUM($UB298:$VY298)&gt;0,$TM298=WG$1),MAX(WF$2:WF297)+1,"")</f>
        <v/>
      </c>
      <c r="WG298" s="59" t="str">
        <f t="shared" ca="1" si="260"/>
        <v/>
      </c>
      <c r="WH298" s="18" t="str">
        <f ca="1">IF(AND(SUM($UB298:$VY298)&gt;0,$TM298=WI$1),MAX(WH$2:WH297)+1,"")</f>
        <v/>
      </c>
      <c r="WI298" s="59" t="str">
        <f t="shared" ca="1" si="261"/>
        <v/>
      </c>
      <c r="WJ298" s="18" t="str">
        <f ca="1">IF(AND(SUM($UB298:$VY298)&gt;0,$TM298=WK$1),MAX(WJ$2:WJ297)+1,"")</f>
        <v/>
      </c>
      <c r="WK298" s="59" t="str">
        <f t="shared" ca="1" si="262"/>
        <v/>
      </c>
      <c r="WL298" s="18" t="str">
        <f ca="1">IF(AND(SUM($UB298:$VY298)&gt;0,$TM298=WM$1),MAX(WL$2:WL297)+1,"")</f>
        <v/>
      </c>
      <c r="WM298" s="59" t="str">
        <f t="shared" ca="1" si="263"/>
        <v/>
      </c>
      <c r="WN298" s="18" t="str">
        <f ca="1">IF(AND(SUM($UB298:$VY298)&gt;0,$TM298=WO$1),MAX(WN$2:WN297)+1,"")</f>
        <v/>
      </c>
      <c r="WO298" s="59" t="str">
        <f t="shared" ca="1" si="264"/>
        <v/>
      </c>
      <c r="WP298" s="18" t="str">
        <f ca="1">IF(AND(SUM($UB298:$VY298)&gt;0,$TM298=WQ$1),MAX(WP$2:WP297)+1,"")</f>
        <v/>
      </c>
      <c r="WQ298" s="59" t="str">
        <f t="shared" ca="1" si="265"/>
        <v/>
      </c>
      <c r="WR298" s="18" t="str">
        <f ca="1">IF(AND(SUM($UB298:$VY298)&gt;0,$TM298=WS$1),MAX(WR$2:WR297)+1,"")</f>
        <v/>
      </c>
      <c r="WS298" s="59" t="str">
        <f t="shared" ca="1" si="266"/>
        <v/>
      </c>
      <c r="WT298" s="18" t="str">
        <f ca="1">IF(AND(SUM($UB298:$VY298)&gt;0,$TM298=WU$1),MAX(WT$2:WT297)+1,"")</f>
        <v/>
      </c>
      <c r="WU298" s="59" t="str">
        <f t="shared" ca="1" si="267"/>
        <v/>
      </c>
      <c r="WV298" s="18" t="str">
        <f ca="1">IF(AND(SUM($UB298:$VY298)&gt;0,$TM298=WW$1),MAX(WV$2:WV297)+1,"")</f>
        <v/>
      </c>
      <c r="WW298" s="59" t="str">
        <f t="shared" ca="1" si="268"/>
        <v/>
      </c>
      <c r="WX298" s="18" t="str">
        <f ca="1">IF(AND(SUM($UB298:$VY298)&gt;0,$TM298=WY$1),MAX(WX$2:WX297)+1,"")</f>
        <v/>
      </c>
      <c r="WY298" s="59" t="str">
        <f t="shared" ca="1" si="269"/>
        <v/>
      </c>
    </row>
    <row r="299" spans="530:623" ht="9.9499999999999993" customHeight="1" x14ac:dyDescent="0.2">
      <c r="TJ299" s="18">
        <f t="shared" si="270"/>
        <v>297</v>
      </c>
      <c r="TK299" s="58" t="s">
        <v>687</v>
      </c>
      <c r="TL299" s="58" t="s">
        <v>1840</v>
      </c>
      <c r="TM299" s="18">
        <v>0.5</v>
      </c>
      <c r="TN299" s="59" t="str">
        <f t="shared" si="257"/>
        <v xml:space="preserve">Shillelagh </v>
      </c>
      <c r="TO299" s="18" t="str">
        <f>""</f>
        <v/>
      </c>
      <c r="TP299" s="18" t="str">
        <f t="shared" si="258"/>
        <v/>
      </c>
      <c r="TQ299" s="18" t="str">
        <f>IF(OR(TK299=Spellcasting!$AC$18,TK299=Spellcasting!$AC$19),"ᵐ","")</f>
        <v/>
      </c>
      <c r="TR299" s="18" t="str">
        <f>IF(OR(TK299=Spellcasting!$AC$20,TK299=Spellcasting!$AC$21),"ˢ","")</f>
        <v/>
      </c>
      <c r="TS299" s="18" t="str">
        <f>""</f>
        <v/>
      </c>
      <c r="TT299" s="18" t="s">
        <v>1256</v>
      </c>
      <c r="TU299" s="18" t="s">
        <v>519</v>
      </c>
      <c r="TV299" s="18" t="s">
        <v>503</v>
      </c>
      <c r="TW299" s="18" t="s">
        <v>495</v>
      </c>
      <c r="TX299" s="59" t="s">
        <v>1387</v>
      </c>
      <c r="TY299" s="18" t="s">
        <v>491</v>
      </c>
      <c r="TZ299" s="18" t="s">
        <v>492</v>
      </c>
      <c r="UA299" s="142" t="s">
        <v>2082</v>
      </c>
      <c r="UB299" s="319" t="s">
        <v>2299</v>
      </c>
      <c r="UI299" s="18" t="str">
        <f ca="1">IF(UI$1&gt;=$TM299,1,"0")</f>
        <v>0</v>
      </c>
      <c r="VB299" s="18" t="str">
        <f>IF(VB$1&gt;=$TM299,1,"0")</f>
        <v>0</v>
      </c>
      <c r="WD299" s="18" t="str">
        <f ca="1">IF(SUM($VZ$1:$WC$1)&gt;0,IF(AND(SUM($VZ299:$WC299)&gt;0,$TM299=WE$1),MAX(WD$2:WD298)+1,""),IF(AND(SUM($UC299:$VY299)&gt;0,$TM299=WE$1),MAX(WD$2:WD298)+1,""))</f>
        <v/>
      </c>
      <c r="WE299" s="59" t="str">
        <f t="shared" ca="1" si="259"/>
        <v/>
      </c>
      <c r="WF299" s="18" t="str">
        <f ca="1">IF(AND(SUM($UB299:$VY299)&gt;0,$TM299=WG$1),MAX(WF$2:WF298)+1,"")</f>
        <v/>
      </c>
      <c r="WG299" s="59" t="str">
        <f t="shared" ca="1" si="260"/>
        <v/>
      </c>
      <c r="WH299" s="18" t="str">
        <f ca="1">IF(AND(SUM($UB299:$VY299)&gt;0,$TM299=WI$1),MAX(WH$2:WH298)+1,"")</f>
        <v/>
      </c>
      <c r="WI299" s="59" t="str">
        <f t="shared" ca="1" si="261"/>
        <v/>
      </c>
      <c r="WJ299" s="18" t="str">
        <f ca="1">IF(AND(SUM($UB299:$VY299)&gt;0,$TM299=WK$1),MAX(WJ$2:WJ298)+1,"")</f>
        <v/>
      </c>
      <c r="WK299" s="59" t="str">
        <f t="shared" ca="1" si="262"/>
        <v/>
      </c>
      <c r="WL299" s="18" t="str">
        <f ca="1">IF(AND(SUM($UB299:$VY299)&gt;0,$TM299=WM$1),MAX(WL$2:WL298)+1,"")</f>
        <v/>
      </c>
      <c r="WM299" s="59" t="str">
        <f t="shared" ca="1" si="263"/>
        <v/>
      </c>
      <c r="WN299" s="18" t="str">
        <f ca="1">IF(AND(SUM($UB299:$VY299)&gt;0,$TM299=WO$1),MAX(WN$2:WN298)+1,"")</f>
        <v/>
      </c>
      <c r="WO299" s="59" t="str">
        <f t="shared" ca="1" si="264"/>
        <v/>
      </c>
      <c r="WP299" s="18" t="str">
        <f ca="1">IF(AND(SUM($UB299:$VY299)&gt;0,$TM299=WQ$1),MAX(WP$2:WP298)+1,"")</f>
        <v/>
      </c>
      <c r="WQ299" s="59" t="str">
        <f t="shared" ca="1" si="265"/>
        <v/>
      </c>
      <c r="WR299" s="18" t="str">
        <f ca="1">IF(AND(SUM($UB299:$VY299)&gt;0,$TM299=WS$1),MAX(WR$2:WR298)+1,"")</f>
        <v/>
      </c>
      <c r="WS299" s="59" t="str">
        <f t="shared" ca="1" si="266"/>
        <v/>
      </c>
      <c r="WT299" s="18" t="str">
        <f ca="1">IF(AND(SUM($UB299:$VY299)&gt;0,$TM299=WU$1),MAX(WT$2:WT298)+1,"")</f>
        <v/>
      </c>
      <c r="WU299" s="59" t="str">
        <f t="shared" ca="1" si="267"/>
        <v/>
      </c>
      <c r="WV299" s="18" t="str">
        <f ca="1">IF(AND(SUM($UB299:$VY299)&gt;0,$TM299=WW$1),MAX(WV$2:WV298)+1,"")</f>
        <v/>
      </c>
      <c r="WW299" s="59" t="str">
        <f t="shared" ca="1" si="268"/>
        <v/>
      </c>
      <c r="WX299" s="18" t="str">
        <f ca="1">IF(AND(SUM($UB299:$VY299)&gt;0,$TM299=WY$1),MAX(WX$2:WX298)+1,"")</f>
        <v/>
      </c>
      <c r="WY299" s="59" t="str">
        <f t="shared" ca="1" si="269"/>
        <v/>
      </c>
    </row>
    <row r="300" spans="530:623" ht="9.9499999999999993" customHeight="1" x14ac:dyDescent="0.2">
      <c r="TJ300" s="18">
        <f t="shared" si="270"/>
        <v>298</v>
      </c>
      <c r="TK300" s="58" t="s">
        <v>688</v>
      </c>
      <c r="TL300" s="58" t="s">
        <v>1840</v>
      </c>
      <c r="TM300" s="18">
        <v>0.5</v>
      </c>
      <c r="TN300" s="59" t="str">
        <f t="shared" si="257"/>
        <v xml:space="preserve">Shocking Grasp </v>
      </c>
      <c r="TO300" s="18" t="str">
        <f>""</f>
        <v/>
      </c>
      <c r="TP300" s="18" t="str">
        <f t="shared" si="258"/>
        <v/>
      </c>
      <c r="TQ300" s="18" t="str">
        <f>IF(OR(TK300=Spellcasting!$AC$18,TK300=Spellcasting!$AC$19),"ᵐ","")</f>
        <v/>
      </c>
      <c r="TR300" s="18" t="str">
        <f>IF(OR(TK300=Spellcasting!$AC$20,TK300=Spellcasting!$AC$21),"ˢ","")</f>
        <v/>
      </c>
      <c r="TS300" s="18" t="str">
        <f>""</f>
        <v/>
      </c>
      <c r="TT300" s="18" t="s">
        <v>484</v>
      </c>
      <c r="TU300" s="18" t="s">
        <v>519</v>
      </c>
      <c r="TV300" s="18" t="s">
        <v>505</v>
      </c>
      <c r="TW300" s="18" t="s">
        <v>486</v>
      </c>
      <c r="TX300" s="59" t="str">
        <f>""</f>
        <v/>
      </c>
      <c r="TY300" s="18" t="s">
        <v>534</v>
      </c>
      <c r="TZ300" s="18" t="s">
        <v>535</v>
      </c>
      <c r="UA300" s="142" t="s">
        <v>1861</v>
      </c>
      <c r="UB300" s="319" t="str">
        <f ca="1">"melee, "&amp;IF(CharacterLevel&gt;16,"4d8",IF(CharacterLevel&gt;10,"3d8",IF(CharacterLevel&gt;4,"2d8","1d8")))&amp;IF(WizardEvocationLevel&gt;=10,"+"&amp;INTMod,IF(AD283=TRUE,"+"&amp;CHAMod,""))&amp;" lightning, no reaction"</f>
        <v>melee, 1d8 lightning, no reaction</v>
      </c>
      <c r="UF300" s="18" t="str">
        <f ca="1">IF(UF$1&gt;=$TM300,1,"0")</f>
        <v>0</v>
      </c>
      <c r="UL300" s="18" t="str">
        <f ca="1">IF(UL$1&gt;=$TM300,1,"0")</f>
        <v>0</v>
      </c>
      <c r="VP300" s="18" t="str">
        <f>IF(VP$1&gt;=$TM300,1,"0")</f>
        <v>0</v>
      </c>
      <c r="VQ300" s="18" t="str">
        <f>IF(VQ$1&gt;=$TM300,1,"0")</f>
        <v>0</v>
      </c>
      <c r="WB300" s="18" t="str">
        <f>IF(WB$1&gt;=$TM300,1,"0")</f>
        <v>0</v>
      </c>
      <c r="WC300" s="18"/>
      <c r="WD300" s="18" t="str">
        <f ca="1">IF(SUM($VZ$1:$WC$1)&gt;0,IF(AND(SUM($VZ300:$WC300)&gt;0,$TM300=WE$1),MAX(WD$2:WD299)+1,""),IF(AND(SUM($UC300:$VY300)&gt;0,$TM300=WE$1),MAX(WD$2:WD299)+1,""))</f>
        <v/>
      </c>
      <c r="WE300" s="59" t="str">
        <f t="shared" ca="1" si="259"/>
        <v/>
      </c>
      <c r="WF300" s="18" t="str">
        <f ca="1">IF(AND(SUM($UB300:$VY300)&gt;0,$TM300=WG$1),MAX(WF$2:WF299)+1,"")</f>
        <v/>
      </c>
      <c r="WG300" s="59" t="str">
        <f t="shared" ca="1" si="260"/>
        <v/>
      </c>
      <c r="WH300" s="18" t="str">
        <f ca="1">IF(AND(SUM($UB300:$VY300)&gt;0,$TM300=WI$1),MAX(WH$2:WH299)+1,"")</f>
        <v/>
      </c>
      <c r="WI300" s="59" t="str">
        <f t="shared" ca="1" si="261"/>
        <v/>
      </c>
      <c r="WJ300" s="18" t="str">
        <f ca="1">IF(AND(SUM($UB300:$VY300)&gt;0,$TM300=WK$1),MAX(WJ$2:WJ299)+1,"")</f>
        <v/>
      </c>
      <c r="WK300" s="59" t="str">
        <f t="shared" ca="1" si="262"/>
        <v/>
      </c>
      <c r="WL300" s="18" t="str">
        <f ca="1">IF(AND(SUM($UB300:$VY300)&gt;0,$TM300=WM$1),MAX(WL$2:WL299)+1,"")</f>
        <v/>
      </c>
      <c r="WM300" s="59" t="str">
        <f t="shared" ca="1" si="263"/>
        <v/>
      </c>
      <c r="WN300" s="18" t="str">
        <f ca="1">IF(AND(SUM($UB300:$VY300)&gt;0,$TM300=WO$1),MAX(WN$2:WN299)+1,"")</f>
        <v/>
      </c>
      <c r="WO300" s="59" t="str">
        <f t="shared" ca="1" si="264"/>
        <v/>
      </c>
      <c r="WP300" s="18" t="str">
        <f ca="1">IF(AND(SUM($UB300:$VY300)&gt;0,$TM300=WQ$1),MAX(WP$2:WP299)+1,"")</f>
        <v/>
      </c>
      <c r="WQ300" s="59" t="str">
        <f t="shared" ca="1" si="265"/>
        <v/>
      </c>
      <c r="WR300" s="18" t="str">
        <f ca="1">IF(AND(SUM($UB300:$VY300)&gt;0,$TM300=WS$1),MAX(WR$2:WR299)+1,"")</f>
        <v/>
      </c>
      <c r="WS300" s="59" t="str">
        <f t="shared" ca="1" si="266"/>
        <v/>
      </c>
      <c r="WT300" s="18" t="str">
        <f ca="1">IF(AND(SUM($UB300:$VY300)&gt;0,$TM300=WU$1),MAX(WT$2:WT299)+1,"")</f>
        <v/>
      </c>
      <c r="WU300" s="59" t="str">
        <f t="shared" ca="1" si="267"/>
        <v/>
      </c>
      <c r="WV300" s="18" t="str">
        <f ca="1">IF(AND(SUM($UB300:$VY300)&gt;0,$TM300=WW$1),MAX(WV$2:WV299)+1,"")</f>
        <v/>
      </c>
      <c r="WW300" s="59" t="str">
        <f t="shared" ca="1" si="268"/>
        <v/>
      </c>
      <c r="WX300" s="18" t="str">
        <f ca="1">IF(AND(SUM($UB300:$VY300)&gt;0,$TM300=WY$1),MAX(WX$2:WX299)+1,"")</f>
        <v/>
      </c>
      <c r="WY300" s="59" t="str">
        <f t="shared" ca="1" si="269"/>
        <v/>
      </c>
    </row>
    <row r="301" spans="530:623" ht="9.9499999999999993" customHeight="1" x14ac:dyDescent="0.2">
      <c r="TJ301" s="18">
        <f t="shared" si="270"/>
        <v>299</v>
      </c>
      <c r="TK301" s="58" t="s">
        <v>689</v>
      </c>
      <c r="TL301" s="58" t="s">
        <v>459</v>
      </c>
      <c r="TM301" s="18">
        <v>2</v>
      </c>
      <c r="TN301" s="59" t="str">
        <f t="shared" si="257"/>
        <v xml:space="preserve">Silence </v>
      </c>
      <c r="TO301" s="18" t="str">
        <f>""</f>
        <v/>
      </c>
      <c r="TP301" s="18" t="str">
        <f t="shared" si="258"/>
        <v/>
      </c>
      <c r="TQ301" s="18" t="str">
        <f>IF(OR(TK301=Spellcasting!$AC$18,TK301=Spellcasting!$AC$19),"ᵐ","")</f>
        <v/>
      </c>
      <c r="TR301" s="18" t="str">
        <f>IF(OR(TK301=Spellcasting!$AC$20,TK301=Spellcasting!$AC$21),"ˢ","")</f>
        <v/>
      </c>
      <c r="TS301" s="18" t="s">
        <v>477</v>
      </c>
      <c r="TT301" s="18" t="s">
        <v>501</v>
      </c>
      <c r="TU301" s="18" t="s">
        <v>848</v>
      </c>
      <c r="TV301" s="18" t="s">
        <v>515</v>
      </c>
      <c r="TW301" s="18" t="s">
        <v>486</v>
      </c>
      <c r="TX301" s="59" t="str">
        <f>""</f>
        <v/>
      </c>
      <c r="TY301" s="18" t="s">
        <v>523</v>
      </c>
      <c r="TZ301" s="18" t="s">
        <v>524</v>
      </c>
      <c r="UA301" s="59" t="s">
        <v>1373</v>
      </c>
      <c r="UB301" s="319" t="s">
        <v>2097</v>
      </c>
      <c r="UC301" s="18" t="str">
        <f ca="1">IF(UC$1&gt;=$TM301,1,"0")</f>
        <v>0</v>
      </c>
      <c r="UE301" s="18" t="str">
        <f ca="1">IF(UE$1&gt;=$TM301,1,"0")</f>
        <v>0</v>
      </c>
      <c r="UH301" s="18" t="str">
        <f ca="1">IF(UH$1&gt;=$TM301,1,"0")</f>
        <v>0</v>
      </c>
      <c r="VI301" s="18" t="str">
        <f>IF(VI$1&gt;=$TM301,1,"0")</f>
        <v>0</v>
      </c>
      <c r="WD301" s="18" t="str">
        <f ca="1">IF(SUM($VZ$1:$WC$1)&gt;0,IF(AND(SUM($VZ301:$WC301)&gt;0,$TM301=WE$1),MAX(WD$2:WD300)+1,""),IF(AND(SUM($UC301:$VY301)&gt;0,$TM301=WE$1),MAX(WD$2:WD300)+1,""))</f>
        <v/>
      </c>
      <c r="WE301" s="59" t="str">
        <f t="shared" ca="1" si="259"/>
        <v/>
      </c>
      <c r="WF301" s="18" t="str">
        <f ca="1">IF(AND(SUM($UB301:$VY301)&gt;0,$TM301=WG$1),MAX(WF$2:WF300)+1,"")</f>
        <v/>
      </c>
      <c r="WG301" s="59" t="str">
        <f t="shared" ca="1" si="260"/>
        <v/>
      </c>
      <c r="WH301" s="18" t="str">
        <f ca="1">IF(AND(SUM($UB301:$VY301)&gt;0,$TM301=WI$1),MAX(WH$2:WH300)+1,"")</f>
        <v/>
      </c>
      <c r="WI301" s="59" t="str">
        <f t="shared" ca="1" si="261"/>
        <v/>
      </c>
      <c r="WJ301" s="18" t="str">
        <f ca="1">IF(AND(SUM($UB301:$VY301)&gt;0,$TM301=WK$1),MAX(WJ$2:WJ300)+1,"")</f>
        <v/>
      </c>
      <c r="WK301" s="59" t="str">
        <f t="shared" ca="1" si="262"/>
        <v/>
      </c>
      <c r="WL301" s="18" t="str">
        <f ca="1">IF(AND(SUM($UB301:$VY301)&gt;0,$TM301=WM$1),MAX(WL$2:WL300)+1,"")</f>
        <v/>
      </c>
      <c r="WM301" s="59" t="str">
        <f t="shared" ca="1" si="263"/>
        <v/>
      </c>
      <c r="WN301" s="18" t="str">
        <f ca="1">IF(AND(SUM($UB301:$VY301)&gt;0,$TM301=WO$1),MAX(WN$2:WN300)+1,"")</f>
        <v/>
      </c>
      <c r="WO301" s="59" t="str">
        <f t="shared" ca="1" si="264"/>
        <v/>
      </c>
      <c r="WP301" s="18" t="str">
        <f ca="1">IF(AND(SUM($UB301:$VY301)&gt;0,$TM301=WQ$1),MAX(WP$2:WP300)+1,"")</f>
        <v/>
      </c>
      <c r="WQ301" s="59" t="str">
        <f t="shared" ca="1" si="265"/>
        <v/>
      </c>
      <c r="WR301" s="18" t="str">
        <f ca="1">IF(AND(SUM($UB301:$VY301)&gt;0,$TM301=WS$1),MAX(WR$2:WR300)+1,"")</f>
        <v/>
      </c>
      <c r="WS301" s="59" t="str">
        <f t="shared" ca="1" si="266"/>
        <v/>
      </c>
      <c r="WT301" s="18" t="str">
        <f ca="1">IF(AND(SUM($UB301:$VY301)&gt;0,$TM301=WU$1),MAX(WT$2:WT300)+1,"")</f>
        <v/>
      </c>
      <c r="WU301" s="59" t="str">
        <f t="shared" ca="1" si="267"/>
        <v/>
      </c>
      <c r="WV301" s="18" t="str">
        <f ca="1">IF(AND(SUM($UB301:$VY301)&gt;0,$TM301=WW$1),MAX(WV$2:WV300)+1,"")</f>
        <v/>
      </c>
      <c r="WW301" s="59" t="str">
        <f t="shared" ca="1" si="268"/>
        <v/>
      </c>
      <c r="WX301" s="18" t="str">
        <f ca="1">IF(AND(SUM($UB301:$VY301)&gt;0,$TM301=WY$1),MAX(WX$2:WX300)+1,"")</f>
        <v/>
      </c>
      <c r="WY301" s="59" t="str">
        <f t="shared" ca="1" si="269"/>
        <v/>
      </c>
    </row>
    <row r="302" spans="530:623" ht="9.9499999999999993" customHeight="1" x14ac:dyDescent="0.2">
      <c r="TJ302" s="18">
        <f t="shared" si="270"/>
        <v>300</v>
      </c>
      <c r="TK302" s="58" t="s">
        <v>1219</v>
      </c>
      <c r="TL302" s="58" t="s">
        <v>448</v>
      </c>
      <c r="TM302" s="18">
        <v>1</v>
      </c>
      <c r="TN302" s="59" t="str">
        <f t="shared" si="257"/>
        <v xml:space="preserve">Silent Image </v>
      </c>
      <c r="TO302" s="18" t="str">
        <f>""</f>
        <v/>
      </c>
      <c r="TP302" s="18" t="str">
        <f t="shared" si="258"/>
        <v/>
      </c>
      <c r="TQ302" s="18" t="str">
        <f>IF(OR(TK302=Spellcasting!$AC$18,TK302=Spellcasting!$AC$19),"ᵐ","")</f>
        <v/>
      </c>
      <c r="TR302" s="18" t="str">
        <f>IF(OR(TK302=Spellcasting!$AC$20,TK302=Spellcasting!$AC$21),"ˢ","")</f>
        <v/>
      </c>
      <c r="TS302" s="18" t="str">
        <f>""</f>
        <v/>
      </c>
      <c r="TT302" s="18" t="s">
        <v>484</v>
      </c>
      <c r="TU302" s="18" t="s">
        <v>850</v>
      </c>
      <c r="TV302" s="18" t="s">
        <v>515</v>
      </c>
      <c r="TW302" s="18" t="s">
        <v>495</v>
      </c>
      <c r="TX302" s="59" t="s">
        <v>1359</v>
      </c>
      <c r="TY302" s="18" t="s">
        <v>523</v>
      </c>
      <c r="TZ302" s="18" t="s">
        <v>524</v>
      </c>
      <c r="UA302" s="142" t="s">
        <v>1425</v>
      </c>
      <c r="UB302" s="319" t="s">
        <v>1426</v>
      </c>
      <c r="UC302" s="18" t="str">
        <f ca="1">IF(UC$1&gt;=$TM302,1,"0")</f>
        <v>0</v>
      </c>
      <c r="UF302" s="18" t="str">
        <f ca="1">IF(UF$1&gt;=$TM302,1,"0")</f>
        <v>0</v>
      </c>
      <c r="UL302" s="18" t="str">
        <f ca="1">IF(UL$1&gt;=$TM302,1,"0")</f>
        <v>0</v>
      </c>
      <c r="VQ302" s="18" t="str">
        <f>IF(VQ$1&gt;=$TM302,1,"0")</f>
        <v>0</v>
      </c>
      <c r="WD302" s="18" t="str">
        <f ca="1">IF(SUM($VZ$1:$WC$1)&gt;0,IF(AND(SUM($VZ302:$WC302)&gt;0,$TM302=WE$1),MAX(WD$2:WD301)+1,""),IF(AND(SUM($UC302:$VY302)&gt;0,$TM302=WE$1),MAX(WD$2:WD301)+1,""))</f>
        <v/>
      </c>
      <c r="WE302" s="59" t="str">
        <f t="shared" ca="1" si="259"/>
        <v/>
      </c>
      <c r="WF302" s="18" t="str">
        <f ca="1">IF(AND(SUM($UB302:$VY302)&gt;0,$TM302=WG$1),MAX(WF$2:WF301)+1,"")</f>
        <v/>
      </c>
      <c r="WG302" s="59" t="str">
        <f t="shared" ca="1" si="260"/>
        <v/>
      </c>
      <c r="WH302" s="18" t="str">
        <f ca="1">IF(AND(SUM($UB302:$VY302)&gt;0,$TM302=WI$1),MAX(WH$2:WH301)+1,"")</f>
        <v/>
      </c>
      <c r="WI302" s="59" t="str">
        <f t="shared" ca="1" si="261"/>
        <v/>
      </c>
      <c r="WJ302" s="18" t="str">
        <f ca="1">IF(AND(SUM($UB302:$VY302)&gt;0,$TM302=WK$1),MAX(WJ$2:WJ301)+1,"")</f>
        <v/>
      </c>
      <c r="WK302" s="59" t="str">
        <f t="shared" ca="1" si="262"/>
        <v/>
      </c>
      <c r="WL302" s="18" t="str">
        <f ca="1">IF(AND(SUM($UB302:$VY302)&gt;0,$TM302=WM$1),MAX(WL$2:WL301)+1,"")</f>
        <v/>
      </c>
      <c r="WM302" s="59" t="str">
        <f t="shared" ca="1" si="263"/>
        <v/>
      </c>
      <c r="WN302" s="18" t="str">
        <f ca="1">IF(AND(SUM($UB302:$VY302)&gt;0,$TM302=WO$1),MAX(WN$2:WN301)+1,"")</f>
        <v/>
      </c>
      <c r="WO302" s="59" t="str">
        <f t="shared" ca="1" si="264"/>
        <v/>
      </c>
      <c r="WP302" s="18" t="str">
        <f ca="1">IF(AND(SUM($UB302:$VY302)&gt;0,$TM302=WQ$1),MAX(WP$2:WP301)+1,"")</f>
        <v/>
      </c>
      <c r="WQ302" s="59" t="str">
        <f t="shared" ca="1" si="265"/>
        <v/>
      </c>
      <c r="WR302" s="18" t="str">
        <f ca="1">IF(AND(SUM($UB302:$VY302)&gt;0,$TM302=WS$1),MAX(WR$2:WR301)+1,"")</f>
        <v/>
      </c>
      <c r="WS302" s="59" t="str">
        <f t="shared" ca="1" si="266"/>
        <v/>
      </c>
      <c r="WT302" s="18" t="str">
        <f ca="1">IF(AND(SUM($UB302:$VY302)&gt;0,$TM302=WU$1),MAX(WT$2:WT301)+1,"")</f>
        <v/>
      </c>
      <c r="WU302" s="59" t="str">
        <f t="shared" ca="1" si="267"/>
        <v/>
      </c>
      <c r="WV302" s="18" t="str">
        <f ca="1">IF(AND(SUM($UB302:$VY302)&gt;0,$TM302=WW$1),MAX(WV$2:WV301)+1,"")</f>
        <v/>
      </c>
      <c r="WW302" s="59" t="str">
        <f t="shared" ca="1" si="268"/>
        <v/>
      </c>
      <c r="WX302" s="18" t="str">
        <f ca="1">IF(AND(SUM($UB302:$VY302)&gt;0,$TM302=WY$1),MAX(WX$2:WX301)+1,"")</f>
        <v/>
      </c>
      <c r="WY302" s="59" t="str">
        <f t="shared" ca="1" si="269"/>
        <v/>
      </c>
    </row>
    <row r="303" spans="530:623" ht="9.9499999999999993" customHeight="1" x14ac:dyDescent="0.2">
      <c r="TJ303" s="18">
        <f t="shared" si="270"/>
        <v>301</v>
      </c>
      <c r="TK303" s="58" t="s">
        <v>1958</v>
      </c>
      <c r="TL303" s="58" t="s">
        <v>464</v>
      </c>
      <c r="TM303" s="18">
        <v>7</v>
      </c>
      <c r="TN303" s="59" t="str">
        <f t="shared" si="257"/>
        <v xml:space="preserve">Simulacrum </v>
      </c>
      <c r="TO303" s="18" t="str">
        <f>""</f>
        <v/>
      </c>
      <c r="TP303" s="18" t="str">
        <f t="shared" si="258"/>
        <v/>
      </c>
      <c r="TQ303" s="18" t="str">
        <f>IF(OR(TK303=Spellcasting!$AC$18,TK303=Spellcasting!$AC$19),"ᵐ","")</f>
        <v/>
      </c>
      <c r="TR303" s="18" t="str">
        <f>IF(OR(TK303=Spellcasting!$AC$20,TK303=Spellcasting!$AC$21),"ˢ","")</f>
        <v/>
      </c>
      <c r="TS303" s="18" t="str">
        <f>""</f>
        <v/>
      </c>
      <c r="TT303" s="18" t="s">
        <v>684</v>
      </c>
      <c r="TU303" s="18" t="s">
        <v>519</v>
      </c>
      <c r="TV303" s="18" t="s">
        <v>857</v>
      </c>
      <c r="TW303" s="18" t="s">
        <v>495</v>
      </c>
      <c r="TX303" s="59" t="s">
        <v>2024</v>
      </c>
      <c r="TY303" s="18" t="s">
        <v>523</v>
      </c>
      <c r="TZ303" s="18" t="s">
        <v>524</v>
      </c>
      <c r="UA303" s="142" t="s">
        <v>2300</v>
      </c>
      <c r="UB303" s="319" t="s">
        <v>2301</v>
      </c>
      <c r="UL303" s="18" t="str">
        <f ca="1">IF(UL$1&gt;=$TM303,1,"0")</f>
        <v>0</v>
      </c>
      <c r="WD303" s="18" t="str">
        <f ca="1">IF(SUM($VZ$1:$WC$1)&gt;0,IF(AND(SUM($VZ303:$WC303)&gt;0,$TM303=WE$1),MAX(WD$2:WD302)+1,""),IF(AND(SUM($UC303:$VY303)&gt;0,$TM303=WE$1),MAX(WD$2:WD302)+1,""))</f>
        <v/>
      </c>
      <c r="WE303" s="59" t="str">
        <f t="shared" ca="1" si="259"/>
        <v/>
      </c>
      <c r="WF303" s="18" t="str">
        <f ca="1">IF(AND(SUM($UB303:$VY303)&gt;0,$TM303=WG$1),MAX(WF$2:WF302)+1,"")</f>
        <v/>
      </c>
      <c r="WG303" s="59" t="str">
        <f t="shared" ca="1" si="260"/>
        <v/>
      </c>
      <c r="WH303" s="18" t="str">
        <f ca="1">IF(AND(SUM($UB303:$VY303)&gt;0,$TM303=WI$1),MAX(WH$2:WH302)+1,"")</f>
        <v/>
      </c>
      <c r="WI303" s="59" t="str">
        <f t="shared" ca="1" si="261"/>
        <v/>
      </c>
      <c r="WJ303" s="18" t="str">
        <f ca="1">IF(AND(SUM($UB303:$VY303)&gt;0,$TM303=WK$1),MAX(WJ$2:WJ302)+1,"")</f>
        <v/>
      </c>
      <c r="WK303" s="59" t="str">
        <f t="shared" ca="1" si="262"/>
        <v/>
      </c>
      <c r="WL303" s="18" t="str">
        <f ca="1">IF(AND(SUM($UB303:$VY303)&gt;0,$TM303=WM$1),MAX(WL$2:WL302)+1,"")</f>
        <v/>
      </c>
      <c r="WM303" s="59" t="str">
        <f t="shared" ca="1" si="263"/>
        <v/>
      </c>
      <c r="WN303" s="18" t="str">
        <f ca="1">IF(AND(SUM($UB303:$VY303)&gt;0,$TM303=WO$1),MAX(WN$2:WN302)+1,"")</f>
        <v/>
      </c>
      <c r="WO303" s="59" t="str">
        <f t="shared" ca="1" si="264"/>
        <v/>
      </c>
      <c r="WP303" s="18" t="str">
        <f ca="1">IF(AND(SUM($UB303:$VY303)&gt;0,$TM303=WQ$1),MAX(WP$2:WP302)+1,"")</f>
        <v/>
      </c>
      <c r="WQ303" s="59" t="str">
        <f t="shared" ca="1" si="265"/>
        <v/>
      </c>
      <c r="WR303" s="18" t="str">
        <f ca="1">IF(AND(SUM($UB303:$VY303)&gt;0,$TM303=WS$1),MAX(WR$2:WR302)+1,"")</f>
        <v/>
      </c>
      <c r="WS303" s="59" t="str">
        <f t="shared" ca="1" si="266"/>
        <v/>
      </c>
      <c r="WT303" s="18" t="str">
        <f ca="1">IF(AND(SUM($UB303:$VY303)&gt;0,$TM303=WU$1),MAX(WT$2:WT302)+1,"")</f>
        <v/>
      </c>
      <c r="WU303" s="59" t="str">
        <f t="shared" ca="1" si="267"/>
        <v/>
      </c>
      <c r="WV303" s="18" t="str">
        <f ca="1">IF(AND(SUM($UB303:$VY303)&gt;0,$TM303=WW$1),MAX(WV$2:WV302)+1,"")</f>
        <v/>
      </c>
      <c r="WW303" s="59" t="str">
        <f t="shared" ca="1" si="268"/>
        <v/>
      </c>
      <c r="WX303" s="18" t="str">
        <f ca="1">IF(AND(SUM($UB303:$VY303)&gt;0,$TM303=WY$1),MAX(WX$2:WX302)+1,"")</f>
        <v/>
      </c>
      <c r="WY303" s="59" t="str">
        <f t="shared" ca="1" si="269"/>
        <v/>
      </c>
    </row>
    <row r="304" spans="530:623" ht="9.9499999999999993" customHeight="1" x14ac:dyDescent="0.2">
      <c r="TJ304" s="18">
        <f t="shared" si="270"/>
        <v>302</v>
      </c>
      <c r="TK304" s="58" t="s">
        <v>690</v>
      </c>
      <c r="TL304" s="58" t="s">
        <v>448</v>
      </c>
      <c r="TM304" s="18">
        <v>1</v>
      </c>
      <c r="TN304" s="59" t="str">
        <f t="shared" si="257"/>
        <v xml:space="preserve">Sleep ᴴ </v>
      </c>
      <c r="TO304" s="350" t="s">
        <v>2991</v>
      </c>
      <c r="TP304" s="18" t="str">
        <f t="shared" si="258"/>
        <v/>
      </c>
      <c r="TQ304" s="18" t="str">
        <f>IF(OR(TK304=Spellcasting!$AC$18,TK304=Spellcasting!$AC$19),"ᵐ","")</f>
        <v/>
      </c>
      <c r="TR304" s="18" t="str">
        <f>IF(OR(TK304=Spellcasting!$AC$20,TK304=Spellcasting!$AC$21),"ˢ","")</f>
        <v/>
      </c>
      <c r="TS304" s="18" t="str">
        <f>""</f>
        <v/>
      </c>
      <c r="TT304" s="18" t="s">
        <v>484</v>
      </c>
      <c r="TU304" s="18" t="s">
        <v>864</v>
      </c>
      <c r="TV304" s="18" t="s">
        <v>503</v>
      </c>
      <c r="TW304" s="18" t="s">
        <v>495</v>
      </c>
      <c r="TX304" s="59" t="s">
        <v>1427</v>
      </c>
      <c r="TY304" s="18" t="s">
        <v>498</v>
      </c>
      <c r="TZ304" s="18" t="s">
        <v>499</v>
      </c>
      <c r="UA304" s="142" t="s">
        <v>3192</v>
      </c>
      <c r="UB304" s="319" t="s">
        <v>2098</v>
      </c>
      <c r="UC304" s="18" t="str">
        <f ca="1">IF(UC$1&gt;=$TM304,1,"0")</f>
        <v>0</v>
      </c>
      <c r="UF304" s="18" t="str">
        <f ca="1">IF(UF$1&gt;=$TM304,1,"0")</f>
        <v>0</v>
      </c>
      <c r="UL304" s="18" t="str">
        <f ca="1">IF(UL$1&gt;=$TM304,1,"0")</f>
        <v>0</v>
      </c>
      <c r="UV304" s="18" t="str">
        <f>IF(UV$1&gt;=$TM304,1,"0")</f>
        <v>0</v>
      </c>
      <c r="VQ304" s="18" t="str">
        <f>IF(VQ$1&gt;=$TM304,1,"0")</f>
        <v>0</v>
      </c>
      <c r="WD304" s="18" t="str">
        <f ca="1">IF(SUM($VZ$1:$WC$1)&gt;0,IF(AND(SUM($VZ304:$WC304)&gt;0,$TM304=WE$1),MAX(WD$2:WD303)+1,""),IF(AND(SUM($UC304:$VY304)&gt;0,$TM304=WE$1),MAX(WD$2:WD303)+1,""))</f>
        <v/>
      </c>
      <c r="WE304" s="59" t="str">
        <f t="shared" ca="1" si="259"/>
        <v/>
      </c>
      <c r="WF304" s="18" t="str">
        <f ca="1">IF(AND(SUM($UB304:$VY304)&gt;0,$TM304=WG$1),MAX(WF$2:WF303)+1,"")</f>
        <v/>
      </c>
      <c r="WG304" s="59" t="str">
        <f t="shared" ca="1" si="260"/>
        <v/>
      </c>
      <c r="WH304" s="18" t="str">
        <f ca="1">IF(AND(SUM($UB304:$VY304)&gt;0,$TM304=WI$1),MAX(WH$2:WH303)+1,"")</f>
        <v/>
      </c>
      <c r="WI304" s="59" t="str">
        <f t="shared" ca="1" si="261"/>
        <v/>
      </c>
      <c r="WJ304" s="18" t="str">
        <f ca="1">IF(AND(SUM($UB304:$VY304)&gt;0,$TM304=WK$1),MAX(WJ$2:WJ303)+1,"")</f>
        <v/>
      </c>
      <c r="WK304" s="59" t="str">
        <f t="shared" ca="1" si="262"/>
        <v/>
      </c>
      <c r="WL304" s="18" t="str">
        <f ca="1">IF(AND(SUM($UB304:$VY304)&gt;0,$TM304=WM$1),MAX(WL$2:WL303)+1,"")</f>
        <v/>
      </c>
      <c r="WM304" s="59" t="str">
        <f t="shared" ca="1" si="263"/>
        <v/>
      </c>
      <c r="WN304" s="18" t="str">
        <f ca="1">IF(AND(SUM($UB304:$VY304)&gt;0,$TM304=WO$1),MAX(WN$2:WN303)+1,"")</f>
        <v/>
      </c>
      <c r="WO304" s="59" t="str">
        <f t="shared" ca="1" si="264"/>
        <v/>
      </c>
      <c r="WP304" s="18" t="str">
        <f ca="1">IF(AND(SUM($UB304:$VY304)&gt;0,$TM304=WQ$1),MAX(WP$2:WP303)+1,"")</f>
        <v/>
      </c>
      <c r="WQ304" s="59" t="str">
        <f t="shared" ca="1" si="265"/>
        <v/>
      </c>
      <c r="WR304" s="18" t="str">
        <f ca="1">IF(AND(SUM($UB304:$VY304)&gt;0,$TM304=WS$1),MAX(WR$2:WR303)+1,"")</f>
        <v/>
      </c>
      <c r="WS304" s="59" t="str">
        <f t="shared" ca="1" si="266"/>
        <v/>
      </c>
      <c r="WT304" s="18" t="str">
        <f ca="1">IF(AND(SUM($UB304:$VY304)&gt;0,$TM304=WU$1),MAX(WT$2:WT303)+1,"")</f>
        <v/>
      </c>
      <c r="WU304" s="59" t="str">
        <f t="shared" ca="1" si="267"/>
        <v/>
      </c>
      <c r="WV304" s="18" t="str">
        <f ca="1">IF(AND(SUM($UB304:$VY304)&gt;0,$TM304=WW$1),MAX(WV$2:WV303)+1,"")</f>
        <v/>
      </c>
      <c r="WW304" s="59" t="str">
        <f t="shared" ca="1" si="268"/>
        <v/>
      </c>
      <c r="WX304" s="18" t="str">
        <f ca="1">IF(AND(SUM($UB304:$VY304)&gt;0,$TM304=WY$1),MAX(WX$2:WX303)+1,"")</f>
        <v/>
      </c>
      <c r="WY304" s="59" t="str">
        <f t="shared" ca="1" si="269"/>
        <v/>
      </c>
    </row>
    <row r="305" spans="530:623" ht="9.9499999999999993" customHeight="1" x14ac:dyDescent="0.2">
      <c r="TJ305" s="18">
        <f t="shared" si="270"/>
        <v>303</v>
      </c>
      <c r="TK305" s="58" t="s">
        <v>691</v>
      </c>
      <c r="TL305" s="58" t="s">
        <v>460</v>
      </c>
      <c r="TM305" s="18">
        <v>3</v>
      </c>
      <c r="TN305" s="59" t="str">
        <f t="shared" si="257"/>
        <v xml:space="preserve">Sleet Storm </v>
      </c>
      <c r="TO305" s="18" t="str">
        <f>""</f>
        <v/>
      </c>
      <c r="TP305" s="18" t="str">
        <f t="shared" si="258"/>
        <v/>
      </c>
      <c r="TQ305" s="18" t="str">
        <f>IF(OR(TK305=Spellcasting!$AC$18,TK305=Spellcasting!$AC$19),"ᵐ","")</f>
        <v/>
      </c>
      <c r="TR305" s="18" t="str">
        <f>IF(OR(TK305=Spellcasting!$AC$20,TK305=Spellcasting!$AC$21),"ˢ","")</f>
        <v/>
      </c>
      <c r="TS305" s="18" t="str">
        <f>""</f>
        <v/>
      </c>
      <c r="TT305" s="18" t="s">
        <v>484</v>
      </c>
      <c r="TU305" s="18" t="s">
        <v>660</v>
      </c>
      <c r="TV305" s="18" t="s">
        <v>558</v>
      </c>
      <c r="TW305" s="18" t="s">
        <v>495</v>
      </c>
      <c r="TX305" s="59" t="s">
        <v>1717</v>
      </c>
      <c r="TY305" s="18" t="s">
        <v>516</v>
      </c>
      <c r="TZ305" s="18" t="s">
        <v>517</v>
      </c>
      <c r="UA305" s="142" t="s">
        <v>1718</v>
      </c>
      <c r="UB305" s="319" t="s">
        <v>2099</v>
      </c>
      <c r="UF305" s="18" t="str">
        <f ca="1">IF(UF$1&gt;=$TM305,1,"0")</f>
        <v>0</v>
      </c>
      <c r="UI305" s="18" t="str">
        <f ca="1">IF(UI$1&gt;=$TM305,1,"0")</f>
        <v>0</v>
      </c>
      <c r="UL305" s="18" t="str">
        <f ca="1">IF(UL$1&gt;=$TM305,1,"0")</f>
        <v>0</v>
      </c>
      <c r="VC305" s="18" t="str">
        <f>IF(VC$1&gt;=$TM305,1,"0")</f>
        <v>0</v>
      </c>
      <c r="VG305" s="18" t="str">
        <f>IF(VG$1&gt;=$TM305,1,"0")</f>
        <v>0</v>
      </c>
      <c r="WD305" s="18" t="str">
        <f ca="1">IF(SUM($VZ$1:$WC$1)&gt;0,IF(AND(SUM($VZ305:$WC305)&gt;0,$TM305=WE$1),MAX(WD$2:WD304)+1,""),IF(AND(SUM($UC305:$VY305)&gt;0,$TM305=WE$1),MAX(WD$2:WD304)+1,""))</f>
        <v/>
      </c>
      <c r="WE305" s="59" t="str">
        <f t="shared" ca="1" si="259"/>
        <v/>
      </c>
      <c r="WF305" s="18" t="str">
        <f ca="1">IF(AND(SUM($UB305:$VY305)&gt;0,$TM305=WG$1),MAX(WF$2:WF304)+1,"")</f>
        <v/>
      </c>
      <c r="WG305" s="59" t="str">
        <f t="shared" ca="1" si="260"/>
        <v/>
      </c>
      <c r="WH305" s="18" t="str">
        <f ca="1">IF(AND(SUM($UB305:$VY305)&gt;0,$TM305=WI$1),MAX(WH$2:WH304)+1,"")</f>
        <v/>
      </c>
      <c r="WI305" s="59" t="str">
        <f t="shared" ca="1" si="261"/>
        <v/>
      </c>
      <c r="WJ305" s="18" t="str">
        <f ca="1">IF(AND(SUM($UB305:$VY305)&gt;0,$TM305=WK$1),MAX(WJ$2:WJ304)+1,"")</f>
        <v/>
      </c>
      <c r="WK305" s="59" t="str">
        <f t="shared" ca="1" si="262"/>
        <v/>
      </c>
      <c r="WL305" s="18" t="str">
        <f ca="1">IF(AND(SUM($UB305:$VY305)&gt;0,$TM305=WM$1),MAX(WL$2:WL304)+1,"")</f>
        <v/>
      </c>
      <c r="WM305" s="59" t="str">
        <f t="shared" ca="1" si="263"/>
        <v/>
      </c>
      <c r="WN305" s="18" t="str">
        <f ca="1">IF(AND(SUM($UB305:$VY305)&gt;0,$TM305=WO$1),MAX(WN$2:WN304)+1,"")</f>
        <v/>
      </c>
      <c r="WO305" s="59" t="str">
        <f t="shared" ca="1" si="264"/>
        <v/>
      </c>
      <c r="WP305" s="18" t="str">
        <f ca="1">IF(AND(SUM($UB305:$VY305)&gt;0,$TM305=WQ$1),MAX(WP$2:WP304)+1,"")</f>
        <v/>
      </c>
      <c r="WQ305" s="59" t="str">
        <f t="shared" ca="1" si="265"/>
        <v/>
      </c>
      <c r="WR305" s="18" t="str">
        <f ca="1">IF(AND(SUM($UB305:$VY305)&gt;0,$TM305=WS$1),MAX(WR$2:WR304)+1,"")</f>
        <v/>
      </c>
      <c r="WS305" s="59" t="str">
        <f t="shared" ca="1" si="266"/>
        <v/>
      </c>
      <c r="WT305" s="18" t="str">
        <f ca="1">IF(AND(SUM($UB305:$VY305)&gt;0,$TM305=WU$1),MAX(WT$2:WT304)+1,"")</f>
        <v/>
      </c>
      <c r="WU305" s="59" t="str">
        <f t="shared" ca="1" si="267"/>
        <v/>
      </c>
      <c r="WV305" s="18" t="str">
        <f ca="1">IF(AND(SUM($UB305:$VY305)&gt;0,$TM305=WW$1),MAX(WV$2:WV304)+1,"")</f>
        <v/>
      </c>
      <c r="WW305" s="59" t="str">
        <f t="shared" ca="1" si="268"/>
        <v/>
      </c>
      <c r="WX305" s="18" t="str">
        <f ca="1">IF(AND(SUM($UB305:$VY305)&gt;0,$TM305=WY$1),MAX(WX$2:WX304)+1,"")</f>
        <v/>
      </c>
      <c r="WY305" s="59" t="str">
        <f t="shared" ca="1" si="269"/>
        <v/>
      </c>
    </row>
    <row r="306" spans="530:623" ht="9.9499999999999993" customHeight="1" x14ac:dyDescent="0.2">
      <c r="TJ306" s="18">
        <f t="shared" si="270"/>
        <v>304</v>
      </c>
      <c r="TK306" s="58" t="s">
        <v>692</v>
      </c>
      <c r="TL306" s="58" t="s">
        <v>460</v>
      </c>
      <c r="TM306" s="18">
        <v>3</v>
      </c>
      <c r="TN306" s="59" t="str">
        <f t="shared" si="257"/>
        <v xml:space="preserve">Slow </v>
      </c>
      <c r="TO306" s="18" t="str">
        <f>""</f>
        <v/>
      </c>
      <c r="TP306" s="18" t="str">
        <f t="shared" si="258"/>
        <v/>
      </c>
      <c r="TQ306" s="18" t="str">
        <f>IF(OR(TK306=Spellcasting!$AC$18,TK306=Spellcasting!$AC$19),"ᵐ","")</f>
        <v/>
      </c>
      <c r="TR306" s="18" t="str">
        <f>IF(OR(TK306=Spellcasting!$AC$20,TK306=Spellcasting!$AC$21),"ˢ","")</f>
        <v/>
      </c>
      <c r="TS306" s="18" t="str">
        <f>""</f>
        <v/>
      </c>
      <c r="TT306" s="18" t="s">
        <v>484</v>
      </c>
      <c r="TU306" s="18" t="s">
        <v>848</v>
      </c>
      <c r="TV306" s="18" t="s">
        <v>558</v>
      </c>
      <c r="TW306" s="18" t="s">
        <v>495</v>
      </c>
      <c r="TX306" s="59" t="s">
        <v>1720</v>
      </c>
      <c r="TY306" s="18" t="s">
        <v>491</v>
      </c>
      <c r="TZ306" s="18" t="s">
        <v>492</v>
      </c>
      <c r="UA306" s="142" t="s">
        <v>1719</v>
      </c>
      <c r="UB306" s="319" t="s">
        <v>3004</v>
      </c>
      <c r="UF306" s="18" t="str">
        <f ca="1">IF(UF$1&gt;=$TM306,1,"0")</f>
        <v>0</v>
      </c>
      <c r="UL306" s="18" t="str">
        <f ca="1">IF(UL$1&gt;=$TM306,1,"0")</f>
        <v>0</v>
      </c>
      <c r="VG306" s="18" t="str">
        <f>IF(VG$1&gt;=$TM306,1,"0")</f>
        <v>0</v>
      </c>
      <c r="WD306" s="18" t="str">
        <f ca="1">IF(SUM($VZ$1:$WC$1)&gt;0,IF(AND(SUM($VZ306:$WC306)&gt;0,$TM306=WE$1),MAX(WD$2:WD305)+1,""),IF(AND(SUM($UC306:$VY306)&gt;0,$TM306=WE$1),MAX(WD$2:WD305)+1,""))</f>
        <v/>
      </c>
      <c r="WE306" s="59" t="str">
        <f t="shared" ca="1" si="259"/>
        <v/>
      </c>
      <c r="WF306" s="18" t="str">
        <f ca="1">IF(AND(SUM($UB306:$VY306)&gt;0,$TM306=WG$1),MAX(WF$2:WF305)+1,"")</f>
        <v/>
      </c>
      <c r="WG306" s="59" t="str">
        <f t="shared" ca="1" si="260"/>
        <v/>
      </c>
      <c r="WH306" s="18" t="str">
        <f ca="1">IF(AND(SUM($UB306:$VY306)&gt;0,$TM306=WI$1),MAX(WH$2:WH305)+1,"")</f>
        <v/>
      </c>
      <c r="WI306" s="59" t="str">
        <f t="shared" ca="1" si="261"/>
        <v/>
      </c>
      <c r="WJ306" s="18" t="str">
        <f ca="1">IF(AND(SUM($UB306:$VY306)&gt;0,$TM306=WK$1),MAX(WJ$2:WJ305)+1,"")</f>
        <v/>
      </c>
      <c r="WK306" s="59" t="str">
        <f t="shared" ca="1" si="262"/>
        <v/>
      </c>
      <c r="WL306" s="18" t="str">
        <f ca="1">IF(AND(SUM($UB306:$VY306)&gt;0,$TM306=WM$1),MAX(WL$2:WL305)+1,"")</f>
        <v/>
      </c>
      <c r="WM306" s="59" t="str">
        <f t="shared" ca="1" si="263"/>
        <v/>
      </c>
      <c r="WN306" s="18" t="str">
        <f ca="1">IF(AND(SUM($UB306:$VY306)&gt;0,$TM306=WO$1),MAX(WN$2:WN305)+1,"")</f>
        <v/>
      </c>
      <c r="WO306" s="59" t="str">
        <f t="shared" ca="1" si="264"/>
        <v/>
      </c>
      <c r="WP306" s="18" t="str">
        <f ca="1">IF(AND(SUM($UB306:$VY306)&gt;0,$TM306=WQ$1),MAX(WP$2:WP305)+1,"")</f>
        <v/>
      </c>
      <c r="WQ306" s="59" t="str">
        <f t="shared" ca="1" si="265"/>
        <v/>
      </c>
      <c r="WR306" s="18" t="str">
        <f ca="1">IF(AND(SUM($UB306:$VY306)&gt;0,$TM306=WS$1),MAX(WR$2:WR305)+1,"")</f>
        <v/>
      </c>
      <c r="WS306" s="59" t="str">
        <f t="shared" ca="1" si="266"/>
        <v/>
      </c>
      <c r="WT306" s="18" t="str">
        <f ca="1">IF(AND(SUM($UB306:$VY306)&gt;0,$TM306=WU$1),MAX(WT$2:WT305)+1,"")</f>
        <v/>
      </c>
      <c r="WU306" s="59" t="str">
        <f t="shared" ca="1" si="267"/>
        <v/>
      </c>
      <c r="WV306" s="18" t="str">
        <f ca="1">IF(AND(SUM($UB306:$VY306)&gt;0,$TM306=WW$1),MAX(WV$2:WV305)+1,"")</f>
        <v/>
      </c>
      <c r="WW306" s="59" t="str">
        <f t="shared" ca="1" si="268"/>
        <v/>
      </c>
      <c r="WX306" s="18" t="str">
        <f ca="1">IF(AND(SUM($UB306:$VY306)&gt;0,$TM306=WY$1),MAX(WX$2:WX305)+1,"")</f>
        <v/>
      </c>
      <c r="WY306" s="59" t="str">
        <f t="shared" ca="1" si="269"/>
        <v/>
      </c>
    </row>
    <row r="307" spans="530:623" ht="9.9499999999999993" customHeight="1" x14ac:dyDescent="0.2">
      <c r="TJ307" s="18">
        <f t="shared" si="270"/>
        <v>305</v>
      </c>
      <c r="TK307" s="58" t="s">
        <v>693</v>
      </c>
      <c r="TL307" s="58" t="s">
        <v>1840</v>
      </c>
      <c r="TM307" s="18">
        <v>0.5</v>
      </c>
      <c r="TN307" s="59" t="str">
        <f t="shared" si="257"/>
        <v xml:space="preserve">Spare the Dying </v>
      </c>
      <c r="TO307" s="18" t="str">
        <f>""</f>
        <v/>
      </c>
      <c r="TP307" s="18" t="str">
        <f t="shared" si="258"/>
        <v/>
      </c>
      <c r="TQ307" s="18" t="str">
        <f>IF(OR(TK307=Spellcasting!$AC$18,TK307=Spellcasting!$AC$19),"ᵐ","")</f>
        <v/>
      </c>
      <c r="TR307" s="18" t="str">
        <f>IF(OR(TK307=Spellcasting!$AC$20,TK307=Spellcasting!$AC$21),"ˢ","")</f>
        <v/>
      </c>
      <c r="TS307" s="18" t="str">
        <f>""</f>
        <v/>
      </c>
      <c r="TT307" s="18" t="s">
        <v>484</v>
      </c>
      <c r="TU307" s="18" t="s">
        <v>519</v>
      </c>
      <c r="TV307" s="18" t="s">
        <v>505</v>
      </c>
      <c r="TW307" s="18" t="s">
        <v>486</v>
      </c>
      <c r="TX307" s="59" t="str">
        <f>""</f>
        <v/>
      </c>
      <c r="TY307" s="18" t="s">
        <v>506</v>
      </c>
      <c r="TZ307" s="18" t="s">
        <v>507</v>
      </c>
      <c r="UA307" s="59" t="s">
        <v>999</v>
      </c>
      <c r="UB307" s="319" t="s">
        <v>1000</v>
      </c>
      <c r="UH307" s="18" t="str">
        <f ca="1">IF(UH$1&gt;=$TM307,1,"0")</f>
        <v>0</v>
      </c>
      <c r="WD307" s="18" t="str">
        <f ca="1">IF(SUM($VZ$1:$WC$1)&gt;0,IF(AND(SUM($VZ307:$WC307)&gt;0,$TM307=WE$1),MAX(WD$2:WD306)+1,""),IF(AND(SUM($UC307:$VY307)&gt;0,$TM307=WE$1),MAX(WD$2:WD306)+1,""))</f>
        <v/>
      </c>
      <c r="WE307" s="59" t="str">
        <f t="shared" ca="1" si="259"/>
        <v/>
      </c>
      <c r="WF307" s="18" t="str">
        <f ca="1">IF(AND(SUM($UB307:$VY307)&gt;0,$TM307=WG$1),MAX(WF$2:WF306)+1,"")</f>
        <v/>
      </c>
      <c r="WG307" s="59" t="str">
        <f t="shared" ca="1" si="260"/>
        <v/>
      </c>
      <c r="WH307" s="18" t="str">
        <f ca="1">IF(AND(SUM($UB307:$VY307)&gt;0,$TM307=WI$1),MAX(WH$2:WH306)+1,"")</f>
        <v/>
      </c>
      <c r="WI307" s="59" t="str">
        <f t="shared" ca="1" si="261"/>
        <v/>
      </c>
      <c r="WJ307" s="18" t="str">
        <f ca="1">IF(AND(SUM($UB307:$VY307)&gt;0,$TM307=WK$1),MAX(WJ$2:WJ306)+1,"")</f>
        <v/>
      </c>
      <c r="WK307" s="59" t="str">
        <f t="shared" ca="1" si="262"/>
        <v/>
      </c>
      <c r="WL307" s="18" t="str">
        <f ca="1">IF(AND(SUM($UB307:$VY307)&gt;0,$TM307=WM$1),MAX(WL$2:WL306)+1,"")</f>
        <v/>
      </c>
      <c r="WM307" s="59" t="str">
        <f t="shared" ca="1" si="263"/>
        <v/>
      </c>
      <c r="WN307" s="18" t="str">
        <f ca="1">IF(AND(SUM($UB307:$VY307)&gt;0,$TM307=WO$1),MAX(WN$2:WN306)+1,"")</f>
        <v/>
      </c>
      <c r="WO307" s="59" t="str">
        <f t="shared" ca="1" si="264"/>
        <v/>
      </c>
      <c r="WP307" s="18" t="str">
        <f ca="1">IF(AND(SUM($UB307:$VY307)&gt;0,$TM307=WQ$1),MAX(WP$2:WP306)+1,"")</f>
        <v/>
      </c>
      <c r="WQ307" s="59" t="str">
        <f t="shared" ca="1" si="265"/>
        <v/>
      </c>
      <c r="WR307" s="18" t="str">
        <f ca="1">IF(AND(SUM($UB307:$VY307)&gt;0,$TM307=WS$1),MAX(WR$2:WR306)+1,"")</f>
        <v/>
      </c>
      <c r="WS307" s="59" t="str">
        <f t="shared" ca="1" si="266"/>
        <v/>
      </c>
      <c r="WT307" s="18" t="str">
        <f ca="1">IF(AND(SUM($UB307:$VY307)&gt;0,$TM307=WU$1),MAX(WT$2:WT306)+1,"")</f>
        <v/>
      </c>
      <c r="WU307" s="59" t="str">
        <f t="shared" ca="1" si="267"/>
        <v/>
      </c>
      <c r="WV307" s="18" t="str">
        <f ca="1">IF(AND(SUM($UB307:$VY307)&gt;0,$TM307=WW$1),MAX(WV$2:WV306)+1,"")</f>
        <v/>
      </c>
      <c r="WW307" s="59" t="str">
        <f t="shared" ca="1" si="268"/>
        <v/>
      </c>
      <c r="WX307" s="18" t="str">
        <f ca="1">IF(AND(SUM($UB307:$VY307)&gt;0,$TM307=WY$1),MAX(WX$2:WX306)+1,"")</f>
        <v/>
      </c>
      <c r="WY307" s="59" t="str">
        <f t="shared" ca="1" si="269"/>
        <v/>
      </c>
    </row>
    <row r="308" spans="530:623" ht="9.9499999999999993" customHeight="1" x14ac:dyDescent="0.2">
      <c r="TJ308" s="18">
        <f t="shared" si="270"/>
        <v>306</v>
      </c>
      <c r="TK308" s="58" t="s">
        <v>694</v>
      </c>
      <c r="TL308" s="58" t="s">
        <v>448</v>
      </c>
      <c r="TM308" s="18">
        <v>1</v>
      </c>
      <c r="TN308" s="59" t="str">
        <f t="shared" si="257"/>
        <v xml:space="preserve">Speak with Animals </v>
      </c>
      <c r="TO308" s="18" t="str">
        <f>""</f>
        <v/>
      </c>
      <c r="TP308" s="18" t="str">
        <f t="shared" si="258"/>
        <v/>
      </c>
      <c r="TQ308" s="18" t="str">
        <f>IF(OR(TK308=Spellcasting!$AC$18,TK308=Spellcasting!$AC$19),"ᵐ","")</f>
        <v/>
      </c>
      <c r="TR308" s="18" t="str">
        <f>IF(OR(TK308=Spellcasting!$AC$20,TK308=Spellcasting!$AC$21),"ˢ","")</f>
        <v/>
      </c>
      <c r="TS308" s="18" t="s">
        <v>477</v>
      </c>
      <c r="TT308" s="18" t="s">
        <v>501</v>
      </c>
      <c r="TU308" s="18" t="s">
        <v>509</v>
      </c>
      <c r="TV308" s="18" t="s">
        <v>582</v>
      </c>
      <c r="TW308" s="18" t="s">
        <v>486</v>
      </c>
      <c r="TX308" s="59" t="str">
        <f>""</f>
        <v/>
      </c>
      <c r="TY308" s="18" t="s">
        <v>511</v>
      </c>
      <c r="TZ308" s="18" t="s">
        <v>512</v>
      </c>
      <c r="UA308" s="59" t="s">
        <v>1428</v>
      </c>
      <c r="UB308" s="319" t="s">
        <v>1429</v>
      </c>
      <c r="UC308" s="18" t="str">
        <f ca="1">IF(UC$1&gt;=$TM308,1,"0")</f>
        <v>0</v>
      </c>
      <c r="UE308" s="18" t="str">
        <f ca="1">IF(UE$1&gt;=$TM308,1,"0")</f>
        <v>0</v>
      </c>
      <c r="UI308" s="18" t="str">
        <f ca="1">IF(UI$1&gt;=$TM308,1,"0")</f>
        <v>0</v>
      </c>
      <c r="UP308" s="18" t="str">
        <f>IF(UP$1&gt;=$TM308,1,"0")</f>
        <v>0</v>
      </c>
      <c r="VB308" s="18" t="str">
        <f>IF(VB$1&gt;=$TM308,1,"0")</f>
        <v>0</v>
      </c>
      <c r="WD308" s="18" t="str">
        <f ca="1">IF(SUM($VZ$1:$WC$1)&gt;0,IF(AND(SUM($VZ308:$WC308)&gt;0,$TM308=WE$1),MAX(WD$2:WD307)+1,""),IF(AND(SUM($UC308:$VY308)&gt;0,$TM308=WE$1),MAX(WD$2:WD307)+1,""))</f>
        <v/>
      </c>
      <c r="WE308" s="59" t="str">
        <f t="shared" ca="1" si="259"/>
        <v/>
      </c>
      <c r="WF308" s="18" t="str">
        <f ca="1">IF(AND(SUM($UB308:$VY308)&gt;0,$TM308=WG$1),MAX(WF$2:WF307)+1,"")</f>
        <v/>
      </c>
      <c r="WG308" s="59" t="str">
        <f t="shared" ca="1" si="260"/>
        <v/>
      </c>
      <c r="WH308" s="18" t="str">
        <f ca="1">IF(AND(SUM($UB308:$VY308)&gt;0,$TM308=WI$1),MAX(WH$2:WH307)+1,"")</f>
        <v/>
      </c>
      <c r="WI308" s="59" t="str">
        <f t="shared" ca="1" si="261"/>
        <v/>
      </c>
      <c r="WJ308" s="18" t="str">
        <f ca="1">IF(AND(SUM($UB308:$VY308)&gt;0,$TM308=WK$1),MAX(WJ$2:WJ307)+1,"")</f>
        <v/>
      </c>
      <c r="WK308" s="59" t="str">
        <f t="shared" ca="1" si="262"/>
        <v/>
      </c>
      <c r="WL308" s="18" t="str">
        <f ca="1">IF(AND(SUM($UB308:$VY308)&gt;0,$TM308=WM$1),MAX(WL$2:WL307)+1,"")</f>
        <v/>
      </c>
      <c r="WM308" s="59" t="str">
        <f t="shared" ca="1" si="263"/>
        <v/>
      </c>
      <c r="WN308" s="18" t="str">
        <f ca="1">IF(AND(SUM($UB308:$VY308)&gt;0,$TM308=WO$1),MAX(WN$2:WN307)+1,"")</f>
        <v/>
      </c>
      <c r="WO308" s="59" t="str">
        <f t="shared" ca="1" si="264"/>
        <v/>
      </c>
      <c r="WP308" s="18" t="str">
        <f ca="1">IF(AND(SUM($UB308:$VY308)&gt;0,$TM308=WQ$1),MAX(WP$2:WP307)+1,"")</f>
        <v/>
      </c>
      <c r="WQ308" s="59" t="str">
        <f t="shared" ca="1" si="265"/>
        <v/>
      </c>
      <c r="WR308" s="18" t="str">
        <f ca="1">IF(AND(SUM($UB308:$VY308)&gt;0,$TM308=WS$1),MAX(WR$2:WR307)+1,"")</f>
        <v/>
      </c>
      <c r="WS308" s="59" t="str">
        <f t="shared" ca="1" si="266"/>
        <v/>
      </c>
      <c r="WT308" s="18" t="str">
        <f ca="1">IF(AND(SUM($UB308:$VY308)&gt;0,$TM308=WU$1),MAX(WT$2:WT307)+1,"")</f>
        <v/>
      </c>
      <c r="WU308" s="59" t="str">
        <f t="shared" ca="1" si="267"/>
        <v/>
      </c>
      <c r="WV308" s="18" t="str">
        <f ca="1">IF(AND(SUM($UB308:$VY308)&gt;0,$TM308=WW$1),MAX(WV$2:WV307)+1,"")</f>
        <v/>
      </c>
      <c r="WW308" s="59" t="str">
        <f t="shared" ca="1" si="268"/>
        <v/>
      </c>
      <c r="WX308" s="18" t="str">
        <f ca="1">IF(AND(SUM($UB308:$VY308)&gt;0,$TM308=WY$1),MAX(WX$2:WX307)+1,"")</f>
        <v/>
      </c>
      <c r="WY308" s="59" t="str">
        <f t="shared" ca="1" si="269"/>
        <v/>
      </c>
    </row>
    <row r="309" spans="530:623" ht="9.9499999999999993" customHeight="1" x14ac:dyDescent="0.2">
      <c r="TJ309" s="18">
        <f t="shared" si="270"/>
        <v>307</v>
      </c>
      <c r="TK309" s="58" t="s">
        <v>695</v>
      </c>
      <c r="TL309" s="58" t="s">
        <v>460</v>
      </c>
      <c r="TM309" s="18">
        <v>3</v>
      </c>
      <c r="TN309" s="59" t="str">
        <f t="shared" si="257"/>
        <v xml:space="preserve">Speak with Dead </v>
      </c>
      <c r="TO309" s="18" t="str">
        <f>""</f>
        <v/>
      </c>
      <c r="TP309" s="18" t="str">
        <f t="shared" si="258"/>
        <v/>
      </c>
      <c r="TQ309" s="18" t="str">
        <f>IF(OR(TK309=Spellcasting!$AC$18,TK309=Spellcasting!$AC$19),"ᵐ","")</f>
        <v/>
      </c>
      <c r="TR309" s="18" t="str">
        <f>IF(OR(TK309=Spellcasting!$AC$20,TK309=Spellcasting!$AC$21),"ˢ","")</f>
        <v/>
      </c>
      <c r="TS309" s="18" t="str">
        <f>""</f>
        <v/>
      </c>
      <c r="TT309" s="18" t="s">
        <v>484</v>
      </c>
      <c r="TU309" s="18" t="s">
        <v>504</v>
      </c>
      <c r="TV309" s="18" t="s">
        <v>582</v>
      </c>
      <c r="TW309" s="18" t="s">
        <v>495</v>
      </c>
      <c r="TX309" s="59" t="s">
        <v>1721</v>
      </c>
      <c r="TY309" s="18" t="s">
        <v>506</v>
      </c>
      <c r="TZ309" s="18" t="s">
        <v>507</v>
      </c>
      <c r="UA309" s="142" t="s">
        <v>1722</v>
      </c>
      <c r="UB309" s="319" t="s">
        <v>1723</v>
      </c>
      <c r="UC309" s="18" t="str">
        <f ca="1">IF(UC$1&gt;=$TM309,1,"0")</f>
        <v>0</v>
      </c>
      <c r="UH309" s="18" t="str">
        <f ca="1">IF(UH$1&gt;=$TM309,1,"0")</f>
        <v>0</v>
      </c>
      <c r="UY309" s="18" t="str">
        <f>IF(UY$1&gt;=$TM309,1,"0")</f>
        <v>0</v>
      </c>
      <c r="WD309" s="18" t="str">
        <f ca="1">IF(SUM($VZ$1:$WC$1)&gt;0,IF(AND(SUM($VZ309:$WC309)&gt;0,$TM309=WE$1),MAX(WD$2:WD308)+1,""),IF(AND(SUM($UC309:$VY309)&gt;0,$TM309=WE$1),MAX(WD$2:WD308)+1,""))</f>
        <v/>
      </c>
      <c r="WE309" s="59" t="str">
        <f t="shared" ca="1" si="259"/>
        <v/>
      </c>
      <c r="WF309" s="18" t="str">
        <f ca="1">IF(AND(SUM($UB309:$VY309)&gt;0,$TM309=WG$1),MAX(WF$2:WF308)+1,"")</f>
        <v/>
      </c>
      <c r="WG309" s="59" t="str">
        <f t="shared" ca="1" si="260"/>
        <v/>
      </c>
      <c r="WH309" s="18" t="str">
        <f ca="1">IF(AND(SUM($UB309:$VY309)&gt;0,$TM309=WI$1),MAX(WH$2:WH308)+1,"")</f>
        <v/>
      </c>
      <c r="WI309" s="59" t="str">
        <f t="shared" ca="1" si="261"/>
        <v/>
      </c>
      <c r="WJ309" s="18" t="str">
        <f ca="1">IF(AND(SUM($UB309:$VY309)&gt;0,$TM309=WK$1),MAX(WJ$2:WJ308)+1,"")</f>
        <v/>
      </c>
      <c r="WK309" s="59" t="str">
        <f t="shared" ca="1" si="262"/>
        <v/>
      </c>
      <c r="WL309" s="18" t="str">
        <f ca="1">IF(AND(SUM($UB309:$VY309)&gt;0,$TM309=WM$1),MAX(WL$2:WL308)+1,"")</f>
        <v/>
      </c>
      <c r="WM309" s="59" t="str">
        <f t="shared" ca="1" si="263"/>
        <v/>
      </c>
      <c r="WN309" s="18" t="str">
        <f ca="1">IF(AND(SUM($UB309:$VY309)&gt;0,$TM309=WO$1),MAX(WN$2:WN308)+1,"")</f>
        <v/>
      </c>
      <c r="WO309" s="59" t="str">
        <f t="shared" ca="1" si="264"/>
        <v/>
      </c>
      <c r="WP309" s="18" t="str">
        <f ca="1">IF(AND(SUM($UB309:$VY309)&gt;0,$TM309=WQ$1),MAX(WP$2:WP308)+1,"")</f>
        <v/>
      </c>
      <c r="WQ309" s="59" t="str">
        <f t="shared" ca="1" si="265"/>
        <v/>
      </c>
      <c r="WR309" s="18" t="str">
        <f ca="1">IF(AND(SUM($UB309:$VY309)&gt;0,$TM309=WS$1),MAX(WR$2:WR308)+1,"")</f>
        <v/>
      </c>
      <c r="WS309" s="59" t="str">
        <f t="shared" ca="1" si="266"/>
        <v/>
      </c>
      <c r="WT309" s="18" t="str">
        <f ca="1">IF(AND(SUM($UB309:$VY309)&gt;0,$TM309=WU$1),MAX(WT$2:WT308)+1,"")</f>
        <v/>
      </c>
      <c r="WU309" s="59" t="str">
        <f t="shared" ca="1" si="267"/>
        <v/>
      </c>
      <c r="WV309" s="18" t="str">
        <f ca="1">IF(AND(SUM($UB309:$VY309)&gt;0,$TM309=WW$1),MAX(WV$2:WV308)+1,"")</f>
        <v/>
      </c>
      <c r="WW309" s="59" t="str">
        <f t="shared" ca="1" si="268"/>
        <v/>
      </c>
      <c r="WX309" s="18" t="str">
        <f ca="1">IF(AND(SUM($UB309:$VY309)&gt;0,$TM309=WY$1),MAX(WX$2:WX308)+1,"")</f>
        <v/>
      </c>
      <c r="WY309" s="59" t="str">
        <f t="shared" ca="1" si="269"/>
        <v/>
      </c>
    </row>
    <row r="310" spans="530:623" ht="9.9499999999999993" customHeight="1" x14ac:dyDescent="0.2">
      <c r="TJ310" s="18">
        <f t="shared" si="270"/>
        <v>308</v>
      </c>
      <c r="TK310" s="58" t="s">
        <v>2678</v>
      </c>
      <c r="TL310" s="58" t="s">
        <v>460</v>
      </c>
      <c r="TM310" s="18">
        <v>3</v>
      </c>
      <c r="TN310" s="59" t="str">
        <f t="shared" si="257"/>
        <v xml:space="preserve">Speak with Plants </v>
      </c>
      <c r="TO310" s="18" t="str">
        <f>""</f>
        <v/>
      </c>
      <c r="TP310" s="18" t="str">
        <f t="shared" si="258"/>
        <v/>
      </c>
      <c r="TQ310" s="18" t="str">
        <f>IF(OR(TK310=Spellcasting!$AC$18,TK310=Spellcasting!$AC$19),"ᵐ","")</f>
        <v/>
      </c>
      <c r="TR310" s="18" t="str">
        <f>IF(OR(TK310=Spellcasting!$AC$20,TK310=Spellcasting!$AC$21),"ˢ","")</f>
        <v/>
      </c>
      <c r="TS310" s="18" t="str">
        <f>""</f>
        <v/>
      </c>
      <c r="TT310" s="18" t="s">
        <v>484</v>
      </c>
      <c r="TU310" s="18" t="s">
        <v>509</v>
      </c>
      <c r="TV310" s="18" t="s">
        <v>582</v>
      </c>
      <c r="TW310" s="18" t="s">
        <v>486</v>
      </c>
      <c r="TY310" s="18" t="s">
        <v>491</v>
      </c>
      <c r="TZ310" s="18" t="s">
        <v>492</v>
      </c>
      <c r="UA310" s="142" t="s">
        <v>2679</v>
      </c>
      <c r="UB310" s="319" t="s">
        <v>3017</v>
      </c>
      <c r="UC310" s="18" t="str">
        <f ca="1">IF(UC$1&gt;=$TM310,1,"0")</f>
        <v>0</v>
      </c>
      <c r="UI310" s="18" t="str">
        <f ca="1">IF(UI$1&gt;=$TM310,1,"0")</f>
        <v>0</v>
      </c>
      <c r="WD310" s="18" t="str">
        <f ca="1">IF(SUM($VZ$1:$WC$1)&gt;0,IF(AND(SUM($VZ310:$WC310)&gt;0,$TM310=WE$1),MAX(WD$2:WD309)+1,""),IF(AND(SUM($UC310:$VY310)&gt;0,$TM310=WE$1),MAX(WD$2:WD309)+1,""))</f>
        <v/>
      </c>
      <c r="WE310" s="59" t="str">
        <f t="shared" ca="1" si="259"/>
        <v/>
      </c>
      <c r="WF310" s="18" t="str">
        <f ca="1">IF(AND(SUM($UB310:$VY310)&gt;0,$TM310=WG$1),MAX(WF$2:WF309)+1,"")</f>
        <v/>
      </c>
      <c r="WG310" s="59" t="str">
        <f t="shared" ca="1" si="260"/>
        <v/>
      </c>
      <c r="WH310" s="18" t="str">
        <f ca="1">IF(AND(SUM($UB310:$VY310)&gt;0,$TM310=WI$1),MAX(WH$2:WH309)+1,"")</f>
        <v/>
      </c>
      <c r="WI310" s="59" t="str">
        <f t="shared" ca="1" si="261"/>
        <v/>
      </c>
      <c r="WJ310" s="18" t="str">
        <f ca="1">IF(AND(SUM($UB310:$VY310)&gt;0,$TM310=WK$1),MAX(WJ$2:WJ309)+1,"")</f>
        <v/>
      </c>
      <c r="WK310" s="59" t="str">
        <f t="shared" ca="1" si="262"/>
        <v/>
      </c>
      <c r="WL310" s="18" t="str">
        <f ca="1">IF(AND(SUM($UB310:$VY310)&gt;0,$TM310=WM$1),MAX(WL$2:WL309)+1,"")</f>
        <v/>
      </c>
      <c r="WM310" s="59" t="str">
        <f t="shared" ca="1" si="263"/>
        <v/>
      </c>
      <c r="WN310" s="18" t="str">
        <f ca="1">IF(AND(SUM($UB310:$VY310)&gt;0,$TM310=WO$1),MAX(WN$2:WN309)+1,"")</f>
        <v/>
      </c>
      <c r="WO310" s="59" t="str">
        <f t="shared" ca="1" si="264"/>
        <v/>
      </c>
      <c r="WP310" s="18" t="str">
        <f ca="1">IF(AND(SUM($UB310:$VY310)&gt;0,$TM310=WQ$1),MAX(WP$2:WP309)+1,"")</f>
        <v/>
      </c>
      <c r="WQ310" s="59" t="str">
        <f t="shared" ca="1" si="265"/>
        <v/>
      </c>
      <c r="WR310" s="18" t="str">
        <f ca="1">IF(AND(SUM($UB310:$VY310)&gt;0,$TM310=WS$1),MAX(WR$2:WR309)+1,"")</f>
        <v/>
      </c>
      <c r="WS310" s="59" t="str">
        <f t="shared" ca="1" si="266"/>
        <v/>
      </c>
      <c r="WT310" s="18" t="str">
        <f ca="1">IF(AND(SUM($UB310:$VY310)&gt;0,$TM310=WU$1),MAX(WT$2:WT309)+1,"")</f>
        <v/>
      </c>
      <c r="WU310" s="59" t="str">
        <f t="shared" ca="1" si="267"/>
        <v/>
      </c>
      <c r="WV310" s="18" t="str">
        <f ca="1">IF(AND(SUM($UB310:$VY310)&gt;0,$TM310=WW$1),MAX(WV$2:WV309)+1,"")</f>
        <v/>
      </c>
      <c r="WW310" s="59" t="str">
        <f t="shared" ca="1" si="268"/>
        <v/>
      </c>
      <c r="WX310" s="18" t="str">
        <f ca="1">IF(AND(SUM($UB310:$VY310)&gt;0,$TM310=WY$1),MAX(WX$2:WX309)+1,"")</f>
        <v/>
      </c>
      <c r="WY310" s="59" t="str">
        <f t="shared" ca="1" si="269"/>
        <v/>
      </c>
    </row>
    <row r="311" spans="530:623" ht="9.9499999999999993" customHeight="1" x14ac:dyDescent="0.2">
      <c r="TJ311" s="18">
        <f t="shared" si="270"/>
        <v>309</v>
      </c>
      <c r="TK311" s="58" t="s">
        <v>696</v>
      </c>
      <c r="TL311" s="58" t="s">
        <v>459</v>
      </c>
      <c r="TM311" s="18">
        <v>2</v>
      </c>
      <c r="TN311" s="59" t="str">
        <f t="shared" si="257"/>
        <v xml:space="preserve">Spider Climb </v>
      </c>
      <c r="TO311" s="18" t="str">
        <f>""</f>
        <v/>
      </c>
      <c r="TP311" s="18" t="str">
        <f t="shared" si="258"/>
        <v/>
      </c>
      <c r="TQ311" s="18" t="str">
        <f>IF(OR(TK311=Spellcasting!$AC$18,TK311=Spellcasting!$AC$19),"ᵐ","")</f>
        <v/>
      </c>
      <c r="TR311" s="18" t="str">
        <f>IF(OR(TK311=Spellcasting!$AC$20,TK311=Spellcasting!$AC$21),"ˢ","")</f>
        <v/>
      </c>
      <c r="TS311" s="18" t="str">
        <f>""</f>
        <v/>
      </c>
      <c r="TT311" s="18" t="s">
        <v>484</v>
      </c>
      <c r="TU311" s="18" t="s">
        <v>519</v>
      </c>
      <c r="TV311" s="18" t="s">
        <v>490</v>
      </c>
      <c r="TW311" s="18" t="s">
        <v>495</v>
      </c>
      <c r="TX311" s="59" t="s">
        <v>1374</v>
      </c>
      <c r="TY311" s="18" t="s">
        <v>491</v>
      </c>
      <c r="TZ311" s="18" t="s">
        <v>492</v>
      </c>
      <c r="UA311" s="142" t="s">
        <v>1375</v>
      </c>
      <c r="UB311" s="319" t="s">
        <v>1376</v>
      </c>
      <c r="UF311" s="18" t="str">
        <f ca="1">IF(UF$1&gt;=$TM311,1,"0")</f>
        <v>0</v>
      </c>
      <c r="UG311" s="18" t="str">
        <f ca="1">IF(UG$1&gt;=$TM311,1,"0")</f>
        <v>0</v>
      </c>
      <c r="UL311" s="18" t="str">
        <f ca="1">IF(UL$1&gt;=$TM311,1,"0")</f>
        <v>0</v>
      </c>
      <c r="VJ311" s="18" t="str">
        <f>IF(VJ$1&gt;=$TM311,1,"0")</f>
        <v>0</v>
      </c>
      <c r="VL311" s="18" t="str">
        <f>IF(VL$1&gt;=$TM311,1,"0")</f>
        <v>0</v>
      </c>
      <c r="VN311" s="18" t="str">
        <f>IF(VN$1&gt;=$TM311,1,"0")</f>
        <v>0</v>
      </c>
      <c r="WD311" s="18" t="str">
        <f ca="1">IF(SUM($VZ$1:$WC$1)&gt;0,IF(AND(SUM($VZ311:$WC311)&gt;0,$TM311=WE$1),MAX(WD$2:WD310)+1,""),IF(AND(SUM($UC311:$VY311)&gt;0,$TM311=WE$1),MAX(WD$2:WD310)+1,""))</f>
        <v/>
      </c>
      <c r="WE311" s="59" t="str">
        <f t="shared" ca="1" si="259"/>
        <v/>
      </c>
      <c r="WF311" s="18" t="str">
        <f ca="1">IF(AND(SUM($UB311:$VY311)&gt;0,$TM311=WG$1),MAX(WF$2:WF310)+1,"")</f>
        <v/>
      </c>
      <c r="WG311" s="59" t="str">
        <f t="shared" ca="1" si="260"/>
        <v/>
      </c>
      <c r="WH311" s="18" t="str">
        <f ca="1">IF(AND(SUM($UB311:$VY311)&gt;0,$TM311=WI$1),MAX(WH$2:WH310)+1,"")</f>
        <v/>
      </c>
      <c r="WI311" s="59" t="str">
        <f t="shared" ca="1" si="261"/>
        <v/>
      </c>
      <c r="WJ311" s="18" t="str">
        <f ca="1">IF(AND(SUM($UB311:$VY311)&gt;0,$TM311=WK$1),MAX(WJ$2:WJ310)+1,"")</f>
        <v/>
      </c>
      <c r="WK311" s="59" t="str">
        <f t="shared" ca="1" si="262"/>
        <v/>
      </c>
      <c r="WL311" s="18" t="str">
        <f ca="1">IF(AND(SUM($UB311:$VY311)&gt;0,$TM311=WM$1),MAX(WL$2:WL310)+1,"")</f>
        <v/>
      </c>
      <c r="WM311" s="59" t="str">
        <f t="shared" ca="1" si="263"/>
        <v/>
      </c>
      <c r="WN311" s="18" t="str">
        <f ca="1">IF(AND(SUM($UB311:$VY311)&gt;0,$TM311=WO$1),MAX(WN$2:WN310)+1,"")</f>
        <v/>
      </c>
      <c r="WO311" s="59" t="str">
        <f t="shared" ca="1" si="264"/>
        <v/>
      </c>
      <c r="WP311" s="18" t="str">
        <f ca="1">IF(AND(SUM($UB311:$VY311)&gt;0,$TM311=WQ$1),MAX(WP$2:WP310)+1,"")</f>
        <v/>
      </c>
      <c r="WQ311" s="59" t="str">
        <f t="shared" ca="1" si="265"/>
        <v/>
      </c>
      <c r="WR311" s="18" t="str">
        <f ca="1">IF(AND(SUM($UB311:$VY311)&gt;0,$TM311=WS$1),MAX(WR$2:WR310)+1,"")</f>
        <v/>
      </c>
      <c r="WS311" s="59" t="str">
        <f t="shared" ca="1" si="266"/>
        <v/>
      </c>
      <c r="WT311" s="18" t="str">
        <f ca="1">IF(AND(SUM($UB311:$VY311)&gt;0,$TM311=WU$1),MAX(WT$2:WT310)+1,"")</f>
        <v/>
      </c>
      <c r="WU311" s="59" t="str">
        <f t="shared" ca="1" si="267"/>
        <v/>
      </c>
      <c r="WV311" s="18" t="str">
        <f ca="1">IF(AND(SUM($UB311:$VY311)&gt;0,$TM311=WW$1),MAX(WV$2:WV310)+1,"")</f>
        <v/>
      </c>
      <c r="WW311" s="59" t="str">
        <f t="shared" ca="1" si="268"/>
        <v/>
      </c>
      <c r="WX311" s="18" t="str">
        <f ca="1">IF(AND(SUM($UB311:$VY311)&gt;0,$TM311=WY$1),MAX(WX$2:WX310)+1,"")</f>
        <v/>
      </c>
      <c r="WY311" s="59" t="str">
        <f t="shared" ca="1" si="269"/>
        <v/>
      </c>
    </row>
    <row r="312" spans="530:623" ht="9.9499999999999993" customHeight="1" x14ac:dyDescent="0.2">
      <c r="TJ312" s="18">
        <f t="shared" si="270"/>
        <v>310</v>
      </c>
      <c r="TK312" s="58" t="s">
        <v>697</v>
      </c>
      <c r="TL312" s="58" t="s">
        <v>459</v>
      </c>
      <c r="TM312" s="18">
        <v>2</v>
      </c>
      <c r="TN312" s="59" t="str">
        <f t="shared" si="257"/>
        <v xml:space="preserve">Spike Growth </v>
      </c>
      <c r="TO312" s="18" t="str">
        <f>""</f>
        <v/>
      </c>
      <c r="TP312" s="18" t="str">
        <f t="shared" si="258"/>
        <v/>
      </c>
      <c r="TQ312" s="18" t="str">
        <f>IF(OR(TK312=Spellcasting!$AC$18,TK312=Spellcasting!$AC$19),"ᵐ","")</f>
        <v/>
      </c>
      <c r="TR312" s="18" t="str">
        <f>IF(OR(TK312=Spellcasting!$AC$20,TK312=Spellcasting!$AC$21),"ˢ","")</f>
        <v/>
      </c>
      <c r="TS312" s="18" t="str">
        <f>""</f>
        <v/>
      </c>
      <c r="TT312" s="18" t="s">
        <v>484</v>
      </c>
      <c r="TU312" s="18" t="s">
        <v>660</v>
      </c>
      <c r="TV312" s="18" t="s">
        <v>515</v>
      </c>
      <c r="TW312" s="18" t="s">
        <v>495</v>
      </c>
      <c r="TX312" s="59" t="s">
        <v>1377</v>
      </c>
      <c r="TY312" s="18" t="s">
        <v>491</v>
      </c>
      <c r="TZ312" s="18" t="s">
        <v>492</v>
      </c>
      <c r="UA312" s="142" t="s">
        <v>2248</v>
      </c>
      <c r="UB312" s="319" t="s">
        <v>3010</v>
      </c>
      <c r="UE312" s="18" t="str">
        <f ca="1">IF(UE$1&gt;=$TM312,1,"0")</f>
        <v>0</v>
      </c>
      <c r="UI312" s="18" t="str">
        <f ca="1">IF(UI$1&gt;=$TM312,1,"0")</f>
        <v>0</v>
      </c>
      <c r="VB312" s="18" t="str">
        <f>IF(VB$1&gt;=$TM312,1,"0")</f>
        <v>0</v>
      </c>
      <c r="VG312" s="18" t="str">
        <f>IF(VG$1&gt;=$TM312,1,"0")</f>
        <v>0</v>
      </c>
      <c r="VL312" s="18" t="str">
        <f>IF(VL$1&gt;=$TM312,1,"0")</f>
        <v>0</v>
      </c>
      <c r="WD312" s="18" t="str">
        <f ca="1">IF(SUM($VZ$1:$WC$1)&gt;0,IF(AND(SUM($VZ312:$WC312)&gt;0,$TM312=WE$1),MAX(WD$2:WD311)+1,""),IF(AND(SUM($UC312:$VY312)&gt;0,$TM312=WE$1),MAX(WD$2:WD311)+1,""))</f>
        <v/>
      </c>
      <c r="WE312" s="59" t="str">
        <f t="shared" ca="1" si="259"/>
        <v/>
      </c>
      <c r="WF312" s="18" t="str">
        <f ca="1">IF(AND(SUM($UB312:$VY312)&gt;0,$TM312=WG$1),MAX(WF$2:WF311)+1,"")</f>
        <v/>
      </c>
      <c r="WG312" s="59" t="str">
        <f t="shared" ca="1" si="260"/>
        <v/>
      </c>
      <c r="WH312" s="18" t="str">
        <f ca="1">IF(AND(SUM($UB312:$VY312)&gt;0,$TM312=WI$1),MAX(WH$2:WH311)+1,"")</f>
        <v/>
      </c>
      <c r="WI312" s="59" t="str">
        <f t="shared" ca="1" si="261"/>
        <v/>
      </c>
      <c r="WJ312" s="18" t="str">
        <f ca="1">IF(AND(SUM($UB312:$VY312)&gt;0,$TM312=WK$1),MAX(WJ$2:WJ311)+1,"")</f>
        <v/>
      </c>
      <c r="WK312" s="59" t="str">
        <f t="shared" ca="1" si="262"/>
        <v/>
      </c>
      <c r="WL312" s="18" t="str">
        <f ca="1">IF(AND(SUM($UB312:$VY312)&gt;0,$TM312=WM$1),MAX(WL$2:WL311)+1,"")</f>
        <v/>
      </c>
      <c r="WM312" s="59" t="str">
        <f t="shared" ca="1" si="263"/>
        <v/>
      </c>
      <c r="WN312" s="18" t="str">
        <f ca="1">IF(AND(SUM($UB312:$VY312)&gt;0,$TM312=WO$1),MAX(WN$2:WN311)+1,"")</f>
        <v/>
      </c>
      <c r="WO312" s="59" t="str">
        <f t="shared" ca="1" si="264"/>
        <v/>
      </c>
      <c r="WP312" s="18" t="str">
        <f ca="1">IF(AND(SUM($UB312:$VY312)&gt;0,$TM312=WQ$1),MAX(WP$2:WP311)+1,"")</f>
        <v/>
      </c>
      <c r="WQ312" s="59" t="str">
        <f t="shared" ca="1" si="265"/>
        <v/>
      </c>
      <c r="WR312" s="18" t="str">
        <f ca="1">IF(AND(SUM($UB312:$VY312)&gt;0,$TM312=WS$1),MAX(WR$2:WR311)+1,"")</f>
        <v/>
      </c>
      <c r="WS312" s="59" t="str">
        <f t="shared" ca="1" si="266"/>
        <v/>
      </c>
      <c r="WT312" s="18" t="str">
        <f ca="1">IF(AND(SUM($UB312:$VY312)&gt;0,$TM312=WU$1),MAX(WT$2:WT311)+1,"")</f>
        <v/>
      </c>
      <c r="WU312" s="59" t="str">
        <f t="shared" ca="1" si="267"/>
        <v/>
      </c>
      <c r="WV312" s="18" t="str">
        <f ca="1">IF(AND(SUM($UB312:$VY312)&gt;0,$TM312=WW$1),MAX(WV$2:WV311)+1,"")</f>
        <v/>
      </c>
      <c r="WW312" s="59" t="str">
        <f t="shared" ca="1" si="268"/>
        <v/>
      </c>
      <c r="WX312" s="18" t="str">
        <f ca="1">IF(AND(SUM($UB312:$VY312)&gt;0,$TM312=WY$1),MAX(WX$2:WX311)+1,"")</f>
        <v/>
      </c>
      <c r="WY312" s="59" t="str">
        <f t="shared" ca="1" si="269"/>
        <v/>
      </c>
    </row>
    <row r="313" spans="530:623" ht="9.9499999999999993" customHeight="1" x14ac:dyDescent="0.2">
      <c r="TJ313" s="18">
        <f t="shared" si="270"/>
        <v>311</v>
      </c>
      <c r="TK313" s="58" t="s">
        <v>1976</v>
      </c>
      <c r="TL313" s="58" t="s">
        <v>460</v>
      </c>
      <c r="TM313" s="18">
        <v>3</v>
      </c>
      <c r="TN313" s="59" t="str">
        <f t="shared" si="257"/>
        <v xml:space="preserve">Spirit Guardians ᴴ </v>
      </c>
      <c r="TO313" s="350" t="s">
        <v>2991</v>
      </c>
      <c r="TP313" s="18" t="str">
        <f t="shared" si="258"/>
        <v/>
      </c>
      <c r="TQ313" s="18" t="str">
        <f>IF(OR(TK313=Spellcasting!$AC$18,TK313=Spellcasting!$AC$19),"ᵐ","")</f>
        <v/>
      </c>
      <c r="TR313" s="18" t="str">
        <f>IF(OR(TK313=Spellcasting!$AC$20,TK313=Spellcasting!$AC$21),"ˢ","")</f>
        <v/>
      </c>
      <c r="TS313" s="18" t="str">
        <f>""</f>
        <v/>
      </c>
      <c r="TT313" s="18" t="s">
        <v>484</v>
      </c>
      <c r="TU313" s="18" t="s">
        <v>509</v>
      </c>
      <c r="TV313" s="18" t="s">
        <v>515</v>
      </c>
      <c r="TW313" s="18" t="s">
        <v>495</v>
      </c>
      <c r="TX313" s="59" t="s">
        <v>2072</v>
      </c>
      <c r="TY313" s="18" t="s">
        <v>516</v>
      </c>
      <c r="TZ313" s="18" t="s">
        <v>517</v>
      </c>
      <c r="UA313" s="142" t="s">
        <v>2302</v>
      </c>
      <c r="UB313" s="319" t="s">
        <v>3005</v>
      </c>
      <c r="UH313" s="18" t="str">
        <f ca="1">IF(UH$1&gt;=$TM313,1,"0")</f>
        <v>0</v>
      </c>
      <c r="VE313" s="18" t="str">
        <f>IF(VE$1&gt;=$TM313,1,"0")</f>
        <v>0</v>
      </c>
      <c r="WD313" s="18" t="str">
        <f ca="1">IF(SUM($VZ$1:$WC$1)&gt;0,IF(AND(SUM($VZ313:$WC313)&gt;0,$TM313=WE$1),MAX(WD$2:WD312)+1,""),IF(AND(SUM($UC313:$VY313)&gt;0,$TM313=WE$1),MAX(WD$2:WD312)+1,""))</f>
        <v/>
      </c>
      <c r="WE313" s="59" t="str">
        <f t="shared" ca="1" si="259"/>
        <v/>
      </c>
      <c r="WF313" s="18" t="str">
        <f ca="1">IF(AND(SUM($UB313:$VY313)&gt;0,$TM313=WG$1),MAX(WF$2:WF312)+1,"")</f>
        <v/>
      </c>
      <c r="WG313" s="59" t="str">
        <f t="shared" ca="1" si="260"/>
        <v/>
      </c>
      <c r="WH313" s="18" t="str">
        <f ca="1">IF(AND(SUM($UB313:$VY313)&gt;0,$TM313=WI$1),MAX(WH$2:WH312)+1,"")</f>
        <v/>
      </c>
      <c r="WI313" s="59" t="str">
        <f t="shared" ca="1" si="261"/>
        <v/>
      </c>
      <c r="WJ313" s="18" t="str">
        <f ca="1">IF(AND(SUM($UB313:$VY313)&gt;0,$TM313=WK$1),MAX(WJ$2:WJ312)+1,"")</f>
        <v/>
      </c>
      <c r="WK313" s="59" t="str">
        <f t="shared" ca="1" si="262"/>
        <v/>
      </c>
      <c r="WL313" s="18" t="str">
        <f ca="1">IF(AND(SUM($UB313:$VY313)&gt;0,$TM313=WM$1),MAX(WL$2:WL312)+1,"")</f>
        <v/>
      </c>
      <c r="WM313" s="59" t="str">
        <f t="shared" ca="1" si="263"/>
        <v/>
      </c>
      <c r="WN313" s="18" t="str">
        <f ca="1">IF(AND(SUM($UB313:$VY313)&gt;0,$TM313=WO$1),MAX(WN$2:WN312)+1,"")</f>
        <v/>
      </c>
      <c r="WO313" s="59" t="str">
        <f t="shared" ca="1" si="264"/>
        <v/>
      </c>
      <c r="WP313" s="18" t="str">
        <f ca="1">IF(AND(SUM($UB313:$VY313)&gt;0,$TM313=WQ$1),MAX(WP$2:WP312)+1,"")</f>
        <v/>
      </c>
      <c r="WQ313" s="59" t="str">
        <f t="shared" ca="1" si="265"/>
        <v/>
      </c>
      <c r="WR313" s="18" t="str">
        <f ca="1">IF(AND(SUM($UB313:$VY313)&gt;0,$TM313=WS$1),MAX(WR$2:WR312)+1,"")</f>
        <v/>
      </c>
      <c r="WS313" s="59" t="str">
        <f t="shared" ca="1" si="266"/>
        <v/>
      </c>
      <c r="WT313" s="18" t="str">
        <f ca="1">IF(AND(SUM($UB313:$VY313)&gt;0,$TM313=WU$1),MAX(WT$2:WT312)+1,"")</f>
        <v/>
      </c>
      <c r="WU313" s="59" t="str">
        <f t="shared" ca="1" si="267"/>
        <v/>
      </c>
      <c r="WV313" s="18" t="str">
        <f ca="1">IF(AND(SUM($UB313:$VY313)&gt;0,$TM313=WW$1),MAX(WV$2:WV312)+1,"")</f>
        <v/>
      </c>
      <c r="WW313" s="59" t="str">
        <f t="shared" ca="1" si="268"/>
        <v/>
      </c>
      <c r="WX313" s="18" t="str">
        <f ca="1">IF(AND(SUM($UB313:$VY313)&gt;0,$TM313=WY$1),MAX(WX$2:WX312)+1,"")</f>
        <v/>
      </c>
      <c r="WY313" s="59" t="str">
        <f t="shared" ca="1" si="269"/>
        <v/>
      </c>
    </row>
    <row r="314" spans="530:623" ht="9.9499999999999993" customHeight="1" x14ac:dyDescent="0.2">
      <c r="TJ314" s="18">
        <f t="shared" si="270"/>
        <v>312</v>
      </c>
      <c r="TK314" s="58" t="s">
        <v>698</v>
      </c>
      <c r="TL314" s="58" t="s">
        <v>459</v>
      </c>
      <c r="TM314" s="18">
        <v>2</v>
      </c>
      <c r="TN314" s="59" t="str">
        <f t="shared" si="257"/>
        <v xml:space="preserve">Spiritual Weapon ᴴ </v>
      </c>
      <c r="TO314" s="350" t="s">
        <v>2991</v>
      </c>
      <c r="TP314" s="18" t="str">
        <f t="shared" si="258"/>
        <v/>
      </c>
      <c r="TQ314" s="18" t="str">
        <f>IF(OR(TK314=Spellcasting!$AC$18,TK314=Spellcasting!$AC$19),"ᵐ","")</f>
        <v/>
      </c>
      <c r="TR314" s="18" t="str">
        <f>IF(OR(TK314=Spellcasting!$AC$20,TK314=Spellcasting!$AC$21),"ˢ","")</f>
        <v/>
      </c>
      <c r="TS314" s="18" t="str">
        <f>""</f>
        <v/>
      </c>
      <c r="TT314" s="18" t="s">
        <v>1256</v>
      </c>
      <c r="TU314" s="18" t="s">
        <v>850</v>
      </c>
      <c r="TV314" s="18" t="s">
        <v>503</v>
      </c>
      <c r="TW314" s="18" t="s">
        <v>486</v>
      </c>
      <c r="TX314" s="59" t="str">
        <f>""</f>
        <v/>
      </c>
      <c r="TY314" s="18" t="s">
        <v>534</v>
      </c>
      <c r="TZ314" s="18" t="s">
        <v>535</v>
      </c>
      <c r="UA314" s="142" t="s">
        <v>3193</v>
      </c>
      <c r="UB314" s="319" t="s">
        <v>2316</v>
      </c>
      <c r="UH314" s="18" t="str">
        <f ca="1">IF(UH$1&gt;=$TM314,1,"0")</f>
        <v>0</v>
      </c>
      <c r="UZ314" s="18" t="str">
        <f>IF(UZ$1&gt;=$TM314,1,"0")</f>
        <v>0</v>
      </c>
      <c r="VE314" s="18" t="str">
        <f>IF(VE$1&gt;=$TM314,1,"0")</f>
        <v>0</v>
      </c>
      <c r="WD314" s="18" t="str">
        <f ca="1">IF(SUM($VZ$1:$WC$1)&gt;0,IF(AND(SUM($VZ314:$WC314)&gt;0,$TM314=WE$1),MAX(WD$2:WD313)+1,""),IF(AND(SUM($UC314:$VY314)&gt;0,$TM314=WE$1),MAX(WD$2:WD313)+1,""))</f>
        <v/>
      </c>
      <c r="WE314" s="59" t="str">
        <f t="shared" ca="1" si="259"/>
        <v/>
      </c>
      <c r="WF314" s="18" t="str">
        <f ca="1">IF(AND(SUM($UB314:$VY314)&gt;0,$TM314=WG$1),MAX(WF$2:WF313)+1,"")</f>
        <v/>
      </c>
      <c r="WG314" s="59" t="str">
        <f t="shared" ca="1" si="260"/>
        <v/>
      </c>
      <c r="WH314" s="18" t="str">
        <f ca="1">IF(AND(SUM($UB314:$VY314)&gt;0,$TM314=WI$1),MAX(WH$2:WH313)+1,"")</f>
        <v/>
      </c>
      <c r="WI314" s="59" t="str">
        <f t="shared" ca="1" si="261"/>
        <v/>
      </c>
      <c r="WJ314" s="18" t="str">
        <f ca="1">IF(AND(SUM($UB314:$VY314)&gt;0,$TM314=WK$1),MAX(WJ$2:WJ313)+1,"")</f>
        <v/>
      </c>
      <c r="WK314" s="59" t="str">
        <f t="shared" ca="1" si="262"/>
        <v/>
      </c>
      <c r="WL314" s="18" t="str">
        <f ca="1">IF(AND(SUM($UB314:$VY314)&gt;0,$TM314=WM$1),MAX(WL$2:WL313)+1,"")</f>
        <v/>
      </c>
      <c r="WM314" s="59" t="str">
        <f t="shared" ca="1" si="263"/>
        <v/>
      </c>
      <c r="WN314" s="18" t="str">
        <f ca="1">IF(AND(SUM($UB314:$VY314)&gt;0,$TM314=WO$1),MAX(WN$2:WN313)+1,"")</f>
        <v/>
      </c>
      <c r="WO314" s="59" t="str">
        <f t="shared" ca="1" si="264"/>
        <v/>
      </c>
      <c r="WP314" s="18" t="str">
        <f ca="1">IF(AND(SUM($UB314:$VY314)&gt;0,$TM314=WQ$1),MAX(WP$2:WP313)+1,"")</f>
        <v/>
      </c>
      <c r="WQ314" s="59" t="str">
        <f t="shared" ca="1" si="265"/>
        <v/>
      </c>
      <c r="WR314" s="18" t="str">
        <f ca="1">IF(AND(SUM($UB314:$VY314)&gt;0,$TM314=WS$1),MAX(WR$2:WR313)+1,"")</f>
        <v/>
      </c>
      <c r="WS314" s="59" t="str">
        <f t="shared" ca="1" si="266"/>
        <v/>
      </c>
      <c r="WT314" s="18" t="str">
        <f ca="1">IF(AND(SUM($UB314:$VY314)&gt;0,$TM314=WU$1),MAX(WT$2:WT313)+1,"")</f>
        <v/>
      </c>
      <c r="WU314" s="59" t="str">
        <f t="shared" ca="1" si="267"/>
        <v/>
      </c>
      <c r="WV314" s="18" t="str">
        <f ca="1">IF(AND(SUM($UB314:$VY314)&gt;0,$TM314=WW$1),MAX(WV$2:WV313)+1,"")</f>
        <v/>
      </c>
      <c r="WW314" s="59" t="str">
        <f t="shared" ca="1" si="268"/>
        <v/>
      </c>
      <c r="WX314" s="18" t="str">
        <f ca="1">IF(AND(SUM($UB314:$VY314)&gt;0,$TM314=WY$1),MAX(WX$2:WX313)+1,"")</f>
        <v/>
      </c>
      <c r="WY314" s="59" t="str">
        <f t="shared" ca="1" si="269"/>
        <v/>
      </c>
    </row>
    <row r="315" spans="530:623" ht="9.9499999999999993" customHeight="1" x14ac:dyDescent="0.2">
      <c r="TJ315" s="18">
        <f t="shared" si="270"/>
        <v>313</v>
      </c>
      <c r="TK315" s="58" t="s">
        <v>2738</v>
      </c>
      <c r="TL315" s="58" t="s">
        <v>461</v>
      </c>
      <c r="TM315" s="18">
        <v>4</v>
      </c>
      <c r="TN315" s="59" t="str">
        <f t="shared" si="257"/>
        <v xml:space="preserve">Staggering Smite </v>
      </c>
      <c r="TO315" s="18" t="str">
        <f>""</f>
        <v/>
      </c>
      <c r="TP315" s="18" t="str">
        <f t="shared" si="258"/>
        <v/>
      </c>
      <c r="TQ315" s="18" t="str">
        <f>IF(OR(TK315=Spellcasting!$AC$18,TK315=Spellcasting!$AC$19),"ᵐ","")</f>
        <v/>
      </c>
      <c r="TR315" s="18" t="str">
        <f>IF(OR(TK315=Spellcasting!$AC$20,TK315=Spellcasting!$AC$21),"ˢ","")</f>
        <v/>
      </c>
      <c r="TS315" s="18" t="str">
        <f>""</f>
        <v/>
      </c>
      <c r="TT315" s="18" t="s">
        <v>1256</v>
      </c>
      <c r="TU315" s="18" t="s">
        <v>509</v>
      </c>
      <c r="TV315" s="18" t="s">
        <v>558</v>
      </c>
      <c r="TW315" s="18" t="s">
        <v>541</v>
      </c>
      <c r="TY315" s="18" t="s">
        <v>534</v>
      </c>
      <c r="TZ315" s="18" t="s">
        <v>535</v>
      </c>
      <c r="UA315" s="142" t="s">
        <v>2739</v>
      </c>
      <c r="UB315" s="537" t="s">
        <v>2740</v>
      </c>
      <c r="UD315" s="18" t="str">
        <f ca="1">IF(UD$1&gt;=$TM315,1,"0")</f>
        <v>0</v>
      </c>
      <c r="WD315" s="18" t="str">
        <f ca="1">IF(SUM($VZ$1:$WC$1)&gt;0,IF(AND(SUM($VZ315:$WC315)&gt;0,$TM315=WE$1),MAX(WD$2:WD314)+1,""),IF(AND(SUM($UC315:$VY315)&gt;0,$TM315=WE$1),MAX(WD$2:WD314)+1,""))</f>
        <v/>
      </c>
      <c r="WE315" s="59" t="str">
        <f t="shared" ca="1" si="259"/>
        <v/>
      </c>
      <c r="WF315" s="18" t="str">
        <f ca="1">IF(AND(SUM($UB315:$VY315)&gt;0,$TM315=WG$1),MAX(WF$2:WF314)+1,"")</f>
        <v/>
      </c>
      <c r="WG315" s="59" t="str">
        <f t="shared" ca="1" si="260"/>
        <v/>
      </c>
      <c r="WH315" s="18" t="str">
        <f ca="1">IF(AND(SUM($UB315:$VY315)&gt;0,$TM315=WI$1),MAX(WH$2:WH314)+1,"")</f>
        <v/>
      </c>
      <c r="WI315" s="59" t="str">
        <f t="shared" ca="1" si="261"/>
        <v/>
      </c>
      <c r="WJ315" s="18" t="str">
        <f ca="1">IF(AND(SUM($UB315:$VY315)&gt;0,$TM315=WK$1),MAX(WJ$2:WJ314)+1,"")</f>
        <v/>
      </c>
      <c r="WK315" s="59" t="str">
        <f t="shared" ca="1" si="262"/>
        <v/>
      </c>
      <c r="WL315" s="18" t="str">
        <f ca="1">IF(AND(SUM($UB315:$VY315)&gt;0,$TM315=WM$1),MAX(WL$2:WL314)+1,"")</f>
        <v/>
      </c>
      <c r="WM315" s="59" t="str">
        <f t="shared" ca="1" si="263"/>
        <v/>
      </c>
      <c r="WN315" s="18" t="str">
        <f ca="1">IF(AND(SUM($UB315:$VY315)&gt;0,$TM315=WO$1),MAX(WN$2:WN314)+1,"")</f>
        <v/>
      </c>
      <c r="WO315" s="59" t="str">
        <f t="shared" ca="1" si="264"/>
        <v/>
      </c>
      <c r="WP315" s="18" t="str">
        <f ca="1">IF(AND(SUM($UB315:$VY315)&gt;0,$TM315=WQ$1),MAX(WP$2:WP314)+1,"")</f>
        <v/>
      </c>
      <c r="WQ315" s="59" t="str">
        <f t="shared" ca="1" si="265"/>
        <v/>
      </c>
      <c r="WR315" s="18" t="str">
        <f ca="1">IF(AND(SUM($UB315:$VY315)&gt;0,$TM315=WS$1),MAX(WR$2:WR314)+1,"")</f>
        <v/>
      </c>
      <c r="WS315" s="59" t="str">
        <f t="shared" ca="1" si="266"/>
        <v/>
      </c>
      <c r="WT315" s="18" t="str">
        <f ca="1">IF(AND(SUM($UB315:$VY315)&gt;0,$TM315=WU$1),MAX(WT$2:WT314)+1,"")</f>
        <v/>
      </c>
      <c r="WU315" s="59" t="str">
        <f t="shared" ca="1" si="267"/>
        <v/>
      </c>
      <c r="WV315" s="18" t="str">
        <f ca="1">IF(AND(SUM($UB315:$VY315)&gt;0,$TM315=WW$1),MAX(WV$2:WV314)+1,"")</f>
        <v/>
      </c>
      <c r="WW315" s="59" t="str">
        <f t="shared" ca="1" si="268"/>
        <v/>
      </c>
      <c r="WX315" s="18" t="str">
        <f ca="1">IF(AND(SUM($UB315:$VY315)&gt;0,$TM315=WY$1),MAX(WX$2:WX314)+1,"")</f>
        <v/>
      </c>
      <c r="WY315" s="59" t="str">
        <f t="shared" ca="1" si="269"/>
        <v/>
      </c>
    </row>
    <row r="316" spans="530:623" ht="9.9499999999999993" customHeight="1" x14ac:dyDescent="0.2">
      <c r="TJ316" s="18">
        <f t="shared" si="270"/>
        <v>314</v>
      </c>
      <c r="TK316" s="58" t="s">
        <v>699</v>
      </c>
      <c r="TL316" s="58" t="s">
        <v>460</v>
      </c>
      <c r="TM316" s="18">
        <v>3</v>
      </c>
      <c r="TN316" s="59" t="str">
        <f t="shared" si="257"/>
        <v xml:space="preserve">Stinking Cloud </v>
      </c>
      <c r="TO316" s="18" t="str">
        <f>""</f>
        <v/>
      </c>
      <c r="TP316" s="18" t="str">
        <f t="shared" si="258"/>
        <v/>
      </c>
      <c r="TQ316" s="18" t="str">
        <f>IF(OR(TK316=Spellcasting!$AC$18,TK316=Spellcasting!$AC$19),"ᵐ","")</f>
        <v/>
      </c>
      <c r="TR316" s="18" t="str">
        <f>IF(OR(TK316=Spellcasting!$AC$20,TK316=Spellcasting!$AC$21),"ˢ","")</f>
        <v/>
      </c>
      <c r="TS316" s="18" t="str">
        <f>""</f>
        <v/>
      </c>
      <c r="TT316" s="18" t="s">
        <v>484</v>
      </c>
      <c r="TU316" s="18" t="s">
        <v>864</v>
      </c>
      <c r="TV316" s="18" t="s">
        <v>558</v>
      </c>
      <c r="TW316" s="18" t="s">
        <v>495</v>
      </c>
      <c r="TX316" s="59" t="s">
        <v>2088</v>
      </c>
      <c r="TY316" s="18" t="s">
        <v>516</v>
      </c>
      <c r="TZ316" s="18" t="s">
        <v>517</v>
      </c>
      <c r="UA316" s="142" t="s">
        <v>2089</v>
      </c>
      <c r="UB316" s="319" t="s">
        <v>3132</v>
      </c>
      <c r="UC316" s="18" t="str">
        <f ca="1">IF(UC$1&gt;=$TM316,1,"0")</f>
        <v>0</v>
      </c>
      <c r="UF316" s="18" t="str">
        <f ca="1">IF(UF$1&gt;=$TM316,1,"0")</f>
        <v>0</v>
      </c>
      <c r="UL316" s="18" t="str">
        <f ca="1">IF(UL$1&gt;=$TM316,1,"0")</f>
        <v>0</v>
      </c>
      <c r="UW316" s="18" t="str">
        <f>IF(UW$1&gt;=$TM316,1,"0")</f>
        <v>0</v>
      </c>
      <c r="VM316" s="18" t="str">
        <f>IF(VM$1&gt;=$TM316,1,"0")</f>
        <v>0</v>
      </c>
      <c r="VN316" s="18" t="str">
        <f>IF(VN$1&gt;=$TM316,1,"0")</f>
        <v>0</v>
      </c>
      <c r="WD316" s="18" t="str">
        <f ca="1">IF(SUM($VZ$1:$WC$1)&gt;0,IF(AND(SUM($VZ316:$WC316)&gt;0,$TM316=WE$1),MAX(WD$2:WD315)+1,""),IF(AND(SUM($UC316:$VY316)&gt;0,$TM316=WE$1),MAX(WD$2:WD315)+1,""))</f>
        <v/>
      </c>
      <c r="WE316" s="59" t="str">
        <f t="shared" ca="1" si="259"/>
        <v/>
      </c>
      <c r="WF316" s="18" t="str">
        <f ca="1">IF(AND(SUM($UB316:$VY316)&gt;0,$TM316=WG$1),MAX(WF$2:WF315)+1,"")</f>
        <v/>
      </c>
      <c r="WG316" s="59" t="str">
        <f t="shared" ca="1" si="260"/>
        <v/>
      </c>
      <c r="WH316" s="18" t="str">
        <f ca="1">IF(AND(SUM($UB316:$VY316)&gt;0,$TM316=WI$1),MAX(WH$2:WH315)+1,"")</f>
        <v/>
      </c>
      <c r="WI316" s="59" t="str">
        <f t="shared" ca="1" si="261"/>
        <v/>
      </c>
      <c r="WJ316" s="18" t="str">
        <f ca="1">IF(AND(SUM($UB316:$VY316)&gt;0,$TM316=WK$1),MAX(WJ$2:WJ315)+1,"")</f>
        <v/>
      </c>
      <c r="WK316" s="59" t="str">
        <f t="shared" ca="1" si="262"/>
        <v/>
      </c>
      <c r="WL316" s="18" t="str">
        <f ca="1">IF(AND(SUM($UB316:$VY316)&gt;0,$TM316=WM$1),MAX(WL$2:WL315)+1,"")</f>
        <v/>
      </c>
      <c r="WM316" s="59" t="str">
        <f t="shared" ca="1" si="263"/>
        <v/>
      </c>
      <c r="WN316" s="18" t="str">
        <f ca="1">IF(AND(SUM($UB316:$VY316)&gt;0,$TM316=WO$1),MAX(WN$2:WN315)+1,"")</f>
        <v/>
      </c>
      <c r="WO316" s="59" t="str">
        <f t="shared" ca="1" si="264"/>
        <v/>
      </c>
      <c r="WP316" s="18" t="str">
        <f ca="1">IF(AND(SUM($UB316:$VY316)&gt;0,$TM316=WQ$1),MAX(WP$2:WP315)+1,"")</f>
        <v/>
      </c>
      <c r="WQ316" s="59" t="str">
        <f t="shared" ca="1" si="265"/>
        <v/>
      </c>
      <c r="WR316" s="18" t="str">
        <f ca="1">IF(AND(SUM($UB316:$VY316)&gt;0,$TM316=WS$1),MAX(WR$2:WR315)+1,"")</f>
        <v/>
      </c>
      <c r="WS316" s="59" t="str">
        <f t="shared" ca="1" si="266"/>
        <v/>
      </c>
      <c r="WT316" s="18" t="str">
        <f ca="1">IF(AND(SUM($UB316:$VY316)&gt;0,$TM316=WU$1),MAX(WT$2:WT315)+1,"")</f>
        <v/>
      </c>
      <c r="WU316" s="59" t="str">
        <f t="shared" ca="1" si="267"/>
        <v/>
      </c>
      <c r="WV316" s="18" t="str">
        <f ca="1">IF(AND(SUM($UB316:$VY316)&gt;0,$TM316=WW$1),MAX(WV$2:WV315)+1,"")</f>
        <v/>
      </c>
      <c r="WW316" s="59" t="str">
        <f t="shared" ca="1" si="268"/>
        <v/>
      </c>
      <c r="WX316" s="18" t="str">
        <f ca="1">IF(AND(SUM($UB316:$VY316)&gt;0,$TM316=WY$1),MAX(WX$2:WX315)+1,"")</f>
        <v/>
      </c>
      <c r="WY316" s="59" t="str">
        <f t="shared" ca="1" si="269"/>
        <v/>
      </c>
    </row>
    <row r="317" spans="530:623" ht="9.9499999999999993" customHeight="1" x14ac:dyDescent="0.2">
      <c r="TJ317" s="18">
        <f t="shared" si="270"/>
        <v>315</v>
      </c>
      <c r="TK317" s="58" t="s">
        <v>1252</v>
      </c>
      <c r="TL317" s="58" t="s">
        <v>461</v>
      </c>
      <c r="TM317" s="18">
        <v>4</v>
      </c>
      <c r="TN317" s="59" t="str">
        <f t="shared" si="257"/>
        <v xml:space="preserve">Stone Shape </v>
      </c>
      <c r="TO317" s="18" t="str">
        <f>""</f>
        <v/>
      </c>
      <c r="TP317" s="18" t="str">
        <f t="shared" si="258"/>
        <v/>
      </c>
      <c r="TQ317" s="18" t="str">
        <f>IF(OR(TK317=Spellcasting!$AC$18,TK317=Spellcasting!$AC$19),"ᵐ","")</f>
        <v/>
      </c>
      <c r="TR317" s="18" t="str">
        <f>IF(OR(TK317=Spellcasting!$AC$20,TK317=Spellcasting!$AC$21),"ˢ","")</f>
        <v/>
      </c>
      <c r="TS317" s="18" t="str">
        <f>""</f>
        <v/>
      </c>
      <c r="TT317" s="18" t="s">
        <v>484</v>
      </c>
      <c r="TU317" s="18" t="s">
        <v>519</v>
      </c>
      <c r="TV317" s="18" t="s">
        <v>505</v>
      </c>
      <c r="TW317" s="18" t="s">
        <v>495</v>
      </c>
      <c r="TX317" s="59" t="s">
        <v>2025</v>
      </c>
      <c r="TY317" s="18" t="s">
        <v>491</v>
      </c>
      <c r="TZ317" s="18" t="s">
        <v>492</v>
      </c>
      <c r="UA317" s="59" t="s">
        <v>2303</v>
      </c>
      <c r="UB317" s="319" t="s">
        <v>2304</v>
      </c>
      <c r="UH317" s="18" t="str">
        <f ca="1">IF(UH$1&gt;=$TM317,1,"0")</f>
        <v>0</v>
      </c>
      <c r="UI317" s="18" t="str">
        <f ca="1">IF(UI$1&gt;=$TM317,1,"0")</f>
        <v>0</v>
      </c>
      <c r="UL317" s="18" t="str">
        <f ca="1">IF(UL$1&gt;=$TM317,1,"0")</f>
        <v>0</v>
      </c>
      <c r="VL317" s="18" t="str">
        <f>IF(VL$1&gt;=$TM317,1,"0")</f>
        <v>0</v>
      </c>
      <c r="VN317" s="18" t="str">
        <f>IF(VN$1&gt;=$TM317,1,"0")</f>
        <v>0</v>
      </c>
      <c r="WD317" s="18" t="str">
        <f ca="1">IF(SUM($VZ$1:$WC$1)&gt;0,IF(AND(SUM($VZ317:$WC317)&gt;0,$TM317=WE$1),MAX(WD$2:WD316)+1,""),IF(AND(SUM($UC317:$VY317)&gt;0,$TM317=WE$1),MAX(WD$2:WD316)+1,""))</f>
        <v/>
      </c>
      <c r="WE317" s="59" t="str">
        <f t="shared" ca="1" si="259"/>
        <v/>
      </c>
      <c r="WF317" s="18" t="str">
        <f ca="1">IF(AND(SUM($UB317:$VY317)&gt;0,$TM317=WG$1),MAX(WF$2:WF316)+1,"")</f>
        <v/>
      </c>
      <c r="WG317" s="59" t="str">
        <f t="shared" ca="1" si="260"/>
        <v/>
      </c>
      <c r="WH317" s="18" t="str">
        <f ca="1">IF(AND(SUM($UB317:$VY317)&gt;0,$TM317=WI$1),MAX(WH$2:WH316)+1,"")</f>
        <v/>
      </c>
      <c r="WI317" s="59" t="str">
        <f t="shared" ca="1" si="261"/>
        <v/>
      </c>
      <c r="WJ317" s="18" t="str">
        <f ca="1">IF(AND(SUM($UB317:$VY317)&gt;0,$TM317=WK$1),MAX(WJ$2:WJ316)+1,"")</f>
        <v/>
      </c>
      <c r="WK317" s="59" t="str">
        <f t="shared" ca="1" si="262"/>
        <v/>
      </c>
      <c r="WL317" s="18" t="str">
        <f ca="1">IF(AND(SUM($UB317:$VY317)&gt;0,$TM317=WM$1),MAX(WL$2:WL316)+1,"")</f>
        <v/>
      </c>
      <c r="WM317" s="59" t="str">
        <f t="shared" ca="1" si="263"/>
        <v/>
      </c>
      <c r="WN317" s="18" t="str">
        <f ca="1">IF(AND(SUM($UB317:$VY317)&gt;0,$TM317=WO$1),MAX(WN$2:WN316)+1,"")</f>
        <v/>
      </c>
      <c r="WO317" s="59" t="str">
        <f t="shared" ca="1" si="264"/>
        <v/>
      </c>
      <c r="WP317" s="18" t="str">
        <f ca="1">IF(AND(SUM($UB317:$VY317)&gt;0,$TM317=WQ$1),MAX(WP$2:WP316)+1,"")</f>
        <v/>
      </c>
      <c r="WQ317" s="59" t="str">
        <f t="shared" ca="1" si="265"/>
        <v/>
      </c>
      <c r="WR317" s="18" t="str">
        <f ca="1">IF(AND(SUM($UB317:$VY317)&gt;0,$TM317=WS$1),MAX(WR$2:WR316)+1,"")</f>
        <v/>
      </c>
      <c r="WS317" s="59" t="str">
        <f t="shared" ca="1" si="266"/>
        <v/>
      </c>
      <c r="WT317" s="18" t="str">
        <f ca="1">IF(AND(SUM($UB317:$VY317)&gt;0,$TM317=WU$1),MAX(WT$2:WT316)+1,"")</f>
        <v/>
      </c>
      <c r="WU317" s="59" t="str">
        <f t="shared" ca="1" si="267"/>
        <v/>
      </c>
      <c r="WV317" s="18" t="str">
        <f ca="1">IF(AND(SUM($UB317:$VY317)&gt;0,$TM317=WW$1),MAX(WV$2:WV316)+1,"")</f>
        <v/>
      </c>
      <c r="WW317" s="59" t="str">
        <f t="shared" ca="1" si="268"/>
        <v/>
      </c>
      <c r="WX317" s="18" t="str">
        <f ca="1">IF(AND(SUM($UB317:$VY317)&gt;0,$TM317=WY$1),MAX(WX$2:WX316)+1,"")</f>
        <v/>
      </c>
      <c r="WY317" s="59" t="str">
        <f t="shared" ca="1" si="269"/>
        <v/>
      </c>
    </row>
    <row r="318" spans="530:623" ht="9.9499999999999993" customHeight="1" x14ac:dyDescent="0.2">
      <c r="TJ318" s="18">
        <f t="shared" si="270"/>
        <v>316</v>
      </c>
      <c r="TK318" s="58" t="s">
        <v>700</v>
      </c>
      <c r="TL318" s="58" t="s">
        <v>461</v>
      </c>
      <c r="TM318" s="18">
        <v>4</v>
      </c>
      <c r="TN318" s="59" t="str">
        <f t="shared" si="257"/>
        <v xml:space="preserve">Stoneskin </v>
      </c>
      <c r="TO318" s="18" t="str">
        <f>""</f>
        <v/>
      </c>
      <c r="TP318" s="18" t="str">
        <f t="shared" si="258"/>
        <v/>
      </c>
      <c r="TQ318" s="18" t="str">
        <f>IF(OR(TK318=Spellcasting!$AC$18,TK318=Spellcasting!$AC$19),"ᵐ","")</f>
        <v/>
      </c>
      <c r="TR318" s="18" t="str">
        <f>IF(OR(TK318=Spellcasting!$AC$20,TK318=Spellcasting!$AC$21),"ˢ","")</f>
        <v/>
      </c>
      <c r="TS318" s="18" t="str">
        <f>""</f>
        <v/>
      </c>
      <c r="TT318" s="18" t="s">
        <v>484</v>
      </c>
      <c r="TU318" s="18" t="s">
        <v>519</v>
      </c>
      <c r="TV318" s="18" t="s">
        <v>490</v>
      </c>
      <c r="TW318" s="18" t="s">
        <v>495</v>
      </c>
      <c r="TX318" s="59" t="s">
        <v>2026</v>
      </c>
      <c r="TY318" s="18" t="s">
        <v>487</v>
      </c>
      <c r="TZ318" s="18" t="s">
        <v>488</v>
      </c>
      <c r="UA318" s="142" t="s">
        <v>2305</v>
      </c>
      <c r="UB318" s="319" t="s">
        <v>3047</v>
      </c>
      <c r="UF318" s="18" t="str">
        <f ca="1">IF(UF$1&gt;=$TM318,1,"0")</f>
        <v>0</v>
      </c>
      <c r="UI318" s="18" t="str">
        <f ca="1">IF(UI$1&gt;=$TM318,1,"0")</f>
        <v>0</v>
      </c>
      <c r="UL318" s="18" t="str">
        <f ca="1">IF(UL$1&gt;=$TM318,1,"0")</f>
        <v>0</v>
      </c>
      <c r="UP318" s="18" t="str">
        <f>IF(UP$1&gt;=$TM318,1,"0")</f>
        <v>0</v>
      </c>
      <c r="VE318" s="18" t="str">
        <f>IF(VE$1&gt;=$TM318,1,"0")</f>
        <v>0</v>
      </c>
      <c r="VL318" s="18" t="str">
        <f>IF(VL$1&gt;=$TM318,1,"0")</f>
        <v>0</v>
      </c>
      <c r="VP318" s="18" t="str">
        <f>IF(VP$1&gt;=$TM318,1,"0")</f>
        <v>0</v>
      </c>
      <c r="WD318" s="18" t="str">
        <f ca="1">IF(SUM($VZ$1:$WC$1)&gt;0,IF(AND(SUM($VZ318:$WC318)&gt;0,$TM318=WE$1),MAX(WD$2:WD317)+1,""),IF(AND(SUM($UC318:$VY318)&gt;0,$TM318=WE$1),MAX(WD$2:WD317)+1,""))</f>
        <v/>
      </c>
      <c r="WE318" s="59" t="str">
        <f t="shared" ca="1" si="259"/>
        <v/>
      </c>
      <c r="WF318" s="18" t="str">
        <f ca="1">IF(AND(SUM($UB318:$VY318)&gt;0,$TM318=WG$1),MAX(WF$2:WF317)+1,"")</f>
        <v/>
      </c>
      <c r="WG318" s="59" t="str">
        <f t="shared" ca="1" si="260"/>
        <v/>
      </c>
      <c r="WH318" s="18" t="str">
        <f ca="1">IF(AND(SUM($UB318:$VY318)&gt;0,$TM318=WI$1),MAX(WH$2:WH317)+1,"")</f>
        <v/>
      </c>
      <c r="WI318" s="59" t="str">
        <f t="shared" ca="1" si="261"/>
        <v/>
      </c>
      <c r="WJ318" s="18" t="str">
        <f ca="1">IF(AND(SUM($UB318:$VY318)&gt;0,$TM318=WK$1),MAX(WJ$2:WJ317)+1,"")</f>
        <v/>
      </c>
      <c r="WK318" s="59" t="str">
        <f t="shared" ca="1" si="262"/>
        <v/>
      </c>
      <c r="WL318" s="18" t="str">
        <f ca="1">IF(AND(SUM($UB318:$VY318)&gt;0,$TM318=WM$1),MAX(WL$2:WL317)+1,"")</f>
        <v/>
      </c>
      <c r="WM318" s="59" t="str">
        <f t="shared" ca="1" si="263"/>
        <v/>
      </c>
      <c r="WN318" s="18" t="str">
        <f ca="1">IF(AND(SUM($UB318:$VY318)&gt;0,$TM318=WO$1),MAX(WN$2:WN317)+1,"")</f>
        <v/>
      </c>
      <c r="WO318" s="59" t="str">
        <f t="shared" ca="1" si="264"/>
        <v/>
      </c>
      <c r="WP318" s="18" t="str">
        <f ca="1">IF(AND(SUM($UB318:$VY318)&gt;0,$TM318=WQ$1),MAX(WP$2:WP317)+1,"")</f>
        <v/>
      </c>
      <c r="WQ318" s="59" t="str">
        <f t="shared" ca="1" si="265"/>
        <v/>
      </c>
      <c r="WR318" s="18" t="str">
        <f ca="1">IF(AND(SUM($UB318:$VY318)&gt;0,$TM318=WS$1),MAX(WR$2:WR317)+1,"")</f>
        <v/>
      </c>
      <c r="WS318" s="59" t="str">
        <f t="shared" ca="1" si="266"/>
        <v/>
      </c>
      <c r="WT318" s="18" t="str">
        <f ca="1">IF(AND(SUM($UB318:$VY318)&gt;0,$TM318=WU$1),MAX(WT$2:WT317)+1,"")</f>
        <v/>
      </c>
      <c r="WU318" s="59" t="str">
        <f t="shared" ca="1" si="267"/>
        <v/>
      </c>
      <c r="WV318" s="18" t="str">
        <f ca="1">IF(AND(SUM($UB318:$VY318)&gt;0,$TM318=WW$1),MAX(WV$2:WV317)+1,"")</f>
        <v/>
      </c>
      <c r="WW318" s="59" t="str">
        <f t="shared" ca="1" si="268"/>
        <v/>
      </c>
      <c r="WX318" s="18" t="str">
        <f ca="1">IF(AND(SUM($UB318:$VY318)&gt;0,$TM318=WY$1),MAX(WX$2:WX317)+1,"")</f>
        <v/>
      </c>
      <c r="WY318" s="59" t="str">
        <f t="shared" ca="1" si="269"/>
        <v/>
      </c>
    </row>
    <row r="319" spans="530:623" ht="9.9499999999999993" customHeight="1" x14ac:dyDescent="0.2">
      <c r="TJ319" s="18">
        <f t="shared" si="270"/>
        <v>317</v>
      </c>
      <c r="TK319" s="58" t="s">
        <v>701</v>
      </c>
      <c r="TL319" s="58" t="s">
        <v>466</v>
      </c>
      <c r="TM319" s="18">
        <v>9</v>
      </c>
      <c r="TN319" s="59" t="str">
        <f t="shared" si="257"/>
        <v xml:space="preserve">Storm of Vengeance </v>
      </c>
      <c r="TO319" s="18" t="str">
        <f>""</f>
        <v/>
      </c>
      <c r="TP319" s="18" t="str">
        <f t="shared" si="258"/>
        <v/>
      </c>
      <c r="TQ319" s="18" t="str">
        <f>IF(OR(TK319=Spellcasting!$AC$18,TK319=Spellcasting!$AC$19),"ᵐ","")</f>
        <v/>
      </c>
      <c r="TR319" s="18" t="str">
        <f>IF(OR(TK319=Spellcasting!$AC$20,TK319=Spellcasting!$AC$21),"ˢ","")</f>
        <v/>
      </c>
      <c r="TS319" s="18" t="str">
        <f>""</f>
        <v/>
      </c>
      <c r="TT319" s="18" t="s">
        <v>484</v>
      </c>
      <c r="TU319" s="18" t="s">
        <v>702</v>
      </c>
      <c r="TV319" s="18" t="s">
        <v>558</v>
      </c>
      <c r="TW319" s="18" t="s">
        <v>486</v>
      </c>
      <c r="TX319" s="59" t="str">
        <f>""</f>
        <v/>
      </c>
      <c r="TY319" s="18" t="s">
        <v>516</v>
      </c>
      <c r="TZ319" s="18" t="s">
        <v>517</v>
      </c>
      <c r="UA319" s="142" t="s">
        <v>2306</v>
      </c>
      <c r="UB319" s="319" t="s">
        <v>2307</v>
      </c>
      <c r="UI319" s="18" t="str">
        <f ca="1">IF(UI$1&gt;=$TM319,1,"0")</f>
        <v>0</v>
      </c>
      <c r="WD319" s="18" t="str">
        <f ca="1">IF(SUM($VZ$1:$WC$1)&gt;0,IF(AND(SUM($VZ319:$WC319)&gt;0,$TM319=WE$1),MAX(WD$2:WD318)+1,""),IF(AND(SUM($UC319:$VY319)&gt;0,$TM319=WE$1),MAX(WD$2:WD318)+1,""))</f>
        <v/>
      </c>
      <c r="WE319" s="59" t="str">
        <f t="shared" ca="1" si="259"/>
        <v/>
      </c>
      <c r="WF319" s="18" t="str">
        <f ca="1">IF(AND(SUM($UB319:$VY319)&gt;0,$TM319=WG$1),MAX(WF$2:WF318)+1,"")</f>
        <v/>
      </c>
      <c r="WG319" s="59" t="str">
        <f t="shared" ca="1" si="260"/>
        <v/>
      </c>
      <c r="WH319" s="18" t="str">
        <f ca="1">IF(AND(SUM($UB319:$VY319)&gt;0,$TM319=WI$1),MAX(WH$2:WH318)+1,"")</f>
        <v/>
      </c>
      <c r="WI319" s="59" t="str">
        <f t="shared" ca="1" si="261"/>
        <v/>
      </c>
      <c r="WJ319" s="18" t="str">
        <f ca="1">IF(AND(SUM($UB319:$VY319)&gt;0,$TM319=WK$1),MAX(WJ$2:WJ318)+1,"")</f>
        <v/>
      </c>
      <c r="WK319" s="59" t="str">
        <f t="shared" ca="1" si="262"/>
        <v/>
      </c>
      <c r="WL319" s="18" t="str">
        <f ca="1">IF(AND(SUM($UB319:$VY319)&gt;0,$TM319=WM$1),MAX(WL$2:WL318)+1,"")</f>
        <v/>
      </c>
      <c r="WM319" s="59" t="str">
        <f t="shared" ca="1" si="263"/>
        <v/>
      </c>
      <c r="WN319" s="18" t="str">
        <f ca="1">IF(AND(SUM($UB319:$VY319)&gt;0,$TM319=WO$1),MAX(WN$2:WN318)+1,"")</f>
        <v/>
      </c>
      <c r="WO319" s="59" t="str">
        <f t="shared" ca="1" si="264"/>
        <v/>
      </c>
      <c r="WP319" s="18" t="str">
        <f ca="1">IF(AND(SUM($UB319:$VY319)&gt;0,$TM319=WQ$1),MAX(WP$2:WP318)+1,"")</f>
        <v/>
      </c>
      <c r="WQ319" s="59" t="str">
        <f t="shared" ca="1" si="265"/>
        <v/>
      </c>
      <c r="WR319" s="18" t="str">
        <f ca="1">IF(AND(SUM($UB319:$VY319)&gt;0,$TM319=WS$1),MAX(WR$2:WR318)+1,"")</f>
        <v/>
      </c>
      <c r="WS319" s="59" t="str">
        <f t="shared" ca="1" si="266"/>
        <v/>
      </c>
      <c r="WT319" s="18" t="str">
        <f ca="1">IF(AND(SUM($UB319:$VY319)&gt;0,$TM319=WU$1),MAX(WT$2:WT318)+1,"")</f>
        <v/>
      </c>
      <c r="WU319" s="59" t="str">
        <f t="shared" ca="1" si="267"/>
        <v/>
      </c>
      <c r="WV319" s="18" t="str">
        <f ca="1">IF(AND(SUM($UB319:$VY319)&gt;0,$TM319=WW$1),MAX(WV$2:WV318)+1,"")</f>
        <v/>
      </c>
      <c r="WW319" s="59" t="str">
        <f t="shared" ca="1" si="268"/>
        <v/>
      </c>
      <c r="WX319" s="18" t="str">
        <f ca="1">IF(AND(SUM($UB319:$VY319)&gt;0,$TM319=WY$1),MAX(WX$2:WX318)+1,"")</f>
        <v/>
      </c>
      <c r="WY319" s="59" t="str">
        <f t="shared" ca="1" si="269"/>
        <v/>
      </c>
    </row>
    <row r="320" spans="530:623" ht="9.9499999999999993" customHeight="1" x14ac:dyDescent="0.2">
      <c r="TJ320" s="18">
        <f t="shared" si="270"/>
        <v>318</v>
      </c>
      <c r="TK320" s="58" t="s">
        <v>703</v>
      </c>
      <c r="TL320" s="58" t="s">
        <v>459</v>
      </c>
      <c r="TM320" s="18">
        <v>2</v>
      </c>
      <c r="TN320" s="59" t="str">
        <f t="shared" si="257"/>
        <v xml:space="preserve">Suggestion </v>
      </c>
      <c r="TO320" s="18" t="str">
        <f>""</f>
        <v/>
      </c>
      <c r="TP320" s="18" t="str">
        <f t="shared" si="258"/>
        <v/>
      </c>
      <c r="TQ320" s="18" t="str">
        <f>IF(OR(TK320=Spellcasting!$AC$18,TK320=Spellcasting!$AC$19),"ᵐ","")</f>
        <v/>
      </c>
      <c r="TR320" s="18" t="str">
        <f>IF(OR(TK320=Spellcasting!$AC$20,TK320=Spellcasting!$AC$21),"ˢ","")</f>
        <v/>
      </c>
      <c r="TS320" s="18" t="str">
        <f>""</f>
        <v/>
      </c>
      <c r="TT320" s="18" t="s">
        <v>484</v>
      </c>
      <c r="TU320" s="18" t="s">
        <v>851</v>
      </c>
      <c r="TV320" s="18" t="s">
        <v>704</v>
      </c>
      <c r="TW320" s="18" t="s">
        <v>686</v>
      </c>
      <c r="TX320" s="59" t="s">
        <v>1378</v>
      </c>
      <c r="TY320" s="18" t="s">
        <v>498</v>
      </c>
      <c r="TZ320" s="18" t="s">
        <v>499</v>
      </c>
      <c r="UA320" s="142" t="s">
        <v>1379</v>
      </c>
      <c r="UB320" s="319" t="s">
        <v>1380</v>
      </c>
      <c r="UC320" s="18" t="str">
        <f ca="1">IF(UC$1&gt;=$TM320,1,"0")</f>
        <v>0</v>
      </c>
      <c r="UF320" s="18" t="str">
        <f ca="1">IF(UF$1&gt;=$TM320,1,"0")</f>
        <v>0</v>
      </c>
      <c r="UG320" s="18" t="str">
        <f ca="1">IF(UG$1&gt;=$TM320,1,"0")</f>
        <v>0</v>
      </c>
      <c r="UL320" s="18" t="str">
        <f ca="1">IF(UL$1&gt;=$TM320,1,"0")</f>
        <v>0</v>
      </c>
      <c r="UY320" s="18" t="str">
        <f>IF(UY$1&gt;=$TM320,1,"0")</f>
        <v>0</v>
      </c>
      <c r="VQ320" s="18" t="str">
        <f>IF(VQ$1&gt;=$TM320,1,"0")</f>
        <v>0</v>
      </c>
      <c r="WD320" s="18" t="str">
        <f ca="1">IF(SUM($VZ$1:$WC$1)&gt;0,IF(AND(SUM($VZ320:$WC320)&gt;0,$TM320=WE$1),MAX(WD$2:WD319)+1,""),IF(AND(SUM($UC320:$VY320)&gt;0,$TM320=WE$1),MAX(WD$2:WD319)+1,""))</f>
        <v/>
      </c>
      <c r="WE320" s="59" t="str">
        <f t="shared" ca="1" si="259"/>
        <v/>
      </c>
      <c r="WF320" s="18" t="str">
        <f ca="1">IF(AND(SUM($UB320:$VY320)&gt;0,$TM320=WG$1),MAX(WF$2:WF319)+1,"")</f>
        <v/>
      </c>
      <c r="WG320" s="59" t="str">
        <f t="shared" ca="1" si="260"/>
        <v/>
      </c>
      <c r="WH320" s="18" t="str">
        <f ca="1">IF(AND(SUM($UB320:$VY320)&gt;0,$TM320=WI$1),MAX(WH$2:WH319)+1,"")</f>
        <v/>
      </c>
      <c r="WI320" s="59" t="str">
        <f t="shared" ca="1" si="261"/>
        <v/>
      </c>
      <c r="WJ320" s="18" t="str">
        <f ca="1">IF(AND(SUM($UB320:$VY320)&gt;0,$TM320=WK$1),MAX(WJ$2:WJ319)+1,"")</f>
        <v/>
      </c>
      <c r="WK320" s="59" t="str">
        <f t="shared" ca="1" si="262"/>
        <v/>
      </c>
      <c r="WL320" s="18" t="str">
        <f ca="1">IF(AND(SUM($UB320:$VY320)&gt;0,$TM320=WM$1),MAX(WL$2:WL319)+1,"")</f>
        <v/>
      </c>
      <c r="WM320" s="59" t="str">
        <f t="shared" ca="1" si="263"/>
        <v/>
      </c>
      <c r="WN320" s="18" t="str">
        <f ca="1">IF(AND(SUM($UB320:$VY320)&gt;0,$TM320=WO$1),MAX(WN$2:WN319)+1,"")</f>
        <v/>
      </c>
      <c r="WO320" s="59" t="str">
        <f t="shared" ca="1" si="264"/>
        <v/>
      </c>
      <c r="WP320" s="18" t="str">
        <f ca="1">IF(AND(SUM($UB320:$VY320)&gt;0,$TM320=WQ$1),MAX(WP$2:WP319)+1,"")</f>
        <v/>
      </c>
      <c r="WQ320" s="59" t="str">
        <f t="shared" ca="1" si="265"/>
        <v/>
      </c>
      <c r="WR320" s="18" t="str">
        <f ca="1">IF(AND(SUM($UB320:$VY320)&gt;0,$TM320=WS$1),MAX(WR$2:WR319)+1,"")</f>
        <v/>
      </c>
      <c r="WS320" s="59" t="str">
        <f t="shared" ca="1" si="266"/>
        <v/>
      </c>
      <c r="WT320" s="18" t="str">
        <f ca="1">IF(AND(SUM($UB320:$VY320)&gt;0,$TM320=WU$1),MAX(WT$2:WT319)+1,"")</f>
        <v/>
      </c>
      <c r="WU320" s="59" t="str">
        <f t="shared" ca="1" si="267"/>
        <v/>
      </c>
      <c r="WV320" s="18" t="str">
        <f ca="1">IF(AND(SUM($UB320:$VY320)&gt;0,$TM320=WW$1),MAX(WV$2:WV319)+1,"")</f>
        <v/>
      </c>
      <c r="WW320" s="59" t="str">
        <f t="shared" ca="1" si="268"/>
        <v/>
      </c>
      <c r="WX320" s="18" t="str">
        <f ca="1">IF(AND(SUM($UB320:$VY320)&gt;0,$TM320=WY$1),MAX(WX$2:WX319)+1,"")</f>
        <v/>
      </c>
      <c r="WY320" s="59" t="str">
        <f t="shared" ca="1" si="269"/>
        <v/>
      </c>
    </row>
    <row r="321" spans="530:623" ht="9.9499999999999993" customHeight="1" x14ac:dyDescent="0.2">
      <c r="TJ321" s="18">
        <f t="shared" si="270"/>
        <v>319</v>
      </c>
      <c r="TK321" s="58" t="s">
        <v>705</v>
      </c>
      <c r="TL321" s="58" t="s">
        <v>463</v>
      </c>
      <c r="TM321" s="18">
        <v>6</v>
      </c>
      <c r="TN321" s="59" t="str">
        <f t="shared" si="257"/>
        <v xml:space="preserve">Sunbeam </v>
      </c>
      <c r="TO321" s="18" t="str">
        <f>""</f>
        <v/>
      </c>
      <c r="TP321" s="18" t="str">
        <f t="shared" si="258"/>
        <v/>
      </c>
      <c r="TQ321" s="18" t="str">
        <f>IF(OR(TK321=Spellcasting!$AC$18,TK321=Spellcasting!$AC$19),"ᵐ","")</f>
        <v/>
      </c>
      <c r="TR321" s="18" t="str">
        <f>IF(OR(TK321=Spellcasting!$AC$20,TK321=Spellcasting!$AC$21),"ˢ","")</f>
        <v/>
      </c>
      <c r="TS321" s="18" t="str">
        <f>""</f>
        <v/>
      </c>
      <c r="TT321" s="18" t="s">
        <v>484</v>
      </c>
      <c r="TU321" s="18" t="s">
        <v>509</v>
      </c>
      <c r="TV321" s="18" t="s">
        <v>558</v>
      </c>
      <c r="TW321" s="18" t="s">
        <v>495</v>
      </c>
      <c r="TX321" s="59" t="s">
        <v>2027</v>
      </c>
      <c r="TY321" s="18" t="s">
        <v>534</v>
      </c>
      <c r="TZ321" s="18" t="s">
        <v>535</v>
      </c>
      <c r="UA321" s="142" t="s">
        <v>2050</v>
      </c>
      <c r="UB321" s="319" t="str">
        <f ca="1">"5x60ft line, 6d8"&amp;IF(WizardEvocationLevel&gt;=10,"+"&amp;INTMod,"")&amp;" radiant, con save ½"</f>
        <v>5x60ft line, 6d8 radiant, con save ½</v>
      </c>
      <c r="UF321" s="18" t="str">
        <f ca="1">IF(UF$1&gt;=$TM321,1,"0")</f>
        <v>0</v>
      </c>
      <c r="UI321" s="18" t="str">
        <f ca="1">IF(UI$1&gt;=$TM321,1,"0")</f>
        <v>0</v>
      </c>
      <c r="UL321" s="18" t="str">
        <f ca="1">IF(UL$1&gt;=$TM321,1,"0")</f>
        <v>0</v>
      </c>
      <c r="WD321" s="18" t="str">
        <f ca="1">IF(SUM($VZ$1:$WC$1)&gt;0,IF(AND(SUM($VZ321:$WC321)&gt;0,$TM321=WE$1),MAX(WD$2:WD320)+1,""),IF(AND(SUM($UC321:$VY321)&gt;0,$TM321=WE$1),MAX(WD$2:WD320)+1,""))</f>
        <v/>
      </c>
      <c r="WE321" s="59" t="str">
        <f t="shared" ca="1" si="259"/>
        <v/>
      </c>
      <c r="WF321" s="18" t="str">
        <f ca="1">IF(AND(SUM($UB321:$VY321)&gt;0,$TM321=WG$1),MAX(WF$2:WF320)+1,"")</f>
        <v/>
      </c>
      <c r="WG321" s="59" t="str">
        <f t="shared" ca="1" si="260"/>
        <v/>
      </c>
      <c r="WH321" s="18" t="str">
        <f ca="1">IF(AND(SUM($UB321:$VY321)&gt;0,$TM321=WI$1),MAX(WH$2:WH320)+1,"")</f>
        <v/>
      </c>
      <c r="WI321" s="59" t="str">
        <f t="shared" ca="1" si="261"/>
        <v/>
      </c>
      <c r="WJ321" s="18" t="str">
        <f ca="1">IF(AND(SUM($UB321:$VY321)&gt;0,$TM321=WK$1),MAX(WJ$2:WJ320)+1,"")</f>
        <v/>
      </c>
      <c r="WK321" s="59" t="str">
        <f t="shared" ca="1" si="262"/>
        <v/>
      </c>
      <c r="WL321" s="18" t="str">
        <f ca="1">IF(AND(SUM($UB321:$VY321)&gt;0,$TM321=WM$1),MAX(WL$2:WL320)+1,"")</f>
        <v/>
      </c>
      <c r="WM321" s="59" t="str">
        <f t="shared" ca="1" si="263"/>
        <v/>
      </c>
      <c r="WN321" s="18" t="str">
        <f ca="1">IF(AND(SUM($UB321:$VY321)&gt;0,$TM321=WO$1),MAX(WN$2:WN320)+1,"")</f>
        <v/>
      </c>
      <c r="WO321" s="59" t="str">
        <f t="shared" ca="1" si="264"/>
        <v/>
      </c>
      <c r="WP321" s="18" t="str">
        <f ca="1">IF(AND(SUM($UB321:$VY321)&gt;0,$TM321=WQ$1),MAX(WP$2:WP320)+1,"")</f>
        <v/>
      </c>
      <c r="WQ321" s="59" t="str">
        <f t="shared" ca="1" si="265"/>
        <v/>
      </c>
      <c r="WR321" s="18" t="str">
        <f ca="1">IF(AND(SUM($UB321:$VY321)&gt;0,$TM321=WS$1),MAX(WR$2:WR320)+1,"")</f>
        <v/>
      </c>
      <c r="WS321" s="59" t="str">
        <f t="shared" ca="1" si="266"/>
        <v/>
      </c>
      <c r="WT321" s="18" t="str">
        <f ca="1">IF(AND(SUM($UB321:$VY321)&gt;0,$TM321=WU$1),MAX(WT$2:WT320)+1,"")</f>
        <v/>
      </c>
      <c r="WU321" s="59" t="str">
        <f t="shared" ca="1" si="267"/>
        <v/>
      </c>
      <c r="WV321" s="18" t="str">
        <f ca="1">IF(AND(SUM($UB321:$VY321)&gt;0,$TM321=WW$1),MAX(WV$2:WV320)+1,"")</f>
        <v/>
      </c>
      <c r="WW321" s="59" t="str">
        <f t="shared" ca="1" si="268"/>
        <v/>
      </c>
      <c r="WX321" s="18" t="str">
        <f ca="1">IF(AND(SUM($UB321:$VY321)&gt;0,$TM321=WY$1),MAX(WX$2:WX320)+1,"")</f>
        <v/>
      </c>
      <c r="WY321" s="59" t="str">
        <f t="shared" ca="1" si="269"/>
        <v/>
      </c>
    </row>
    <row r="322" spans="530:623" ht="9.9499999999999993" customHeight="1" x14ac:dyDescent="0.2">
      <c r="TJ322" s="18">
        <f t="shared" si="270"/>
        <v>320</v>
      </c>
      <c r="TK322" s="58" t="s">
        <v>706</v>
      </c>
      <c r="TL322" s="58" t="s">
        <v>465</v>
      </c>
      <c r="TM322" s="18">
        <v>8</v>
      </c>
      <c r="TN322" s="59" t="str">
        <f t="shared" si="257"/>
        <v xml:space="preserve">Sunburst </v>
      </c>
      <c r="TO322" s="18" t="str">
        <f>""</f>
        <v/>
      </c>
      <c r="TP322" s="18" t="str">
        <f t="shared" si="258"/>
        <v/>
      </c>
      <c r="TQ322" s="18" t="str">
        <f>IF(OR(TK322=Spellcasting!$AC$18,TK322=Spellcasting!$AC$19),"ᵐ","")</f>
        <v/>
      </c>
      <c r="TR322" s="18" t="str">
        <f>IF(OR(TK322=Spellcasting!$AC$20,TK322=Spellcasting!$AC$21),"ˢ","")</f>
        <v/>
      </c>
      <c r="TS322" s="18" t="str">
        <f>""</f>
        <v/>
      </c>
      <c r="TT322" s="18" t="s">
        <v>484</v>
      </c>
      <c r="TU322" s="18" t="s">
        <v>660</v>
      </c>
      <c r="TV322" s="18" t="s">
        <v>505</v>
      </c>
      <c r="TW322" s="18" t="s">
        <v>495</v>
      </c>
      <c r="TX322" s="59" t="s">
        <v>2028</v>
      </c>
      <c r="TY322" s="18" t="s">
        <v>534</v>
      </c>
      <c r="TZ322" s="18" t="s">
        <v>535</v>
      </c>
      <c r="UA322" s="142" t="s">
        <v>2051</v>
      </c>
      <c r="UB322" s="319" t="str">
        <f ca="1">"60ft rad, 12d6"&amp;IF(WizardEvocationLevel&gt;=10,"+"&amp;INTMod,"")&amp;" radiant + blinded, con save ½"</f>
        <v>60ft rad, 12d6 radiant + blinded, con save ½</v>
      </c>
      <c r="UF322" s="18" t="str">
        <f ca="1">IF(UF$1&gt;=$TM322,1,"0")</f>
        <v>0</v>
      </c>
      <c r="UI322" s="18" t="str">
        <f ca="1">IF(UI$1&gt;=$TM322,1,"0")</f>
        <v>0</v>
      </c>
      <c r="UL322" s="18" t="str">
        <f ca="1">IF(UL$1&gt;=$TM322,1,"0")</f>
        <v>0</v>
      </c>
      <c r="WD322" s="18" t="str">
        <f ca="1">IF(SUM($VZ$1:$WC$1)&gt;0,IF(AND(SUM($VZ322:$WC322)&gt;0,$TM322=WE$1),MAX(WD$2:WD321)+1,""),IF(AND(SUM($UC322:$VY322)&gt;0,$TM322=WE$1),MAX(WD$2:WD321)+1,""))</f>
        <v/>
      </c>
      <c r="WE322" s="59" t="str">
        <f t="shared" ca="1" si="259"/>
        <v/>
      </c>
      <c r="WF322" s="18" t="str">
        <f ca="1">IF(AND(SUM($UB322:$VY322)&gt;0,$TM322=WG$1),MAX(WF$2:WF321)+1,"")</f>
        <v/>
      </c>
      <c r="WG322" s="59" t="str">
        <f t="shared" ca="1" si="260"/>
        <v/>
      </c>
      <c r="WH322" s="18" t="str">
        <f ca="1">IF(AND(SUM($UB322:$VY322)&gt;0,$TM322=WI$1),MAX(WH$2:WH321)+1,"")</f>
        <v/>
      </c>
      <c r="WI322" s="59" t="str">
        <f t="shared" ca="1" si="261"/>
        <v/>
      </c>
      <c r="WJ322" s="18" t="str">
        <f ca="1">IF(AND(SUM($UB322:$VY322)&gt;0,$TM322=WK$1),MAX(WJ$2:WJ321)+1,"")</f>
        <v/>
      </c>
      <c r="WK322" s="59" t="str">
        <f t="shared" ca="1" si="262"/>
        <v/>
      </c>
      <c r="WL322" s="18" t="str">
        <f ca="1">IF(AND(SUM($UB322:$VY322)&gt;0,$TM322=WM$1),MAX(WL$2:WL321)+1,"")</f>
        <v/>
      </c>
      <c r="WM322" s="59" t="str">
        <f t="shared" ca="1" si="263"/>
        <v/>
      </c>
      <c r="WN322" s="18" t="str">
        <f ca="1">IF(AND(SUM($UB322:$VY322)&gt;0,$TM322=WO$1),MAX(WN$2:WN321)+1,"")</f>
        <v/>
      </c>
      <c r="WO322" s="59" t="str">
        <f t="shared" ca="1" si="264"/>
        <v/>
      </c>
      <c r="WP322" s="18" t="str">
        <f ca="1">IF(AND(SUM($UB322:$VY322)&gt;0,$TM322=WQ$1),MAX(WP$2:WP321)+1,"")</f>
        <v/>
      </c>
      <c r="WQ322" s="59" t="str">
        <f t="shared" ca="1" si="265"/>
        <v/>
      </c>
      <c r="WR322" s="18" t="str">
        <f ca="1">IF(AND(SUM($UB322:$VY322)&gt;0,$TM322=WS$1),MAX(WR$2:WR321)+1,"")</f>
        <v/>
      </c>
      <c r="WS322" s="59" t="str">
        <f t="shared" ca="1" si="266"/>
        <v/>
      </c>
      <c r="WT322" s="18" t="str">
        <f ca="1">IF(AND(SUM($UB322:$VY322)&gt;0,$TM322=WU$1),MAX(WT$2:WT321)+1,"")</f>
        <v/>
      </c>
      <c r="WU322" s="59" t="str">
        <f t="shared" ca="1" si="267"/>
        <v/>
      </c>
      <c r="WV322" s="18" t="str">
        <f ca="1">IF(AND(SUM($UB322:$VY322)&gt;0,$TM322=WW$1),MAX(WV$2:WV321)+1,"")</f>
        <v/>
      </c>
      <c r="WW322" s="59" t="str">
        <f t="shared" ca="1" si="268"/>
        <v/>
      </c>
      <c r="WX322" s="18" t="str">
        <f ca="1">IF(AND(SUM($UB322:$VY322)&gt;0,$TM322=WY$1),MAX(WX$2:WX321)+1,"")</f>
        <v/>
      </c>
      <c r="WY322" s="59" t="str">
        <f t="shared" ca="1" si="269"/>
        <v/>
      </c>
    </row>
    <row r="323" spans="530:623" ht="9.9499999999999993" customHeight="1" x14ac:dyDescent="0.2">
      <c r="TJ323" s="18">
        <f t="shared" si="270"/>
        <v>321</v>
      </c>
      <c r="TK323" s="58" t="s">
        <v>707</v>
      </c>
      <c r="TL323" s="58" t="s">
        <v>462</v>
      </c>
      <c r="TM323" s="18">
        <v>5</v>
      </c>
      <c r="TN323" s="59" t="str">
        <f t="shared" ref="TN323:TN364" si="272">TK323&amp;" "&amp;TO323&amp;TP323&amp;TQ323&amp;TR323</f>
        <v xml:space="preserve">Swift Quiver </v>
      </c>
      <c r="TO323" s="18" t="str">
        <f>""</f>
        <v/>
      </c>
      <c r="TP323" s="18" t="str">
        <f t="shared" ref="TP323:TP364" si="273">IF(SUM(UY323:VE323)&gt;0,"ᵈ","")&amp;IF(SUM(UO323:UQ323)&gt;0,"ᵒ","")&amp;IF(SUM(VG323:VO323)&gt;0,"ᶜ","")</f>
        <v/>
      </c>
      <c r="TQ323" s="18" t="str">
        <f>IF(OR(TK323=Spellcasting!$AC$18,TK323=Spellcasting!$AC$19),"ᵐ","")</f>
        <v/>
      </c>
      <c r="TR323" s="18" t="str">
        <f>IF(OR(TK323=Spellcasting!$AC$20,TK323=Spellcasting!$AC$21),"ˢ","")</f>
        <v/>
      </c>
      <c r="TS323" s="18" t="str">
        <f>""</f>
        <v/>
      </c>
      <c r="TT323" s="18" t="s">
        <v>1256</v>
      </c>
      <c r="TU323" s="18" t="s">
        <v>509</v>
      </c>
      <c r="TV323" s="18" t="s">
        <v>558</v>
      </c>
      <c r="TW323" s="18" t="s">
        <v>686</v>
      </c>
      <c r="TX323" s="59" t="str">
        <f>""</f>
        <v/>
      </c>
      <c r="TY323" s="18" t="s">
        <v>491</v>
      </c>
      <c r="TZ323" s="18" t="s">
        <v>492</v>
      </c>
      <c r="UA323" s="142" t="s">
        <v>2308</v>
      </c>
      <c r="UB323" s="319" t="s">
        <v>2309</v>
      </c>
      <c r="UE323" s="18" t="str">
        <f ca="1">IF(UE$1&gt;=$TM323,1,"0")</f>
        <v>0</v>
      </c>
      <c r="WD323" s="18" t="str">
        <f ca="1">IF(SUM($VZ$1:$WC$1)&gt;0,IF(AND(SUM($VZ323:$WC323)&gt;0,$TM323=WE$1),MAX(WD$2:WD322)+1,""),IF(AND(SUM($UC323:$VY323)&gt;0,$TM323=WE$1),MAX(WD$2:WD322)+1,""))</f>
        <v/>
      </c>
      <c r="WE323" s="59" t="str">
        <f t="shared" ca="1" si="259"/>
        <v/>
      </c>
      <c r="WF323" s="18" t="str">
        <f ca="1">IF(AND(SUM($UB323:$VY323)&gt;0,$TM323=WG$1),MAX(WF$2:WF322)+1,"")</f>
        <v/>
      </c>
      <c r="WG323" s="59" t="str">
        <f t="shared" ca="1" si="260"/>
        <v/>
      </c>
      <c r="WH323" s="18" t="str">
        <f ca="1">IF(AND(SUM($UB323:$VY323)&gt;0,$TM323=WI$1),MAX(WH$2:WH322)+1,"")</f>
        <v/>
      </c>
      <c r="WI323" s="59" t="str">
        <f t="shared" ca="1" si="261"/>
        <v/>
      </c>
      <c r="WJ323" s="18" t="str">
        <f ca="1">IF(AND(SUM($UB323:$VY323)&gt;0,$TM323=WK$1),MAX(WJ$2:WJ322)+1,"")</f>
        <v/>
      </c>
      <c r="WK323" s="59" t="str">
        <f t="shared" ca="1" si="262"/>
        <v/>
      </c>
      <c r="WL323" s="18" t="str">
        <f ca="1">IF(AND(SUM($UB323:$VY323)&gt;0,$TM323=WM$1),MAX(WL$2:WL322)+1,"")</f>
        <v/>
      </c>
      <c r="WM323" s="59" t="str">
        <f t="shared" ca="1" si="263"/>
        <v/>
      </c>
      <c r="WN323" s="18" t="str">
        <f ca="1">IF(AND(SUM($UB323:$VY323)&gt;0,$TM323=WO$1),MAX(WN$2:WN322)+1,"")</f>
        <v/>
      </c>
      <c r="WO323" s="59" t="str">
        <f t="shared" ca="1" si="264"/>
        <v/>
      </c>
      <c r="WP323" s="18" t="str">
        <f ca="1">IF(AND(SUM($UB323:$VY323)&gt;0,$TM323=WQ$1),MAX(WP$2:WP322)+1,"")</f>
        <v/>
      </c>
      <c r="WQ323" s="59" t="str">
        <f t="shared" ca="1" si="265"/>
        <v/>
      </c>
      <c r="WR323" s="18" t="str">
        <f ca="1">IF(AND(SUM($UB323:$VY323)&gt;0,$TM323=WS$1),MAX(WR$2:WR322)+1,"")</f>
        <v/>
      </c>
      <c r="WS323" s="59" t="str">
        <f t="shared" ca="1" si="266"/>
        <v/>
      </c>
      <c r="WT323" s="18" t="str">
        <f ca="1">IF(AND(SUM($UB323:$VY323)&gt;0,$TM323=WU$1),MAX(WT$2:WT322)+1,"")</f>
        <v/>
      </c>
      <c r="WU323" s="59" t="str">
        <f t="shared" ca="1" si="267"/>
        <v/>
      </c>
      <c r="WV323" s="18" t="str">
        <f ca="1">IF(AND(SUM($UB323:$VY323)&gt;0,$TM323=WW$1),MAX(WV$2:WV322)+1,"")</f>
        <v/>
      </c>
      <c r="WW323" s="59" t="str">
        <f t="shared" ca="1" si="268"/>
        <v/>
      </c>
      <c r="WX323" s="18" t="str">
        <f ca="1">IF(AND(SUM($UB323:$VY323)&gt;0,$TM323=WY$1),MAX(WX$2:WX322)+1,"")</f>
        <v/>
      </c>
      <c r="WY323" s="59" t="str">
        <f t="shared" ca="1" si="269"/>
        <v/>
      </c>
    </row>
    <row r="324" spans="530:623" ht="9.9499999999999993" customHeight="1" x14ac:dyDescent="0.2">
      <c r="TJ324" s="18">
        <f t="shared" si="270"/>
        <v>322</v>
      </c>
      <c r="TK324" s="58" t="s">
        <v>882</v>
      </c>
      <c r="TL324" s="58" t="s">
        <v>464</v>
      </c>
      <c r="TM324" s="18">
        <v>7</v>
      </c>
      <c r="TN324" s="59" t="str">
        <f t="shared" si="272"/>
        <v xml:space="preserve">Symbol </v>
      </c>
      <c r="TO324" s="18" t="str">
        <f>""</f>
        <v/>
      </c>
      <c r="TP324" s="18" t="str">
        <f t="shared" si="273"/>
        <v/>
      </c>
      <c r="TQ324" s="18" t="str">
        <f>IF(OR(TK324=Spellcasting!$AC$18,TK324=Spellcasting!$AC$19),"ᵐ","")</f>
        <v/>
      </c>
      <c r="TR324" s="18" t="str">
        <f>IF(OR(TK324=Spellcasting!$AC$20,TK324=Spellcasting!$AC$21),"ˢ","")</f>
        <v/>
      </c>
      <c r="TS324" s="18" t="str">
        <f>""</f>
        <v/>
      </c>
      <c r="TT324" s="18" t="s">
        <v>503</v>
      </c>
      <c r="TU324" s="18" t="s">
        <v>519</v>
      </c>
      <c r="TV324" s="18" t="s">
        <v>857</v>
      </c>
      <c r="TW324" s="18" t="s">
        <v>495</v>
      </c>
      <c r="TX324" s="59" t="s">
        <v>2029</v>
      </c>
      <c r="TY324" s="18" t="s">
        <v>487</v>
      </c>
      <c r="TZ324" s="18" t="s">
        <v>488</v>
      </c>
      <c r="UA324" s="142" t="s">
        <v>2626</v>
      </c>
      <c r="UB324" s="319" t="s">
        <v>2310</v>
      </c>
      <c r="UC324" s="18" t="str">
        <f ca="1">IF(UC$1&gt;=$TM324,1,"0")</f>
        <v>0</v>
      </c>
      <c r="UH324" s="18" t="str">
        <f ca="1">IF(UH$1&gt;=$TM324,1,"0")</f>
        <v>0</v>
      </c>
      <c r="UL324" s="18" t="str">
        <f t="shared" ref="UL324:UL330" ca="1" si="274">IF(UL$1&gt;=$TM324,1,"0")</f>
        <v>0</v>
      </c>
      <c r="WD324" s="18" t="str">
        <f ca="1">IF(SUM($VZ$1:$WC$1)&gt;0,IF(AND(SUM($VZ324:$WC324)&gt;0,$TM324=WE$1),MAX(WD$2:WD323)+1,""),IF(AND(SUM($UC324:$VY324)&gt;0,$TM324=WE$1),MAX(WD$2:WD323)+1,""))</f>
        <v/>
      </c>
      <c r="WE324" s="59" t="str">
        <f t="shared" ref="WE324:WE364" ca="1" si="275">IF(AND(WD324&lt;&gt;"",$TM324=WE$1),$TK324,"")</f>
        <v/>
      </c>
      <c r="WF324" s="18" t="str">
        <f ca="1">IF(AND(SUM($UB324:$VY324)&gt;0,$TM324=WG$1),MAX(WF$2:WF323)+1,"")</f>
        <v/>
      </c>
      <c r="WG324" s="59" t="str">
        <f t="shared" ref="WG324:WG364" ca="1" si="276">IF(AND(WF324&lt;&gt;"",$TM324=WG$1),$TK324,"")</f>
        <v/>
      </c>
      <c r="WH324" s="18" t="str">
        <f ca="1">IF(AND(SUM($UB324:$VY324)&gt;0,$TM324=WI$1),MAX(WH$2:WH323)+1,"")</f>
        <v/>
      </c>
      <c r="WI324" s="59" t="str">
        <f t="shared" ref="WI324:WI364" ca="1" si="277">IF(AND(WH324&lt;&gt;"",$TM324=WI$1),$TK324,"")</f>
        <v/>
      </c>
      <c r="WJ324" s="18" t="str">
        <f ca="1">IF(AND(SUM($UB324:$VY324)&gt;0,$TM324=WK$1),MAX(WJ$2:WJ323)+1,"")</f>
        <v/>
      </c>
      <c r="WK324" s="59" t="str">
        <f t="shared" ref="WK324:WK364" ca="1" si="278">IF(AND(WJ324&lt;&gt;"",$TM324=WK$1),$TK324,"")</f>
        <v/>
      </c>
      <c r="WL324" s="18" t="str">
        <f ca="1">IF(AND(SUM($UB324:$VY324)&gt;0,$TM324=WM$1),MAX(WL$2:WL323)+1,"")</f>
        <v/>
      </c>
      <c r="WM324" s="59" t="str">
        <f t="shared" ref="WM324:WM364" ca="1" si="279">IF(AND(WL324&lt;&gt;"",$TM324=WM$1),$TK324,"")</f>
        <v/>
      </c>
      <c r="WN324" s="18" t="str">
        <f ca="1">IF(AND(SUM($UB324:$VY324)&gt;0,$TM324=WO$1),MAX(WN$2:WN323)+1,"")</f>
        <v/>
      </c>
      <c r="WO324" s="59" t="str">
        <f t="shared" ref="WO324:WO364" ca="1" si="280">IF(AND(WN324&lt;&gt;"",$TM324=WO$1),$TK324,"")</f>
        <v/>
      </c>
      <c r="WP324" s="18" t="str">
        <f ca="1">IF(AND(SUM($UB324:$VY324)&gt;0,$TM324=WQ$1),MAX(WP$2:WP323)+1,"")</f>
        <v/>
      </c>
      <c r="WQ324" s="59" t="str">
        <f t="shared" ref="WQ324:WQ364" ca="1" si="281">IF(AND(WP324&lt;&gt;"",$TM324=WQ$1),$TK324,"")</f>
        <v/>
      </c>
      <c r="WR324" s="18" t="str">
        <f ca="1">IF(AND(SUM($UB324:$VY324)&gt;0,$TM324=WS$1),MAX(WR$2:WR323)+1,"")</f>
        <v/>
      </c>
      <c r="WS324" s="59" t="str">
        <f t="shared" ref="WS324:WS364" ca="1" si="282">IF(AND(WR324&lt;&gt;"",$TM324=WS$1),$TK324,"")</f>
        <v/>
      </c>
      <c r="WT324" s="18" t="str">
        <f ca="1">IF(AND(SUM($UB324:$VY324)&gt;0,$TM324=WU$1),MAX(WT$2:WT323)+1,"")</f>
        <v/>
      </c>
      <c r="WU324" s="59" t="str">
        <f t="shared" ref="WU324:WU364" ca="1" si="283">IF(AND(WT324&lt;&gt;"",$TM324=WU$1),$TK324,"")</f>
        <v/>
      </c>
      <c r="WV324" s="18" t="str">
        <f ca="1">IF(AND(SUM($UB324:$VY324)&gt;0,$TM324=WW$1),MAX(WV$2:WV323)+1,"")</f>
        <v/>
      </c>
      <c r="WW324" s="59" t="str">
        <f t="shared" ref="WW324:WW364" ca="1" si="284">IF(AND(WV324&lt;&gt;"",$TM324=WW$1),$TK324,"")</f>
        <v/>
      </c>
      <c r="WX324" s="18" t="str">
        <f ca="1">IF(AND(SUM($UB324:$VY324)&gt;0,$TM324=WY$1),MAX(WX$2:WX323)+1,"")</f>
        <v/>
      </c>
      <c r="WY324" s="59" t="str">
        <f t="shared" ref="WY324:WY364" ca="1" si="285">IF(AND(WX324&lt;&gt;"",$TM324=WY$1),$TK324,"")</f>
        <v/>
      </c>
    </row>
    <row r="325" spans="530:623" ht="9.9499999999999993" customHeight="1" x14ac:dyDescent="0.2">
      <c r="TJ325" s="18">
        <f t="shared" si="270"/>
        <v>323</v>
      </c>
      <c r="TK325" s="58" t="s">
        <v>1818</v>
      </c>
      <c r="TL325" s="58" t="s">
        <v>448</v>
      </c>
      <c r="TM325" s="18">
        <v>1</v>
      </c>
      <c r="TN325" s="59" t="str">
        <f t="shared" si="272"/>
        <v xml:space="preserve">Tasha's Hideous Laughter </v>
      </c>
      <c r="TO325" s="18" t="str">
        <f>""</f>
        <v/>
      </c>
      <c r="TP325" s="18" t="str">
        <f t="shared" si="273"/>
        <v/>
      </c>
      <c r="TQ325" s="18" t="str">
        <f>IF(OR(TK325=Spellcasting!$AC$18,TK325=Spellcasting!$AC$19),"ᵐ","")</f>
        <v/>
      </c>
      <c r="TR325" s="18" t="str">
        <f>IF(OR(TK325=Spellcasting!$AC$20,TK325=Spellcasting!$AC$21),"ˢ","")</f>
        <v/>
      </c>
      <c r="TS325" s="18" t="str">
        <f>""</f>
        <v/>
      </c>
      <c r="TT325" s="18" t="s">
        <v>484</v>
      </c>
      <c r="TU325" s="18" t="s">
        <v>851</v>
      </c>
      <c r="TV325" s="18" t="s">
        <v>558</v>
      </c>
      <c r="TW325" s="18" t="s">
        <v>495</v>
      </c>
      <c r="TX325" s="59" t="s">
        <v>1430</v>
      </c>
      <c r="TY325" s="18" t="s">
        <v>498</v>
      </c>
      <c r="TZ325" s="18" t="s">
        <v>499</v>
      </c>
      <c r="UA325" s="142" t="s">
        <v>1431</v>
      </c>
      <c r="UB325" s="319" t="s">
        <v>1432</v>
      </c>
      <c r="UC325" s="18" t="str">
        <f ca="1">IF(UC$1&gt;=$TM325,1,"0")</f>
        <v>0</v>
      </c>
      <c r="UL325" s="18" t="str">
        <f t="shared" ca="1" si="274"/>
        <v>0</v>
      </c>
      <c r="UX325" s="18" t="str">
        <f>IF(UX$1&gt;=$TM325,1,"0")</f>
        <v>0</v>
      </c>
      <c r="VQ325" s="18" t="str">
        <f>IF(VQ$1&gt;=$TM325,1,"0")</f>
        <v>0</v>
      </c>
      <c r="WD325" s="18" t="str">
        <f ca="1">IF(SUM($VZ$1:$WC$1)&gt;0,IF(AND(SUM($VZ325:$WC325)&gt;0,$TM325=WE$1),MAX(WD$2:WD324)+1,""),IF(AND(SUM($UC325:$VY325)&gt;0,$TM325=WE$1),MAX(WD$2:WD324)+1,""))</f>
        <v/>
      </c>
      <c r="WE325" s="59" t="str">
        <f t="shared" ca="1" si="275"/>
        <v/>
      </c>
      <c r="WF325" s="18" t="str">
        <f ca="1">IF(AND(SUM($UB325:$VY325)&gt;0,$TM325=WG$1),MAX(WF$2:WF324)+1,"")</f>
        <v/>
      </c>
      <c r="WG325" s="59" t="str">
        <f t="shared" ca="1" si="276"/>
        <v/>
      </c>
      <c r="WH325" s="18" t="str">
        <f ca="1">IF(AND(SUM($UB325:$VY325)&gt;0,$TM325=WI$1),MAX(WH$2:WH324)+1,"")</f>
        <v/>
      </c>
      <c r="WI325" s="59" t="str">
        <f t="shared" ca="1" si="277"/>
        <v/>
      </c>
      <c r="WJ325" s="18" t="str">
        <f ca="1">IF(AND(SUM($UB325:$VY325)&gt;0,$TM325=WK$1),MAX(WJ$2:WJ324)+1,"")</f>
        <v/>
      </c>
      <c r="WK325" s="59" t="str">
        <f t="shared" ca="1" si="278"/>
        <v/>
      </c>
      <c r="WL325" s="18" t="str">
        <f ca="1">IF(AND(SUM($UB325:$VY325)&gt;0,$TM325=WM$1),MAX(WL$2:WL324)+1,"")</f>
        <v/>
      </c>
      <c r="WM325" s="59" t="str">
        <f t="shared" ca="1" si="279"/>
        <v/>
      </c>
      <c r="WN325" s="18" t="str">
        <f ca="1">IF(AND(SUM($UB325:$VY325)&gt;0,$TM325=WO$1),MAX(WN$2:WN324)+1,"")</f>
        <v/>
      </c>
      <c r="WO325" s="59" t="str">
        <f t="shared" ca="1" si="280"/>
        <v/>
      </c>
      <c r="WP325" s="18" t="str">
        <f ca="1">IF(AND(SUM($UB325:$VY325)&gt;0,$TM325=WQ$1),MAX(WP$2:WP324)+1,"")</f>
        <v/>
      </c>
      <c r="WQ325" s="59" t="str">
        <f t="shared" ca="1" si="281"/>
        <v/>
      </c>
      <c r="WR325" s="18" t="str">
        <f ca="1">IF(AND(SUM($UB325:$VY325)&gt;0,$TM325=WS$1),MAX(WR$2:WR324)+1,"")</f>
        <v/>
      </c>
      <c r="WS325" s="59" t="str">
        <f t="shared" ca="1" si="282"/>
        <v/>
      </c>
      <c r="WT325" s="18" t="str">
        <f ca="1">IF(AND(SUM($UB325:$VY325)&gt;0,$TM325=WU$1),MAX(WT$2:WT324)+1,"")</f>
        <v/>
      </c>
      <c r="WU325" s="59" t="str">
        <f t="shared" ca="1" si="283"/>
        <v/>
      </c>
      <c r="WV325" s="18" t="str">
        <f ca="1">IF(AND(SUM($UB325:$VY325)&gt;0,$TM325=WW$1),MAX(WV$2:WV324)+1,"")</f>
        <v/>
      </c>
      <c r="WW325" s="59" t="str">
        <f t="shared" ca="1" si="284"/>
        <v/>
      </c>
      <c r="WX325" s="18" t="str">
        <f ca="1">IF(AND(SUM($UB325:$VY325)&gt;0,$TM325=WY$1),MAX(WX$2:WX324)+1,"")</f>
        <v/>
      </c>
      <c r="WY325" s="59" t="str">
        <f t="shared" ca="1" si="285"/>
        <v/>
      </c>
    </row>
    <row r="326" spans="530:623" ht="9.9499999999999993" customHeight="1" x14ac:dyDescent="0.2">
      <c r="TJ326" s="18">
        <f t="shared" si="270"/>
        <v>324</v>
      </c>
      <c r="TK326" s="58" t="s">
        <v>708</v>
      </c>
      <c r="TL326" s="58" t="s">
        <v>462</v>
      </c>
      <c r="TM326" s="18">
        <v>5</v>
      </c>
      <c r="TN326" s="59" t="str">
        <f t="shared" si="272"/>
        <v xml:space="preserve">Telekinesis </v>
      </c>
      <c r="TO326" s="18" t="str">
        <f>""</f>
        <v/>
      </c>
      <c r="TP326" s="18" t="str">
        <f t="shared" si="273"/>
        <v/>
      </c>
      <c r="TQ326" s="18" t="str">
        <f>IF(OR(TK326=Spellcasting!$AC$18,TK326=Spellcasting!$AC$19),"ᵐ","")</f>
        <v/>
      </c>
      <c r="TR326" s="18" t="str">
        <f>IF(OR(TK326=Spellcasting!$AC$20,TK326=Spellcasting!$AC$21),"ˢ","")</f>
        <v/>
      </c>
      <c r="TS326" s="18" t="str">
        <f>""</f>
        <v/>
      </c>
      <c r="TT326" s="18" t="s">
        <v>484</v>
      </c>
      <c r="TU326" s="18" t="s">
        <v>850</v>
      </c>
      <c r="TV326" s="18" t="s">
        <v>515</v>
      </c>
      <c r="TW326" s="18" t="s">
        <v>486</v>
      </c>
      <c r="TX326" s="59" t="str">
        <f>""</f>
        <v/>
      </c>
      <c r="TY326" s="18" t="s">
        <v>491</v>
      </c>
      <c r="TZ326" s="18" t="s">
        <v>492</v>
      </c>
      <c r="UA326" s="142" t="s">
        <v>2311</v>
      </c>
      <c r="UB326" s="319" t="s">
        <v>2312</v>
      </c>
      <c r="UF326" s="18" t="str">
        <f ca="1">IF(UF$1&gt;=$TM326,1,"0")</f>
        <v>0</v>
      </c>
      <c r="UL326" s="18" t="str">
        <f t="shared" ca="1" si="274"/>
        <v>0</v>
      </c>
      <c r="UX326" s="18" t="str">
        <f>IF(UX$1&gt;=$TM326,1,"0")</f>
        <v>0</v>
      </c>
      <c r="WD326" s="18" t="str">
        <f ca="1">IF(SUM($VZ$1:$WC$1)&gt;0,IF(AND(SUM($VZ326:$WC326)&gt;0,$TM326=WE$1),MAX(WD$2:WD325)+1,""),IF(AND(SUM($UC326:$VY326)&gt;0,$TM326=WE$1),MAX(WD$2:WD325)+1,""))</f>
        <v/>
      </c>
      <c r="WE326" s="59" t="str">
        <f t="shared" ca="1" si="275"/>
        <v/>
      </c>
      <c r="WF326" s="18" t="str">
        <f ca="1">IF(AND(SUM($UB326:$VY326)&gt;0,$TM326=WG$1),MAX(WF$2:WF325)+1,"")</f>
        <v/>
      </c>
      <c r="WG326" s="59" t="str">
        <f t="shared" ca="1" si="276"/>
        <v/>
      </c>
      <c r="WH326" s="18" t="str">
        <f ca="1">IF(AND(SUM($UB326:$VY326)&gt;0,$TM326=WI$1),MAX(WH$2:WH325)+1,"")</f>
        <v/>
      </c>
      <c r="WI326" s="59" t="str">
        <f t="shared" ca="1" si="277"/>
        <v/>
      </c>
      <c r="WJ326" s="18" t="str">
        <f ca="1">IF(AND(SUM($UB326:$VY326)&gt;0,$TM326=WK$1),MAX(WJ$2:WJ325)+1,"")</f>
        <v/>
      </c>
      <c r="WK326" s="59" t="str">
        <f t="shared" ca="1" si="278"/>
        <v/>
      </c>
      <c r="WL326" s="18" t="str">
        <f ca="1">IF(AND(SUM($UB326:$VY326)&gt;0,$TM326=WM$1),MAX(WL$2:WL325)+1,"")</f>
        <v/>
      </c>
      <c r="WM326" s="59" t="str">
        <f t="shared" ca="1" si="279"/>
        <v/>
      </c>
      <c r="WN326" s="18" t="str">
        <f ca="1">IF(AND(SUM($UB326:$VY326)&gt;0,$TM326=WO$1),MAX(WN$2:WN325)+1,"")</f>
        <v/>
      </c>
      <c r="WO326" s="59" t="str">
        <f t="shared" ca="1" si="280"/>
        <v/>
      </c>
      <c r="WP326" s="18" t="str">
        <f ca="1">IF(AND(SUM($UB326:$VY326)&gt;0,$TM326=WQ$1),MAX(WP$2:WP325)+1,"")</f>
        <v/>
      </c>
      <c r="WQ326" s="59" t="str">
        <f t="shared" ca="1" si="281"/>
        <v/>
      </c>
      <c r="WR326" s="18" t="str">
        <f ca="1">IF(AND(SUM($UB326:$VY326)&gt;0,$TM326=WS$1),MAX(WR$2:WR325)+1,"")</f>
        <v/>
      </c>
      <c r="WS326" s="59" t="str">
        <f t="shared" ca="1" si="282"/>
        <v/>
      </c>
      <c r="WT326" s="18" t="str">
        <f ca="1">IF(AND(SUM($UB326:$VY326)&gt;0,$TM326=WU$1),MAX(WT$2:WT325)+1,"")</f>
        <v/>
      </c>
      <c r="WU326" s="59" t="str">
        <f t="shared" ca="1" si="283"/>
        <v/>
      </c>
      <c r="WV326" s="18" t="str">
        <f ca="1">IF(AND(SUM($UB326:$VY326)&gt;0,$TM326=WW$1),MAX(WV$2:WV325)+1,"")</f>
        <v/>
      </c>
      <c r="WW326" s="59" t="str">
        <f t="shared" ca="1" si="284"/>
        <v/>
      </c>
      <c r="WX326" s="18" t="str">
        <f ca="1">IF(AND(SUM($UB326:$VY326)&gt;0,$TM326=WY$1),MAX(WX$2:WX325)+1,"")</f>
        <v/>
      </c>
      <c r="WY326" s="59" t="str">
        <f t="shared" ca="1" si="285"/>
        <v/>
      </c>
    </row>
    <row r="327" spans="530:623" ht="9.9499999999999993" customHeight="1" x14ac:dyDescent="0.2">
      <c r="TJ327" s="18">
        <f t="shared" si="270"/>
        <v>325</v>
      </c>
      <c r="TK327" s="58" t="s">
        <v>1963</v>
      </c>
      <c r="TL327" s="58" t="s">
        <v>465</v>
      </c>
      <c r="TM327" s="18">
        <v>8</v>
      </c>
      <c r="TN327" s="59" t="str">
        <f t="shared" si="272"/>
        <v xml:space="preserve">Telepathy </v>
      </c>
      <c r="TO327" s="18" t="str">
        <f>""</f>
        <v/>
      </c>
      <c r="TP327" s="18" t="str">
        <f t="shared" si="273"/>
        <v/>
      </c>
      <c r="TQ327" s="18" t="str">
        <f>IF(OR(TK327=Spellcasting!$AC$18,TK327=Spellcasting!$AC$19),"ᵐ","")</f>
        <v/>
      </c>
      <c r="TR327" s="18" t="str">
        <f>IF(OR(TK327=Spellcasting!$AC$20,TK327=Spellcasting!$AC$21),"ˢ","")</f>
        <v/>
      </c>
      <c r="TS327" s="18" t="str">
        <f>""</f>
        <v/>
      </c>
      <c r="TT327" s="18" t="s">
        <v>484</v>
      </c>
      <c r="TU327" s="18" t="s">
        <v>1712</v>
      </c>
      <c r="TV327" s="18" t="s">
        <v>497</v>
      </c>
      <c r="TW327" s="18" t="s">
        <v>495</v>
      </c>
      <c r="TX327" s="59" t="s">
        <v>2030</v>
      </c>
      <c r="TY327" s="18" t="s">
        <v>534</v>
      </c>
      <c r="TZ327" s="18" t="s">
        <v>535</v>
      </c>
      <c r="UA327" s="142" t="s">
        <v>2052</v>
      </c>
      <c r="UB327" s="319" t="s">
        <v>2053</v>
      </c>
      <c r="UL327" s="18" t="str">
        <f t="shared" ca="1" si="274"/>
        <v>0</v>
      </c>
      <c r="WD327" s="18" t="str">
        <f ca="1">IF(SUM($VZ$1:$WC$1)&gt;0,IF(AND(SUM($VZ327:$WC327)&gt;0,$TM327=WE$1),MAX(WD$2:WD326)+1,""),IF(AND(SUM($UC327:$VY327)&gt;0,$TM327=WE$1),MAX(WD$2:WD326)+1,""))</f>
        <v/>
      </c>
      <c r="WE327" s="59" t="str">
        <f t="shared" ca="1" si="275"/>
        <v/>
      </c>
      <c r="WF327" s="18" t="str">
        <f ca="1">IF(AND(SUM($UB327:$VY327)&gt;0,$TM327=WG$1),MAX(WF$2:WF326)+1,"")</f>
        <v/>
      </c>
      <c r="WG327" s="59" t="str">
        <f t="shared" ca="1" si="276"/>
        <v/>
      </c>
      <c r="WH327" s="18" t="str">
        <f ca="1">IF(AND(SUM($UB327:$VY327)&gt;0,$TM327=WI$1),MAX(WH$2:WH326)+1,"")</f>
        <v/>
      </c>
      <c r="WI327" s="59" t="str">
        <f t="shared" ca="1" si="277"/>
        <v/>
      </c>
      <c r="WJ327" s="18" t="str">
        <f ca="1">IF(AND(SUM($UB327:$VY327)&gt;0,$TM327=WK$1),MAX(WJ$2:WJ326)+1,"")</f>
        <v/>
      </c>
      <c r="WK327" s="59" t="str">
        <f t="shared" ca="1" si="278"/>
        <v/>
      </c>
      <c r="WL327" s="18" t="str">
        <f ca="1">IF(AND(SUM($UB327:$VY327)&gt;0,$TM327=WM$1),MAX(WL$2:WL326)+1,"")</f>
        <v/>
      </c>
      <c r="WM327" s="59" t="str">
        <f t="shared" ca="1" si="279"/>
        <v/>
      </c>
      <c r="WN327" s="18" t="str">
        <f ca="1">IF(AND(SUM($UB327:$VY327)&gt;0,$TM327=WO$1),MAX(WN$2:WN326)+1,"")</f>
        <v/>
      </c>
      <c r="WO327" s="59" t="str">
        <f t="shared" ca="1" si="280"/>
        <v/>
      </c>
      <c r="WP327" s="18" t="str">
        <f ca="1">IF(AND(SUM($UB327:$VY327)&gt;0,$TM327=WQ$1),MAX(WP$2:WP326)+1,"")</f>
        <v/>
      </c>
      <c r="WQ327" s="59" t="str">
        <f t="shared" ca="1" si="281"/>
        <v/>
      </c>
      <c r="WR327" s="18" t="str">
        <f ca="1">IF(AND(SUM($UB327:$VY327)&gt;0,$TM327=WS$1),MAX(WR$2:WR326)+1,"")</f>
        <v/>
      </c>
      <c r="WS327" s="59" t="str">
        <f t="shared" ca="1" si="282"/>
        <v/>
      </c>
      <c r="WT327" s="18" t="str">
        <f ca="1">IF(AND(SUM($UB327:$VY327)&gt;0,$TM327=WU$1),MAX(WT$2:WT326)+1,"")</f>
        <v/>
      </c>
      <c r="WU327" s="59" t="str">
        <f t="shared" ca="1" si="283"/>
        <v/>
      </c>
      <c r="WV327" s="18" t="str">
        <f ca="1">IF(AND(SUM($UB327:$VY327)&gt;0,$TM327=WW$1),MAX(WV$2:WV326)+1,"")</f>
        <v/>
      </c>
      <c r="WW327" s="59" t="str">
        <f t="shared" ca="1" si="284"/>
        <v/>
      </c>
      <c r="WX327" s="18" t="str">
        <f ca="1">IF(AND(SUM($UB327:$VY327)&gt;0,$TM327=WY$1),MAX(WX$2:WX326)+1,"")</f>
        <v/>
      </c>
      <c r="WY327" s="59" t="str">
        <f t="shared" ca="1" si="285"/>
        <v/>
      </c>
    </row>
    <row r="328" spans="530:623" ht="9.9499999999999993" customHeight="1" x14ac:dyDescent="0.2">
      <c r="TJ328" s="18">
        <f t="shared" si="270"/>
        <v>326</v>
      </c>
      <c r="TK328" s="58" t="s">
        <v>709</v>
      </c>
      <c r="TL328" s="58" t="s">
        <v>464</v>
      </c>
      <c r="TM328" s="18">
        <v>7</v>
      </c>
      <c r="TN328" s="59" t="str">
        <f t="shared" si="272"/>
        <v xml:space="preserve">Teleport </v>
      </c>
      <c r="TO328" s="18" t="str">
        <f>""</f>
        <v/>
      </c>
      <c r="TP328" s="18" t="str">
        <f t="shared" si="273"/>
        <v/>
      </c>
      <c r="TQ328" s="18" t="str">
        <f>IF(OR(TK328=Spellcasting!$AC$18,TK328=Spellcasting!$AC$19),"ᵐ","")</f>
        <v/>
      </c>
      <c r="TR328" s="18" t="str">
        <f>IF(OR(TK328=Spellcasting!$AC$20,TK328=Spellcasting!$AC$21),"ˢ","")</f>
        <v/>
      </c>
      <c r="TS328" s="18" t="str">
        <f>""</f>
        <v/>
      </c>
      <c r="TT328" s="18" t="s">
        <v>484</v>
      </c>
      <c r="TU328" s="18" t="s">
        <v>504</v>
      </c>
      <c r="TV328" s="18" t="s">
        <v>505</v>
      </c>
      <c r="TW328" s="18" t="s">
        <v>541</v>
      </c>
      <c r="TX328" s="59" t="str">
        <f>""</f>
        <v/>
      </c>
      <c r="TY328" s="18" t="s">
        <v>516</v>
      </c>
      <c r="TZ328" s="18" t="s">
        <v>517</v>
      </c>
      <c r="UA328" s="142" t="s">
        <v>3198</v>
      </c>
      <c r="UB328" s="319" t="s">
        <v>2115</v>
      </c>
      <c r="UC328" s="18" t="str">
        <f ca="1">IF(UC$1&gt;=$TM328,1,"0")</f>
        <v>0</v>
      </c>
      <c r="UF328" s="18" t="str">
        <f ca="1">IF(UF$1&gt;=$TM328,1,"0")</f>
        <v>0</v>
      </c>
      <c r="UL328" s="18" t="str">
        <f t="shared" ca="1" si="274"/>
        <v>0</v>
      </c>
      <c r="WD328" s="18" t="str">
        <f ca="1">IF(SUM($VZ$1:$WC$1)&gt;0,IF(AND(SUM($VZ328:$WC328)&gt;0,$TM328=WE$1),MAX(WD$2:WD327)+1,""),IF(AND(SUM($UC328:$VY328)&gt;0,$TM328=WE$1),MAX(WD$2:WD327)+1,""))</f>
        <v/>
      </c>
      <c r="WE328" s="59" t="str">
        <f t="shared" ca="1" si="275"/>
        <v/>
      </c>
      <c r="WF328" s="18" t="str">
        <f ca="1">IF(AND(SUM($UB328:$VY328)&gt;0,$TM328=WG$1),MAX(WF$2:WF327)+1,"")</f>
        <v/>
      </c>
      <c r="WG328" s="59" t="str">
        <f t="shared" ca="1" si="276"/>
        <v/>
      </c>
      <c r="WH328" s="18" t="str">
        <f ca="1">IF(AND(SUM($UB328:$VY328)&gt;0,$TM328=WI$1),MAX(WH$2:WH327)+1,"")</f>
        <v/>
      </c>
      <c r="WI328" s="59" t="str">
        <f t="shared" ca="1" si="277"/>
        <v/>
      </c>
      <c r="WJ328" s="18" t="str">
        <f ca="1">IF(AND(SUM($UB328:$VY328)&gt;0,$TM328=WK$1),MAX(WJ$2:WJ327)+1,"")</f>
        <v/>
      </c>
      <c r="WK328" s="59" t="str">
        <f t="shared" ca="1" si="278"/>
        <v/>
      </c>
      <c r="WL328" s="18" t="str">
        <f ca="1">IF(AND(SUM($UB328:$VY328)&gt;0,$TM328=WM$1),MAX(WL$2:WL327)+1,"")</f>
        <v/>
      </c>
      <c r="WM328" s="59" t="str">
        <f t="shared" ca="1" si="279"/>
        <v/>
      </c>
      <c r="WN328" s="18" t="str">
        <f ca="1">IF(AND(SUM($UB328:$VY328)&gt;0,$TM328=WO$1),MAX(WN$2:WN327)+1,"")</f>
        <v/>
      </c>
      <c r="WO328" s="59" t="str">
        <f t="shared" ca="1" si="280"/>
        <v/>
      </c>
      <c r="WP328" s="18" t="str">
        <f ca="1">IF(AND(SUM($UB328:$VY328)&gt;0,$TM328=WQ$1),MAX(WP$2:WP327)+1,"")</f>
        <v/>
      </c>
      <c r="WQ328" s="59" t="str">
        <f t="shared" ca="1" si="281"/>
        <v/>
      </c>
      <c r="WR328" s="18" t="str">
        <f ca="1">IF(AND(SUM($UB328:$VY328)&gt;0,$TM328=WS$1),MAX(WR$2:WR327)+1,"")</f>
        <v/>
      </c>
      <c r="WS328" s="59" t="str">
        <f t="shared" ca="1" si="282"/>
        <v/>
      </c>
      <c r="WT328" s="18" t="str">
        <f ca="1">IF(AND(SUM($UB328:$VY328)&gt;0,$TM328=WU$1),MAX(WT$2:WT327)+1,"")</f>
        <v/>
      </c>
      <c r="WU328" s="59" t="str">
        <f t="shared" ca="1" si="283"/>
        <v/>
      </c>
      <c r="WV328" s="18" t="str">
        <f ca="1">IF(AND(SUM($UB328:$VY328)&gt;0,$TM328=WW$1),MAX(WV$2:WV327)+1,"")</f>
        <v/>
      </c>
      <c r="WW328" s="59" t="str">
        <f t="shared" ca="1" si="284"/>
        <v/>
      </c>
      <c r="WX328" s="18" t="str">
        <f ca="1">IF(AND(SUM($UB328:$VY328)&gt;0,$TM328=WY$1),MAX(WX$2:WX327)+1,"")</f>
        <v/>
      </c>
      <c r="WY328" s="59" t="str">
        <f t="shared" ca="1" si="285"/>
        <v/>
      </c>
    </row>
    <row r="329" spans="530:623" ht="9.9499999999999993" customHeight="1" x14ac:dyDescent="0.2">
      <c r="TJ329" s="18">
        <f t="shared" si="270"/>
        <v>327</v>
      </c>
      <c r="TK329" s="58" t="s">
        <v>710</v>
      </c>
      <c r="TL329" s="58" t="s">
        <v>462</v>
      </c>
      <c r="TM329" s="18">
        <v>5</v>
      </c>
      <c r="TN329" s="59" t="str">
        <f t="shared" si="272"/>
        <v xml:space="preserve">Teleportation Circle </v>
      </c>
      <c r="TO329" s="18" t="str">
        <f>""</f>
        <v/>
      </c>
      <c r="TP329" s="18" t="str">
        <f t="shared" si="273"/>
        <v/>
      </c>
      <c r="TQ329" s="18" t="str">
        <f>IF(OR(TK329=Spellcasting!$AC$18,TK329=Spellcasting!$AC$19),"ᵐ","")</f>
        <v/>
      </c>
      <c r="TR329" s="18" t="str">
        <f>IF(OR(TK329=Spellcasting!$AC$20,TK329=Spellcasting!$AC$21),"ˢ","")</f>
        <v/>
      </c>
      <c r="TS329" s="18" t="str">
        <f>""</f>
        <v/>
      </c>
      <c r="TT329" s="18" t="s">
        <v>503</v>
      </c>
      <c r="TU329" s="18" t="s">
        <v>504</v>
      </c>
      <c r="TV329" s="18" t="s">
        <v>547</v>
      </c>
      <c r="TW329" s="18" t="s">
        <v>686</v>
      </c>
      <c r="TX329" s="59" t="s">
        <v>2031</v>
      </c>
      <c r="TY329" s="18" t="s">
        <v>516</v>
      </c>
      <c r="TZ329" s="18" t="s">
        <v>517</v>
      </c>
      <c r="UA329" s="142" t="s">
        <v>2317</v>
      </c>
      <c r="UB329" s="319" t="s">
        <v>2318</v>
      </c>
      <c r="UC329" s="18" t="str">
        <f ca="1">IF(UC$1&gt;=$TM329,1,"0")</f>
        <v>0</v>
      </c>
      <c r="UF329" s="18" t="str">
        <f ca="1">IF(UF$1&gt;=$TM329,1,"0")</f>
        <v>0</v>
      </c>
      <c r="UL329" s="18" t="str">
        <f t="shared" ca="1" si="274"/>
        <v>0</v>
      </c>
      <c r="WD329" s="18" t="str">
        <f ca="1">IF(SUM($VZ$1:$WC$1)&gt;0,IF(AND(SUM($VZ329:$WC329)&gt;0,$TM329=WE$1),MAX(WD$2:WD328)+1,""),IF(AND(SUM($UC329:$VY329)&gt;0,$TM329=WE$1),MAX(WD$2:WD328)+1,""))</f>
        <v/>
      </c>
      <c r="WE329" s="59" t="str">
        <f t="shared" ca="1" si="275"/>
        <v/>
      </c>
      <c r="WF329" s="18" t="str">
        <f ca="1">IF(AND(SUM($UB329:$VY329)&gt;0,$TM329=WG$1),MAX(WF$2:WF328)+1,"")</f>
        <v/>
      </c>
      <c r="WG329" s="59" t="str">
        <f t="shared" ca="1" si="276"/>
        <v/>
      </c>
      <c r="WH329" s="18" t="str">
        <f ca="1">IF(AND(SUM($UB329:$VY329)&gt;0,$TM329=WI$1),MAX(WH$2:WH328)+1,"")</f>
        <v/>
      </c>
      <c r="WI329" s="59" t="str">
        <f t="shared" ca="1" si="277"/>
        <v/>
      </c>
      <c r="WJ329" s="18" t="str">
        <f ca="1">IF(AND(SUM($UB329:$VY329)&gt;0,$TM329=WK$1),MAX(WJ$2:WJ328)+1,"")</f>
        <v/>
      </c>
      <c r="WK329" s="59" t="str">
        <f t="shared" ca="1" si="278"/>
        <v/>
      </c>
      <c r="WL329" s="18" t="str">
        <f ca="1">IF(AND(SUM($UB329:$VY329)&gt;0,$TM329=WM$1),MAX(WL$2:WL328)+1,"")</f>
        <v/>
      </c>
      <c r="WM329" s="59" t="str">
        <f t="shared" ca="1" si="279"/>
        <v/>
      </c>
      <c r="WN329" s="18" t="str">
        <f ca="1">IF(AND(SUM($UB329:$VY329)&gt;0,$TM329=WO$1),MAX(WN$2:WN328)+1,"")</f>
        <v/>
      </c>
      <c r="WO329" s="59" t="str">
        <f t="shared" ca="1" si="280"/>
        <v/>
      </c>
      <c r="WP329" s="18" t="str">
        <f ca="1">IF(AND(SUM($UB329:$VY329)&gt;0,$TM329=WQ$1),MAX(WP$2:WP328)+1,"")</f>
        <v/>
      </c>
      <c r="WQ329" s="59" t="str">
        <f t="shared" ca="1" si="281"/>
        <v/>
      </c>
      <c r="WR329" s="18" t="str">
        <f ca="1">IF(AND(SUM($UB329:$VY329)&gt;0,$TM329=WS$1),MAX(WR$2:WR328)+1,"")</f>
        <v/>
      </c>
      <c r="WS329" s="59" t="str">
        <f t="shared" ca="1" si="282"/>
        <v/>
      </c>
      <c r="WT329" s="18" t="str">
        <f ca="1">IF(AND(SUM($UB329:$VY329)&gt;0,$TM329=WU$1),MAX(WT$2:WT328)+1,"")</f>
        <v/>
      </c>
      <c r="WU329" s="59" t="str">
        <f t="shared" ca="1" si="283"/>
        <v/>
      </c>
      <c r="WV329" s="18" t="str">
        <f ca="1">IF(AND(SUM($UB329:$VY329)&gt;0,$TM329=WW$1),MAX(WV$2:WV328)+1,"")</f>
        <v/>
      </c>
      <c r="WW329" s="59" t="str">
        <f t="shared" ca="1" si="284"/>
        <v/>
      </c>
      <c r="WX329" s="18" t="str">
        <f ca="1">IF(AND(SUM($UB329:$VY329)&gt;0,$TM329=WY$1),MAX(WX$2:WX328)+1,"")</f>
        <v/>
      </c>
      <c r="WY329" s="59" t="str">
        <f t="shared" ca="1" si="285"/>
        <v/>
      </c>
    </row>
    <row r="330" spans="530:623" ht="9.9499999999999993" customHeight="1" x14ac:dyDescent="0.2">
      <c r="TJ330" s="18">
        <f t="shared" si="270"/>
        <v>328</v>
      </c>
      <c r="TK330" s="58" t="s">
        <v>2761</v>
      </c>
      <c r="TL330" s="58" t="s">
        <v>448</v>
      </c>
      <c r="TM330" s="18">
        <v>1</v>
      </c>
      <c r="TN330" s="59" t="str">
        <f t="shared" si="272"/>
        <v xml:space="preserve">Tenser's Floating Disk </v>
      </c>
      <c r="TO330" s="18" t="str">
        <f>""</f>
        <v/>
      </c>
      <c r="TP330" s="18" t="str">
        <f t="shared" si="273"/>
        <v/>
      </c>
      <c r="TQ330" s="18" t="str">
        <f>IF(OR(TK330=Spellcasting!$AC$18,TK330=Spellcasting!$AC$19),"ᵐ","")</f>
        <v/>
      </c>
      <c r="TR330" s="18" t="str">
        <f>IF(OR(TK330=Spellcasting!$AC$20,TK330=Spellcasting!$AC$21),"ˢ","")</f>
        <v/>
      </c>
      <c r="TS330" s="18" t="s">
        <v>477</v>
      </c>
      <c r="TT330" s="18" t="s">
        <v>501</v>
      </c>
      <c r="TU330" s="18" t="s">
        <v>851</v>
      </c>
      <c r="TV330" s="18" t="s">
        <v>521</v>
      </c>
      <c r="TW330" s="18" t="s">
        <v>495</v>
      </c>
      <c r="TX330" s="59" t="s">
        <v>1433</v>
      </c>
      <c r="TY330" s="18" t="s">
        <v>516</v>
      </c>
      <c r="TZ330" s="18" t="s">
        <v>517</v>
      </c>
      <c r="UA330" s="142" t="s">
        <v>1434</v>
      </c>
      <c r="UB330" s="319" t="s">
        <v>1435</v>
      </c>
      <c r="UL330" s="18" t="str">
        <f t="shared" ca="1" si="274"/>
        <v>0</v>
      </c>
      <c r="WD330" s="18" t="str">
        <f ca="1">IF(SUM($VZ$1:$WC$1)&gt;0,IF(AND(SUM($VZ330:$WC330)&gt;0,$TM330=WE$1),MAX(WD$2:WD329)+1,""),IF(AND(SUM($UC330:$VY330)&gt;0,$TM330=WE$1),MAX(WD$2:WD329)+1,""))</f>
        <v/>
      </c>
      <c r="WE330" s="59" t="str">
        <f t="shared" ca="1" si="275"/>
        <v/>
      </c>
      <c r="WF330" s="18" t="str">
        <f ca="1">IF(AND(SUM($UB330:$VY330)&gt;0,$TM330=WG$1),MAX(WF$2:WF329)+1,"")</f>
        <v/>
      </c>
      <c r="WG330" s="59" t="str">
        <f t="shared" ca="1" si="276"/>
        <v/>
      </c>
      <c r="WH330" s="18" t="str">
        <f ca="1">IF(AND(SUM($UB330:$VY330)&gt;0,$TM330=WI$1),MAX(WH$2:WH329)+1,"")</f>
        <v/>
      </c>
      <c r="WI330" s="59" t="str">
        <f t="shared" ca="1" si="277"/>
        <v/>
      </c>
      <c r="WJ330" s="18" t="str">
        <f ca="1">IF(AND(SUM($UB330:$VY330)&gt;0,$TM330=WK$1),MAX(WJ$2:WJ329)+1,"")</f>
        <v/>
      </c>
      <c r="WK330" s="59" t="str">
        <f t="shared" ca="1" si="278"/>
        <v/>
      </c>
      <c r="WL330" s="18" t="str">
        <f ca="1">IF(AND(SUM($UB330:$VY330)&gt;0,$TM330=WM$1),MAX(WL$2:WL329)+1,"")</f>
        <v/>
      </c>
      <c r="WM330" s="59" t="str">
        <f t="shared" ca="1" si="279"/>
        <v/>
      </c>
      <c r="WN330" s="18" t="str">
        <f ca="1">IF(AND(SUM($UB330:$VY330)&gt;0,$TM330=WO$1),MAX(WN$2:WN329)+1,"")</f>
        <v/>
      </c>
      <c r="WO330" s="59" t="str">
        <f t="shared" ca="1" si="280"/>
        <v/>
      </c>
      <c r="WP330" s="18" t="str">
        <f ca="1">IF(AND(SUM($UB330:$VY330)&gt;0,$TM330=WQ$1),MAX(WP$2:WP329)+1,"")</f>
        <v/>
      </c>
      <c r="WQ330" s="59" t="str">
        <f t="shared" ca="1" si="281"/>
        <v/>
      </c>
      <c r="WR330" s="18" t="str">
        <f ca="1">IF(AND(SUM($UB330:$VY330)&gt;0,$TM330=WS$1),MAX(WR$2:WR329)+1,"")</f>
        <v/>
      </c>
      <c r="WS330" s="59" t="str">
        <f t="shared" ca="1" si="282"/>
        <v/>
      </c>
      <c r="WT330" s="18" t="str">
        <f ca="1">IF(AND(SUM($UB330:$VY330)&gt;0,$TM330=WU$1),MAX(WT$2:WT329)+1,"")</f>
        <v/>
      </c>
      <c r="WU330" s="59" t="str">
        <f t="shared" ca="1" si="283"/>
        <v/>
      </c>
      <c r="WV330" s="18" t="str">
        <f ca="1">IF(AND(SUM($UB330:$VY330)&gt;0,$TM330=WW$1),MAX(WV$2:WV329)+1,"")</f>
        <v/>
      </c>
      <c r="WW330" s="59" t="str">
        <f t="shared" ca="1" si="284"/>
        <v/>
      </c>
      <c r="WX330" s="18" t="str">
        <f ca="1">IF(AND(SUM($UB330:$VY330)&gt;0,$TM330=WY$1),MAX(WX$2:WX329)+1,"")</f>
        <v/>
      </c>
      <c r="WY330" s="59" t="str">
        <f t="shared" ca="1" si="285"/>
        <v/>
      </c>
    </row>
    <row r="331" spans="530:623" ht="9.9499999999999993" customHeight="1" x14ac:dyDescent="0.2">
      <c r="TJ331" s="18">
        <f t="shared" si="270"/>
        <v>329</v>
      </c>
      <c r="TK331" s="58" t="s">
        <v>711</v>
      </c>
      <c r="TL331" s="58" t="s">
        <v>1840</v>
      </c>
      <c r="TM331" s="18">
        <v>0.5</v>
      </c>
      <c r="TN331" s="59" t="str">
        <f t="shared" si="272"/>
        <v xml:space="preserve">Thaumaturgy </v>
      </c>
      <c r="TO331" s="18" t="str">
        <f>""</f>
        <v/>
      </c>
      <c r="TP331" s="18" t="str">
        <f t="shared" si="273"/>
        <v/>
      </c>
      <c r="TQ331" s="18" t="str">
        <f>IF(OR(TK331=Spellcasting!$AC$18,TK331=Spellcasting!$AC$19),"ᵐ","")</f>
        <v/>
      </c>
      <c r="TR331" s="18" t="str">
        <f>IF(OR(TK331=Spellcasting!$AC$20,TK331=Spellcasting!$AC$21),"ˢ","")</f>
        <v/>
      </c>
      <c r="TS331" s="18" t="str">
        <f>""</f>
        <v/>
      </c>
      <c r="TT331" s="18" t="s">
        <v>484</v>
      </c>
      <c r="TU331" s="18" t="s">
        <v>851</v>
      </c>
      <c r="TV331" s="18" t="s">
        <v>712</v>
      </c>
      <c r="TW331" s="18" t="s">
        <v>486</v>
      </c>
      <c r="TX331" s="59" t="str">
        <f>""</f>
        <v/>
      </c>
      <c r="TY331" s="18" t="s">
        <v>491</v>
      </c>
      <c r="TZ331" s="18" t="s">
        <v>492</v>
      </c>
      <c r="UA331" s="142" t="s">
        <v>1001</v>
      </c>
      <c r="UB331" s="319" t="s">
        <v>1002</v>
      </c>
      <c r="UH331" s="18" t="str">
        <f ca="1">IF(UH$1&gt;=$TM331,1,"0")</f>
        <v>0</v>
      </c>
      <c r="VZ331" s="18" t="str">
        <f>IF(VZ$1&gt;=$TM331,1,"0")</f>
        <v>0</v>
      </c>
      <c r="WA331" s="18"/>
      <c r="WD331" s="18" t="str">
        <f ca="1">IF(SUM($VZ$1:$WC$1)&gt;0,IF(AND(SUM($VZ331:$WC331)&gt;0,$TM331=WE$1),MAX(WD$2:WD330)+1,""),IF(AND(SUM($UC331:$VY331)&gt;0,$TM331=WE$1),MAX(WD$2:WD330)+1,""))</f>
        <v/>
      </c>
      <c r="WE331" s="59" t="str">
        <f t="shared" ca="1" si="275"/>
        <v/>
      </c>
      <c r="WF331" s="18" t="str">
        <f ca="1">IF(AND(SUM($UB331:$VY331)&gt;0,$TM331=WG$1),MAX(WF$2:WF330)+1,"")</f>
        <v/>
      </c>
      <c r="WG331" s="59" t="str">
        <f t="shared" ca="1" si="276"/>
        <v/>
      </c>
      <c r="WH331" s="18" t="str">
        <f ca="1">IF(AND(SUM($UB331:$VY331)&gt;0,$TM331=WI$1),MAX(WH$2:WH330)+1,"")</f>
        <v/>
      </c>
      <c r="WI331" s="59" t="str">
        <f t="shared" ca="1" si="277"/>
        <v/>
      </c>
      <c r="WJ331" s="18" t="str">
        <f ca="1">IF(AND(SUM($UB331:$VY331)&gt;0,$TM331=WK$1),MAX(WJ$2:WJ330)+1,"")</f>
        <v/>
      </c>
      <c r="WK331" s="59" t="str">
        <f t="shared" ca="1" si="278"/>
        <v/>
      </c>
      <c r="WL331" s="18" t="str">
        <f ca="1">IF(AND(SUM($UB331:$VY331)&gt;0,$TM331=WM$1),MAX(WL$2:WL330)+1,"")</f>
        <v/>
      </c>
      <c r="WM331" s="59" t="str">
        <f t="shared" ca="1" si="279"/>
        <v/>
      </c>
      <c r="WN331" s="18" t="str">
        <f ca="1">IF(AND(SUM($UB331:$VY331)&gt;0,$TM331=WO$1),MAX(WN$2:WN330)+1,"")</f>
        <v/>
      </c>
      <c r="WO331" s="59" t="str">
        <f t="shared" ca="1" si="280"/>
        <v/>
      </c>
      <c r="WP331" s="18" t="str">
        <f ca="1">IF(AND(SUM($UB331:$VY331)&gt;0,$TM331=WQ$1),MAX(WP$2:WP330)+1,"")</f>
        <v/>
      </c>
      <c r="WQ331" s="59" t="str">
        <f t="shared" ca="1" si="281"/>
        <v/>
      </c>
      <c r="WR331" s="18" t="str">
        <f ca="1">IF(AND(SUM($UB331:$VY331)&gt;0,$TM331=WS$1),MAX(WR$2:WR330)+1,"")</f>
        <v/>
      </c>
      <c r="WS331" s="59" t="str">
        <f t="shared" ca="1" si="282"/>
        <v/>
      </c>
      <c r="WT331" s="18" t="str">
        <f ca="1">IF(AND(SUM($UB331:$VY331)&gt;0,$TM331=WU$1),MAX(WT$2:WT330)+1,"")</f>
        <v/>
      </c>
      <c r="WU331" s="59" t="str">
        <f t="shared" ca="1" si="283"/>
        <v/>
      </c>
      <c r="WV331" s="18" t="str">
        <f ca="1">IF(AND(SUM($UB331:$VY331)&gt;0,$TM331=WW$1),MAX(WV$2:WV330)+1,"")</f>
        <v/>
      </c>
      <c r="WW331" s="59" t="str">
        <f t="shared" ca="1" si="284"/>
        <v/>
      </c>
      <c r="WX331" s="18" t="str">
        <f ca="1">IF(AND(SUM($UB331:$VY331)&gt;0,$TM331=WY$1),MAX(WX$2:WX330)+1,"")</f>
        <v/>
      </c>
      <c r="WY331" s="59" t="str">
        <f t="shared" ca="1" si="285"/>
        <v/>
      </c>
    </row>
    <row r="332" spans="530:623" ht="9.9499999999999993" customHeight="1" x14ac:dyDescent="0.2">
      <c r="TJ332" s="18">
        <f t="shared" si="270"/>
        <v>330</v>
      </c>
      <c r="TK332" s="58" t="s">
        <v>2080</v>
      </c>
      <c r="TL332" s="58" t="s">
        <v>1840</v>
      </c>
      <c r="TM332" s="18">
        <v>0.5</v>
      </c>
      <c r="TN332" s="59" t="str">
        <f t="shared" si="272"/>
        <v xml:space="preserve">Thorn Whip </v>
      </c>
      <c r="TO332" s="18" t="str">
        <f>""</f>
        <v/>
      </c>
      <c r="TP332" s="18" t="str">
        <f t="shared" si="273"/>
        <v/>
      </c>
      <c r="TQ332" s="18" t="str">
        <f>IF(OR(TK332=Spellcasting!$AC$18,TK332=Spellcasting!$AC$19),"ᵐ","")</f>
        <v/>
      </c>
      <c r="TR332" s="18" t="str">
        <f>IF(OR(TK332=Spellcasting!$AC$20,TK332=Spellcasting!$AC$21),"ˢ","")</f>
        <v/>
      </c>
      <c r="TS332" s="18" t="str">
        <f>""</f>
        <v/>
      </c>
      <c r="TT332" s="18" t="s">
        <v>484</v>
      </c>
      <c r="TU332" s="18" t="s">
        <v>851</v>
      </c>
      <c r="TV332" s="18" t="s">
        <v>505</v>
      </c>
      <c r="TW332" s="18" t="s">
        <v>495</v>
      </c>
      <c r="TX332" s="59" t="s">
        <v>2081</v>
      </c>
      <c r="TY332" s="18" t="s">
        <v>491</v>
      </c>
      <c r="TZ332" s="18" t="s">
        <v>492</v>
      </c>
      <c r="UA332" s="142" t="s">
        <v>2319</v>
      </c>
      <c r="UB332" s="319" t="str">
        <f>"melee, "&amp;IF(CharacterLevel&gt;16,"4d6",IF(CharacterLevel&gt;10,"3d6",IF(CharacterLevel&gt;4,"2d6","1d6")))&amp;" pierce, pull 10ft closer"</f>
        <v>melee, 1d6 pierce, pull 10ft closer</v>
      </c>
      <c r="UI332" s="18" t="str">
        <f ca="1">IF(UI$1&gt;=$TM332,1,"0")</f>
        <v>0</v>
      </c>
      <c r="VB332" s="18" t="str">
        <f>IF(VB$1&gt;=$TM332,1,"0")</f>
        <v>0</v>
      </c>
      <c r="WD332" s="18" t="str">
        <f ca="1">IF(SUM($VZ$1:$WC$1)&gt;0,IF(AND(SUM($VZ332:$WC332)&gt;0,$TM332=WE$1),MAX(WD$2:WD331)+1,""),IF(AND(SUM($UC332:$VY332)&gt;0,$TM332=WE$1),MAX(WD$2:WD331)+1,""))</f>
        <v/>
      </c>
      <c r="WE332" s="59" t="str">
        <f t="shared" ca="1" si="275"/>
        <v/>
      </c>
      <c r="WF332" s="18" t="str">
        <f ca="1">IF(AND(SUM($UB332:$VY332)&gt;0,$TM332=WG$1),MAX(WF$2:WF331)+1,"")</f>
        <v/>
      </c>
      <c r="WG332" s="59" t="str">
        <f t="shared" ca="1" si="276"/>
        <v/>
      </c>
      <c r="WH332" s="18" t="str">
        <f ca="1">IF(AND(SUM($UB332:$VY332)&gt;0,$TM332=WI$1),MAX(WH$2:WH331)+1,"")</f>
        <v/>
      </c>
      <c r="WI332" s="59" t="str">
        <f t="shared" ca="1" si="277"/>
        <v/>
      </c>
      <c r="WJ332" s="18" t="str">
        <f ca="1">IF(AND(SUM($UB332:$VY332)&gt;0,$TM332=WK$1),MAX(WJ$2:WJ331)+1,"")</f>
        <v/>
      </c>
      <c r="WK332" s="59" t="str">
        <f t="shared" ca="1" si="278"/>
        <v/>
      </c>
      <c r="WL332" s="18" t="str">
        <f ca="1">IF(AND(SUM($UB332:$VY332)&gt;0,$TM332=WM$1),MAX(WL$2:WL331)+1,"")</f>
        <v/>
      </c>
      <c r="WM332" s="59" t="str">
        <f t="shared" ca="1" si="279"/>
        <v/>
      </c>
      <c r="WN332" s="18" t="str">
        <f ca="1">IF(AND(SUM($UB332:$VY332)&gt;0,$TM332=WO$1),MAX(WN$2:WN331)+1,"")</f>
        <v/>
      </c>
      <c r="WO332" s="59" t="str">
        <f t="shared" ca="1" si="280"/>
        <v/>
      </c>
      <c r="WP332" s="18" t="str">
        <f ca="1">IF(AND(SUM($UB332:$VY332)&gt;0,$TM332=WQ$1),MAX(WP$2:WP331)+1,"")</f>
        <v/>
      </c>
      <c r="WQ332" s="59" t="str">
        <f t="shared" ca="1" si="281"/>
        <v/>
      </c>
      <c r="WR332" s="18" t="str">
        <f ca="1">IF(AND(SUM($UB332:$VY332)&gt;0,$TM332=WS$1),MAX(WR$2:WR331)+1,"")</f>
        <v/>
      </c>
      <c r="WS332" s="59" t="str">
        <f t="shared" ca="1" si="282"/>
        <v/>
      </c>
      <c r="WT332" s="18" t="str">
        <f ca="1">IF(AND(SUM($UB332:$VY332)&gt;0,$TM332=WU$1),MAX(WT$2:WT331)+1,"")</f>
        <v/>
      </c>
      <c r="WU332" s="59" t="str">
        <f t="shared" ca="1" si="283"/>
        <v/>
      </c>
      <c r="WV332" s="18" t="str">
        <f ca="1">IF(AND(SUM($UB332:$VY332)&gt;0,$TM332=WW$1),MAX(WV$2:WV331)+1,"")</f>
        <v/>
      </c>
      <c r="WW332" s="59" t="str">
        <f t="shared" ca="1" si="284"/>
        <v/>
      </c>
      <c r="WX332" s="18" t="str">
        <f ca="1">IF(AND(SUM($UB332:$VY332)&gt;0,$TM332=WY$1),MAX(WX$2:WX331)+1,"")</f>
        <v/>
      </c>
      <c r="WY332" s="59" t="str">
        <f t="shared" ca="1" si="285"/>
        <v/>
      </c>
    </row>
    <row r="333" spans="530:623" ht="9.9499999999999993" customHeight="1" x14ac:dyDescent="0.2">
      <c r="TJ333" s="18">
        <f t="shared" si="270"/>
        <v>331</v>
      </c>
      <c r="TK333" s="58" t="s">
        <v>713</v>
      </c>
      <c r="TL333" s="58" t="s">
        <v>448</v>
      </c>
      <c r="TM333" s="18">
        <v>1</v>
      </c>
      <c r="TN333" s="59" t="str">
        <f t="shared" si="272"/>
        <v xml:space="preserve">Thunderous Smite </v>
      </c>
      <c r="TO333" s="18" t="str">
        <f>""</f>
        <v/>
      </c>
      <c r="TP333" s="18" t="str">
        <f t="shared" si="273"/>
        <v/>
      </c>
      <c r="TQ333" s="18" t="str">
        <f>IF(OR(TK333=Spellcasting!$AC$18,TK333=Spellcasting!$AC$19),"ᵐ","")</f>
        <v/>
      </c>
      <c r="TR333" s="18" t="str">
        <f>IF(OR(TK333=Spellcasting!$AC$20,TK333=Spellcasting!$AC$21),"ˢ","")</f>
        <v/>
      </c>
      <c r="TS333" s="18" t="str">
        <f>""</f>
        <v/>
      </c>
      <c r="TT333" s="18" t="s">
        <v>1256</v>
      </c>
      <c r="TU333" s="18" t="s">
        <v>509</v>
      </c>
      <c r="TV333" s="18" t="s">
        <v>558</v>
      </c>
      <c r="TW333" s="18" t="s">
        <v>541</v>
      </c>
      <c r="TX333" s="59" t="str">
        <f>""</f>
        <v/>
      </c>
      <c r="TY333" s="18" t="s">
        <v>534</v>
      </c>
      <c r="TZ333" s="18" t="s">
        <v>535</v>
      </c>
      <c r="UA333" s="142" t="s">
        <v>1436</v>
      </c>
      <c r="UB333" s="537" t="s">
        <v>2741</v>
      </c>
      <c r="UD333" s="18" t="str">
        <f ca="1">IF(UD$1&gt;=$TM333,1,"0")</f>
        <v>0</v>
      </c>
      <c r="VZ333" s="258"/>
      <c r="WA333" s="258"/>
      <c r="WB333" s="258"/>
      <c r="WC333" s="258"/>
      <c r="WD333" s="18" t="str">
        <f ca="1">IF(SUM($VZ$1:$WC$1)&gt;0,IF(AND(SUM($VZ333:$WC333)&gt;0,$TM333=WE$1),MAX(WD$2:WD332)+1,""),IF(AND(SUM($UC333:$VY333)&gt;0,$TM333=WE$1),MAX(WD$2:WD332)+1,""))</f>
        <v/>
      </c>
      <c r="WE333" s="59" t="str">
        <f t="shared" ca="1" si="275"/>
        <v/>
      </c>
      <c r="WF333" s="18" t="str">
        <f ca="1">IF(AND(SUM($UB333:$VY333)&gt;0,$TM333=WG$1),MAX(WF$2:WF332)+1,"")</f>
        <v/>
      </c>
      <c r="WG333" s="59" t="str">
        <f t="shared" ca="1" si="276"/>
        <v/>
      </c>
      <c r="WH333" s="18" t="str">
        <f ca="1">IF(AND(SUM($UB333:$VY333)&gt;0,$TM333=WI$1),MAX(WH$2:WH332)+1,"")</f>
        <v/>
      </c>
      <c r="WI333" s="59" t="str">
        <f t="shared" ca="1" si="277"/>
        <v/>
      </c>
      <c r="WJ333" s="18" t="str">
        <f ca="1">IF(AND(SUM($UB333:$VY333)&gt;0,$TM333=WK$1),MAX(WJ$2:WJ332)+1,"")</f>
        <v/>
      </c>
      <c r="WK333" s="59" t="str">
        <f t="shared" ca="1" si="278"/>
        <v/>
      </c>
      <c r="WL333" s="18" t="str">
        <f ca="1">IF(AND(SUM($UB333:$VY333)&gt;0,$TM333=WM$1),MAX(WL$2:WL332)+1,"")</f>
        <v/>
      </c>
      <c r="WM333" s="59" t="str">
        <f t="shared" ca="1" si="279"/>
        <v/>
      </c>
      <c r="WN333" s="18" t="str">
        <f ca="1">IF(AND(SUM($UB333:$VY333)&gt;0,$TM333=WO$1),MAX(WN$2:WN332)+1,"")</f>
        <v/>
      </c>
      <c r="WO333" s="59" t="str">
        <f t="shared" ca="1" si="280"/>
        <v/>
      </c>
      <c r="WP333" s="18" t="str">
        <f ca="1">IF(AND(SUM($UB333:$VY333)&gt;0,$TM333=WQ$1),MAX(WP$2:WP332)+1,"")</f>
        <v/>
      </c>
      <c r="WQ333" s="59" t="str">
        <f t="shared" ca="1" si="281"/>
        <v/>
      </c>
      <c r="WR333" s="18" t="str">
        <f ca="1">IF(AND(SUM($UB333:$VY333)&gt;0,$TM333=WS$1),MAX(WR$2:WR332)+1,"")</f>
        <v/>
      </c>
      <c r="WS333" s="59" t="str">
        <f t="shared" ca="1" si="282"/>
        <v/>
      </c>
      <c r="WT333" s="18" t="str">
        <f ca="1">IF(AND(SUM($UB333:$VY333)&gt;0,$TM333=WU$1),MAX(WT$2:WT332)+1,"")</f>
        <v/>
      </c>
      <c r="WU333" s="59" t="str">
        <f t="shared" ca="1" si="283"/>
        <v/>
      </c>
      <c r="WV333" s="18" t="str">
        <f ca="1">IF(AND(SUM($UB333:$VY333)&gt;0,$TM333=WW$1),MAX(WV$2:WV332)+1,"")</f>
        <v/>
      </c>
      <c r="WW333" s="59" t="str">
        <f t="shared" ca="1" si="284"/>
        <v/>
      </c>
      <c r="WX333" s="18" t="str">
        <f ca="1">IF(AND(SUM($UB333:$VY333)&gt;0,$TM333=WY$1),MAX(WX$2:WX332)+1,"")</f>
        <v/>
      </c>
      <c r="WY333" s="59" t="str">
        <f t="shared" ca="1" si="285"/>
        <v/>
      </c>
    </row>
    <row r="334" spans="530:623" ht="9.9499999999999993" customHeight="1" x14ac:dyDescent="0.2">
      <c r="TJ334" s="18">
        <f t="shared" si="270"/>
        <v>332</v>
      </c>
      <c r="TK334" s="58" t="s">
        <v>714</v>
      </c>
      <c r="TL334" s="58" t="s">
        <v>448</v>
      </c>
      <c r="TM334" s="18">
        <v>1</v>
      </c>
      <c r="TN334" s="59" t="str">
        <f t="shared" si="272"/>
        <v xml:space="preserve">Thunderwave ᴴ </v>
      </c>
      <c r="TO334" s="350" t="s">
        <v>2991</v>
      </c>
      <c r="TP334" s="18" t="str">
        <f t="shared" si="273"/>
        <v/>
      </c>
      <c r="TQ334" s="18" t="str">
        <f>IF(OR(TK334=Spellcasting!$AC$18,TK334=Spellcasting!$AC$19),"ᵐ","")</f>
        <v/>
      </c>
      <c r="TR334" s="18" t="str">
        <f>IF(OR(TK334=Spellcasting!$AC$20,TK334=Spellcasting!$AC$21),"ˢ","")</f>
        <v/>
      </c>
      <c r="TS334" s="18" t="str">
        <f>""</f>
        <v/>
      </c>
      <c r="TT334" s="18" t="s">
        <v>484</v>
      </c>
      <c r="TU334" s="18" t="s">
        <v>509</v>
      </c>
      <c r="TV334" s="18" t="s">
        <v>505</v>
      </c>
      <c r="TW334" s="18" t="s">
        <v>486</v>
      </c>
      <c r="TX334" s="59" t="str">
        <f>""</f>
        <v/>
      </c>
      <c r="TY334" s="18" t="s">
        <v>534</v>
      </c>
      <c r="TZ334" s="18" t="s">
        <v>535</v>
      </c>
      <c r="UA334" s="142" t="s">
        <v>3194</v>
      </c>
      <c r="UB334" s="319" t="str">
        <f ca="1">"15ft cube, 2d8"&amp;IF(WizardEvocationLevel&gt;=10,"+"&amp;INTMod,"")&amp;" thunder 10ft push, con save ½"</f>
        <v>15ft cube, 2d8 thunder 10ft push, con save ½</v>
      </c>
      <c r="UC334" s="18" t="str">
        <f ca="1">IF(UC$1&gt;=$TM334,1,"0")</f>
        <v>0</v>
      </c>
      <c r="UF334" s="18" t="str">
        <f ca="1">IF(UF$1&gt;=$TM334,1,"0")</f>
        <v>0</v>
      </c>
      <c r="UI334" s="18" t="str">
        <f ca="1">IF(UI$1&gt;=$TM334,1,"0")</f>
        <v>0</v>
      </c>
      <c r="UL334" s="18" t="str">
        <f ca="1">IF(UL$1&gt;=$TM334,1,"0")</f>
        <v>0</v>
      </c>
      <c r="VC334" s="18" t="str">
        <f>IF(VC$1&gt;=$TM334,1,"0")</f>
        <v>0</v>
      </c>
      <c r="VP334" s="18" t="str">
        <f>IF(VP$1&gt;=$TM334,1,"0")</f>
        <v>0</v>
      </c>
      <c r="WD334" s="18" t="str">
        <f ca="1">IF(SUM($VZ$1:$WC$1)&gt;0,IF(AND(SUM($VZ334:$WC334)&gt;0,$TM334=WE$1),MAX(WD$2:WD333)+1,""),IF(AND(SUM($UC334:$VY334)&gt;0,$TM334=WE$1),MAX(WD$2:WD333)+1,""))</f>
        <v/>
      </c>
      <c r="WE334" s="59" t="str">
        <f t="shared" ca="1" si="275"/>
        <v/>
      </c>
      <c r="WF334" s="18" t="str">
        <f ca="1">IF(AND(SUM($UB334:$VY334)&gt;0,$TM334=WG$1),MAX(WF$2:WF333)+1,"")</f>
        <v/>
      </c>
      <c r="WG334" s="59" t="str">
        <f t="shared" ca="1" si="276"/>
        <v/>
      </c>
      <c r="WH334" s="18" t="str">
        <f ca="1">IF(AND(SUM($UB334:$VY334)&gt;0,$TM334=WI$1),MAX(WH$2:WH333)+1,"")</f>
        <v/>
      </c>
      <c r="WI334" s="59" t="str">
        <f t="shared" ca="1" si="277"/>
        <v/>
      </c>
      <c r="WJ334" s="18" t="str">
        <f ca="1">IF(AND(SUM($UB334:$VY334)&gt;0,$TM334=WK$1),MAX(WJ$2:WJ333)+1,"")</f>
        <v/>
      </c>
      <c r="WK334" s="59" t="str">
        <f t="shared" ca="1" si="278"/>
        <v/>
      </c>
      <c r="WL334" s="18" t="str">
        <f ca="1">IF(AND(SUM($UB334:$VY334)&gt;0,$TM334=WM$1),MAX(WL$2:WL333)+1,"")</f>
        <v/>
      </c>
      <c r="WM334" s="59" t="str">
        <f t="shared" ca="1" si="279"/>
        <v/>
      </c>
      <c r="WN334" s="18" t="str">
        <f ca="1">IF(AND(SUM($UB334:$VY334)&gt;0,$TM334=WO$1),MAX(WN$2:WN333)+1,"")</f>
        <v/>
      </c>
      <c r="WO334" s="59" t="str">
        <f t="shared" ca="1" si="280"/>
        <v/>
      </c>
      <c r="WP334" s="18" t="str">
        <f ca="1">IF(AND(SUM($UB334:$VY334)&gt;0,$TM334=WQ$1),MAX(WP$2:WP333)+1,"")</f>
        <v/>
      </c>
      <c r="WQ334" s="59" t="str">
        <f t="shared" ca="1" si="281"/>
        <v/>
      </c>
      <c r="WR334" s="18" t="str">
        <f ca="1">IF(AND(SUM($UB334:$VY334)&gt;0,$TM334=WS$1),MAX(WR$2:WR333)+1,"")</f>
        <v/>
      </c>
      <c r="WS334" s="59" t="str">
        <f t="shared" ca="1" si="282"/>
        <v/>
      </c>
      <c r="WT334" s="18" t="str">
        <f ca="1">IF(AND(SUM($UB334:$VY334)&gt;0,$TM334=WU$1),MAX(WT$2:WT333)+1,"")</f>
        <v/>
      </c>
      <c r="WU334" s="59" t="str">
        <f t="shared" ca="1" si="283"/>
        <v/>
      </c>
      <c r="WV334" s="18" t="str">
        <f ca="1">IF(AND(SUM($UB334:$VY334)&gt;0,$TM334=WW$1),MAX(WV$2:WV333)+1,"")</f>
        <v/>
      </c>
      <c r="WW334" s="59" t="str">
        <f t="shared" ca="1" si="284"/>
        <v/>
      </c>
      <c r="WX334" s="18" t="str">
        <f ca="1">IF(AND(SUM($UB334:$VY334)&gt;0,$TM334=WY$1),MAX(WX$2:WX333)+1,"")</f>
        <v/>
      </c>
      <c r="WY334" s="59" t="str">
        <f t="shared" ca="1" si="285"/>
        <v/>
      </c>
    </row>
    <row r="335" spans="530:623" ht="9.9499999999999993" customHeight="1" x14ac:dyDescent="0.2">
      <c r="TJ335" s="18">
        <f t="shared" si="270"/>
        <v>333</v>
      </c>
      <c r="TK335" s="58" t="s">
        <v>715</v>
      </c>
      <c r="TL335" s="58" t="s">
        <v>466</v>
      </c>
      <c r="TM335" s="18">
        <v>9</v>
      </c>
      <c r="TN335" s="59" t="str">
        <f t="shared" si="272"/>
        <v xml:space="preserve">Time Stop </v>
      </c>
      <c r="TO335" s="18" t="str">
        <f>""</f>
        <v/>
      </c>
      <c r="TP335" s="18" t="str">
        <f t="shared" si="273"/>
        <v/>
      </c>
      <c r="TQ335" s="18" t="str">
        <f>IF(OR(TK335=Spellcasting!$AC$18,TK335=Spellcasting!$AC$19),"ᵐ","")</f>
        <v/>
      </c>
      <c r="TR335" s="18" t="str">
        <f>IF(OR(TK335=Spellcasting!$AC$20,TK335=Spellcasting!$AC$21),"ˢ","")</f>
        <v/>
      </c>
      <c r="TS335" s="18" t="str">
        <f>""</f>
        <v/>
      </c>
      <c r="TT335" s="18" t="s">
        <v>484</v>
      </c>
      <c r="TU335" s="18" t="s">
        <v>509</v>
      </c>
      <c r="TV335" s="18" t="s">
        <v>505</v>
      </c>
      <c r="TW335" s="18" t="s">
        <v>541</v>
      </c>
      <c r="TX335" s="59" t="str">
        <f>""</f>
        <v/>
      </c>
      <c r="TY335" s="18" t="s">
        <v>491</v>
      </c>
      <c r="TZ335" s="18" t="s">
        <v>492</v>
      </c>
      <c r="UA335" s="142" t="s">
        <v>3214</v>
      </c>
      <c r="UB335" s="319" t="s">
        <v>2320</v>
      </c>
      <c r="UF335" s="18" t="str">
        <f ca="1">IF(UF$1&gt;=$TM335,1,"0")</f>
        <v>0</v>
      </c>
      <c r="UL335" s="18" t="str">
        <f ca="1">IF(UL$1&gt;=$TM335,1,"0")</f>
        <v>0</v>
      </c>
      <c r="WD335" s="18" t="str">
        <f ca="1">IF(SUM($VZ$1:$WC$1)&gt;0,IF(AND(SUM($VZ335:$WC335)&gt;0,$TM335=WE$1),MAX(WD$2:WD334)+1,""),IF(AND(SUM($UC335:$VY335)&gt;0,$TM335=WE$1),MAX(WD$2:WD334)+1,""))</f>
        <v/>
      </c>
      <c r="WE335" s="59" t="str">
        <f t="shared" ca="1" si="275"/>
        <v/>
      </c>
      <c r="WF335" s="18" t="str">
        <f ca="1">IF(AND(SUM($UB335:$VY335)&gt;0,$TM335=WG$1),MAX(WF$2:WF334)+1,"")</f>
        <v/>
      </c>
      <c r="WG335" s="59" t="str">
        <f t="shared" ca="1" si="276"/>
        <v/>
      </c>
      <c r="WH335" s="18" t="str">
        <f ca="1">IF(AND(SUM($UB335:$VY335)&gt;0,$TM335=WI$1),MAX(WH$2:WH334)+1,"")</f>
        <v/>
      </c>
      <c r="WI335" s="59" t="str">
        <f t="shared" ca="1" si="277"/>
        <v/>
      </c>
      <c r="WJ335" s="18" t="str">
        <f ca="1">IF(AND(SUM($UB335:$VY335)&gt;0,$TM335=WK$1),MAX(WJ$2:WJ334)+1,"")</f>
        <v/>
      </c>
      <c r="WK335" s="59" t="str">
        <f t="shared" ca="1" si="278"/>
        <v/>
      </c>
      <c r="WL335" s="18" t="str">
        <f ca="1">IF(AND(SUM($UB335:$VY335)&gt;0,$TM335=WM$1),MAX(WL$2:WL334)+1,"")</f>
        <v/>
      </c>
      <c r="WM335" s="59" t="str">
        <f t="shared" ca="1" si="279"/>
        <v/>
      </c>
      <c r="WN335" s="18" t="str">
        <f ca="1">IF(AND(SUM($UB335:$VY335)&gt;0,$TM335=WO$1),MAX(WN$2:WN334)+1,"")</f>
        <v/>
      </c>
      <c r="WO335" s="59" t="str">
        <f t="shared" ca="1" si="280"/>
        <v/>
      </c>
      <c r="WP335" s="18" t="str">
        <f ca="1">IF(AND(SUM($UB335:$VY335)&gt;0,$TM335=WQ$1),MAX(WP$2:WP334)+1,"")</f>
        <v/>
      </c>
      <c r="WQ335" s="59" t="str">
        <f t="shared" ca="1" si="281"/>
        <v/>
      </c>
      <c r="WR335" s="18" t="str">
        <f ca="1">IF(AND(SUM($UB335:$VY335)&gt;0,$TM335=WS$1),MAX(WR$2:WR334)+1,"")</f>
        <v/>
      </c>
      <c r="WS335" s="59" t="str">
        <f t="shared" ca="1" si="282"/>
        <v/>
      </c>
      <c r="WT335" s="18" t="str">
        <f ca="1">IF(AND(SUM($UB335:$VY335)&gt;0,$TM335=WU$1),MAX(WT$2:WT334)+1,"")</f>
        <v/>
      </c>
      <c r="WU335" s="59" t="str">
        <f t="shared" ca="1" si="283"/>
        <v/>
      </c>
      <c r="WV335" s="18" t="str">
        <f ca="1">IF(AND(SUM($UB335:$VY335)&gt;0,$TM335=WW$1),MAX(WV$2:WV334)+1,"")</f>
        <v/>
      </c>
      <c r="WW335" s="59" t="str">
        <f t="shared" ca="1" si="284"/>
        <v/>
      </c>
      <c r="WX335" s="18" t="str">
        <f ca="1">IF(AND(SUM($UB335:$VY335)&gt;0,$TM335=WY$1),MAX(WX$2:WX334)+1,"")</f>
        <v/>
      </c>
      <c r="WY335" s="59" t="str">
        <f t="shared" ca="1" si="285"/>
        <v/>
      </c>
    </row>
    <row r="336" spans="530:623" ht="9.9499999999999993" customHeight="1" x14ac:dyDescent="0.2">
      <c r="TJ336" s="18">
        <f t="shared" ref="TJ336:TJ364" si="286">TJ335+1</f>
        <v>334</v>
      </c>
      <c r="TK336" s="58" t="s">
        <v>1243</v>
      </c>
      <c r="TL336" s="58" t="s">
        <v>460</v>
      </c>
      <c r="TM336" s="18">
        <v>3</v>
      </c>
      <c r="TN336" s="59" t="str">
        <f t="shared" si="272"/>
        <v xml:space="preserve">Tongues </v>
      </c>
      <c r="TO336" s="18" t="str">
        <f>""</f>
        <v/>
      </c>
      <c r="TP336" s="18" t="str">
        <f t="shared" si="273"/>
        <v/>
      </c>
      <c r="TQ336" s="18" t="str">
        <f>IF(OR(TK336=Spellcasting!$AC$18,TK336=Spellcasting!$AC$19),"ᵐ","")</f>
        <v/>
      </c>
      <c r="TR336" s="18" t="str">
        <f>IF(OR(TK336=Spellcasting!$AC$20,TK336=Spellcasting!$AC$21),"ˢ","")</f>
        <v/>
      </c>
      <c r="TS336" s="18" t="str">
        <f>""</f>
        <v/>
      </c>
      <c r="TT336" s="18" t="s">
        <v>484</v>
      </c>
      <c r="TU336" s="18" t="s">
        <v>519</v>
      </c>
      <c r="TV336" s="18" t="s">
        <v>521</v>
      </c>
      <c r="TW336" s="18" t="s">
        <v>686</v>
      </c>
      <c r="TX336" s="59" t="s">
        <v>1724</v>
      </c>
      <c r="TY336" s="18" t="s">
        <v>511</v>
      </c>
      <c r="TZ336" s="18" t="s">
        <v>512</v>
      </c>
      <c r="UA336" s="59" t="s">
        <v>1725</v>
      </c>
      <c r="UB336" s="319" t="s">
        <v>1726</v>
      </c>
      <c r="UC336" s="18" t="str">
        <f ca="1">IF(UC$1&gt;=$TM336,1,"0")</f>
        <v>0</v>
      </c>
      <c r="UF336" s="18" t="str">
        <f ca="1">IF(UF$1&gt;=$TM336,1,"0")</f>
        <v>0</v>
      </c>
      <c r="UG336" s="18" t="str">
        <f ca="1">IF(UG$1&gt;=$TM336,1,"0")</f>
        <v>0</v>
      </c>
      <c r="UH336" s="18" t="str">
        <f ca="1">IF(UH$1&gt;=$TM336,1,"0")</f>
        <v>0</v>
      </c>
      <c r="UL336" s="18" t="str">
        <f ca="1">IF(UL$1&gt;=$TM336,1,"0")</f>
        <v>0</v>
      </c>
      <c r="WD336" s="18" t="str">
        <f ca="1">IF(SUM($VZ$1:$WC$1)&gt;0,IF(AND(SUM($VZ336:$WC336)&gt;0,$TM336=WE$1),MAX(WD$2:WD335)+1,""),IF(AND(SUM($UC336:$VY336)&gt;0,$TM336=WE$1),MAX(WD$2:WD335)+1,""))</f>
        <v/>
      </c>
      <c r="WE336" s="59" t="str">
        <f t="shared" ca="1" si="275"/>
        <v/>
      </c>
      <c r="WF336" s="18" t="str">
        <f ca="1">IF(AND(SUM($UB336:$VY336)&gt;0,$TM336=WG$1),MAX(WF$2:WF335)+1,"")</f>
        <v/>
      </c>
      <c r="WG336" s="59" t="str">
        <f t="shared" ca="1" si="276"/>
        <v/>
      </c>
      <c r="WH336" s="18" t="str">
        <f ca="1">IF(AND(SUM($UB336:$VY336)&gt;0,$TM336=WI$1),MAX(WH$2:WH335)+1,"")</f>
        <v/>
      </c>
      <c r="WI336" s="59" t="str">
        <f t="shared" ca="1" si="277"/>
        <v/>
      </c>
      <c r="WJ336" s="18" t="str">
        <f ca="1">IF(AND(SUM($UB336:$VY336)&gt;0,$TM336=WK$1),MAX(WJ$2:WJ335)+1,"")</f>
        <v/>
      </c>
      <c r="WK336" s="59" t="str">
        <f t="shared" ca="1" si="278"/>
        <v/>
      </c>
      <c r="WL336" s="18" t="str">
        <f ca="1">IF(AND(SUM($UB336:$VY336)&gt;0,$TM336=WM$1),MAX(WL$2:WL335)+1,"")</f>
        <v/>
      </c>
      <c r="WM336" s="59" t="str">
        <f t="shared" ca="1" si="279"/>
        <v/>
      </c>
      <c r="WN336" s="18" t="str">
        <f ca="1">IF(AND(SUM($UB336:$VY336)&gt;0,$TM336=WO$1),MAX(WN$2:WN335)+1,"")</f>
        <v/>
      </c>
      <c r="WO336" s="59" t="str">
        <f t="shared" ca="1" si="280"/>
        <v/>
      </c>
      <c r="WP336" s="18" t="str">
        <f ca="1">IF(AND(SUM($UB336:$VY336)&gt;0,$TM336=WQ$1),MAX(WP$2:WP335)+1,"")</f>
        <v/>
      </c>
      <c r="WQ336" s="59" t="str">
        <f t="shared" ca="1" si="281"/>
        <v/>
      </c>
      <c r="WR336" s="18" t="str">
        <f ca="1">IF(AND(SUM($UB336:$VY336)&gt;0,$TM336=WS$1),MAX(WR$2:WR335)+1,"")</f>
        <v/>
      </c>
      <c r="WS336" s="59" t="str">
        <f t="shared" ca="1" si="282"/>
        <v/>
      </c>
      <c r="WT336" s="18" t="str">
        <f ca="1">IF(AND(SUM($UB336:$VY336)&gt;0,$TM336=WU$1),MAX(WT$2:WT335)+1,"")</f>
        <v/>
      </c>
      <c r="WU336" s="59" t="str">
        <f t="shared" ca="1" si="283"/>
        <v/>
      </c>
      <c r="WV336" s="18" t="str">
        <f ca="1">IF(AND(SUM($UB336:$VY336)&gt;0,$TM336=WW$1),MAX(WV$2:WV335)+1,"")</f>
        <v/>
      </c>
      <c r="WW336" s="59" t="str">
        <f t="shared" ca="1" si="284"/>
        <v/>
      </c>
      <c r="WX336" s="18" t="str">
        <f ca="1">IF(AND(SUM($UB336:$VY336)&gt;0,$TM336=WY$1),MAX(WX$2:WX335)+1,"")</f>
        <v/>
      </c>
      <c r="WY336" s="59" t="str">
        <f t="shared" ca="1" si="285"/>
        <v/>
      </c>
    </row>
    <row r="337" spans="530:623" ht="9.9499999999999993" customHeight="1" x14ac:dyDescent="0.2">
      <c r="TJ337" s="18">
        <f t="shared" si="286"/>
        <v>335</v>
      </c>
      <c r="TK337" s="58" t="s">
        <v>2691</v>
      </c>
      <c r="TL337" s="58" t="s">
        <v>463</v>
      </c>
      <c r="TM337" s="18">
        <v>6</v>
      </c>
      <c r="TN337" s="59" t="str">
        <f t="shared" si="272"/>
        <v xml:space="preserve">Transport via Plants </v>
      </c>
      <c r="TO337" s="18" t="str">
        <f>""</f>
        <v/>
      </c>
      <c r="TP337" s="18" t="str">
        <f t="shared" si="273"/>
        <v/>
      </c>
      <c r="TQ337" s="18" t="str">
        <f>IF(OR(TK337=Spellcasting!$AC$18,TK337=Spellcasting!$AC$19),"ᵐ","")</f>
        <v/>
      </c>
      <c r="TR337" s="18" t="str">
        <f>IF(OR(TK337=Spellcasting!$AC$20,TK337=Spellcasting!$AC$21),"ˢ","")</f>
        <v/>
      </c>
      <c r="TS337" s="18" t="str">
        <f>""</f>
        <v/>
      </c>
      <c r="TT337" s="18" t="s">
        <v>484</v>
      </c>
      <c r="TU337" s="18" t="s">
        <v>504</v>
      </c>
      <c r="TV337" s="18" t="s">
        <v>547</v>
      </c>
      <c r="TW337" s="18" t="s">
        <v>486</v>
      </c>
      <c r="TY337" s="18" t="s">
        <v>516</v>
      </c>
      <c r="TZ337" s="18" t="s">
        <v>517</v>
      </c>
      <c r="UA337" s="142" t="s">
        <v>2692</v>
      </c>
      <c r="UB337" s="319" t="s">
        <v>2693</v>
      </c>
      <c r="UI337" s="18" t="str">
        <f ca="1">IF(UI$1&gt;=$TM337,1,"0")</f>
        <v>0</v>
      </c>
      <c r="WD337" s="18" t="str">
        <f ca="1">IF(SUM($VZ$1:$WC$1)&gt;0,IF(AND(SUM($VZ337:$WC337)&gt;0,$TM337=WE$1),MAX(WD$2:WD336)+1,""),IF(AND(SUM($UC337:$VY337)&gt;0,$TM337=WE$1),MAX(WD$2:WD336)+1,""))</f>
        <v/>
      </c>
      <c r="WE337" s="59" t="str">
        <f t="shared" ca="1" si="275"/>
        <v/>
      </c>
      <c r="WF337" s="18" t="str">
        <f ca="1">IF(AND(SUM($UB337:$VY337)&gt;0,$TM337=WG$1),MAX(WF$2:WF336)+1,"")</f>
        <v/>
      </c>
      <c r="WG337" s="59" t="str">
        <f t="shared" ca="1" si="276"/>
        <v/>
      </c>
      <c r="WH337" s="18" t="str">
        <f ca="1">IF(AND(SUM($UB337:$VY337)&gt;0,$TM337=WI$1),MAX(WH$2:WH336)+1,"")</f>
        <v/>
      </c>
      <c r="WI337" s="59" t="str">
        <f t="shared" ca="1" si="277"/>
        <v/>
      </c>
      <c r="WJ337" s="18" t="str">
        <f ca="1">IF(AND(SUM($UB337:$VY337)&gt;0,$TM337=WK$1),MAX(WJ$2:WJ336)+1,"")</f>
        <v/>
      </c>
      <c r="WK337" s="59" t="str">
        <f t="shared" ca="1" si="278"/>
        <v/>
      </c>
      <c r="WL337" s="18" t="str">
        <f ca="1">IF(AND(SUM($UB337:$VY337)&gt;0,$TM337=WM$1),MAX(WL$2:WL336)+1,"")</f>
        <v/>
      </c>
      <c r="WM337" s="59" t="str">
        <f t="shared" ca="1" si="279"/>
        <v/>
      </c>
      <c r="WN337" s="18" t="str">
        <f ca="1">IF(AND(SUM($UB337:$VY337)&gt;0,$TM337=WO$1),MAX(WN$2:WN336)+1,"")</f>
        <v/>
      </c>
      <c r="WO337" s="59" t="str">
        <f t="shared" ca="1" si="280"/>
        <v/>
      </c>
      <c r="WP337" s="18" t="str">
        <f ca="1">IF(AND(SUM($UB337:$VY337)&gt;0,$TM337=WQ$1),MAX(WP$2:WP336)+1,"")</f>
        <v/>
      </c>
      <c r="WQ337" s="59" t="str">
        <f t="shared" ca="1" si="281"/>
        <v/>
      </c>
      <c r="WR337" s="18" t="str">
        <f ca="1">IF(AND(SUM($UB337:$VY337)&gt;0,$TM337=WS$1),MAX(WR$2:WR336)+1,"")</f>
        <v/>
      </c>
      <c r="WS337" s="59" t="str">
        <f t="shared" ca="1" si="282"/>
        <v/>
      </c>
      <c r="WT337" s="18" t="str">
        <f ca="1">IF(AND(SUM($UB337:$VY337)&gt;0,$TM337=WU$1),MAX(WT$2:WT336)+1,"")</f>
        <v/>
      </c>
      <c r="WU337" s="59" t="str">
        <f t="shared" ca="1" si="283"/>
        <v/>
      </c>
      <c r="WV337" s="18" t="str">
        <f ca="1">IF(AND(SUM($UB337:$VY337)&gt;0,$TM337=WW$1),MAX(WV$2:WV336)+1,"")</f>
        <v/>
      </c>
      <c r="WW337" s="59" t="str">
        <f t="shared" ca="1" si="284"/>
        <v/>
      </c>
      <c r="WX337" s="18" t="str">
        <f ca="1">IF(AND(SUM($UB337:$VY337)&gt;0,$TM337=WY$1),MAX(WX$2:WX336)+1,"")</f>
        <v/>
      </c>
      <c r="WY337" s="59" t="str">
        <f t="shared" ca="1" si="285"/>
        <v/>
      </c>
    </row>
    <row r="338" spans="530:623" ht="9.9499999999999993" customHeight="1" x14ac:dyDescent="0.2">
      <c r="TJ338" s="18">
        <f t="shared" si="286"/>
        <v>336</v>
      </c>
      <c r="TK338" s="58" t="s">
        <v>2781</v>
      </c>
      <c r="TL338" s="58" t="s">
        <v>465</v>
      </c>
      <c r="TM338" s="18">
        <v>8</v>
      </c>
      <c r="TN338" s="59" t="str">
        <f t="shared" si="272"/>
        <v xml:space="preserve">Trap the Soul </v>
      </c>
      <c r="TO338" s="18" t="str">
        <f>""</f>
        <v/>
      </c>
      <c r="TP338" s="18" t="str">
        <f t="shared" si="273"/>
        <v/>
      </c>
      <c r="TQ338" s="18" t="str">
        <f>IF(OR(TK338=Spellcasting!$AC$18,TK338=Spellcasting!$AC$19),"ᵐ","")</f>
        <v/>
      </c>
      <c r="TR338" s="18" t="str">
        <f>IF(OR(TK338=Spellcasting!$AC$20,TK338=Spellcasting!$AC$21),"ˢ","")</f>
        <v/>
      </c>
      <c r="TS338" s="18" t="str">
        <f>""</f>
        <v/>
      </c>
      <c r="TT338" s="18" t="s">
        <v>484</v>
      </c>
      <c r="TU338" s="18" t="s">
        <v>2782</v>
      </c>
      <c r="TV338" s="18" t="s">
        <v>2783</v>
      </c>
      <c r="TW338" s="18" t="s">
        <v>495</v>
      </c>
      <c r="TX338" s="59" t="s">
        <v>2784</v>
      </c>
      <c r="TY338" s="18" t="s">
        <v>516</v>
      </c>
      <c r="TZ338" s="18" t="s">
        <v>517</v>
      </c>
      <c r="UA338" s="142" t="s">
        <v>2785</v>
      </c>
      <c r="UB338" s="319" t="s">
        <v>2786</v>
      </c>
      <c r="WD338" s="18" t="str">
        <f>IF(SUM($VZ$1:$WC$1)&gt;0,IF(AND(SUM($VZ338:$WC338)&gt;0,$TM338=WE$1),MAX(WD$2:WD337)+1,""),IF(AND(SUM($UC338:$VY338)&gt;0,$TM338=WE$1),MAX(WD$2:WD337)+1,""))</f>
        <v/>
      </c>
      <c r="WE338" s="59" t="str">
        <f t="shared" si="275"/>
        <v/>
      </c>
      <c r="WF338" s="18" t="str">
        <f>IF(AND(SUM($UB338:$VY338)&gt;0,$TM338=WG$1),MAX(WF$2:WF337)+1,"")</f>
        <v/>
      </c>
      <c r="WG338" s="59" t="str">
        <f t="shared" si="276"/>
        <v/>
      </c>
      <c r="WH338" s="18" t="str">
        <f>IF(AND(SUM($UB338:$VY338)&gt;0,$TM338=WI$1),MAX(WH$2:WH337)+1,"")</f>
        <v/>
      </c>
      <c r="WI338" s="59" t="str">
        <f t="shared" si="277"/>
        <v/>
      </c>
      <c r="WJ338" s="18" t="str">
        <f>IF(AND(SUM($UB338:$VY338)&gt;0,$TM338=WK$1),MAX(WJ$2:WJ337)+1,"")</f>
        <v/>
      </c>
      <c r="WK338" s="59" t="str">
        <f t="shared" si="278"/>
        <v/>
      </c>
      <c r="WL338" s="18" t="str">
        <f>IF(AND(SUM($UB338:$VY338)&gt;0,$TM338=WM$1),MAX(WL$2:WL337)+1,"")</f>
        <v/>
      </c>
      <c r="WM338" s="59" t="str">
        <f t="shared" si="279"/>
        <v/>
      </c>
      <c r="WN338" s="18" t="str">
        <f>IF(AND(SUM($UB338:$VY338)&gt;0,$TM338=WO$1),MAX(WN$2:WN337)+1,"")</f>
        <v/>
      </c>
      <c r="WO338" s="59" t="str">
        <f t="shared" si="280"/>
        <v/>
      </c>
      <c r="WP338" s="18" t="str">
        <f>IF(AND(SUM($UB338:$VY338)&gt;0,$TM338=WQ$1),MAX(WP$2:WP337)+1,"")</f>
        <v/>
      </c>
      <c r="WQ338" s="59" t="str">
        <f t="shared" si="281"/>
        <v/>
      </c>
      <c r="WR338" s="18" t="str">
        <f>IF(AND(SUM($UB338:$VY338)&gt;0,$TM338=WS$1),MAX(WR$2:WR337)+1,"")</f>
        <v/>
      </c>
      <c r="WS338" s="59" t="str">
        <f t="shared" si="282"/>
        <v/>
      </c>
      <c r="WT338" s="18" t="str">
        <f>IF(AND(SUM($UB338:$VY338)&gt;0,$TM338=WU$1),MAX(WT$2:WT337)+1,"")</f>
        <v/>
      </c>
      <c r="WU338" s="59" t="str">
        <f t="shared" si="283"/>
        <v/>
      </c>
      <c r="WV338" s="18" t="str">
        <f>IF(AND(SUM($UB338:$VY338)&gt;0,$TM338=WW$1),MAX(WV$2:WV337)+1,"")</f>
        <v/>
      </c>
      <c r="WW338" s="59" t="str">
        <f t="shared" si="284"/>
        <v/>
      </c>
      <c r="WX338" s="18" t="str">
        <f>IF(AND(SUM($UB338:$VY338)&gt;0,$TM338=WY$1),MAX(WX$2:WX337)+1,"")</f>
        <v/>
      </c>
      <c r="WY338" s="59" t="str">
        <f t="shared" si="285"/>
        <v/>
      </c>
    </row>
    <row r="339" spans="530:623" ht="9.9499999999999993" customHeight="1" x14ac:dyDescent="0.2">
      <c r="TJ339" s="18">
        <f t="shared" si="286"/>
        <v>337</v>
      </c>
      <c r="TK339" s="58" t="s">
        <v>2076</v>
      </c>
      <c r="TL339" s="58" t="s">
        <v>462</v>
      </c>
      <c r="TM339" s="18">
        <v>5</v>
      </c>
      <c r="TN339" s="59" t="str">
        <f t="shared" si="272"/>
        <v xml:space="preserve">Tree Stride </v>
      </c>
      <c r="TO339" s="18" t="str">
        <f>""</f>
        <v/>
      </c>
      <c r="TP339" s="18" t="str">
        <f t="shared" si="273"/>
        <v/>
      </c>
      <c r="TQ339" s="18" t="str">
        <f>IF(OR(TK339=Spellcasting!$AC$18,TK339=Spellcasting!$AC$19),"ᵐ","")</f>
        <v/>
      </c>
      <c r="TR339" s="18" t="str">
        <f>IF(OR(TK339=Spellcasting!$AC$20,TK339=Spellcasting!$AC$21),"ˢ","")</f>
        <v/>
      </c>
      <c r="TS339" s="18" t="str">
        <f>""</f>
        <v/>
      </c>
      <c r="TT339" s="18" t="s">
        <v>484</v>
      </c>
      <c r="TU339" s="18" t="s">
        <v>509</v>
      </c>
      <c r="TV339" s="18" t="s">
        <v>558</v>
      </c>
      <c r="TW339" s="18" t="s">
        <v>486</v>
      </c>
      <c r="TX339" s="59" t="str">
        <f>""</f>
        <v/>
      </c>
      <c r="TY339" s="18" t="s">
        <v>516</v>
      </c>
      <c r="TZ339" s="18" t="s">
        <v>517</v>
      </c>
      <c r="UA339" s="142" t="s">
        <v>2321</v>
      </c>
      <c r="UB339" s="319" t="s">
        <v>2322</v>
      </c>
      <c r="UI339" s="18" t="str">
        <f ca="1">IF(UI$1&gt;=$TM339,1,"0")</f>
        <v>0</v>
      </c>
      <c r="UP339" s="18" t="str">
        <f>IF(UP$1&gt;=$TM339,1,"0")</f>
        <v>0</v>
      </c>
      <c r="VB339" s="18" t="str">
        <f>IF(VB$1&gt;=$TM339,1,"0")</f>
        <v>0</v>
      </c>
      <c r="VJ339" s="18" t="str">
        <f>IF(VJ$1&gt;=$TM339,1,"0")</f>
        <v>0</v>
      </c>
      <c r="WD339" s="18" t="str">
        <f ca="1">IF(SUM($VZ$1:$WC$1)&gt;0,IF(AND(SUM($VZ339:$WC339)&gt;0,$TM339=WE$1),MAX(WD$2:WD338)+1,""),IF(AND(SUM($UC339:$VY339)&gt;0,$TM339=WE$1),MAX(WD$2:WD338)+1,""))</f>
        <v/>
      </c>
      <c r="WE339" s="59" t="str">
        <f t="shared" ca="1" si="275"/>
        <v/>
      </c>
      <c r="WF339" s="18" t="str">
        <f ca="1">IF(AND(SUM($UB339:$VY339)&gt;0,$TM339=WG$1),MAX(WF$2:WF338)+1,"")</f>
        <v/>
      </c>
      <c r="WG339" s="59" t="str">
        <f t="shared" ca="1" si="276"/>
        <v/>
      </c>
      <c r="WH339" s="18" t="str">
        <f ca="1">IF(AND(SUM($UB339:$VY339)&gt;0,$TM339=WI$1),MAX(WH$2:WH338)+1,"")</f>
        <v/>
      </c>
      <c r="WI339" s="59" t="str">
        <f t="shared" ca="1" si="277"/>
        <v/>
      </c>
      <c r="WJ339" s="18" t="str">
        <f ca="1">IF(AND(SUM($UB339:$VY339)&gt;0,$TM339=WK$1),MAX(WJ$2:WJ338)+1,"")</f>
        <v/>
      </c>
      <c r="WK339" s="59" t="str">
        <f t="shared" ca="1" si="278"/>
        <v/>
      </c>
      <c r="WL339" s="18" t="str">
        <f ca="1">IF(AND(SUM($UB339:$VY339)&gt;0,$TM339=WM$1),MAX(WL$2:WL338)+1,"")</f>
        <v/>
      </c>
      <c r="WM339" s="59" t="str">
        <f t="shared" ca="1" si="279"/>
        <v/>
      </c>
      <c r="WN339" s="18" t="str">
        <f ca="1">IF(AND(SUM($UB339:$VY339)&gt;0,$TM339=WO$1),MAX(WN$2:WN338)+1,"")</f>
        <v/>
      </c>
      <c r="WO339" s="59" t="str">
        <f t="shared" ca="1" si="280"/>
        <v/>
      </c>
      <c r="WP339" s="18" t="str">
        <f ca="1">IF(AND(SUM($UB339:$VY339)&gt;0,$TM339=WQ$1),MAX(WP$2:WP338)+1,"")</f>
        <v/>
      </c>
      <c r="WQ339" s="59" t="str">
        <f t="shared" ca="1" si="281"/>
        <v/>
      </c>
      <c r="WR339" s="18" t="str">
        <f ca="1">IF(AND(SUM($UB339:$VY339)&gt;0,$TM339=WS$1),MAX(WR$2:WR338)+1,"")</f>
        <v/>
      </c>
      <c r="WS339" s="59" t="str">
        <f t="shared" ca="1" si="282"/>
        <v/>
      </c>
      <c r="WT339" s="18" t="str">
        <f ca="1">IF(AND(SUM($UB339:$VY339)&gt;0,$TM339=WU$1),MAX(WT$2:WT338)+1,"")</f>
        <v/>
      </c>
      <c r="WU339" s="59" t="str">
        <f t="shared" ca="1" si="283"/>
        <v/>
      </c>
      <c r="WV339" s="18" t="str">
        <f ca="1">IF(AND(SUM($UB339:$VY339)&gt;0,$TM339=WW$1),MAX(WV$2:WV338)+1,"")</f>
        <v/>
      </c>
      <c r="WW339" s="59" t="str">
        <f t="shared" ca="1" si="284"/>
        <v/>
      </c>
      <c r="WX339" s="18" t="str">
        <f ca="1">IF(AND(SUM($UB339:$VY339)&gt;0,$TM339=WY$1),MAX(WX$2:WX338)+1,"")</f>
        <v/>
      </c>
      <c r="WY339" s="59" t="str">
        <f t="shared" ca="1" si="285"/>
        <v/>
      </c>
    </row>
    <row r="340" spans="530:623" ht="9.9499999999999993" customHeight="1" x14ac:dyDescent="0.2">
      <c r="TJ340" s="18">
        <f t="shared" si="286"/>
        <v>338</v>
      </c>
      <c r="TK340" s="58" t="s">
        <v>1967</v>
      </c>
      <c r="TL340" s="58" t="s">
        <v>466</v>
      </c>
      <c r="TM340" s="18">
        <v>9</v>
      </c>
      <c r="TN340" s="59" t="str">
        <f t="shared" si="272"/>
        <v xml:space="preserve">True Polymorph </v>
      </c>
      <c r="TO340" s="18" t="str">
        <f>""</f>
        <v/>
      </c>
      <c r="TP340" s="18" t="str">
        <f t="shared" si="273"/>
        <v/>
      </c>
      <c r="TQ340" s="18" t="str">
        <f>IF(OR(TK340=Spellcasting!$AC$18,TK340=Spellcasting!$AC$19),"ᵐ","")</f>
        <v/>
      </c>
      <c r="TR340" s="18" t="str">
        <f>IF(OR(TK340=Spellcasting!$AC$20,TK340=Spellcasting!$AC$21),"ˢ","")</f>
        <v/>
      </c>
      <c r="TS340" s="18" t="str">
        <f>""</f>
        <v/>
      </c>
      <c r="TT340" s="18" t="s">
        <v>484</v>
      </c>
      <c r="TU340" s="18" t="s">
        <v>851</v>
      </c>
      <c r="TV340" s="18" t="s">
        <v>490</v>
      </c>
      <c r="TW340" s="18" t="s">
        <v>495</v>
      </c>
      <c r="TX340" s="59" t="s">
        <v>2032</v>
      </c>
      <c r="TY340" s="18" t="s">
        <v>491</v>
      </c>
      <c r="TZ340" s="18" t="s">
        <v>492</v>
      </c>
      <c r="UA340" s="142" t="s">
        <v>2323</v>
      </c>
      <c r="UB340" s="319" t="s">
        <v>3056</v>
      </c>
      <c r="UC340" s="18" t="str">
        <f ca="1">IF(UC$1&gt;=$TM340,1,"0")</f>
        <v>0</v>
      </c>
      <c r="UG340" s="18" t="str">
        <f ca="1">IF(UG$1&gt;=$TM340,1,"0")</f>
        <v>0</v>
      </c>
      <c r="UL340" s="18" t="str">
        <f ca="1">IF(UL$1&gt;=$TM340,1,"0")</f>
        <v>0</v>
      </c>
      <c r="WD340" s="18" t="str">
        <f ca="1">IF(SUM($VZ$1:$WC$1)&gt;0,IF(AND(SUM($VZ340:$WC340)&gt;0,$TM340=WE$1),MAX(WD$2:WD339)+1,""),IF(AND(SUM($UC340:$VY340)&gt;0,$TM340=WE$1),MAX(WD$2:WD339)+1,""))</f>
        <v/>
      </c>
      <c r="WE340" s="59" t="str">
        <f t="shared" ca="1" si="275"/>
        <v/>
      </c>
      <c r="WF340" s="18" t="str">
        <f ca="1">IF(AND(SUM($UB340:$VY340)&gt;0,$TM340=WG$1),MAX(WF$2:WF339)+1,"")</f>
        <v/>
      </c>
      <c r="WG340" s="59" t="str">
        <f t="shared" ca="1" si="276"/>
        <v/>
      </c>
      <c r="WH340" s="18" t="str">
        <f ca="1">IF(AND(SUM($UB340:$VY340)&gt;0,$TM340=WI$1),MAX(WH$2:WH339)+1,"")</f>
        <v/>
      </c>
      <c r="WI340" s="59" t="str">
        <f t="shared" ca="1" si="277"/>
        <v/>
      </c>
      <c r="WJ340" s="18" t="str">
        <f ca="1">IF(AND(SUM($UB340:$VY340)&gt;0,$TM340=WK$1),MAX(WJ$2:WJ339)+1,"")</f>
        <v/>
      </c>
      <c r="WK340" s="59" t="str">
        <f t="shared" ca="1" si="278"/>
        <v/>
      </c>
      <c r="WL340" s="18" t="str">
        <f ca="1">IF(AND(SUM($UB340:$VY340)&gt;0,$TM340=WM$1),MAX(WL$2:WL339)+1,"")</f>
        <v/>
      </c>
      <c r="WM340" s="59" t="str">
        <f t="shared" ca="1" si="279"/>
        <v/>
      </c>
      <c r="WN340" s="18" t="str">
        <f ca="1">IF(AND(SUM($UB340:$VY340)&gt;0,$TM340=WO$1),MAX(WN$2:WN339)+1,"")</f>
        <v/>
      </c>
      <c r="WO340" s="59" t="str">
        <f t="shared" ca="1" si="280"/>
        <v/>
      </c>
      <c r="WP340" s="18" t="str">
        <f ca="1">IF(AND(SUM($UB340:$VY340)&gt;0,$TM340=WQ$1),MAX(WP$2:WP339)+1,"")</f>
        <v/>
      </c>
      <c r="WQ340" s="59" t="str">
        <f t="shared" ca="1" si="281"/>
        <v/>
      </c>
      <c r="WR340" s="18" t="str">
        <f ca="1">IF(AND(SUM($UB340:$VY340)&gt;0,$TM340=WS$1),MAX(WR$2:WR339)+1,"")</f>
        <v/>
      </c>
      <c r="WS340" s="59" t="str">
        <f t="shared" ca="1" si="282"/>
        <v/>
      </c>
      <c r="WT340" s="18" t="str">
        <f ca="1">IF(AND(SUM($UB340:$VY340)&gt;0,$TM340=WU$1),MAX(WT$2:WT339)+1,"")</f>
        <v/>
      </c>
      <c r="WU340" s="59" t="str">
        <f t="shared" ca="1" si="283"/>
        <v/>
      </c>
      <c r="WV340" s="18" t="str">
        <f ca="1">IF(AND(SUM($UB340:$VY340)&gt;0,$TM340=WW$1),MAX(WV$2:WV339)+1,"")</f>
        <v/>
      </c>
      <c r="WW340" s="59" t="str">
        <f t="shared" ca="1" si="284"/>
        <v/>
      </c>
      <c r="WX340" s="18" t="str">
        <f ca="1">IF(AND(SUM($UB340:$VY340)&gt;0,$TM340=WY$1),MAX(WX$2:WX339)+1,"")</f>
        <v/>
      </c>
      <c r="WY340" s="59" t="str">
        <f t="shared" ca="1" si="285"/>
        <v/>
      </c>
    </row>
    <row r="341" spans="530:623" ht="9.9499999999999993" customHeight="1" x14ac:dyDescent="0.2">
      <c r="TJ341" s="18">
        <f t="shared" si="286"/>
        <v>339</v>
      </c>
      <c r="TK341" s="58" t="s">
        <v>716</v>
      </c>
      <c r="TL341" s="58" t="s">
        <v>466</v>
      </c>
      <c r="TM341" s="18">
        <v>9</v>
      </c>
      <c r="TN341" s="59" t="str">
        <f t="shared" si="272"/>
        <v xml:space="preserve">True Resurrection </v>
      </c>
      <c r="TO341" s="18" t="str">
        <f>""</f>
        <v/>
      </c>
      <c r="TP341" s="18" t="str">
        <f t="shared" si="273"/>
        <v/>
      </c>
      <c r="TQ341" s="18" t="str">
        <f>IF(OR(TK341=Spellcasting!$AC$18,TK341=Spellcasting!$AC$19),"ᵐ","")</f>
        <v/>
      </c>
      <c r="TR341" s="18" t="str">
        <f>IF(OR(TK341=Spellcasting!$AC$20,TK341=Spellcasting!$AC$21),"ˢ","")</f>
        <v/>
      </c>
      <c r="TS341" s="18" t="str">
        <f>""</f>
        <v/>
      </c>
      <c r="TT341" s="18" t="s">
        <v>521</v>
      </c>
      <c r="TU341" s="18" t="s">
        <v>519</v>
      </c>
      <c r="TV341" s="18" t="s">
        <v>505</v>
      </c>
      <c r="TW341" s="18" t="s">
        <v>495</v>
      </c>
      <c r="TX341" s="59" t="s">
        <v>2073</v>
      </c>
      <c r="TY341" s="18" t="s">
        <v>506</v>
      </c>
      <c r="TZ341" s="18" t="s">
        <v>507</v>
      </c>
      <c r="UA341" s="142" t="s">
        <v>2326</v>
      </c>
      <c r="UB341" s="319" t="s">
        <v>2327</v>
      </c>
      <c r="UH341" s="18" t="str">
        <f ca="1">IF(UH$1&gt;=$TM341,1,"0")</f>
        <v>0</v>
      </c>
      <c r="UI341" s="18" t="str">
        <f ca="1">IF(UI$1&gt;=$TM341,1,"0")</f>
        <v>0</v>
      </c>
      <c r="WD341" s="18" t="str">
        <f ca="1">IF(SUM($VZ$1:$WC$1)&gt;0,IF(AND(SUM($VZ341:$WC341)&gt;0,$TM341=WE$1),MAX(WD$2:WD340)+1,""),IF(AND(SUM($UC341:$VY341)&gt;0,$TM341=WE$1),MAX(WD$2:WD340)+1,""))</f>
        <v/>
      </c>
      <c r="WE341" s="59" t="str">
        <f t="shared" ca="1" si="275"/>
        <v/>
      </c>
      <c r="WF341" s="18" t="str">
        <f ca="1">IF(AND(SUM($UB341:$VY341)&gt;0,$TM341=WG$1),MAX(WF$2:WF340)+1,"")</f>
        <v/>
      </c>
      <c r="WG341" s="59" t="str">
        <f t="shared" ca="1" si="276"/>
        <v/>
      </c>
      <c r="WH341" s="18" t="str">
        <f ca="1">IF(AND(SUM($UB341:$VY341)&gt;0,$TM341=WI$1),MAX(WH$2:WH340)+1,"")</f>
        <v/>
      </c>
      <c r="WI341" s="59" t="str">
        <f t="shared" ca="1" si="277"/>
        <v/>
      </c>
      <c r="WJ341" s="18" t="str">
        <f ca="1">IF(AND(SUM($UB341:$VY341)&gt;0,$TM341=WK$1),MAX(WJ$2:WJ340)+1,"")</f>
        <v/>
      </c>
      <c r="WK341" s="59" t="str">
        <f t="shared" ca="1" si="278"/>
        <v/>
      </c>
      <c r="WL341" s="18" t="str">
        <f ca="1">IF(AND(SUM($UB341:$VY341)&gt;0,$TM341=WM$1),MAX(WL$2:WL340)+1,"")</f>
        <v/>
      </c>
      <c r="WM341" s="59" t="str">
        <f t="shared" ca="1" si="279"/>
        <v/>
      </c>
      <c r="WN341" s="18" t="str">
        <f ca="1">IF(AND(SUM($UB341:$VY341)&gt;0,$TM341=WO$1),MAX(WN$2:WN340)+1,"")</f>
        <v/>
      </c>
      <c r="WO341" s="59" t="str">
        <f t="shared" ca="1" si="280"/>
        <v/>
      </c>
      <c r="WP341" s="18" t="str">
        <f ca="1">IF(AND(SUM($UB341:$VY341)&gt;0,$TM341=WQ$1),MAX(WP$2:WP340)+1,"")</f>
        <v/>
      </c>
      <c r="WQ341" s="59" t="str">
        <f t="shared" ca="1" si="281"/>
        <v/>
      </c>
      <c r="WR341" s="18" t="str">
        <f ca="1">IF(AND(SUM($UB341:$VY341)&gt;0,$TM341=WS$1),MAX(WR$2:WR340)+1,"")</f>
        <v/>
      </c>
      <c r="WS341" s="59" t="str">
        <f t="shared" ca="1" si="282"/>
        <v/>
      </c>
      <c r="WT341" s="18" t="str">
        <f ca="1">IF(AND(SUM($UB341:$VY341)&gt;0,$TM341=WU$1),MAX(WT$2:WT340)+1,"")</f>
        <v/>
      </c>
      <c r="WU341" s="59" t="str">
        <f t="shared" ca="1" si="283"/>
        <v/>
      </c>
      <c r="WV341" s="18" t="str">
        <f ca="1">IF(AND(SUM($UB341:$VY341)&gt;0,$TM341=WW$1),MAX(WV$2:WV340)+1,"")</f>
        <v/>
      </c>
      <c r="WW341" s="59" t="str">
        <f t="shared" ca="1" si="284"/>
        <v/>
      </c>
      <c r="WX341" s="18" t="str">
        <f ca="1">IF(AND(SUM($UB341:$VY341)&gt;0,$TM341=WY$1),MAX(WX$2:WX340)+1,"")</f>
        <v/>
      </c>
      <c r="WY341" s="59" t="str">
        <f t="shared" ca="1" si="285"/>
        <v/>
      </c>
    </row>
    <row r="342" spans="530:623" ht="9.9499999999999993" customHeight="1" x14ac:dyDescent="0.2">
      <c r="TJ342" s="18">
        <f t="shared" si="286"/>
        <v>340</v>
      </c>
      <c r="TK342" s="58" t="s">
        <v>717</v>
      </c>
      <c r="TL342" s="58" t="s">
        <v>463</v>
      </c>
      <c r="TM342" s="18">
        <v>6</v>
      </c>
      <c r="TN342" s="59" t="str">
        <f t="shared" si="272"/>
        <v xml:space="preserve">True Seeing </v>
      </c>
      <c r="TO342" s="18" t="str">
        <f>""</f>
        <v/>
      </c>
      <c r="TP342" s="18" t="str">
        <f t="shared" si="273"/>
        <v/>
      </c>
      <c r="TQ342" s="18" t="str">
        <f>IF(OR(TK342=Spellcasting!$AC$18,TK342=Spellcasting!$AC$19),"ᵐ","")</f>
        <v/>
      </c>
      <c r="TR342" s="18" t="str">
        <f>IF(OR(TK342=Spellcasting!$AC$20,TK342=Spellcasting!$AC$21),"ˢ","")</f>
        <v/>
      </c>
      <c r="TS342" s="18" t="str">
        <f>""</f>
        <v/>
      </c>
      <c r="TT342" s="18" t="s">
        <v>484</v>
      </c>
      <c r="TU342" s="18" t="s">
        <v>519</v>
      </c>
      <c r="TV342" s="18" t="s">
        <v>521</v>
      </c>
      <c r="TW342" s="18" t="s">
        <v>495</v>
      </c>
      <c r="TX342" s="59" t="s">
        <v>2033</v>
      </c>
      <c r="TY342" s="18" t="s">
        <v>511</v>
      </c>
      <c r="TZ342" s="18" t="s">
        <v>512</v>
      </c>
      <c r="UA342" s="142" t="s">
        <v>2328</v>
      </c>
      <c r="UB342" s="319" t="s">
        <v>3055</v>
      </c>
      <c r="UC342" s="18" t="str">
        <f ca="1">IF(UC$1&gt;=$TM342,1,"0")</f>
        <v>0</v>
      </c>
      <c r="UF342" s="18" t="str">
        <f ca="1">IF(UF$1&gt;=$TM342,1,"0")</f>
        <v>0</v>
      </c>
      <c r="UG342" s="18" t="str">
        <f ca="1">IF(UG$1&gt;=$TM342,1,"0")</f>
        <v>0</v>
      </c>
      <c r="UH342" s="18" t="str">
        <f ca="1">IF(UH$1&gt;=$TM342,1,"0")</f>
        <v>0</v>
      </c>
      <c r="UL342" s="18" t="str">
        <f ca="1">IF(UL$1&gt;=$TM342,1,"0")</f>
        <v>0</v>
      </c>
      <c r="WD342" s="18" t="str">
        <f ca="1">IF(SUM($VZ$1:$WC$1)&gt;0,IF(AND(SUM($VZ342:$WC342)&gt;0,$TM342=WE$1),MAX(WD$2:WD341)+1,""),IF(AND(SUM($UC342:$VY342)&gt;0,$TM342=WE$1),MAX(WD$2:WD341)+1,""))</f>
        <v/>
      </c>
      <c r="WE342" s="59" t="str">
        <f t="shared" ca="1" si="275"/>
        <v/>
      </c>
      <c r="WF342" s="18" t="str">
        <f ca="1">IF(AND(SUM($UB342:$VY342)&gt;0,$TM342=WG$1),MAX(WF$2:WF341)+1,"")</f>
        <v/>
      </c>
      <c r="WG342" s="59" t="str">
        <f t="shared" ca="1" si="276"/>
        <v/>
      </c>
      <c r="WH342" s="18" t="str">
        <f ca="1">IF(AND(SUM($UB342:$VY342)&gt;0,$TM342=WI$1),MAX(WH$2:WH341)+1,"")</f>
        <v/>
      </c>
      <c r="WI342" s="59" t="str">
        <f t="shared" ca="1" si="277"/>
        <v/>
      </c>
      <c r="WJ342" s="18" t="str">
        <f ca="1">IF(AND(SUM($UB342:$VY342)&gt;0,$TM342=WK$1),MAX(WJ$2:WJ341)+1,"")</f>
        <v/>
      </c>
      <c r="WK342" s="59" t="str">
        <f t="shared" ca="1" si="278"/>
        <v/>
      </c>
      <c r="WL342" s="18" t="str">
        <f ca="1">IF(AND(SUM($UB342:$VY342)&gt;0,$TM342=WM$1),MAX(WL$2:WL341)+1,"")</f>
        <v/>
      </c>
      <c r="WM342" s="59" t="str">
        <f t="shared" ca="1" si="279"/>
        <v/>
      </c>
      <c r="WN342" s="18" t="str">
        <f ca="1">IF(AND(SUM($UB342:$VY342)&gt;0,$TM342=WO$1),MAX(WN$2:WN341)+1,"")</f>
        <v/>
      </c>
      <c r="WO342" s="59" t="str">
        <f t="shared" ca="1" si="280"/>
        <v/>
      </c>
      <c r="WP342" s="18" t="str">
        <f ca="1">IF(AND(SUM($UB342:$VY342)&gt;0,$TM342=WQ$1),MAX(WP$2:WP341)+1,"")</f>
        <v/>
      </c>
      <c r="WQ342" s="59" t="str">
        <f t="shared" ca="1" si="281"/>
        <v/>
      </c>
      <c r="WR342" s="18" t="str">
        <f ca="1">IF(AND(SUM($UB342:$VY342)&gt;0,$TM342=WS$1),MAX(WR$2:WR341)+1,"")</f>
        <v/>
      </c>
      <c r="WS342" s="59" t="str">
        <f t="shared" ca="1" si="282"/>
        <v/>
      </c>
      <c r="WT342" s="18" t="str">
        <f ca="1">IF(AND(SUM($UB342:$VY342)&gt;0,$TM342=WU$1),MAX(WT$2:WT341)+1,"")</f>
        <v/>
      </c>
      <c r="WU342" s="59" t="str">
        <f t="shared" ca="1" si="283"/>
        <v/>
      </c>
      <c r="WV342" s="18" t="str">
        <f ca="1">IF(AND(SUM($UB342:$VY342)&gt;0,$TM342=WW$1),MAX(WV$2:WV341)+1,"")</f>
        <v/>
      </c>
      <c r="WW342" s="59" t="str">
        <f t="shared" ca="1" si="284"/>
        <v/>
      </c>
      <c r="WX342" s="18" t="str">
        <f ca="1">IF(AND(SUM($UB342:$VY342)&gt;0,$TM342=WY$1),MAX(WX$2:WX341)+1,"")</f>
        <v/>
      </c>
      <c r="WY342" s="59" t="str">
        <f t="shared" ca="1" si="285"/>
        <v/>
      </c>
    </row>
    <row r="343" spans="530:623" ht="9.9499999999999993" customHeight="1" x14ac:dyDescent="0.2">
      <c r="TJ343" s="18">
        <f t="shared" si="286"/>
        <v>341</v>
      </c>
      <c r="TK343" s="58" t="s">
        <v>1215</v>
      </c>
      <c r="TL343" s="58" t="s">
        <v>1840</v>
      </c>
      <c r="TM343" s="18">
        <v>0.5</v>
      </c>
      <c r="TN343" s="59" t="str">
        <f t="shared" si="272"/>
        <v xml:space="preserve">True Strike </v>
      </c>
      <c r="TO343" s="18" t="str">
        <f>""</f>
        <v/>
      </c>
      <c r="TP343" s="18" t="str">
        <f t="shared" si="273"/>
        <v/>
      </c>
      <c r="TQ343" s="18" t="str">
        <f>IF(OR(TK343=Spellcasting!$AC$18,TK343=Spellcasting!$AC$19),"ᵐ","")</f>
        <v/>
      </c>
      <c r="TR343" s="18" t="str">
        <f>IF(OR(TK343=Spellcasting!$AC$20,TK343=Spellcasting!$AC$21),"ˢ","")</f>
        <v/>
      </c>
      <c r="TS343" s="18" t="str">
        <f>""</f>
        <v/>
      </c>
      <c r="TT343" s="18" t="s">
        <v>484</v>
      </c>
      <c r="TU343" s="18" t="s">
        <v>851</v>
      </c>
      <c r="TV343" s="18" t="s">
        <v>1275</v>
      </c>
      <c r="TW343" s="18" t="s">
        <v>875</v>
      </c>
      <c r="TX343" s="59" t="str">
        <f>""</f>
        <v/>
      </c>
      <c r="TY343" s="18" t="s">
        <v>511</v>
      </c>
      <c r="TZ343" s="18" t="s">
        <v>512</v>
      </c>
      <c r="UA343" s="59" t="s">
        <v>1276</v>
      </c>
      <c r="UB343" s="319" t="s">
        <v>3054</v>
      </c>
      <c r="UC343" s="18" t="str">
        <f ca="1">IF(UC$1&gt;=$TM343,1,"0")</f>
        <v>0</v>
      </c>
      <c r="UF343" s="18" t="str">
        <f ca="1">IF(UF$1&gt;=$TM343,1,"0")</f>
        <v>0</v>
      </c>
      <c r="UG343" s="18" t="str">
        <f ca="1">IF(UG$1&gt;=$TM343,1,"0")</f>
        <v>0</v>
      </c>
      <c r="UL343" s="18" t="str">
        <f ca="1">IF(UL$1&gt;=$TM343,1,"0")</f>
        <v>0</v>
      </c>
      <c r="VP343" s="18" t="str">
        <f>IF(VP$1&gt;=$TM343,1,"0")</f>
        <v>0</v>
      </c>
      <c r="VQ343" s="18" t="str">
        <f>IF(VQ$1&gt;=$TM343,1,"0")</f>
        <v>0</v>
      </c>
      <c r="WB343" s="18" t="str">
        <f>IF(WB$1&gt;=$TM343,1,"0")</f>
        <v>0</v>
      </c>
      <c r="WD343" s="18" t="str">
        <f ca="1">IF(SUM($VZ$1:$WC$1)&gt;0,IF(AND(SUM($VZ343:$WC343)&gt;0,$TM343=WE$1),MAX(WD$2:WD342)+1,""),IF(AND(SUM($UC343:$VY343)&gt;0,$TM343=WE$1),MAX(WD$2:WD342)+1,""))</f>
        <v/>
      </c>
      <c r="WE343" s="59" t="str">
        <f t="shared" ca="1" si="275"/>
        <v/>
      </c>
      <c r="WF343" s="18" t="str">
        <f ca="1">IF(AND(SUM($UB343:$VY343)&gt;0,$TM343=WG$1),MAX(WF$2:WF342)+1,"")</f>
        <v/>
      </c>
      <c r="WG343" s="59" t="str">
        <f t="shared" ca="1" si="276"/>
        <v/>
      </c>
      <c r="WH343" s="18" t="str">
        <f ca="1">IF(AND(SUM($UB343:$VY343)&gt;0,$TM343=WI$1),MAX(WH$2:WH342)+1,"")</f>
        <v/>
      </c>
      <c r="WI343" s="59" t="str">
        <f t="shared" ca="1" si="277"/>
        <v/>
      </c>
      <c r="WJ343" s="18" t="str">
        <f ca="1">IF(AND(SUM($UB343:$VY343)&gt;0,$TM343=WK$1),MAX(WJ$2:WJ342)+1,"")</f>
        <v/>
      </c>
      <c r="WK343" s="59" t="str">
        <f t="shared" ca="1" si="278"/>
        <v/>
      </c>
      <c r="WL343" s="18" t="str">
        <f ca="1">IF(AND(SUM($UB343:$VY343)&gt;0,$TM343=WM$1),MAX(WL$2:WL342)+1,"")</f>
        <v/>
      </c>
      <c r="WM343" s="59" t="str">
        <f t="shared" ca="1" si="279"/>
        <v/>
      </c>
      <c r="WN343" s="18" t="str">
        <f ca="1">IF(AND(SUM($UB343:$VY343)&gt;0,$TM343=WO$1),MAX(WN$2:WN342)+1,"")</f>
        <v/>
      </c>
      <c r="WO343" s="59" t="str">
        <f t="shared" ca="1" si="280"/>
        <v/>
      </c>
      <c r="WP343" s="18" t="str">
        <f ca="1">IF(AND(SUM($UB343:$VY343)&gt;0,$TM343=WQ$1),MAX(WP$2:WP342)+1,"")</f>
        <v/>
      </c>
      <c r="WQ343" s="59" t="str">
        <f t="shared" ca="1" si="281"/>
        <v/>
      </c>
      <c r="WR343" s="18" t="str">
        <f ca="1">IF(AND(SUM($UB343:$VY343)&gt;0,$TM343=WS$1),MAX(WR$2:WR342)+1,"")</f>
        <v/>
      </c>
      <c r="WS343" s="59" t="str">
        <f t="shared" ca="1" si="282"/>
        <v/>
      </c>
      <c r="WT343" s="18" t="str">
        <f ca="1">IF(AND(SUM($UB343:$VY343)&gt;0,$TM343=WU$1),MAX(WT$2:WT342)+1,"")</f>
        <v/>
      </c>
      <c r="WU343" s="59" t="str">
        <f t="shared" ca="1" si="283"/>
        <v/>
      </c>
      <c r="WV343" s="18" t="str">
        <f ca="1">IF(AND(SUM($UB343:$VY343)&gt;0,$TM343=WW$1),MAX(WV$2:WV342)+1,"")</f>
        <v/>
      </c>
      <c r="WW343" s="59" t="str">
        <f t="shared" ca="1" si="284"/>
        <v/>
      </c>
      <c r="WX343" s="18" t="str">
        <f ca="1">IF(AND(SUM($UB343:$VY343)&gt;0,$TM343=WY$1),MAX(WX$2:WX342)+1,"")</f>
        <v/>
      </c>
      <c r="WY343" s="59" t="str">
        <f t="shared" ca="1" si="285"/>
        <v/>
      </c>
    </row>
    <row r="344" spans="530:623" ht="9.9499999999999993" customHeight="1" x14ac:dyDescent="0.2">
      <c r="TJ344" s="18">
        <f t="shared" si="286"/>
        <v>342</v>
      </c>
      <c r="TK344" s="58" t="s">
        <v>2694</v>
      </c>
      <c r="TL344" s="58" t="s">
        <v>466</v>
      </c>
      <c r="TM344" s="18">
        <v>9</v>
      </c>
      <c r="TN344" s="59" t="str">
        <f t="shared" si="272"/>
        <v xml:space="preserve">Tsunami </v>
      </c>
      <c r="TO344" s="18" t="str">
        <f>""</f>
        <v/>
      </c>
      <c r="TP344" s="18" t="str">
        <f t="shared" si="273"/>
        <v/>
      </c>
      <c r="TQ344" s="18" t="str">
        <f>IF(OR(TK344=Spellcasting!$AC$18,TK344=Spellcasting!$AC$19),"ᵐ","")</f>
        <v/>
      </c>
      <c r="TR344" s="18" t="str">
        <f>IF(OR(TK344=Spellcasting!$AC$20,TK344=Spellcasting!$AC$21),"ˢ","")</f>
        <v/>
      </c>
      <c r="TS344" s="18" t="str">
        <f>""</f>
        <v/>
      </c>
      <c r="TT344" s="18" t="s">
        <v>503</v>
      </c>
      <c r="TU344" s="18" t="s">
        <v>702</v>
      </c>
      <c r="TV344" s="18" t="s">
        <v>2696</v>
      </c>
      <c r="TW344" s="18" t="s">
        <v>486</v>
      </c>
      <c r="TY344" s="18" t="s">
        <v>516</v>
      </c>
      <c r="TZ344" s="18" t="s">
        <v>517</v>
      </c>
      <c r="UA344" s="142" t="s">
        <v>2695</v>
      </c>
      <c r="UB344" s="319" t="s">
        <v>3053</v>
      </c>
      <c r="UH344" s="18" t="str">
        <f ca="1">IF(UH$1&gt;=$TM344,1,"0")</f>
        <v>0</v>
      </c>
      <c r="UI344" s="18" t="str">
        <f ca="1">IF(UI$1&gt;=$TM344,1,"0")</f>
        <v>0</v>
      </c>
      <c r="WD344" s="18" t="str">
        <f ca="1">IF(SUM($VZ$1:$WC$1)&gt;0,IF(AND(SUM($VZ344:$WC344)&gt;0,$TM344=WE$1),MAX(WD$2:WD343)+1,""),IF(AND(SUM($UC344:$VY344)&gt;0,$TM344=WE$1),MAX(WD$2:WD343)+1,""))</f>
        <v/>
      </c>
      <c r="WE344" s="59" t="str">
        <f t="shared" ca="1" si="275"/>
        <v/>
      </c>
      <c r="WF344" s="18" t="str">
        <f ca="1">IF(AND(SUM($UB344:$VY344)&gt;0,$TM344=WG$1),MAX(WF$2:WF343)+1,"")</f>
        <v/>
      </c>
      <c r="WG344" s="59" t="str">
        <f t="shared" ca="1" si="276"/>
        <v/>
      </c>
      <c r="WH344" s="18" t="str">
        <f ca="1">IF(AND(SUM($UB344:$VY344)&gt;0,$TM344=WI$1),MAX(WH$2:WH343)+1,"")</f>
        <v/>
      </c>
      <c r="WI344" s="59" t="str">
        <f t="shared" ca="1" si="277"/>
        <v/>
      </c>
      <c r="WJ344" s="18" t="str">
        <f ca="1">IF(AND(SUM($UB344:$VY344)&gt;0,$TM344=WK$1),MAX(WJ$2:WJ343)+1,"")</f>
        <v/>
      </c>
      <c r="WK344" s="59" t="str">
        <f t="shared" ca="1" si="278"/>
        <v/>
      </c>
      <c r="WL344" s="18" t="str">
        <f ca="1">IF(AND(SUM($UB344:$VY344)&gt;0,$TM344=WM$1),MAX(WL$2:WL343)+1,"")</f>
        <v/>
      </c>
      <c r="WM344" s="59" t="str">
        <f t="shared" ca="1" si="279"/>
        <v/>
      </c>
      <c r="WN344" s="18" t="str">
        <f ca="1">IF(AND(SUM($UB344:$VY344)&gt;0,$TM344=WO$1),MAX(WN$2:WN343)+1,"")</f>
        <v/>
      </c>
      <c r="WO344" s="59" t="str">
        <f t="shared" ca="1" si="280"/>
        <v/>
      </c>
      <c r="WP344" s="18" t="str">
        <f ca="1">IF(AND(SUM($UB344:$VY344)&gt;0,$TM344=WQ$1),MAX(WP$2:WP343)+1,"")</f>
        <v/>
      </c>
      <c r="WQ344" s="59" t="str">
        <f t="shared" ca="1" si="281"/>
        <v/>
      </c>
      <c r="WR344" s="18" t="str">
        <f ca="1">IF(AND(SUM($UB344:$VY344)&gt;0,$TM344=WS$1),MAX(WR$2:WR343)+1,"")</f>
        <v/>
      </c>
      <c r="WS344" s="59" t="str">
        <f t="shared" ca="1" si="282"/>
        <v/>
      </c>
      <c r="WT344" s="18" t="str">
        <f ca="1">IF(AND(SUM($UB344:$VY344)&gt;0,$TM344=WU$1),MAX(WT$2:WT343)+1,"")</f>
        <v/>
      </c>
      <c r="WU344" s="59" t="str">
        <f t="shared" ca="1" si="283"/>
        <v/>
      </c>
      <c r="WV344" s="18" t="str">
        <f ca="1">IF(AND(SUM($UB344:$VY344)&gt;0,$TM344=WW$1),MAX(WV$2:WV343)+1,"")</f>
        <v/>
      </c>
      <c r="WW344" s="59" t="str">
        <f t="shared" ca="1" si="284"/>
        <v/>
      </c>
      <c r="WX344" s="18" t="str">
        <f ca="1">IF(AND(SUM($UB344:$VY344)&gt;0,$TM344=WY$1),MAX(WX$2:WX343)+1,"")</f>
        <v/>
      </c>
      <c r="WY344" s="59" t="str">
        <f t="shared" ca="1" si="285"/>
        <v/>
      </c>
    </row>
    <row r="345" spans="530:623" ht="9.9499999999999993" customHeight="1" x14ac:dyDescent="0.2">
      <c r="TJ345" s="18">
        <f t="shared" si="286"/>
        <v>343</v>
      </c>
      <c r="TK345" s="58" t="s">
        <v>2762</v>
      </c>
      <c r="TL345" s="58" t="s">
        <v>448</v>
      </c>
      <c r="TM345" s="18">
        <v>1</v>
      </c>
      <c r="TN345" s="59" t="str">
        <f t="shared" si="272"/>
        <v xml:space="preserve">Unseen Servant </v>
      </c>
      <c r="TO345" s="18" t="str">
        <f>""</f>
        <v/>
      </c>
      <c r="TP345" s="18" t="str">
        <f t="shared" si="273"/>
        <v/>
      </c>
      <c r="TQ345" s="18" t="str">
        <f>IF(OR(TK345=Spellcasting!$AC$18,TK345=Spellcasting!$AC$19),"ᵐ","")</f>
        <v/>
      </c>
      <c r="TR345" s="18" t="str">
        <f>IF(OR(TK345=Spellcasting!$AC$20,TK345=Spellcasting!$AC$21),"ˢ","")</f>
        <v/>
      </c>
      <c r="TS345" s="18" t="s">
        <v>477</v>
      </c>
      <c r="TT345" s="18" t="s">
        <v>501</v>
      </c>
      <c r="TU345" s="18" t="s">
        <v>850</v>
      </c>
      <c r="TV345" s="18" t="s">
        <v>521</v>
      </c>
      <c r="TW345" s="18" t="s">
        <v>495</v>
      </c>
      <c r="TX345" s="59" t="s">
        <v>1437</v>
      </c>
      <c r="TY345" s="18" t="s">
        <v>516</v>
      </c>
      <c r="TZ345" s="18" t="s">
        <v>517</v>
      </c>
      <c r="UA345" s="142" t="s">
        <v>1438</v>
      </c>
      <c r="UB345" s="319" t="s">
        <v>3052</v>
      </c>
      <c r="UC345" s="18" t="str">
        <f ca="1">IF(UC$1&gt;=$TM345,1,"0")</f>
        <v>0</v>
      </c>
      <c r="UG345" s="18" t="str">
        <f ca="1">IF(UG$1&gt;=$TM345,1,"0")</f>
        <v>0</v>
      </c>
      <c r="UL345" s="18" t="str">
        <f ca="1">IF(UL$1&gt;=$TM345,1,"0")</f>
        <v>0</v>
      </c>
      <c r="WD345" s="18" t="str">
        <f ca="1">IF(SUM($VZ$1:$WC$1)&gt;0,IF(AND(SUM($VZ345:$WC345)&gt;0,$TM345=WE$1),MAX(WD$2:WD344)+1,""),IF(AND(SUM($UC345:$VY345)&gt;0,$TM345=WE$1),MAX(WD$2:WD344)+1,""))</f>
        <v/>
      </c>
      <c r="WE345" s="59" t="str">
        <f t="shared" ca="1" si="275"/>
        <v/>
      </c>
      <c r="WF345" s="18" t="str">
        <f ca="1">IF(AND(SUM($UB345:$VY345)&gt;0,$TM345=WG$1),MAX(WF$2:WF344)+1,"")</f>
        <v/>
      </c>
      <c r="WG345" s="59" t="str">
        <f t="shared" ca="1" si="276"/>
        <v/>
      </c>
      <c r="WH345" s="18" t="str">
        <f ca="1">IF(AND(SUM($UB345:$VY345)&gt;0,$TM345=WI$1),MAX(WH$2:WH344)+1,"")</f>
        <v/>
      </c>
      <c r="WI345" s="59" t="str">
        <f t="shared" ca="1" si="277"/>
        <v/>
      </c>
      <c r="WJ345" s="18" t="str">
        <f ca="1">IF(AND(SUM($UB345:$VY345)&gt;0,$TM345=WK$1),MAX(WJ$2:WJ344)+1,"")</f>
        <v/>
      </c>
      <c r="WK345" s="59" t="str">
        <f t="shared" ca="1" si="278"/>
        <v/>
      </c>
      <c r="WL345" s="18" t="str">
        <f ca="1">IF(AND(SUM($UB345:$VY345)&gt;0,$TM345=WM$1),MAX(WL$2:WL344)+1,"")</f>
        <v/>
      </c>
      <c r="WM345" s="59" t="str">
        <f t="shared" ca="1" si="279"/>
        <v/>
      </c>
      <c r="WN345" s="18" t="str">
        <f ca="1">IF(AND(SUM($UB345:$VY345)&gt;0,$TM345=WO$1),MAX(WN$2:WN344)+1,"")</f>
        <v/>
      </c>
      <c r="WO345" s="59" t="str">
        <f t="shared" ca="1" si="280"/>
        <v/>
      </c>
      <c r="WP345" s="18" t="str">
        <f ca="1">IF(AND(SUM($UB345:$VY345)&gt;0,$TM345=WQ$1),MAX(WP$2:WP344)+1,"")</f>
        <v/>
      </c>
      <c r="WQ345" s="59" t="str">
        <f t="shared" ca="1" si="281"/>
        <v/>
      </c>
      <c r="WR345" s="18" t="str">
        <f ca="1">IF(AND(SUM($UB345:$VY345)&gt;0,$TM345=WS$1),MAX(WR$2:WR344)+1,"")</f>
        <v/>
      </c>
      <c r="WS345" s="59" t="str">
        <f t="shared" ca="1" si="282"/>
        <v/>
      </c>
      <c r="WT345" s="18" t="str">
        <f ca="1">IF(AND(SUM($UB345:$VY345)&gt;0,$TM345=WU$1),MAX(WT$2:WT344)+1,"")</f>
        <v/>
      </c>
      <c r="WU345" s="59" t="str">
        <f t="shared" ca="1" si="283"/>
        <v/>
      </c>
      <c r="WV345" s="18" t="str">
        <f ca="1">IF(AND(SUM($UB345:$VY345)&gt;0,$TM345=WW$1),MAX(WV$2:WV344)+1,"")</f>
        <v/>
      </c>
      <c r="WW345" s="59" t="str">
        <f t="shared" ca="1" si="284"/>
        <v/>
      </c>
      <c r="WX345" s="18" t="str">
        <f ca="1">IF(AND(SUM($UB345:$VY345)&gt;0,$TM345=WY$1),MAX(WX$2:WX344)+1,"")</f>
        <v/>
      </c>
      <c r="WY345" s="59" t="str">
        <f t="shared" ca="1" si="285"/>
        <v/>
      </c>
    </row>
    <row r="346" spans="530:623" ht="9.9499999999999993" customHeight="1" x14ac:dyDescent="0.2">
      <c r="TJ346" s="18">
        <f t="shared" si="286"/>
        <v>344</v>
      </c>
      <c r="TK346" s="58" t="s">
        <v>1244</v>
      </c>
      <c r="TL346" s="58" t="s">
        <v>460</v>
      </c>
      <c r="TM346" s="18">
        <v>3</v>
      </c>
      <c r="TN346" s="59" t="str">
        <f t="shared" si="272"/>
        <v xml:space="preserve">Vampiric Touch ᴴ </v>
      </c>
      <c r="TO346" s="350" t="s">
        <v>2991</v>
      </c>
      <c r="TP346" s="18" t="str">
        <f t="shared" si="273"/>
        <v/>
      </c>
      <c r="TQ346" s="18" t="str">
        <f>IF(OR(TK346=Spellcasting!$AC$18,TK346=Spellcasting!$AC$19),"ᵐ","")</f>
        <v/>
      </c>
      <c r="TR346" s="18" t="str">
        <f>IF(OR(TK346=Spellcasting!$AC$20,TK346=Spellcasting!$AC$21),"ˢ","")</f>
        <v/>
      </c>
      <c r="TS346" s="18" t="str">
        <f>""</f>
        <v/>
      </c>
      <c r="TT346" s="18" t="s">
        <v>484</v>
      </c>
      <c r="TU346" s="18" t="s">
        <v>509</v>
      </c>
      <c r="TV346" s="18" t="s">
        <v>558</v>
      </c>
      <c r="TW346" s="18" t="s">
        <v>486</v>
      </c>
      <c r="TX346" s="59" t="str">
        <f>""</f>
        <v/>
      </c>
      <c r="TY346" s="18" t="s">
        <v>506</v>
      </c>
      <c r="TZ346" s="18" t="s">
        <v>507</v>
      </c>
      <c r="UA346" s="142" t="s">
        <v>3195</v>
      </c>
      <c r="UB346" s="319" t="s">
        <v>3006</v>
      </c>
      <c r="UG346" s="18" t="str">
        <f ca="1">IF(UG$1&gt;=$TM346,1,"0")</f>
        <v>0</v>
      </c>
      <c r="UL346" s="18" t="str">
        <f ca="1">IF(UL$1&gt;=$TM346,1,"0")</f>
        <v>0</v>
      </c>
      <c r="WD346" s="18" t="str">
        <f ca="1">IF(SUM($VZ$1:$WC$1)&gt;0,IF(AND(SUM($VZ346:$WC346)&gt;0,$TM346=WE$1),MAX(WD$2:WD345)+1,""),IF(AND(SUM($UC346:$VY346)&gt;0,$TM346=WE$1),MAX(WD$2:WD345)+1,""))</f>
        <v/>
      </c>
      <c r="WE346" s="59" t="str">
        <f t="shared" ca="1" si="275"/>
        <v/>
      </c>
      <c r="WF346" s="18" t="str">
        <f ca="1">IF(AND(SUM($UB346:$VY346)&gt;0,$TM346=WG$1),MAX(WF$2:WF345)+1,"")</f>
        <v/>
      </c>
      <c r="WG346" s="59" t="str">
        <f t="shared" ca="1" si="276"/>
        <v/>
      </c>
      <c r="WH346" s="18" t="str">
        <f ca="1">IF(AND(SUM($UB346:$VY346)&gt;0,$TM346=WI$1),MAX(WH$2:WH345)+1,"")</f>
        <v/>
      </c>
      <c r="WI346" s="59" t="str">
        <f t="shared" ca="1" si="277"/>
        <v/>
      </c>
      <c r="WJ346" s="18" t="str">
        <f ca="1">IF(AND(SUM($UB346:$VY346)&gt;0,$TM346=WK$1),MAX(WJ$2:WJ345)+1,"")</f>
        <v/>
      </c>
      <c r="WK346" s="59" t="str">
        <f t="shared" ca="1" si="278"/>
        <v/>
      </c>
      <c r="WL346" s="18" t="str">
        <f ca="1">IF(AND(SUM($UB346:$VY346)&gt;0,$TM346=WM$1),MAX(WL$2:WL345)+1,"")</f>
        <v/>
      </c>
      <c r="WM346" s="59" t="str">
        <f t="shared" ca="1" si="279"/>
        <v/>
      </c>
      <c r="WN346" s="18" t="str">
        <f ca="1">IF(AND(SUM($UB346:$VY346)&gt;0,$TM346=WO$1),MAX(WN$2:WN345)+1,"")</f>
        <v/>
      </c>
      <c r="WO346" s="59" t="str">
        <f t="shared" ca="1" si="280"/>
        <v/>
      </c>
      <c r="WP346" s="18" t="str">
        <f ca="1">IF(AND(SUM($UB346:$VY346)&gt;0,$TM346=WQ$1),MAX(WP$2:WP345)+1,"")</f>
        <v/>
      </c>
      <c r="WQ346" s="59" t="str">
        <f t="shared" ca="1" si="281"/>
        <v/>
      </c>
      <c r="WR346" s="18" t="str">
        <f ca="1">IF(AND(SUM($UB346:$VY346)&gt;0,$TM346=WS$1),MAX(WR$2:WR345)+1,"")</f>
        <v/>
      </c>
      <c r="WS346" s="59" t="str">
        <f t="shared" ca="1" si="282"/>
        <v/>
      </c>
      <c r="WT346" s="18" t="str">
        <f ca="1">IF(AND(SUM($UB346:$VY346)&gt;0,$TM346=WU$1),MAX(WT$2:WT345)+1,"")</f>
        <v/>
      </c>
      <c r="WU346" s="59" t="str">
        <f t="shared" ca="1" si="283"/>
        <v/>
      </c>
      <c r="WV346" s="18" t="str">
        <f ca="1">IF(AND(SUM($UB346:$VY346)&gt;0,$TM346=WW$1),MAX(WV$2:WV345)+1,"")</f>
        <v/>
      </c>
      <c r="WW346" s="59" t="str">
        <f t="shared" ca="1" si="284"/>
        <v/>
      </c>
      <c r="WX346" s="18" t="str">
        <f ca="1">IF(AND(SUM($UB346:$VY346)&gt;0,$TM346=WY$1),MAX(WX$2:WX345)+1,"")</f>
        <v/>
      </c>
      <c r="WY346" s="59" t="str">
        <f t="shared" ca="1" si="285"/>
        <v/>
      </c>
    </row>
    <row r="347" spans="530:623" ht="9.9499999999999993" customHeight="1" x14ac:dyDescent="0.2">
      <c r="TJ347" s="18">
        <f t="shared" si="286"/>
        <v>345</v>
      </c>
      <c r="TK347" s="58" t="s">
        <v>2743</v>
      </c>
      <c r="TL347" s="58" t="s">
        <v>1840</v>
      </c>
      <c r="TM347" s="18">
        <v>0.5</v>
      </c>
      <c r="TN347" s="59" t="str">
        <f t="shared" si="272"/>
        <v xml:space="preserve">Vicious Mockery </v>
      </c>
      <c r="TO347" s="18" t="str">
        <f>""</f>
        <v/>
      </c>
      <c r="TP347" s="18" t="str">
        <f t="shared" si="273"/>
        <v/>
      </c>
      <c r="TQ347" s="18" t="str">
        <f>IF(OR(TK347=Spellcasting!$AC$18,TK347=Spellcasting!$AC$19),"ᵐ","")</f>
        <v/>
      </c>
      <c r="TR347" s="18" t="str">
        <f>IF(OR(TK347=Spellcasting!$AC$20,TK347=Spellcasting!$AC$21),"ˢ","")</f>
        <v/>
      </c>
      <c r="TS347" s="18" t="str">
        <f>""</f>
        <v/>
      </c>
      <c r="TT347" s="18" t="s">
        <v>484</v>
      </c>
      <c r="TU347" s="18" t="s">
        <v>850</v>
      </c>
      <c r="TV347" s="18" t="s">
        <v>505</v>
      </c>
      <c r="TW347" s="18" t="s">
        <v>541</v>
      </c>
      <c r="TY347" s="18" t="s">
        <v>498</v>
      </c>
      <c r="TZ347" s="18" t="s">
        <v>499</v>
      </c>
      <c r="UA347" s="142" t="s">
        <v>3371</v>
      </c>
      <c r="UB347" s="538" t="str">
        <f>"wis save, "&amp;IF(CharacterLevel&gt;16,"4d4",IF(CharacterLevel&gt;10,"3d4",IF(CharacterLevel&gt;4,"2d4","1d4")))&amp;" psychic damage, disadv. on next attack"</f>
        <v>wis save, 1d4 psychic damage, disadv. on next attack</v>
      </c>
      <c r="UC347" s="18" t="str">
        <f ca="1">IF(UC$1&gt;=$TM347,1,"0")</f>
        <v>0</v>
      </c>
      <c r="WB347" s="18"/>
      <c r="WD347" s="18" t="str">
        <f ca="1">IF(SUM($VZ$1:$WC$1)&gt;0,IF(AND(SUM($VZ347:$WC347)&gt;0,$TM347=WE$1),MAX(WD$2:WD346)+1,""),IF(AND(SUM($UC347:$VY347)&gt;0,$TM347=WE$1),MAX(WD$2:WD346)+1,""))</f>
        <v/>
      </c>
      <c r="WE347" s="59" t="str">
        <f t="shared" ca="1" si="275"/>
        <v/>
      </c>
      <c r="WF347" s="18" t="str">
        <f ca="1">IF(AND(SUM($UB347:$VY347)&gt;0,$TM347=WG$1),MAX(WF$2:WF346)+1,"")</f>
        <v/>
      </c>
      <c r="WG347" s="59" t="str">
        <f t="shared" ca="1" si="276"/>
        <v/>
      </c>
      <c r="WH347" s="18" t="str">
        <f ca="1">IF(AND(SUM($UB347:$VY347)&gt;0,$TM347=WI$1),MAX(WH$2:WH346)+1,"")</f>
        <v/>
      </c>
      <c r="WI347" s="59" t="str">
        <f t="shared" ca="1" si="277"/>
        <v/>
      </c>
      <c r="WJ347" s="18" t="str">
        <f ca="1">IF(AND(SUM($UB347:$VY347)&gt;0,$TM347=WK$1),MAX(WJ$2:WJ346)+1,"")</f>
        <v/>
      </c>
      <c r="WK347" s="59" t="str">
        <f t="shared" ca="1" si="278"/>
        <v/>
      </c>
      <c r="WL347" s="18" t="str">
        <f ca="1">IF(AND(SUM($UB347:$VY347)&gt;0,$TM347=WM$1),MAX(WL$2:WL346)+1,"")</f>
        <v/>
      </c>
      <c r="WM347" s="59" t="str">
        <f t="shared" ca="1" si="279"/>
        <v/>
      </c>
      <c r="WN347" s="18" t="str">
        <f ca="1">IF(AND(SUM($UB347:$VY347)&gt;0,$TM347=WO$1),MAX(WN$2:WN346)+1,"")</f>
        <v/>
      </c>
      <c r="WO347" s="59" t="str">
        <f t="shared" ca="1" si="280"/>
        <v/>
      </c>
      <c r="WP347" s="18" t="str">
        <f ca="1">IF(AND(SUM($UB347:$VY347)&gt;0,$TM347=WQ$1),MAX(WP$2:WP346)+1,"")</f>
        <v/>
      </c>
      <c r="WQ347" s="59" t="str">
        <f t="shared" ca="1" si="281"/>
        <v/>
      </c>
      <c r="WR347" s="18" t="str">
        <f ca="1">IF(AND(SUM($UB347:$VY347)&gt;0,$TM347=WS$1),MAX(WR$2:WR346)+1,"")</f>
        <v/>
      </c>
      <c r="WS347" s="59" t="str">
        <f t="shared" ca="1" si="282"/>
        <v/>
      </c>
      <c r="WT347" s="18" t="str">
        <f ca="1">IF(AND(SUM($UB347:$VY347)&gt;0,$TM347=WU$1),MAX(WT$2:WT346)+1,"")</f>
        <v/>
      </c>
      <c r="WU347" s="59" t="str">
        <f t="shared" ca="1" si="283"/>
        <v/>
      </c>
      <c r="WV347" s="18" t="str">
        <f ca="1">IF(AND(SUM($UB347:$VY347)&gt;0,$TM347=WW$1),MAX(WV$2:WV346)+1,"")</f>
        <v/>
      </c>
      <c r="WW347" s="59" t="str">
        <f t="shared" ca="1" si="284"/>
        <v/>
      </c>
      <c r="WX347" s="18" t="str">
        <f ca="1">IF(AND(SUM($UB347:$VY347)&gt;0,$TM347=WY$1),MAX(WX$2:WX346)+1,"")</f>
        <v/>
      </c>
      <c r="WY347" s="59" t="str">
        <f t="shared" ca="1" si="285"/>
        <v/>
      </c>
    </row>
    <row r="348" spans="530:623" ht="9.9499999999999993" customHeight="1" x14ac:dyDescent="0.2">
      <c r="TJ348" s="18">
        <f t="shared" si="286"/>
        <v>346</v>
      </c>
      <c r="TK348" s="58" t="s">
        <v>718</v>
      </c>
      <c r="TL348" s="58" t="s">
        <v>461</v>
      </c>
      <c r="TM348" s="18">
        <v>4</v>
      </c>
      <c r="TN348" s="59" t="str">
        <f t="shared" si="272"/>
        <v xml:space="preserve">Wall of Fire ᴴ </v>
      </c>
      <c r="TO348" s="350" t="s">
        <v>2991</v>
      </c>
      <c r="TP348" s="18" t="str">
        <f t="shared" si="273"/>
        <v/>
      </c>
      <c r="TQ348" s="18" t="str">
        <f>IF(OR(TK348=Spellcasting!$AC$18,TK348=Spellcasting!$AC$19),"ᵐ","")</f>
        <v/>
      </c>
      <c r="TR348" s="18" t="str">
        <f>IF(OR(TK348=Spellcasting!$AC$20,TK348=Spellcasting!$AC$21),"ˢ","")</f>
        <v/>
      </c>
      <c r="TS348" s="18" t="str">
        <f>""</f>
        <v/>
      </c>
      <c r="TT348" s="18" t="s">
        <v>484</v>
      </c>
      <c r="TU348" s="18" t="s">
        <v>848</v>
      </c>
      <c r="TV348" s="18" t="s">
        <v>558</v>
      </c>
      <c r="TW348" s="18" t="s">
        <v>495</v>
      </c>
      <c r="TX348" s="59" t="s">
        <v>2034</v>
      </c>
      <c r="TY348" s="18" t="s">
        <v>534</v>
      </c>
      <c r="TZ348" s="18" t="s">
        <v>535</v>
      </c>
      <c r="UA348" s="142" t="s">
        <v>2054</v>
      </c>
      <c r="UB348" s="319" t="str">
        <f ca="1">"1x20x60ft wall or 1x20x20ft rad circle, 5d8"&amp;IF(WizardEvocationLevel&gt;=10,"+"&amp;INTMod,IF(AD119=TRUE,"+"&amp;CHAMod,""))&amp;" fire, dex save ½"</f>
        <v>1x20x60ft wall or 1x20x20ft rad circle, 5d8 fire, dex save ½</v>
      </c>
      <c r="UF348" s="18" t="str">
        <f ca="1">IF(UF$1&gt;=$TM348,1,"0")</f>
        <v>0</v>
      </c>
      <c r="UI348" s="18" t="str">
        <f ca="1">IF(UI$1&gt;=$TM348,1,"0")</f>
        <v>0</v>
      </c>
      <c r="UL348" s="18" t="str">
        <f ca="1">IF(UL$1&gt;=$TM348,1,"0")</f>
        <v>0</v>
      </c>
      <c r="UW348" s="18" t="str">
        <f>IF(UW$1&gt;=$TM348,1,"0")</f>
        <v>0</v>
      </c>
      <c r="VA348" s="18" t="str">
        <f>IF(VA$1&gt;=$TM348,1,"0")</f>
        <v>0</v>
      </c>
      <c r="VP348" s="18" t="str">
        <f>IF(VP$1&gt;=$TM348,1,"0")</f>
        <v>0</v>
      </c>
      <c r="WD348" s="18" t="str">
        <f ca="1">IF(SUM($VZ$1:$WC$1)&gt;0,IF(AND(SUM($VZ348:$WC348)&gt;0,$TM348=WE$1),MAX(WD$2:WD347)+1,""),IF(AND(SUM($UC348:$VY348)&gt;0,$TM348=WE$1),MAX(WD$2:WD347)+1,""))</f>
        <v/>
      </c>
      <c r="WE348" s="59" t="str">
        <f t="shared" ca="1" si="275"/>
        <v/>
      </c>
      <c r="WF348" s="18" t="str">
        <f ca="1">IF(AND(SUM($UB348:$VY348)&gt;0,$TM348=WG$1),MAX(WF$2:WF347)+1,"")</f>
        <v/>
      </c>
      <c r="WG348" s="59" t="str">
        <f t="shared" ca="1" si="276"/>
        <v/>
      </c>
      <c r="WH348" s="18" t="str">
        <f ca="1">IF(AND(SUM($UB348:$VY348)&gt;0,$TM348=WI$1),MAX(WH$2:WH347)+1,"")</f>
        <v/>
      </c>
      <c r="WI348" s="59" t="str">
        <f t="shared" ca="1" si="277"/>
        <v/>
      </c>
      <c r="WJ348" s="18" t="str">
        <f ca="1">IF(AND(SUM($UB348:$VY348)&gt;0,$TM348=WK$1),MAX(WJ$2:WJ347)+1,"")</f>
        <v/>
      </c>
      <c r="WK348" s="59" t="str">
        <f t="shared" ca="1" si="278"/>
        <v/>
      </c>
      <c r="WL348" s="18" t="str">
        <f ca="1">IF(AND(SUM($UB348:$VY348)&gt;0,$TM348=WM$1),MAX(WL$2:WL347)+1,"")</f>
        <v/>
      </c>
      <c r="WM348" s="59" t="str">
        <f t="shared" ca="1" si="279"/>
        <v/>
      </c>
      <c r="WN348" s="18" t="str">
        <f ca="1">IF(AND(SUM($UB348:$VY348)&gt;0,$TM348=WO$1),MAX(WN$2:WN347)+1,"")</f>
        <v/>
      </c>
      <c r="WO348" s="59" t="str">
        <f t="shared" ca="1" si="280"/>
        <v/>
      </c>
      <c r="WP348" s="18" t="str">
        <f ca="1">IF(AND(SUM($UB348:$VY348)&gt;0,$TM348=WQ$1),MAX(WP$2:WP347)+1,"")</f>
        <v/>
      </c>
      <c r="WQ348" s="59" t="str">
        <f t="shared" ca="1" si="281"/>
        <v/>
      </c>
      <c r="WR348" s="18" t="str">
        <f ca="1">IF(AND(SUM($UB348:$VY348)&gt;0,$TM348=WS$1),MAX(WR$2:WR347)+1,"")</f>
        <v/>
      </c>
      <c r="WS348" s="59" t="str">
        <f t="shared" ca="1" si="282"/>
        <v/>
      </c>
      <c r="WT348" s="18" t="str">
        <f ca="1">IF(AND(SUM($UB348:$VY348)&gt;0,$TM348=WU$1),MAX(WT$2:WT347)+1,"")</f>
        <v/>
      </c>
      <c r="WU348" s="59" t="str">
        <f t="shared" ca="1" si="283"/>
        <v/>
      </c>
      <c r="WV348" s="18" t="str">
        <f ca="1">IF(AND(SUM($UB348:$VY348)&gt;0,$TM348=WW$1),MAX(WV$2:WV347)+1,"")</f>
        <v/>
      </c>
      <c r="WW348" s="59" t="str">
        <f t="shared" ca="1" si="284"/>
        <v/>
      </c>
      <c r="WX348" s="18" t="str">
        <f ca="1">IF(AND(SUM($UB348:$VY348)&gt;0,$TM348=WY$1),MAX(WX$2:WX347)+1,"")</f>
        <v/>
      </c>
      <c r="WY348" s="59" t="str">
        <f t="shared" ca="1" si="285"/>
        <v/>
      </c>
    </row>
    <row r="349" spans="530:623" ht="9.9499999999999993" customHeight="1" x14ac:dyDescent="0.2">
      <c r="TJ349" s="18">
        <f t="shared" si="286"/>
        <v>347</v>
      </c>
      <c r="TK349" s="58" t="s">
        <v>1943</v>
      </c>
      <c r="TL349" s="58" t="s">
        <v>462</v>
      </c>
      <c r="TM349" s="18">
        <v>5</v>
      </c>
      <c r="TN349" s="59" t="str">
        <f t="shared" si="272"/>
        <v xml:space="preserve">Wall of Force </v>
      </c>
      <c r="TO349" s="18" t="str">
        <f>""</f>
        <v/>
      </c>
      <c r="TP349" s="18" t="str">
        <f t="shared" si="273"/>
        <v/>
      </c>
      <c r="TQ349" s="18" t="str">
        <f>IF(OR(TK349=Spellcasting!$AC$18,TK349=Spellcasting!$AC$19),"ᵐ","")</f>
        <v/>
      </c>
      <c r="TR349" s="18" t="str">
        <f>IF(OR(TK349=Spellcasting!$AC$20,TK349=Spellcasting!$AC$21),"ˢ","")</f>
        <v/>
      </c>
      <c r="TS349" s="18" t="str">
        <f>""</f>
        <v/>
      </c>
      <c r="TT349" s="18" t="s">
        <v>484</v>
      </c>
      <c r="TU349" s="18" t="s">
        <v>848</v>
      </c>
      <c r="TV349" s="18" t="s">
        <v>515</v>
      </c>
      <c r="TW349" s="18" t="s">
        <v>495</v>
      </c>
      <c r="TX349" s="59" t="s">
        <v>2035</v>
      </c>
      <c r="TY349" s="18" t="s">
        <v>534</v>
      </c>
      <c r="TZ349" s="18" t="s">
        <v>535</v>
      </c>
      <c r="UA349" s="142" t="s">
        <v>2055</v>
      </c>
      <c r="UB349" s="319" t="s">
        <v>2057</v>
      </c>
      <c r="UL349" s="18" t="str">
        <f ca="1">IF(UL$1&gt;=$TM349,1,"0")</f>
        <v>0</v>
      </c>
      <c r="WD349" s="18" t="str">
        <f ca="1">IF(SUM($VZ$1:$WC$1)&gt;0,IF(AND(SUM($VZ349:$WC349)&gt;0,$TM349=WE$1),MAX(WD$2:WD348)+1,""),IF(AND(SUM($UC349:$VY349)&gt;0,$TM349=WE$1),MAX(WD$2:WD348)+1,""))</f>
        <v/>
      </c>
      <c r="WE349" s="59" t="str">
        <f t="shared" ca="1" si="275"/>
        <v/>
      </c>
      <c r="WF349" s="18" t="str">
        <f ca="1">IF(AND(SUM($UB349:$VY349)&gt;0,$TM349=WG$1),MAX(WF$2:WF348)+1,"")</f>
        <v/>
      </c>
      <c r="WG349" s="59" t="str">
        <f t="shared" ca="1" si="276"/>
        <v/>
      </c>
      <c r="WH349" s="18" t="str">
        <f ca="1">IF(AND(SUM($UB349:$VY349)&gt;0,$TM349=WI$1),MAX(WH$2:WH348)+1,"")</f>
        <v/>
      </c>
      <c r="WI349" s="59" t="str">
        <f t="shared" ca="1" si="277"/>
        <v/>
      </c>
      <c r="WJ349" s="18" t="str">
        <f ca="1">IF(AND(SUM($UB349:$VY349)&gt;0,$TM349=WK$1),MAX(WJ$2:WJ348)+1,"")</f>
        <v/>
      </c>
      <c r="WK349" s="59" t="str">
        <f t="shared" ca="1" si="278"/>
        <v/>
      </c>
      <c r="WL349" s="18" t="str">
        <f ca="1">IF(AND(SUM($UB349:$VY349)&gt;0,$TM349=WM$1),MAX(WL$2:WL348)+1,"")</f>
        <v/>
      </c>
      <c r="WM349" s="59" t="str">
        <f t="shared" ca="1" si="279"/>
        <v/>
      </c>
      <c r="WN349" s="18" t="str">
        <f ca="1">IF(AND(SUM($UB349:$VY349)&gt;0,$TM349=WO$1),MAX(WN$2:WN348)+1,"")</f>
        <v/>
      </c>
      <c r="WO349" s="59" t="str">
        <f t="shared" ca="1" si="280"/>
        <v/>
      </c>
      <c r="WP349" s="18" t="str">
        <f ca="1">IF(AND(SUM($UB349:$VY349)&gt;0,$TM349=WQ$1),MAX(WP$2:WP348)+1,"")</f>
        <v/>
      </c>
      <c r="WQ349" s="59" t="str">
        <f t="shared" ca="1" si="281"/>
        <v/>
      </c>
      <c r="WR349" s="18" t="str">
        <f ca="1">IF(AND(SUM($UB349:$VY349)&gt;0,$TM349=WS$1),MAX(WR$2:WR348)+1,"")</f>
        <v/>
      </c>
      <c r="WS349" s="59" t="str">
        <f t="shared" ca="1" si="282"/>
        <v/>
      </c>
      <c r="WT349" s="18" t="str">
        <f ca="1">IF(AND(SUM($UB349:$VY349)&gt;0,$TM349=WU$1),MAX(WT$2:WT348)+1,"")</f>
        <v/>
      </c>
      <c r="WU349" s="59" t="str">
        <f t="shared" ca="1" si="283"/>
        <v/>
      </c>
      <c r="WV349" s="18" t="str">
        <f ca="1">IF(AND(SUM($UB349:$VY349)&gt;0,$TM349=WW$1),MAX(WV$2:WV348)+1,"")</f>
        <v/>
      </c>
      <c r="WW349" s="59" t="str">
        <f t="shared" ca="1" si="284"/>
        <v/>
      </c>
      <c r="WX349" s="18" t="str">
        <f ca="1">IF(AND(SUM($UB349:$VY349)&gt;0,$TM349=WY$1),MAX(WX$2:WX348)+1,"")</f>
        <v/>
      </c>
      <c r="WY349" s="59" t="str">
        <f t="shared" ca="1" si="285"/>
        <v/>
      </c>
    </row>
    <row r="350" spans="530:623" ht="9.9499999999999993" customHeight="1" x14ac:dyDescent="0.2">
      <c r="TJ350" s="18">
        <f t="shared" si="286"/>
        <v>348</v>
      </c>
      <c r="TK350" s="58" t="s">
        <v>1951</v>
      </c>
      <c r="TL350" s="58" t="s">
        <v>463</v>
      </c>
      <c r="TM350" s="18">
        <v>6</v>
      </c>
      <c r="TN350" s="59" t="str">
        <f t="shared" si="272"/>
        <v xml:space="preserve">Wall of Ice ᴴ </v>
      </c>
      <c r="TO350" s="350" t="s">
        <v>2991</v>
      </c>
      <c r="TP350" s="18" t="str">
        <f t="shared" si="273"/>
        <v/>
      </c>
      <c r="TQ350" s="18" t="str">
        <f>IF(OR(TK350=Spellcasting!$AC$18,TK350=Spellcasting!$AC$19),"ᵐ","")</f>
        <v/>
      </c>
      <c r="TR350" s="18" t="str">
        <f>IF(OR(TK350=Spellcasting!$AC$20,TK350=Spellcasting!$AC$21),"ˢ","")</f>
        <v/>
      </c>
      <c r="TS350" s="18" t="str">
        <f>""</f>
        <v/>
      </c>
      <c r="TT350" s="18" t="s">
        <v>484</v>
      </c>
      <c r="TU350" s="18" t="s">
        <v>848</v>
      </c>
      <c r="TV350" s="18" t="s">
        <v>515</v>
      </c>
      <c r="TW350" s="18" t="s">
        <v>495</v>
      </c>
      <c r="TX350" s="59" t="s">
        <v>2036</v>
      </c>
      <c r="TY350" s="18" t="s">
        <v>534</v>
      </c>
      <c r="TZ350" s="18" t="s">
        <v>535</v>
      </c>
      <c r="UA350" s="142" t="s">
        <v>2056</v>
      </c>
      <c r="UB350" s="319" t="str">
        <f ca="1">"ten 10x10ft panels, 10d6"&amp;IF(WizardEvocationLevel&gt;=10,"+"&amp;INTMod,"")&amp;"  cold, dex save ½"</f>
        <v>ten 10x10ft panels, 10d6  cold, dex save ½</v>
      </c>
      <c r="UL350" s="18" t="str">
        <f ca="1">IF(UL$1&gt;=$TM350,1,"0")</f>
        <v>0</v>
      </c>
      <c r="WD350" s="18" t="str">
        <f ca="1">IF(SUM($VZ$1:$WC$1)&gt;0,IF(AND(SUM($VZ350:$WC350)&gt;0,$TM350=WE$1),MAX(WD$2:WD349)+1,""),IF(AND(SUM($UC350:$VY350)&gt;0,$TM350=WE$1),MAX(WD$2:WD349)+1,""))</f>
        <v/>
      </c>
      <c r="WE350" s="59" t="str">
        <f t="shared" ca="1" si="275"/>
        <v/>
      </c>
      <c r="WF350" s="18" t="str">
        <f ca="1">IF(AND(SUM($UB350:$VY350)&gt;0,$TM350=WG$1),MAX(WF$2:WF349)+1,"")</f>
        <v/>
      </c>
      <c r="WG350" s="59" t="str">
        <f t="shared" ca="1" si="276"/>
        <v/>
      </c>
      <c r="WH350" s="18" t="str">
        <f ca="1">IF(AND(SUM($UB350:$VY350)&gt;0,$TM350=WI$1),MAX(WH$2:WH349)+1,"")</f>
        <v/>
      </c>
      <c r="WI350" s="59" t="str">
        <f t="shared" ca="1" si="277"/>
        <v/>
      </c>
      <c r="WJ350" s="18" t="str">
        <f ca="1">IF(AND(SUM($UB350:$VY350)&gt;0,$TM350=WK$1),MAX(WJ$2:WJ349)+1,"")</f>
        <v/>
      </c>
      <c r="WK350" s="59" t="str">
        <f t="shared" ca="1" si="278"/>
        <v/>
      </c>
      <c r="WL350" s="18" t="str">
        <f ca="1">IF(AND(SUM($UB350:$VY350)&gt;0,$TM350=WM$1),MAX(WL$2:WL349)+1,"")</f>
        <v/>
      </c>
      <c r="WM350" s="59" t="str">
        <f t="shared" ca="1" si="279"/>
        <v/>
      </c>
      <c r="WN350" s="18" t="str">
        <f ca="1">IF(AND(SUM($UB350:$VY350)&gt;0,$TM350=WO$1),MAX(WN$2:WN349)+1,"")</f>
        <v/>
      </c>
      <c r="WO350" s="59" t="str">
        <f t="shared" ca="1" si="280"/>
        <v/>
      </c>
      <c r="WP350" s="18" t="str">
        <f ca="1">IF(AND(SUM($UB350:$VY350)&gt;0,$TM350=WQ$1),MAX(WP$2:WP349)+1,"")</f>
        <v/>
      </c>
      <c r="WQ350" s="59" t="str">
        <f t="shared" ca="1" si="281"/>
        <v/>
      </c>
      <c r="WR350" s="18" t="str">
        <f ca="1">IF(AND(SUM($UB350:$VY350)&gt;0,$TM350=WS$1),MAX(WR$2:WR349)+1,"")</f>
        <v/>
      </c>
      <c r="WS350" s="59" t="str">
        <f t="shared" ca="1" si="282"/>
        <v/>
      </c>
      <c r="WT350" s="18" t="str">
        <f ca="1">IF(AND(SUM($UB350:$VY350)&gt;0,$TM350=WU$1),MAX(WT$2:WT349)+1,"")</f>
        <v/>
      </c>
      <c r="WU350" s="59" t="str">
        <f t="shared" ca="1" si="283"/>
        <v/>
      </c>
      <c r="WV350" s="18" t="str">
        <f ca="1">IF(AND(SUM($UB350:$VY350)&gt;0,$TM350=WW$1),MAX(WV$2:WV349)+1,"")</f>
        <v/>
      </c>
      <c r="WW350" s="59" t="str">
        <f t="shared" ca="1" si="284"/>
        <v/>
      </c>
      <c r="WX350" s="18" t="str">
        <f ca="1">IF(AND(SUM($UB350:$VY350)&gt;0,$TM350=WY$1),MAX(WX$2:WX349)+1,"")</f>
        <v/>
      </c>
      <c r="WY350" s="59" t="str">
        <f t="shared" ca="1" si="285"/>
        <v/>
      </c>
    </row>
    <row r="351" spans="530:623" ht="9.9499999999999993" customHeight="1" x14ac:dyDescent="0.2">
      <c r="TJ351" s="18">
        <f t="shared" si="286"/>
        <v>349</v>
      </c>
      <c r="TK351" s="58" t="s">
        <v>719</v>
      </c>
      <c r="TL351" s="58" t="s">
        <v>462</v>
      </c>
      <c r="TM351" s="18">
        <v>5</v>
      </c>
      <c r="TN351" s="59" t="str">
        <f t="shared" si="272"/>
        <v xml:space="preserve">Wall of Stone </v>
      </c>
      <c r="TO351" s="18" t="str">
        <f>""</f>
        <v/>
      </c>
      <c r="TP351" s="18" t="str">
        <f t="shared" si="273"/>
        <v/>
      </c>
      <c r="TQ351" s="18" t="str">
        <f>IF(OR(TK351=Spellcasting!$AC$18,TK351=Spellcasting!$AC$19),"ᵐ","")</f>
        <v/>
      </c>
      <c r="TR351" s="18" t="str">
        <f>IF(OR(TK351=Spellcasting!$AC$20,TK351=Spellcasting!$AC$21),"ˢ","")</f>
        <v/>
      </c>
      <c r="TS351" s="18" t="str">
        <f>""</f>
        <v/>
      </c>
      <c r="TT351" s="18" t="s">
        <v>484</v>
      </c>
      <c r="TU351" s="18" t="s">
        <v>848</v>
      </c>
      <c r="TV351" s="18" t="s">
        <v>515</v>
      </c>
      <c r="TW351" s="18" t="s">
        <v>495</v>
      </c>
      <c r="TX351" s="59" t="s">
        <v>2037</v>
      </c>
      <c r="TY351" s="18" t="s">
        <v>534</v>
      </c>
      <c r="TZ351" s="18" t="s">
        <v>535</v>
      </c>
      <c r="UA351" s="142" t="s">
        <v>2249</v>
      </c>
      <c r="UB351" s="319" t="s">
        <v>3218</v>
      </c>
      <c r="UF351" s="18" t="str">
        <f ca="1">IF(UF$1&gt;=$TM351,1,"0")</f>
        <v>0</v>
      </c>
      <c r="UI351" s="18" t="str">
        <f ca="1">IF(UI$1&gt;=$TM351,1,"0")</f>
        <v>0</v>
      </c>
      <c r="UL351" s="18" t="str">
        <f ca="1">IF(UL$1&gt;=$TM351,1,"0")</f>
        <v>0</v>
      </c>
      <c r="VI351" s="18" t="str">
        <f>IF(VI$1&gt;=$TM351,1,"0")</f>
        <v>0</v>
      </c>
      <c r="VL351" s="18" t="str">
        <f>IF(VL$1&gt;=$TM351,1,"0")</f>
        <v>0</v>
      </c>
      <c r="WD351" s="18" t="str">
        <f ca="1">IF(SUM($VZ$1:$WC$1)&gt;0,IF(AND(SUM($VZ351:$WC351)&gt;0,$TM351=WE$1),MAX(WD$2:WD350)+1,""),IF(AND(SUM($UC351:$VY351)&gt;0,$TM351=WE$1),MAX(WD$2:WD350)+1,""))</f>
        <v/>
      </c>
      <c r="WE351" s="59" t="str">
        <f t="shared" ca="1" si="275"/>
        <v/>
      </c>
      <c r="WF351" s="18" t="str">
        <f ca="1">IF(AND(SUM($UB351:$VY351)&gt;0,$TM351=WG$1),MAX(WF$2:WF350)+1,"")</f>
        <v/>
      </c>
      <c r="WG351" s="59" t="str">
        <f t="shared" ca="1" si="276"/>
        <v/>
      </c>
      <c r="WH351" s="18" t="str">
        <f ca="1">IF(AND(SUM($UB351:$VY351)&gt;0,$TM351=WI$1),MAX(WH$2:WH350)+1,"")</f>
        <v/>
      </c>
      <c r="WI351" s="59" t="str">
        <f t="shared" ca="1" si="277"/>
        <v/>
      </c>
      <c r="WJ351" s="18" t="str">
        <f ca="1">IF(AND(SUM($UB351:$VY351)&gt;0,$TM351=WK$1),MAX(WJ$2:WJ350)+1,"")</f>
        <v/>
      </c>
      <c r="WK351" s="59" t="str">
        <f t="shared" ca="1" si="278"/>
        <v/>
      </c>
      <c r="WL351" s="18" t="str">
        <f ca="1">IF(AND(SUM($UB351:$VY351)&gt;0,$TM351=WM$1),MAX(WL$2:WL350)+1,"")</f>
        <v/>
      </c>
      <c r="WM351" s="59" t="str">
        <f t="shared" ca="1" si="279"/>
        <v/>
      </c>
      <c r="WN351" s="18" t="str">
        <f ca="1">IF(AND(SUM($UB351:$VY351)&gt;0,$TM351=WO$1),MAX(WN$2:WN350)+1,"")</f>
        <v/>
      </c>
      <c r="WO351" s="59" t="str">
        <f t="shared" ca="1" si="280"/>
        <v/>
      </c>
      <c r="WP351" s="18" t="str">
        <f ca="1">IF(AND(SUM($UB351:$VY351)&gt;0,$TM351=WQ$1),MAX(WP$2:WP350)+1,"")</f>
        <v/>
      </c>
      <c r="WQ351" s="59" t="str">
        <f t="shared" ca="1" si="281"/>
        <v/>
      </c>
      <c r="WR351" s="18" t="str">
        <f ca="1">IF(AND(SUM($UB351:$VY351)&gt;0,$TM351=WS$1),MAX(WR$2:WR350)+1,"")</f>
        <v/>
      </c>
      <c r="WS351" s="59" t="str">
        <f t="shared" ca="1" si="282"/>
        <v/>
      </c>
      <c r="WT351" s="18" t="str">
        <f ca="1">IF(AND(SUM($UB351:$VY351)&gt;0,$TM351=WU$1),MAX(WT$2:WT350)+1,"")</f>
        <v/>
      </c>
      <c r="WU351" s="59" t="str">
        <f t="shared" ca="1" si="283"/>
        <v/>
      </c>
      <c r="WV351" s="18" t="str">
        <f ca="1">IF(AND(SUM($UB351:$VY351)&gt;0,$TM351=WW$1),MAX(WV$2:WV350)+1,"")</f>
        <v/>
      </c>
      <c r="WW351" s="59" t="str">
        <f t="shared" ca="1" si="284"/>
        <v/>
      </c>
      <c r="WX351" s="18" t="str">
        <f ca="1">IF(AND(SUM($UB351:$VY351)&gt;0,$TM351=WY$1),MAX(WX$2:WX350)+1,"")</f>
        <v/>
      </c>
      <c r="WY351" s="59" t="str">
        <f t="shared" ca="1" si="285"/>
        <v/>
      </c>
    </row>
    <row r="352" spans="530:623" ht="9.9499999999999993" customHeight="1" x14ac:dyDescent="0.2">
      <c r="TJ352" s="18">
        <f t="shared" si="286"/>
        <v>350</v>
      </c>
      <c r="TK352" s="58" t="s">
        <v>720</v>
      </c>
      <c r="TL352" s="58" t="s">
        <v>463</v>
      </c>
      <c r="TM352" s="18">
        <v>6</v>
      </c>
      <c r="TN352" s="59" t="str">
        <f t="shared" si="272"/>
        <v xml:space="preserve">Wall of Thorns ᴴ </v>
      </c>
      <c r="TO352" s="350" t="s">
        <v>2991</v>
      </c>
      <c r="TP352" s="18" t="str">
        <f t="shared" si="273"/>
        <v/>
      </c>
      <c r="TQ352" s="18" t="str">
        <f>IF(OR(TK352=Spellcasting!$AC$18,TK352=Spellcasting!$AC$19),"ᵐ","")</f>
        <v/>
      </c>
      <c r="TR352" s="18" t="str">
        <f>IF(OR(TK352=Spellcasting!$AC$20,TK352=Spellcasting!$AC$21),"ˢ","")</f>
        <v/>
      </c>
      <c r="TS352" s="18" t="str">
        <f>""</f>
        <v/>
      </c>
      <c r="TT352" s="18" t="s">
        <v>484</v>
      </c>
      <c r="TU352" s="18" t="s">
        <v>533</v>
      </c>
      <c r="TV352" s="18" t="s">
        <v>515</v>
      </c>
      <c r="TW352" s="18" t="s">
        <v>486</v>
      </c>
      <c r="TX352" s="59" t="str">
        <f>""</f>
        <v/>
      </c>
      <c r="TY352" s="18" t="s">
        <v>516</v>
      </c>
      <c r="TZ352" s="18" t="s">
        <v>517</v>
      </c>
      <c r="UA352" s="142" t="s">
        <v>2329</v>
      </c>
      <c r="UB352" s="538" t="s">
        <v>3051</v>
      </c>
      <c r="UI352" s="18" t="str">
        <f ca="1">IF(UI$1&gt;=$TM352,1,"0")</f>
        <v>0</v>
      </c>
      <c r="VZ352" s="179"/>
      <c r="WA352" s="179"/>
      <c r="WB352" s="179"/>
      <c r="WC352" s="179"/>
      <c r="WD352" s="18" t="str">
        <f ca="1">IF(SUM($VZ$1:$WC$1)&gt;0,IF(AND(SUM($VZ352:$WC352)&gt;0,$TM352=WE$1),MAX(WD$2:WD351)+1,""),IF(AND(SUM($UC352:$VY352)&gt;0,$TM352=WE$1),MAX(WD$2:WD351)+1,""))</f>
        <v/>
      </c>
      <c r="WE352" s="59" t="str">
        <f t="shared" ca="1" si="275"/>
        <v/>
      </c>
      <c r="WF352" s="18" t="str">
        <f ca="1">IF(AND(SUM($UB352:$VY352)&gt;0,$TM352=WG$1),MAX(WF$2:WF351)+1,"")</f>
        <v/>
      </c>
      <c r="WG352" s="59" t="str">
        <f t="shared" ca="1" si="276"/>
        <v/>
      </c>
      <c r="WH352" s="18" t="str">
        <f ca="1">IF(AND(SUM($UB352:$VY352)&gt;0,$TM352=WI$1),MAX(WH$2:WH351)+1,"")</f>
        <v/>
      </c>
      <c r="WI352" s="59" t="str">
        <f t="shared" ca="1" si="277"/>
        <v/>
      </c>
      <c r="WJ352" s="18" t="str">
        <f ca="1">IF(AND(SUM($UB352:$VY352)&gt;0,$TM352=WK$1),MAX(WJ$2:WJ351)+1,"")</f>
        <v/>
      </c>
      <c r="WK352" s="59" t="str">
        <f t="shared" ca="1" si="278"/>
        <v/>
      </c>
      <c r="WL352" s="18" t="str">
        <f ca="1">IF(AND(SUM($UB352:$VY352)&gt;0,$TM352=WM$1),MAX(WL$2:WL351)+1,"")</f>
        <v/>
      </c>
      <c r="WM352" s="59" t="str">
        <f t="shared" ca="1" si="279"/>
        <v/>
      </c>
      <c r="WN352" s="18" t="str">
        <f ca="1">IF(AND(SUM($UB352:$VY352)&gt;0,$TM352=WO$1),MAX(WN$2:WN351)+1,"")</f>
        <v/>
      </c>
      <c r="WO352" s="59" t="str">
        <f t="shared" ca="1" si="280"/>
        <v/>
      </c>
      <c r="WP352" s="18" t="str">
        <f ca="1">IF(AND(SUM($UB352:$VY352)&gt;0,$TM352=WQ$1),MAX(WP$2:WP351)+1,"")</f>
        <v/>
      </c>
      <c r="WQ352" s="59" t="str">
        <f t="shared" ca="1" si="281"/>
        <v/>
      </c>
      <c r="WR352" s="18" t="str">
        <f ca="1">IF(AND(SUM($UB352:$VY352)&gt;0,$TM352=WS$1),MAX(WR$2:WR351)+1,"")</f>
        <v/>
      </c>
      <c r="WS352" s="59" t="str">
        <f t="shared" ca="1" si="282"/>
        <v/>
      </c>
      <c r="WT352" s="18" t="str">
        <f ca="1">IF(AND(SUM($UB352:$VY352)&gt;0,$TM352=WU$1),MAX(WT$2:WT351)+1,"")</f>
        <v/>
      </c>
      <c r="WU352" s="59" t="str">
        <f t="shared" ca="1" si="283"/>
        <v/>
      </c>
      <c r="WV352" s="18" t="str">
        <f ca="1">IF(AND(SUM($UB352:$VY352)&gt;0,$TM352=WW$1),MAX(WV$2:WV351)+1,"")</f>
        <v/>
      </c>
      <c r="WW352" s="59" t="str">
        <f t="shared" ca="1" si="284"/>
        <v/>
      </c>
      <c r="WX352" s="18" t="str">
        <f ca="1">IF(AND(SUM($UB352:$VY352)&gt;0,$TM352=WY$1),MAX(WX$2:WX351)+1,"")</f>
        <v/>
      </c>
      <c r="WY352" s="59" t="str">
        <f t="shared" ca="1" si="285"/>
        <v/>
      </c>
    </row>
    <row r="353" spans="530:623" ht="9.9499999999999993" customHeight="1" x14ac:dyDescent="0.2">
      <c r="TJ353" s="18">
        <f t="shared" si="286"/>
        <v>351</v>
      </c>
      <c r="TK353" s="58" t="s">
        <v>1974</v>
      </c>
      <c r="TL353" s="58" t="s">
        <v>459</v>
      </c>
      <c r="TM353" s="18">
        <v>2</v>
      </c>
      <c r="TN353" s="59" t="str">
        <f t="shared" si="272"/>
        <v xml:space="preserve">Warding Bond </v>
      </c>
      <c r="TO353" s="18" t="str">
        <f>""</f>
        <v/>
      </c>
      <c r="TP353" s="18" t="str">
        <f t="shared" si="273"/>
        <v/>
      </c>
      <c r="TQ353" s="18" t="str">
        <f>IF(OR(TK353=Spellcasting!$AC$18,TK353=Spellcasting!$AC$19),"ᵐ","")</f>
        <v/>
      </c>
      <c r="TR353" s="18" t="str">
        <f>IF(OR(TK353=Spellcasting!$AC$20,TK353=Spellcasting!$AC$21),"ˢ","")</f>
        <v/>
      </c>
      <c r="TS353" s="18" t="str">
        <f>""</f>
        <v/>
      </c>
      <c r="TT353" s="18" t="s">
        <v>484</v>
      </c>
      <c r="TU353" s="18" t="s">
        <v>519</v>
      </c>
      <c r="TV353" s="18" t="s">
        <v>521</v>
      </c>
      <c r="TW353" s="18" t="s">
        <v>495</v>
      </c>
      <c r="TX353" s="59" t="s">
        <v>2074</v>
      </c>
      <c r="TY353" s="18" t="s">
        <v>487</v>
      </c>
      <c r="TZ353" s="18" t="s">
        <v>488</v>
      </c>
      <c r="UA353" s="142" t="s">
        <v>2330</v>
      </c>
      <c r="UB353" s="319" t="s">
        <v>2331</v>
      </c>
      <c r="UH353" s="18" t="str">
        <f ca="1">IF(UH$1&gt;=$TM353,1,"0")</f>
        <v>0</v>
      </c>
      <c r="WD353" s="18" t="str">
        <f ca="1">IF(SUM($VZ$1:$WC$1)&gt;0,IF(AND(SUM($VZ353:$WC353)&gt;0,$TM353=WE$1),MAX(WD$2:WD352)+1,""),IF(AND(SUM($UC353:$VY353)&gt;0,$TM353=WE$1),MAX(WD$2:WD352)+1,""))</f>
        <v/>
      </c>
      <c r="WE353" s="59" t="str">
        <f t="shared" ca="1" si="275"/>
        <v/>
      </c>
      <c r="WF353" s="18" t="str">
        <f ca="1">IF(AND(SUM($UB353:$VY353)&gt;0,$TM353=WG$1),MAX(WF$2:WF352)+1,"")</f>
        <v/>
      </c>
      <c r="WG353" s="59" t="str">
        <f t="shared" ca="1" si="276"/>
        <v/>
      </c>
      <c r="WH353" s="18" t="str">
        <f ca="1">IF(AND(SUM($UB353:$VY353)&gt;0,$TM353=WI$1),MAX(WH$2:WH352)+1,"")</f>
        <v/>
      </c>
      <c r="WI353" s="59" t="str">
        <f t="shared" ca="1" si="277"/>
        <v/>
      </c>
      <c r="WJ353" s="18" t="str">
        <f ca="1">IF(AND(SUM($UB353:$VY353)&gt;0,$TM353=WK$1),MAX(WJ$2:WJ352)+1,"")</f>
        <v/>
      </c>
      <c r="WK353" s="59" t="str">
        <f t="shared" ca="1" si="278"/>
        <v/>
      </c>
      <c r="WL353" s="18" t="str">
        <f ca="1">IF(AND(SUM($UB353:$VY353)&gt;0,$TM353=WM$1),MAX(WL$2:WL352)+1,"")</f>
        <v/>
      </c>
      <c r="WM353" s="59" t="str">
        <f t="shared" ca="1" si="279"/>
        <v/>
      </c>
      <c r="WN353" s="18" t="str">
        <f ca="1">IF(AND(SUM($UB353:$VY353)&gt;0,$TM353=WO$1),MAX(WN$2:WN352)+1,"")</f>
        <v/>
      </c>
      <c r="WO353" s="59" t="str">
        <f t="shared" ca="1" si="280"/>
        <v/>
      </c>
      <c r="WP353" s="18" t="str">
        <f ca="1">IF(AND(SUM($UB353:$VY353)&gt;0,$TM353=WQ$1),MAX(WP$2:WP352)+1,"")</f>
        <v/>
      </c>
      <c r="WQ353" s="59" t="str">
        <f t="shared" ca="1" si="281"/>
        <v/>
      </c>
      <c r="WR353" s="18" t="str">
        <f ca="1">IF(AND(SUM($UB353:$VY353)&gt;0,$TM353=WS$1),MAX(WR$2:WR352)+1,"")</f>
        <v/>
      </c>
      <c r="WS353" s="59" t="str">
        <f t="shared" ca="1" si="282"/>
        <v/>
      </c>
      <c r="WT353" s="18" t="str">
        <f ca="1">IF(AND(SUM($UB353:$VY353)&gt;0,$TM353=WU$1),MAX(WT$2:WT352)+1,"")</f>
        <v/>
      </c>
      <c r="WU353" s="59" t="str">
        <f t="shared" ca="1" si="283"/>
        <v/>
      </c>
      <c r="WV353" s="18" t="str">
        <f ca="1">IF(AND(SUM($UB353:$VY353)&gt;0,$TM353=WW$1),MAX(WV$2:WV352)+1,"")</f>
        <v/>
      </c>
      <c r="WW353" s="59" t="str">
        <f t="shared" ca="1" si="284"/>
        <v/>
      </c>
      <c r="WX353" s="18" t="str">
        <f ca="1">IF(AND(SUM($UB353:$VY353)&gt;0,$TM353=WY$1),MAX(WX$2:WX352)+1,"")</f>
        <v/>
      </c>
      <c r="WY353" s="59" t="str">
        <f t="shared" ca="1" si="285"/>
        <v/>
      </c>
    </row>
    <row r="354" spans="530:623" ht="9.9499999999999993" customHeight="1" x14ac:dyDescent="0.2">
      <c r="TJ354" s="18">
        <f t="shared" si="286"/>
        <v>352</v>
      </c>
      <c r="TK354" s="58" t="s">
        <v>721</v>
      </c>
      <c r="TL354" s="58" t="s">
        <v>460</v>
      </c>
      <c r="TM354" s="18">
        <v>3</v>
      </c>
      <c r="TN354" s="59" t="str">
        <f t="shared" si="272"/>
        <v xml:space="preserve">Water Breathing </v>
      </c>
      <c r="TO354" s="18" t="str">
        <f>""</f>
        <v/>
      </c>
      <c r="TP354" s="18" t="str">
        <f t="shared" si="273"/>
        <v/>
      </c>
      <c r="TQ354" s="18" t="str">
        <f>IF(OR(TK354=Spellcasting!$AC$18,TK354=Spellcasting!$AC$19),"ᵐ","")</f>
        <v/>
      </c>
      <c r="TR354" s="18" t="str">
        <f>IF(OR(TK354=Spellcasting!$AC$20,TK354=Spellcasting!$AC$21),"ˢ","")</f>
        <v/>
      </c>
      <c r="TS354" s="18" t="s">
        <v>477</v>
      </c>
      <c r="TT354" s="18" t="s">
        <v>501</v>
      </c>
      <c r="TU354" s="18" t="s">
        <v>851</v>
      </c>
      <c r="TV354" s="18" t="s">
        <v>497</v>
      </c>
      <c r="TW354" s="18" t="s">
        <v>495</v>
      </c>
      <c r="TX354" s="59" t="s">
        <v>1727</v>
      </c>
      <c r="TY354" s="18" t="s">
        <v>491</v>
      </c>
      <c r="TZ354" s="18" t="s">
        <v>492</v>
      </c>
      <c r="UA354" s="142" t="s">
        <v>1728</v>
      </c>
      <c r="UB354" s="319" t="s">
        <v>1729</v>
      </c>
      <c r="UE354" s="18" t="str">
        <f ca="1">IF(UE$1&gt;=$TM354,1,"0")</f>
        <v>0</v>
      </c>
      <c r="UF354" s="18" t="str">
        <f ca="1">IF(UF$1&gt;=$TM354,1,"0")</f>
        <v>0</v>
      </c>
      <c r="UI354" s="18" t="str">
        <f ca="1">IF(UI$1&gt;=$TM354,1,"0")</f>
        <v>0</v>
      </c>
      <c r="UL354" s="18" t="str">
        <f ca="1">IF(UL$1&gt;=$TM354,1,"0")</f>
        <v>0</v>
      </c>
      <c r="VH354" s="18" t="str">
        <f>IF(VH$1&gt;=$TM354,1,"0")</f>
        <v>0</v>
      </c>
      <c r="WD354" s="18" t="str">
        <f ca="1">IF(SUM($VZ$1:$WC$1)&gt;0,IF(AND(SUM($VZ354:$WC354)&gt;0,$TM354=WE$1),MAX(WD$2:WD353)+1,""),IF(AND(SUM($UC354:$VY354)&gt;0,$TM354=WE$1),MAX(WD$2:WD353)+1,""))</f>
        <v/>
      </c>
      <c r="WE354" s="59" t="str">
        <f t="shared" ca="1" si="275"/>
        <v/>
      </c>
      <c r="WF354" s="18" t="str">
        <f ca="1">IF(AND(SUM($UB354:$VY354)&gt;0,$TM354=WG$1),MAX(WF$2:WF353)+1,"")</f>
        <v/>
      </c>
      <c r="WG354" s="59" t="str">
        <f t="shared" ca="1" si="276"/>
        <v/>
      </c>
      <c r="WH354" s="18" t="str">
        <f ca="1">IF(AND(SUM($UB354:$VY354)&gt;0,$TM354=WI$1),MAX(WH$2:WH353)+1,"")</f>
        <v/>
      </c>
      <c r="WI354" s="59" t="str">
        <f t="shared" ca="1" si="277"/>
        <v/>
      </c>
      <c r="WJ354" s="18" t="str">
        <f ca="1">IF(AND(SUM($UB354:$VY354)&gt;0,$TM354=WK$1),MAX(WJ$2:WJ353)+1,"")</f>
        <v/>
      </c>
      <c r="WK354" s="59" t="str">
        <f t="shared" ca="1" si="278"/>
        <v/>
      </c>
      <c r="WL354" s="18" t="str">
        <f ca="1">IF(AND(SUM($UB354:$VY354)&gt;0,$TM354=WM$1),MAX(WL$2:WL353)+1,"")</f>
        <v/>
      </c>
      <c r="WM354" s="59" t="str">
        <f t="shared" ca="1" si="279"/>
        <v/>
      </c>
      <c r="WN354" s="18" t="str">
        <f ca="1">IF(AND(SUM($UB354:$VY354)&gt;0,$TM354=WO$1),MAX(WN$2:WN353)+1,"")</f>
        <v/>
      </c>
      <c r="WO354" s="59" t="str">
        <f t="shared" ca="1" si="280"/>
        <v/>
      </c>
      <c r="WP354" s="18" t="str">
        <f ca="1">IF(AND(SUM($UB354:$VY354)&gt;0,$TM354=WQ$1),MAX(WP$2:WP353)+1,"")</f>
        <v/>
      </c>
      <c r="WQ354" s="59" t="str">
        <f t="shared" ca="1" si="281"/>
        <v/>
      </c>
      <c r="WR354" s="18" t="str">
        <f ca="1">IF(AND(SUM($UB354:$VY354)&gt;0,$TM354=WS$1),MAX(WR$2:WR353)+1,"")</f>
        <v/>
      </c>
      <c r="WS354" s="59" t="str">
        <f t="shared" ca="1" si="282"/>
        <v/>
      </c>
      <c r="WT354" s="18" t="str">
        <f ca="1">IF(AND(SUM($UB354:$VY354)&gt;0,$TM354=WU$1),MAX(WT$2:WT353)+1,"")</f>
        <v/>
      </c>
      <c r="WU354" s="59" t="str">
        <f t="shared" ca="1" si="283"/>
        <v/>
      </c>
      <c r="WV354" s="18" t="str">
        <f ca="1">IF(AND(SUM($UB354:$VY354)&gt;0,$TM354=WW$1),MAX(WV$2:WV353)+1,"")</f>
        <v/>
      </c>
      <c r="WW354" s="59" t="str">
        <f t="shared" ca="1" si="284"/>
        <v/>
      </c>
      <c r="WX354" s="18" t="str">
        <f ca="1">IF(AND(SUM($UB354:$VY354)&gt;0,$TM354=WY$1),MAX(WX$2:WX353)+1,"")</f>
        <v/>
      </c>
      <c r="WY354" s="59" t="str">
        <f t="shared" ca="1" si="285"/>
        <v/>
      </c>
    </row>
    <row r="355" spans="530:623" ht="9.9499999999999993" customHeight="1" x14ac:dyDescent="0.2">
      <c r="TJ355" s="18">
        <f t="shared" si="286"/>
        <v>353</v>
      </c>
      <c r="TK355" s="58" t="s">
        <v>722</v>
      </c>
      <c r="TL355" s="58" t="s">
        <v>460</v>
      </c>
      <c r="TM355" s="18">
        <v>3</v>
      </c>
      <c r="TN355" s="59" t="str">
        <f t="shared" si="272"/>
        <v xml:space="preserve">Water Walk </v>
      </c>
      <c r="TO355" s="18" t="str">
        <f>""</f>
        <v/>
      </c>
      <c r="TP355" s="18" t="str">
        <f t="shared" si="273"/>
        <v/>
      </c>
      <c r="TQ355" s="18" t="str">
        <f>IF(OR(TK355=Spellcasting!$AC$18,TK355=Spellcasting!$AC$19),"ᵐ","")</f>
        <v/>
      </c>
      <c r="TR355" s="18" t="str">
        <f>IF(OR(TK355=Spellcasting!$AC$20,TK355=Spellcasting!$AC$21),"ˢ","")</f>
        <v/>
      </c>
      <c r="TS355" s="18" t="s">
        <v>477</v>
      </c>
      <c r="TT355" s="18" t="s">
        <v>501</v>
      </c>
      <c r="TU355" s="18" t="s">
        <v>851</v>
      </c>
      <c r="TV355" s="18" t="s">
        <v>521</v>
      </c>
      <c r="TW355" s="18" t="s">
        <v>495</v>
      </c>
      <c r="TX355" s="59" t="s">
        <v>1730</v>
      </c>
      <c r="TY355" s="18" t="s">
        <v>491</v>
      </c>
      <c r="TZ355" s="18" t="s">
        <v>492</v>
      </c>
      <c r="UA355" s="59" t="s">
        <v>1731</v>
      </c>
      <c r="UB355" s="319" t="s">
        <v>1732</v>
      </c>
      <c r="UE355" s="18" t="str">
        <f ca="1">IF(UE$1&gt;=$TM355,1,"0")</f>
        <v>0</v>
      </c>
      <c r="UF355" s="18" t="str">
        <f ca="1">IF(UF$1&gt;=$TM355,1,"0")</f>
        <v>0</v>
      </c>
      <c r="UH355" s="18" t="str">
        <f ca="1">IF(UH$1&gt;=$TM355,1,"0")</f>
        <v>0</v>
      </c>
      <c r="UI355" s="18" t="str">
        <f ca="1">IF(UI$1&gt;=$TM355,1,"0")</f>
        <v>0</v>
      </c>
      <c r="VH355" s="18" t="str">
        <f>IF(VH$1&gt;=$TM355,1,"0")</f>
        <v>0</v>
      </c>
      <c r="VM355" s="18" t="str">
        <f>IF(VM$1&gt;=$TM355,1,"0")</f>
        <v>0</v>
      </c>
      <c r="WD355" s="18" t="str">
        <f ca="1">IF(SUM($VZ$1:$WC$1)&gt;0,IF(AND(SUM($VZ355:$WC355)&gt;0,$TM355=WE$1),MAX(WD$2:WD354)+1,""),IF(AND(SUM($UC355:$VY355)&gt;0,$TM355=WE$1),MAX(WD$2:WD354)+1,""))</f>
        <v/>
      </c>
      <c r="WE355" s="59" t="str">
        <f t="shared" ca="1" si="275"/>
        <v/>
      </c>
      <c r="WF355" s="18" t="str">
        <f ca="1">IF(AND(SUM($UB355:$VY355)&gt;0,$TM355=WG$1),MAX(WF$2:WF354)+1,"")</f>
        <v/>
      </c>
      <c r="WG355" s="59" t="str">
        <f t="shared" ca="1" si="276"/>
        <v/>
      </c>
      <c r="WH355" s="18" t="str">
        <f ca="1">IF(AND(SUM($UB355:$VY355)&gt;0,$TM355=WI$1),MAX(WH$2:WH354)+1,"")</f>
        <v/>
      </c>
      <c r="WI355" s="59" t="str">
        <f t="shared" ca="1" si="277"/>
        <v/>
      </c>
      <c r="WJ355" s="18" t="str">
        <f ca="1">IF(AND(SUM($UB355:$VY355)&gt;0,$TM355=WK$1),MAX(WJ$2:WJ354)+1,"")</f>
        <v/>
      </c>
      <c r="WK355" s="59" t="str">
        <f t="shared" ca="1" si="278"/>
        <v/>
      </c>
      <c r="WL355" s="18" t="str">
        <f ca="1">IF(AND(SUM($UB355:$VY355)&gt;0,$TM355=WM$1),MAX(WL$2:WL354)+1,"")</f>
        <v/>
      </c>
      <c r="WM355" s="59" t="str">
        <f t="shared" ca="1" si="279"/>
        <v/>
      </c>
      <c r="WN355" s="18" t="str">
        <f ca="1">IF(AND(SUM($UB355:$VY355)&gt;0,$TM355=WO$1),MAX(WN$2:WN354)+1,"")</f>
        <v/>
      </c>
      <c r="WO355" s="59" t="str">
        <f t="shared" ca="1" si="280"/>
        <v/>
      </c>
      <c r="WP355" s="18" t="str">
        <f ca="1">IF(AND(SUM($UB355:$VY355)&gt;0,$TM355=WQ$1),MAX(WP$2:WP354)+1,"")</f>
        <v/>
      </c>
      <c r="WQ355" s="59" t="str">
        <f t="shared" ca="1" si="281"/>
        <v/>
      </c>
      <c r="WR355" s="18" t="str">
        <f ca="1">IF(AND(SUM($UB355:$VY355)&gt;0,$TM355=WS$1),MAX(WR$2:WR354)+1,"")</f>
        <v/>
      </c>
      <c r="WS355" s="59" t="str">
        <f t="shared" ca="1" si="282"/>
        <v/>
      </c>
      <c r="WT355" s="18" t="str">
        <f ca="1">IF(AND(SUM($UB355:$VY355)&gt;0,$TM355=WU$1),MAX(WT$2:WT354)+1,"")</f>
        <v/>
      </c>
      <c r="WU355" s="59" t="str">
        <f t="shared" ca="1" si="283"/>
        <v/>
      </c>
      <c r="WV355" s="18" t="str">
        <f ca="1">IF(AND(SUM($UB355:$VY355)&gt;0,$TM355=WW$1),MAX(WV$2:WV354)+1,"")</f>
        <v/>
      </c>
      <c r="WW355" s="59" t="str">
        <f t="shared" ca="1" si="284"/>
        <v/>
      </c>
      <c r="WX355" s="18" t="str">
        <f ca="1">IF(AND(SUM($UB355:$VY355)&gt;0,$TM355=WY$1),MAX(WX$2:WX354)+1,"")</f>
        <v/>
      </c>
      <c r="WY355" s="59" t="str">
        <f t="shared" ca="1" si="285"/>
        <v/>
      </c>
    </row>
    <row r="356" spans="530:623" ht="9.9499999999999993" customHeight="1" x14ac:dyDescent="0.2">
      <c r="TJ356" s="18">
        <f t="shared" si="286"/>
        <v>354</v>
      </c>
      <c r="TK356" s="58" t="s">
        <v>723</v>
      </c>
      <c r="TL356" s="58" t="s">
        <v>459</v>
      </c>
      <c r="TM356" s="18">
        <v>2</v>
      </c>
      <c r="TN356" s="59" t="str">
        <f t="shared" si="272"/>
        <v xml:space="preserve">Web </v>
      </c>
      <c r="TO356" s="18" t="str">
        <f>""</f>
        <v/>
      </c>
      <c r="TP356" s="18" t="str">
        <f t="shared" si="273"/>
        <v/>
      </c>
      <c r="TQ356" s="18" t="str">
        <f>IF(OR(TK356=Spellcasting!$AC$18,TK356=Spellcasting!$AC$19),"ᵐ","")</f>
        <v/>
      </c>
      <c r="TR356" s="18" t="str">
        <f>IF(OR(TK356=Spellcasting!$AC$20,TK356=Spellcasting!$AC$21),"ˢ","")</f>
        <v/>
      </c>
      <c r="TS356" s="18" t="str">
        <f>""</f>
        <v/>
      </c>
      <c r="TT356" s="18" t="s">
        <v>484</v>
      </c>
      <c r="TU356" s="18" t="s">
        <v>850</v>
      </c>
      <c r="TV356" s="18" t="s">
        <v>490</v>
      </c>
      <c r="TW356" s="18" t="s">
        <v>495</v>
      </c>
      <c r="TX356" s="59" t="s">
        <v>1381</v>
      </c>
      <c r="TY356" s="18" t="s">
        <v>516</v>
      </c>
      <c r="TZ356" s="18" t="s">
        <v>517</v>
      </c>
      <c r="UA356" s="142" t="s">
        <v>1382</v>
      </c>
      <c r="UB356" s="319" t="s">
        <v>2272</v>
      </c>
      <c r="UF356" s="18" t="str">
        <f ca="1">IF(UF$1&gt;=$TM356,1,"0")</f>
        <v>0</v>
      </c>
      <c r="UL356" s="18" t="str">
        <f ca="1">IF(UL$1&gt;=$TM356,1,"0")</f>
        <v>0</v>
      </c>
      <c r="VN356" s="18" t="str">
        <f>IF(VN$1&gt;=$TM356,1,"0")</f>
        <v>0</v>
      </c>
      <c r="WD356" s="18" t="str">
        <f ca="1">IF(SUM($VZ$1:$WC$1)&gt;0,IF(AND(SUM($VZ356:$WC356)&gt;0,$TM356=WE$1),MAX(WD$2:WD355)+1,""),IF(AND(SUM($UC356:$VY356)&gt;0,$TM356=WE$1),MAX(WD$2:WD355)+1,""))</f>
        <v/>
      </c>
      <c r="WE356" s="59" t="str">
        <f t="shared" ca="1" si="275"/>
        <v/>
      </c>
      <c r="WF356" s="18" t="str">
        <f ca="1">IF(AND(SUM($UB356:$VY356)&gt;0,$TM356=WG$1),MAX(WF$2:WF355)+1,"")</f>
        <v/>
      </c>
      <c r="WG356" s="59" t="str">
        <f t="shared" ca="1" si="276"/>
        <v/>
      </c>
      <c r="WH356" s="18" t="str">
        <f ca="1">IF(AND(SUM($UB356:$VY356)&gt;0,$TM356=WI$1),MAX(WH$2:WH355)+1,"")</f>
        <v/>
      </c>
      <c r="WI356" s="59" t="str">
        <f t="shared" ca="1" si="277"/>
        <v/>
      </c>
      <c r="WJ356" s="18" t="str">
        <f ca="1">IF(AND(SUM($UB356:$VY356)&gt;0,$TM356=WK$1),MAX(WJ$2:WJ355)+1,"")</f>
        <v/>
      </c>
      <c r="WK356" s="59" t="str">
        <f t="shared" ca="1" si="278"/>
        <v/>
      </c>
      <c r="WL356" s="18" t="str">
        <f ca="1">IF(AND(SUM($UB356:$VY356)&gt;0,$TM356=WM$1),MAX(WL$2:WL355)+1,"")</f>
        <v/>
      </c>
      <c r="WM356" s="59" t="str">
        <f t="shared" ca="1" si="279"/>
        <v/>
      </c>
      <c r="WN356" s="18" t="str">
        <f ca="1">IF(AND(SUM($UB356:$VY356)&gt;0,$TM356=WO$1),MAX(WN$2:WN355)+1,"")</f>
        <v/>
      </c>
      <c r="WO356" s="59" t="str">
        <f t="shared" ca="1" si="280"/>
        <v/>
      </c>
      <c r="WP356" s="18" t="str">
        <f ca="1">IF(AND(SUM($UB356:$VY356)&gt;0,$TM356=WQ$1),MAX(WP$2:WP355)+1,"")</f>
        <v/>
      </c>
      <c r="WQ356" s="59" t="str">
        <f t="shared" ca="1" si="281"/>
        <v/>
      </c>
      <c r="WR356" s="18" t="str">
        <f ca="1">IF(AND(SUM($UB356:$VY356)&gt;0,$TM356=WS$1),MAX(WR$2:WR355)+1,"")</f>
        <v/>
      </c>
      <c r="WS356" s="59" t="str">
        <f t="shared" ca="1" si="282"/>
        <v/>
      </c>
      <c r="WT356" s="18" t="str">
        <f ca="1">IF(AND(SUM($UB356:$VY356)&gt;0,$TM356=WU$1),MAX(WT$2:WT355)+1,"")</f>
        <v/>
      </c>
      <c r="WU356" s="59" t="str">
        <f t="shared" ca="1" si="283"/>
        <v/>
      </c>
      <c r="WV356" s="18" t="str">
        <f ca="1">IF(AND(SUM($UB356:$VY356)&gt;0,$TM356=WW$1),MAX(WV$2:WV355)+1,"")</f>
        <v/>
      </c>
      <c r="WW356" s="59" t="str">
        <f t="shared" ca="1" si="284"/>
        <v/>
      </c>
      <c r="WX356" s="18" t="str">
        <f ca="1">IF(AND(SUM($UB356:$VY356)&gt;0,$TM356=WY$1),MAX(WX$2:WX355)+1,"")</f>
        <v/>
      </c>
      <c r="WY356" s="59" t="str">
        <f t="shared" ca="1" si="285"/>
        <v/>
      </c>
    </row>
    <row r="357" spans="530:623" ht="9.9499999999999993" customHeight="1" x14ac:dyDescent="0.2">
      <c r="TJ357" s="18">
        <f t="shared" si="286"/>
        <v>355</v>
      </c>
      <c r="TK357" s="58" t="s">
        <v>1968</v>
      </c>
      <c r="TL357" s="58" t="s">
        <v>466</v>
      </c>
      <c r="TM357" s="18">
        <v>9</v>
      </c>
      <c r="TN357" s="59" t="str">
        <f t="shared" si="272"/>
        <v xml:space="preserve">Weird </v>
      </c>
      <c r="TO357" s="18" t="str">
        <f>""</f>
        <v/>
      </c>
      <c r="TP357" s="18" t="str">
        <f t="shared" si="273"/>
        <v/>
      </c>
      <c r="TQ357" s="18" t="str">
        <f>IF(OR(TK357=Spellcasting!$AC$18,TK357=Spellcasting!$AC$19),"ᵐ","")</f>
        <v/>
      </c>
      <c r="TR357" s="18" t="str">
        <f>IF(OR(TK357=Spellcasting!$AC$20,TK357=Spellcasting!$AC$21),"ˢ","")</f>
        <v/>
      </c>
      <c r="TS357" s="18" t="str">
        <f>""</f>
        <v/>
      </c>
      <c r="TT357" s="18" t="s">
        <v>484</v>
      </c>
      <c r="TU357" s="18" t="s">
        <v>848</v>
      </c>
      <c r="TV357" s="18" t="s">
        <v>558</v>
      </c>
      <c r="TW357" s="18" t="s">
        <v>486</v>
      </c>
      <c r="TX357" s="59" t="str">
        <f>""</f>
        <v/>
      </c>
      <c r="TY357" s="18" t="s">
        <v>523</v>
      </c>
      <c r="TZ357" s="18" t="s">
        <v>524</v>
      </c>
      <c r="UA357" s="59" t="s">
        <v>2332</v>
      </c>
      <c r="UB357" s="319" t="s">
        <v>2333</v>
      </c>
      <c r="UL357" s="18" t="str">
        <f ca="1">IF(UL$1&gt;=$TM357,1,"0")</f>
        <v>0</v>
      </c>
      <c r="WD357" s="18" t="str">
        <f ca="1">IF(SUM($VZ$1:$WC$1)&gt;0,IF(AND(SUM($VZ357:$WC357)&gt;0,$TM357=WE$1),MAX(WD$2:WD356)+1,""),IF(AND(SUM($UC357:$VY357)&gt;0,$TM357=WE$1),MAX(WD$2:WD356)+1,""))</f>
        <v/>
      </c>
      <c r="WE357" s="59" t="str">
        <f t="shared" ca="1" si="275"/>
        <v/>
      </c>
      <c r="WF357" s="18" t="str">
        <f ca="1">IF(AND(SUM($UB357:$VY357)&gt;0,$TM357=WG$1),MAX(WF$2:WF356)+1,"")</f>
        <v/>
      </c>
      <c r="WG357" s="59" t="str">
        <f t="shared" ca="1" si="276"/>
        <v/>
      </c>
      <c r="WH357" s="18" t="str">
        <f ca="1">IF(AND(SUM($UB357:$VY357)&gt;0,$TM357=WI$1),MAX(WH$2:WH356)+1,"")</f>
        <v/>
      </c>
      <c r="WI357" s="59" t="str">
        <f t="shared" ca="1" si="277"/>
        <v/>
      </c>
      <c r="WJ357" s="18" t="str">
        <f ca="1">IF(AND(SUM($UB357:$VY357)&gt;0,$TM357=WK$1),MAX(WJ$2:WJ356)+1,"")</f>
        <v/>
      </c>
      <c r="WK357" s="59" t="str">
        <f t="shared" ca="1" si="278"/>
        <v/>
      </c>
      <c r="WL357" s="18" t="str">
        <f ca="1">IF(AND(SUM($UB357:$VY357)&gt;0,$TM357=WM$1),MAX(WL$2:WL356)+1,"")</f>
        <v/>
      </c>
      <c r="WM357" s="59" t="str">
        <f t="shared" ca="1" si="279"/>
        <v/>
      </c>
      <c r="WN357" s="18" t="str">
        <f ca="1">IF(AND(SUM($UB357:$VY357)&gt;0,$TM357=WO$1),MAX(WN$2:WN356)+1,"")</f>
        <v/>
      </c>
      <c r="WO357" s="59" t="str">
        <f t="shared" ca="1" si="280"/>
        <v/>
      </c>
      <c r="WP357" s="18" t="str">
        <f ca="1">IF(AND(SUM($UB357:$VY357)&gt;0,$TM357=WQ$1),MAX(WP$2:WP356)+1,"")</f>
        <v/>
      </c>
      <c r="WQ357" s="59" t="str">
        <f t="shared" ca="1" si="281"/>
        <v/>
      </c>
      <c r="WR357" s="18" t="str">
        <f ca="1">IF(AND(SUM($UB357:$VY357)&gt;0,$TM357=WS$1),MAX(WR$2:WR356)+1,"")</f>
        <v/>
      </c>
      <c r="WS357" s="59" t="str">
        <f t="shared" ca="1" si="282"/>
        <v/>
      </c>
      <c r="WT357" s="18" t="str">
        <f ca="1">IF(AND(SUM($UB357:$VY357)&gt;0,$TM357=WU$1),MAX(WT$2:WT356)+1,"")</f>
        <v/>
      </c>
      <c r="WU357" s="59" t="str">
        <f t="shared" ca="1" si="283"/>
        <v/>
      </c>
      <c r="WV357" s="18" t="str">
        <f ca="1">IF(AND(SUM($UB357:$VY357)&gt;0,$TM357=WW$1),MAX(WV$2:WV356)+1,"")</f>
        <v/>
      </c>
      <c r="WW357" s="59" t="str">
        <f t="shared" ca="1" si="284"/>
        <v/>
      </c>
      <c r="WX357" s="18" t="str">
        <f ca="1">IF(AND(SUM($UB357:$VY357)&gt;0,$TM357=WY$1),MAX(WX$2:WX356)+1,"")</f>
        <v/>
      </c>
      <c r="WY357" s="59" t="str">
        <f t="shared" ca="1" si="285"/>
        <v/>
      </c>
    </row>
    <row r="358" spans="530:623" ht="9.9499999999999993" customHeight="1" x14ac:dyDescent="0.2">
      <c r="TJ358" s="18">
        <f t="shared" si="286"/>
        <v>356</v>
      </c>
      <c r="TK358" s="58" t="s">
        <v>724</v>
      </c>
      <c r="TL358" s="58" t="s">
        <v>463</v>
      </c>
      <c r="TM358" s="18">
        <v>6</v>
      </c>
      <c r="TN358" s="59" t="str">
        <f t="shared" si="272"/>
        <v xml:space="preserve">Wind Walk </v>
      </c>
      <c r="TO358" s="18" t="str">
        <f>""</f>
        <v/>
      </c>
      <c r="TP358" s="18" t="str">
        <f t="shared" si="273"/>
        <v/>
      </c>
      <c r="TQ358" s="18" t="str">
        <f>IF(OR(TK358=Spellcasting!$AC$18,TK358=Spellcasting!$AC$19),"ᵐ","")</f>
        <v/>
      </c>
      <c r="TR358" s="18" t="str">
        <f>IF(OR(TK358=Spellcasting!$AC$20,TK358=Spellcasting!$AC$21),"ˢ","")</f>
        <v/>
      </c>
      <c r="TS358" s="18" t="str">
        <f>""</f>
        <v/>
      </c>
      <c r="TT358" s="18" t="s">
        <v>503</v>
      </c>
      <c r="TU358" s="18" t="s">
        <v>851</v>
      </c>
      <c r="TV358" s="18" t="s">
        <v>485</v>
      </c>
      <c r="TW358" s="18" t="s">
        <v>486</v>
      </c>
      <c r="TX358" s="59" t="str">
        <f>""</f>
        <v/>
      </c>
      <c r="TY358" s="18" t="s">
        <v>491</v>
      </c>
      <c r="TZ358" s="18" t="s">
        <v>492</v>
      </c>
      <c r="UA358" s="142" t="s">
        <v>2334</v>
      </c>
      <c r="UB358" s="319" t="s">
        <v>2335</v>
      </c>
      <c r="UI358" s="18" t="str">
        <f ca="1">IF(UI$1&gt;=$TM358,1,"0")</f>
        <v>0</v>
      </c>
      <c r="WD358" s="18" t="str">
        <f ca="1">IF(SUM($VZ$1:$WC$1)&gt;0,IF(AND(SUM($VZ358:$WC358)&gt;0,$TM358=WE$1),MAX(WD$2:WD357)+1,""),IF(AND(SUM($UC358:$VY358)&gt;0,$TM358=WE$1),MAX(WD$2:WD357)+1,""))</f>
        <v/>
      </c>
      <c r="WE358" s="59" t="str">
        <f t="shared" ca="1" si="275"/>
        <v/>
      </c>
      <c r="WF358" s="18" t="str">
        <f ca="1">IF(AND(SUM($UB358:$VY358)&gt;0,$TM358=WG$1),MAX(WF$2:WF357)+1,"")</f>
        <v/>
      </c>
      <c r="WG358" s="59" t="str">
        <f t="shared" ca="1" si="276"/>
        <v/>
      </c>
      <c r="WH358" s="18" t="str">
        <f ca="1">IF(AND(SUM($UB358:$VY358)&gt;0,$TM358=WI$1),MAX(WH$2:WH357)+1,"")</f>
        <v/>
      </c>
      <c r="WI358" s="59" t="str">
        <f t="shared" ca="1" si="277"/>
        <v/>
      </c>
      <c r="WJ358" s="18" t="str">
        <f ca="1">IF(AND(SUM($UB358:$VY358)&gt;0,$TM358=WK$1),MAX(WJ$2:WJ357)+1,"")</f>
        <v/>
      </c>
      <c r="WK358" s="59" t="str">
        <f t="shared" ca="1" si="278"/>
        <v/>
      </c>
      <c r="WL358" s="18" t="str">
        <f ca="1">IF(AND(SUM($UB358:$VY358)&gt;0,$TM358=WM$1),MAX(WL$2:WL357)+1,"")</f>
        <v/>
      </c>
      <c r="WM358" s="59" t="str">
        <f t="shared" ca="1" si="279"/>
        <v/>
      </c>
      <c r="WN358" s="18" t="str">
        <f ca="1">IF(AND(SUM($UB358:$VY358)&gt;0,$TM358=WO$1),MAX(WN$2:WN357)+1,"")</f>
        <v/>
      </c>
      <c r="WO358" s="59" t="str">
        <f t="shared" ca="1" si="280"/>
        <v/>
      </c>
      <c r="WP358" s="18" t="str">
        <f ca="1">IF(AND(SUM($UB358:$VY358)&gt;0,$TM358=WQ$1),MAX(WP$2:WP357)+1,"")</f>
        <v/>
      </c>
      <c r="WQ358" s="59" t="str">
        <f t="shared" ca="1" si="281"/>
        <v/>
      </c>
      <c r="WR358" s="18" t="str">
        <f ca="1">IF(AND(SUM($UB358:$VY358)&gt;0,$TM358=WS$1),MAX(WR$2:WR357)+1,"")</f>
        <v/>
      </c>
      <c r="WS358" s="59" t="str">
        <f t="shared" ca="1" si="282"/>
        <v/>
      </c>
      <c r="WT358" s="18" t="str">
        <f ca="1">IF(AND(SUM($UB358:$VY358)&gt;0,$TM358=WU$1),MAX(WT$2:WT357)+1,"")</f>
        <v/>
      </c>
      <c r="WU358" s="59" t="str">
        <f t="shared" ca="1" si="283"/>
        <v/>
      </c>
      <c r="WV358" s="18" t="str">
        <f ca="1">IF(AND(SUM($UB358:$VY358)&gt;0,$TM358=WW$1),MAX(WV$2:WV357)+1,"")</f>
        <v/>
      </c>
      <c r="WW358" s="59" t="str">
        <f t="shared" ca="1" si="284"/>
        <v/>
      </c>
      <c r="WX358" s="18" t="str">
        <f ca="1">IF(AND(SUM($UB358:$VY358)&gt;0,$TM358=WY$1),MAX(WX$2:WX357)+1,"")</f>
        <v/>
      </c>
      <c r="WY358" s="59" t="str">
        <f t="shared" ca="1" si="285"/>
        <v/>
      </c>
    </row>
    <row r="359" spans="530:623" ht="9.9499999999999993" customHeight="1" x14ac:dyDescent="0.2">
      <c r="TJ359" s="18">
        <f t="shared" si="286"/>
        <v>357</v>
      </c>
      <c r="TK359" s="58" t="s">
        <v>2075</v>
      </c>
      <c r="TL359" s="58" t="s">
        <v>460</v>
      </c>
      <c r="TM359" s="18">
        <v>3</v>
      </c>
      <c r="TN359" s="59" t="str">
        <f t="shared" si="272"/>
        <v xml:space="preserve">Wind Wall </v>
      </c>
      <c r="TO359" s="18" t="str">
        <f>""</f>
        <v/>
      </c>
      <c r="TP359" s="18" t="str">
        <f t="shared" si="273"/>
        <v/>
      </c>
      <c r="TQ359" s="18" t="str">
        <f>IF(OR(TK359=Spellcasting!$AC$18,TK359=Spellcasting!$AC$19),"ᵐ","")</f>
        <v/>
      </c>
      <c r="TR359" s="18" t="str">
        <f>IF(OR(TK359=Spellcasting!$AC$20,TK359=Spellcasting!$AC$21),"ˢ","")</f>
        <v/>
      </c>
      <c r="TS359" s="18" t="str">
        <f>""</f>
        <v/>
      </c>
      <c r="TT359" s="18" t="s">
        <v>484</v>
      </c>
      <c r="TU359" s="18" t="s">
        <v>848</v>
      </c>
      <c r="TV359" s="18" t="s">
        <v>558</v>
      </c>
      <c r="TW359" s="18" t="s">
        <v>495</v>
      </c>
      <c r="TX359" s="59" t="s">
        <v>2077</v>
      </c>
      <c r="TY359" s="18" t="s">
        <v>534</v>
      </c>
      <c r="TZ359" s="18" t="s">
        <v>535</v>
      </c>
      <c r="UA359" s="142" t="s">
        <v>2336</v>
      </c>
      <c r="UB359" s="319" t="s">
        <v>3011</v>
      </c>
      <c r="UI359" s="18" t="str">
        <f ca="1">IF(UI$1&gt;=$TM359,1,"0")</f>
        <v>0</v>
      </c>
      <c r="VB359" s="18" t="str">
        <f>IF(VB$1&gt;=$TM359,1,"0")</f>
        <v>0</v>
      </c>
      <c r="WD359" s="18" t="str">
        <f ca="1">IF(SUM($VZ$1:$WC$1)&gt;0,IF(AND(SUM($VZ359:$WC359)&gt;0,$TM359=WE$1),MAX(WD$2:WD358)+1,""),IF(AND(SUM($UC359:$VY359)&gt;0,$TM359=WE$1),MAX(WD$2:WD358)+1,""))</f>
        <v/>
      </c>
      <c r="WE359" s="59" t="str">
        <f t="shared" ca="1" si="275"/>
        <v/>
      </c>
      <c r="WF359" s="18" t="str">
        <f ca="1">IF(AND(SUM($UB359:$VY359)&gt;0,$TM359=WG$1),MAX(WF$2:WF358)+1,"")</f>
        <v/>
      </c>
      <c r="WG359" s="59" t="str">
        <f t="shared" ca="1" si="276"/>
        <v/>
      </c>
      <c r="WH359" s="18" t="str">
        <f ca="1">IF(AND(SUM($UB359:$VY359)&gt;0,$TM359=WI$1),MAX(WH$2:WH358)+1,"")</f>
        <v/>
      </c>
      <c r="WI359" s="59" t="str">
        <f t="shared" ca="1" si="277"/>
        <v/>
      </c>
      <c r="WJ359" s="18" t="str">
        <f ca="1">IF(AND(SUM($UB359:$VY359)&gt;0,$TM359=WK$1),MAX(WJ$2:WJ358)+1,"")</f>
        <v/>
      </c>
      <c r="WK359" s="59" t="str">
        <f t="shared" ca="1" si="278"/>
        <v/>
      </c>
      <c r="WL359" s="18" t="str">
        <f ca="1">IF(AND(SUM($UB359:$VY359)&gt;0,$TM359=WM$1),MAX(WL$2:WL358)+1,"")</f>
        <v/>
      </c>
      <c r="WM359" s="59" t="str">
        <f t="shared" ca="1" si="279"/>
        <v/>
      </c>
      <c r="WN359" s="18" t="str">
        <f ca="1">IF(AND(SUM($UB359:$VY359)&gt;0,$TM359=WO$1),MAX(WN$2:WN358)+1,"")</f>
        <v/>
      </c>
      <c r="WO359" s="59" t="str">
        <f t="shared" ca="1" si="280"/>
        <v/>
      </c>
      <c r="WP359" s="18" t="str">
        <f ca="1">IF(AND(SUM($UB359:$VY359)&gt;0,$TM359=WQ$1),MAX(WP$2:WP358)+1,"")</f>
        <v/>
      </c>
      <c r="WQ359" s="59" t="str">
        <f t="shared" ca="1" si="281"/>
        <v/>
      </c>
      <c r="WR359" s="18" t="str">
        <f ca="1">IF(AND(SUM($UB359:$VY359)&gt;0,$TM359=WS$1),MAX(WR$2:WR358)+1,"")</f>
        <v/>
      </c>
      <c r="WS359" s="59" t="str">
        <f t="shared" ca="1" si="282"/>
        <v/>
      </c>
      <c r="WT359" s="18" t="str">
        <f ca="1">IF(AND(SUM($UB359:$VY359)&gt;0,$TM359=WU$1),MAX(WT$2:WT358)+1,"")</f>
        <v/>
      </c>
      <c r="WU359" s="59" t="str">
        <f t="shared" ca="1" si="283"/>
        <v/>
      </c>
      <c r="WV359" s="18" t="str">
        <f ca="1">IF(AND(SUM($UB359:$VY359)&gt;0,$TM359=WW$1),MAX(WV$2:WV358)+1,"")</f>
        <v/>
      </c>
      <c r="WW359" s="59" t="str">
        <f t="shared" ca="1" si="284"/>
        <v/>
      </c>
      <c r="WX359" s="18" t="str">
        <f ca="1">IF(AND(SUM($UB359:$VY359)&gt;0,$TM359=WY$1),MAX(WX$2:WX358)+1,"")</f>
        <v/>
      </c>
      <c r="WY359" s="59" t="str">
        <f t="shared" ca="1" si="285"/>
        <v/>
      </c>
    </row>
    <row r="360" spans="530:623" ht="9.9499999999999993" customHeight="1" x14ac:dyDescent="0.2">
      <c r="TJ360" s="18">
        <f t="shared" si="286"/>
        <v>358</v>
      </c>
      <c r="TK360" s="58" t="s">
        <v>725</v>
      </c>
      <c r="TL360" s="58" t="s">
        <v>466</v>
      </c>
      <c r="TM360" s="18">
        <v>9</v>
      </c>
      <c r="TN360" s="59" t="str">
        <f t="shared" si="272"/>
        <v xml:space="preserve">Wish </v>
      </c>
      <c r="TO360" s="18" t="str">
        <f>""</f>
        <v/>
      </c>
      <c r="TP360" s="18" t="str">
        <f t="shared" si="273"/>
        <v/>
      </c>
      <c r="TQ360" s="18" t="str">
        <f>IF(OR(TK360=Spellcasting!$AC$18,TK360=Spellcasting!$AC$19),"ᵐ","")</f>
        <v/>
      </c>
      <c r="TR360" s="18" t="str">
        <f>IF(OR(TK360=Spellcasting!$AC$20,TK360=Spellcasting!$AC$21),"ˢ","")</f>
        <v/>
      </c>
      <c r="TS360" s="18" t="str">
        <f>""</f>
        <v/>
      </c>
      <c r="TT360" s="18" t="s">
        <v>484</v>
      </c>
      <c r="TU360" s="18" t="s">
        <v>509</v>
      </c>
      <c r="TV360" s="18" t="s">
        <v>505</v>
      </c>
      <c r="TW360" s="18" t="s">
        <v>541</v>
      </c>
      <c r="TX360" s="59" t="str">
        <f>""</f>
        <v/>
      </c>
      <c r="TY360" s="18" t="s">
        <v>516</v>
      </c>
      <c r="TZ360" s="18" t="s">
        <v>517</v>
      </c>
      <c r="UA360" s="142" t="s">
        <v>2337</v>
      </c>
      <c r="UB360" s="319" t="s">
        <v>2338</v>
      </c>
      <c r="UF360" s="18" t="str">
        <f ca="1">IF(UF$1&gt;=$TM360,1,"0")</f>
        <v>0</v>
      </c>
      <c r="UL360" s="18" t="str">
        <f ca="1">IF(UL$1&gt;=$TM360,1,"0")</f>
        <v>0</v>
      </c>
      <c r="WD360" s="18" t="str">
        <f ca="1">IF(SUM($VZ$1:$WC$1)&gt;0,IF(AND(SUM($VZ360:$WC360)&gt;0,$TM360=WE$1),MAX(WD$2:WD359)+1,""),IF(AND(SUM($UC360:$VY360)&gt;0,$TM360=WE$1),MAX(WD$2:WD359)+1,""))</f>
        <v/>
      </c>
      <c r="WE360" s="59" t="str">
        <f t="shared" ca="1" si="275"/>
        <v/>
      </c>
      <c r="WF360" s="18" t="str">
        <f ca="1">IF(AND(SUM($UB360:$VY360)&gt;0,$TM360=WG$1),MAX(WF$2:WF359)+1,"")</f>
        <v/>
      </c>
      <c r="WG360" s="59" t="str">
        <f t="shared" ca="1" si="276"/>
        <v/>
      </c>
      <c r="WH360" s="18" t="str">
        <f ca="1">IF(AND(SUM($UB360:$VY360)&gt;0,$TM360=WI$1),MAX(WH$2:WH359)+1,"")</f>
        <v/>
      </c>
      <c r="WI360" s="59" t="str">
        <f t="shared" ca="1" si="277"/>
        <v/>
      </c>
      <c r="WJ360" s="18" t="str">
        <f ca="1">IF(AND(SUM($UB360:$VY360)&gt;0,$TM360=WK$1),MAX(WJ$2:WJ359)+1,"")</f>
        <v/>
      </c>
      <c r="WK360" s="59" t="str">
        <f t="shared" ca="1" si="278"/>
        <v/>
      </c>
      <c r="WL360" s="18" t="str">
        <f ca="1">IF(AND(SUM($UB360:$VY360)&gt;0,$TM360=WM$1),MAX(WL$2:WL359)+1,"")</f>
        <v/>
      </c>
      <c r="WM360" s="59" t="str">
        <f t="shared" ca="1" si="279"/>
        <v/>
      </c>
      <c r="WN360" s="18" t="str">
        <f ca="1">IF(AND(SUM($UB360:$VY360)&gt;0,$TM360=WO$1),MAX(WN$2:WN359)+1,"")</f>
        <v/>
      </c>
      <c r="WO360" s="59" t="str">
        <f t="shared" ca="1" si="280"/>
        <v/>
      </c>
      <c r="WP360" s="18" t="str">
        <f ca="1">IF(AND(SUM($UB360:$VY360)&gt;0,$TM360=WQ$1),MAX(WP$2:WP359)+1,"")</f>
        <v/>
      </c>
      <c r="WQ360" s="59" t="str">
        <f t="shared" ca="1" si="281"/>
        <v/>
      </c>
      <c r="WR360" s="18" t="str">
        <f ca="1">IF(AND(SUM($UB360:$VY360)&gt;0,$TM360=WS$1),MAX(WR$2:WR359)+1,"")</f>
        <v/>
      </c>
      <c r="WS360" s="59" t="str">
        <f t="shared" ca="1" si="282"/>
        <v/>
      </c>
      <c r="WT360" s="18" t="str">
        <f ca="1">IF(AND(SUM($UB360:$VY360)&gt;0,$TM360=WU$1),MAX(WT$2:WT359)+1,"")</f>
        <v/>
      </c>
      <c r="WU360" s="59" t="str">
        <f t="shared" ca="1" si="283"/>
        <v/>
      </c>
      <c r="WV360" s="18" t="str">
        <f ca="1">IF(AND(SUM($UB360:$VY360)&gt;0,$TM360=WW$1),MAX(WV$2:WV359)+1,"")</f>
        <v/>
      </c>
      <c r="WW360" s="59" t="str">
        <f t="shared" ca="1" si="284"/>
        <v/>
      </c>
      <c r="WX360" s="18" t="str">
        <f ca="1">IF(AND(SUM($UB360:$VY360)&gt;0,$TM360=WY$1),MAX(WX$2:WX359)+1,"")</f>
        <v/>
      </c>
      <c r="WY360" s="59" t="str">
        <f t="shared" ca="1" si="285"/>
        <v/>
      </c>
    </row>
    <row r="361" spans="530:623" ht="9.9499999999999993" customHeight="1" x14ac:dyDescent="0.2">
      <c r="TJ361" s="18">
        <f t="shared" si="286"/>
        <v>359</v>
      </c>
      <c r="TK361" s="58" t="s">
        <v>1220</v>
      </c>
      <c r="TL361" s="58" t="s">
        <v>448</v>
      </c>
      <c r="TM361" s="18">
        <v>1</v>
      </c>
      <c r="TN361" s="59" t="str">
        <f t="shared" si="272"/>
        <v xml:space="preserve">Witch Bolt ᴴ </v>
      </c>
      <c r="TO361" s="350" t="s">
        <v>2991</v>
      </c>
      <c r="TP361" s="18" t="str">
        <f t="shared" si="273"/>
        <v/>
      </c>
      <c r="TQ361" s="18" t="str">
        <f>IF(OR(TK361=Spellcasting!$AC$18,TK361=Spellcasting!$AC$19),"ᵐ","")</f>
        <v/>
      </c>
      <c r="TR361" s="18" t="str">
        <f>IF(OR(TK361=Spellcasting!$AC$20,TK361=Spellcasting!$AC$21),"ˢ","")</f>
        <v/>
      </c>
      <c r="TS361" s="18" t="str">
        <f>""</f>
        <v/>
      </c>
      <c r="TT361" s="18" t="s">
        <v>484</v>
      </c>
      <c r="TU361" s="18" t="s">
        <v>851</v>
      </c>
      <c r="TV361" s="18" t="s">
        <v>558</v>
      </c>
      <c r="TW361" s="18" t="s">
        <v>495</v>
      </c>
      <c r="TX361" s="59" t="s">
        <v>1439</v>
      </c>
      <c r="TY361" s="18" t="s">
        <v>534</v>
      </c>
      <c r="TZ361" s="18" t="s">
        <v>535</v>
      </c>
      <c r="UA361" s="142" t="s">
        <v>3196</v>
      </c>
      <c r="UB361" s="319" t="str">
        <f ca="1">"ranged, 1d12"&amp;IF(WizardEvocationLevel&gt;=10,"+"&amp;INTMod,"")&amp;" lightning, use action to deal 1d12"&amp;IF(WizardEvocationLevel&gt;=10,"+"&amp;INTMod,IF(AD278=TRUE,"+"&amp;CHAMod,""))&amp;" lightning"</f>
        <v>ranged, 1d12 lightning, use action to deal 1d12 lightning</v>
      </c>
      <c r="UF361" s="18" t="str">
        <f ca="1">IF(UF$1&gt;=$TM361,1,"0")</f>
        <v>0</v>
      </c>
      <c r="UG361" s="18" t="str">
        <f ca="1">IF(UG$1&gt;=$TM361,1,"0")</f>
        <v>0</v>
      </c>
      <c r="UL361" s="18" t="str">
        <f ca="1">IF(UL$1&gt;=$TM361,1,"0")</f>
        <v>0</v>
      </c>
      <c r="VP361" s="18" t="str">
        <f>IF(VP$1&gt;=$TM361,1,"0")</f>
        <v>0</v>
      </c>
      <c r="WD361" s="18" t="str">
        <f ca="1">IF(SUM($VZ$1:$WC$1)&gt;0,IF(AND(SUM($VZ361:$WC361)&gt;0,$TM361=WE$1),MAX(WD$2:WD360)+1,""),IF(AND(SUM($UC361:$VY361)&gt;0,$TM361=WE$1),MAX(WD$2:WD360)+1,""))</f>
        <v/>
      </c>
      <c r="WE361" s="59" t="str">
        <f t="shared" ca="1" si="275"/>
        <v/>
      </c>
      <c r="WF361" s="18" t="str">
        <f ca="1">IF(AND(SUM($UB361:$VY361)&gt;0,$TM361=WG$1),MAX(WF$2:WF360)+1,"")</f>
        <v/>
      </c>
      <c r="WG361" s="59" t="str">
        <f t="shared" ca="1" si="276"/>
        <v/>
      </c>
      <c r="WH361" s="18" t="str">
        <f ca="1">IF(AND(SUM($UB361:$VY361)&gt;0,$TM361=WI$1),MAX(WH$2:WH360)+1,"")</f>
        <v/>
      </c>
      <c r="WI361" s="59" t="str">
        <f t="shared" ca="1" si="277"/>
        <v/>
      </c>
      <c r="WJ361" s="18" t="str">
        <f ca="1">IF(AND(SUM($UB361:$VY361)&gt;0,$TM361=WK$1),MAX(WJ$2:WJ360)+1,"")</f>
        <v/>
      </c>
      <c r="WK361" s="59" t="str">
        <f t="shared" ca="1" si="278"/>
        <v/>
      </c>
      <c r="WL361" s="18" t="str">
        <f ca="1">IF(AND(SUM($UB361:$VY361)&gt;0,$TM361=WM$1),MAX(WL$2:WL360)+1,"")</f>
        <v/>
      </c>
      <c r="WM361" s="59" t="str">
        <f t="shared" ca="1" si="279"/>
        <v/>
      </c>
      <c r="WN361" s="18" t="str">
        <f ca="1">IF(AND(SUM($UB361:$VY361)&gt;0,$TM361=WO$1),MAX(WN$2:WN360)+1,"")</f>
        <v/>
      </c>
      <c r="WO361" s="59" t="str">
        <f t="shared" ca="1" si="280"/>
        <v/>
      </c>
      <c r="WP361" s="18" t="str">
        <f ca="1">IF(AND(SUM($UB361:$VY361)&gt;0,$TM361=WQ$1),MAX(WP$2:WP360)+1,"")</f>
        <v/>
      </c>
      <c r="WQ361" s="59" t="str">
        <f t="shared" ca="1" si="281"/>
        <v/>
      </c>
      <c r="WR361" s="18" t="str">
        <f ca="1">IF(AND(SUM($UB361:$VY361)&gt;0,$TM361=WS$1),MAX(WR$2:WR360)+1,"")</f>
        <v/>
      </c>
      <c r="WS361" s="59" t="str">
        <f t="shared" ca="1" si="282"/>
        <v/>
      </c>
      <c r="WT361" s="18" t="str">
        <f ca="1">IF(AND(SUM($UB361:$VY361)&gt;0,$TM361=WU$1),MAX(WT$2:WT360)+1,"")</f>
        <v/>
      </c>
      <c r="WU361" s="59" t="str">
        <f t="shared" ca="1" si="283"/>
        <v/>
      </c>
      <c r="WV361" s="18" t="str">
        <f ca="1">IF(AND(SUM($UB361:$VY361)&gt;0,$TM361=WW$1),MAX(WV$2:WV360)+1,"")</f>
        <v/>
      </c>
      <c r="WW361" s="59" t="str">
        <f t="shared" ca="1" si="284"/>
        <v/>
      </c>
      <c r="WX361" s="18" t="str">
        <f ca="1">IF(AND(SUM($UB361:$VY361)&gt;0,$TM361=WY$1),MAX(WX$2:WX360)+1,"")</f>
        <v/>
      </c>
      <c r="WY361" s="59" t="str">
        <f t="shared" ca="1" si="285"/>
        <v/>
      </c>
    </row>
    <row r="362" spans="530:623" ht="9.9499999999999993" customHeight="1" x14ac:dyDescent="0.2">
      <c r="TJ362" s="18">
        <f t="shared" si="286"/>
        <v>360</v>
      </c>
      <c r="TK362" s="58" t="s">
        <v>1982</v>
      </c>
      <c r="TL362" s="58" t="s">
        <v>463</v>
      </c>
      <c r="TM362" s="18">
        <v>6</v>
      </c>
      <c r="TN362" s="59" t="str">
        <f t="shared" si="272"/>
        <v xml:space="preserve">Word of Recall </v>
      </c>
      <c r="TO362" s="18" t="str">
        <f>""</f>
        <v/>
      </c>
      <c r="TP362" s="18" t="str">
        <f t="shared" si="273"/>
        <v/>
      </c>
      <c r="TQ362" s="18" t="str">
        <f>IF(OR(TK362=Spellcasting!$AC$18,TK362=Spellcasting!$AC$19),"ᵐ","")</f>
        <v/>
      </c>
      <c r="TR362" s="18" t="str">
        <f>IF(OR(TK362=Spellcasting!$AC$20,TK362=Spellcasting!$AC$21),"ˢ","")</f>
        <v/>
      </c>
      <c r="TS362" s="18" t="str">
        <f>""</f>
        <v/>
      </c>
      <c r="TT362" s="18" t="s">
        <v>484</v>
      </c>
      <c r="TU362" s="18" t="s">
        <v>489</v>
      </c>
      <c r="TV362" s="18" t="s">
        <v>505</v>
      </c>
      <c r="TW362" s="18" t="s">
        <v>541</v>
      </c>
      <c r="TX362" s="59" t="str">
        <f>""</f>
        <v/>
      </c>
      <c r="TY362" s="18" t="s">
        <v>516</v>
      </c>
      <c r="TZ362" s="18" t="s">
        <v>517</v>
      </c>
      <c r="UA362" s="142" t="s">
        <v>2339</v>
      </c>
      <c r="UB362" s="319" t="s">
        <v>2340</v>
      </c>
      <c r="UH362" s="18" t="str">
        <f ca="1">IF(UH$1&gt;=$TM362,1,"0")</f>
        <v>0</v>
      </c>
      <c r="WD362" s="18" t="str">
        <f ca="1">IF(SUM($VZ$1:$WC$1)&gt;0,IF(AND(SUM($VZ362:$WC362)&gt;0,$TM362=WE$1),MAX(WD$2:WD361)+1,""),IF(AND(SUM($UC362:$VY362)&gt;0,$TM362=WE$1),MAX(WD$2:WD361)+1,""))</f>
        <v/>
      </c>
      <c r="WE362" s="59" t="str">
        <f t="shared" ca="1" si="275"/>
        <v/>
      </c>
      <c r="WF362" s="18" t="str">
        <f ca="1">IF(AND(SUM($UB362:$VY362)&gt;0,$TM362=WG$1),MAX(WF$2:WF361)+1,"")</f>
        <v/>
      </c>
      <c r="WG362" s="59" t="str">
        <f t="shared" ca="1" si="276"/>
        <v/>
      </c>
      <c r="WH362" s="18" t="str">
        <f ca="1">IF(AND(SUM($UB362:$VY362)&gt;0,$TM362=WI$1),MAX(WH$2:WH361)+1,"")</f>
        <v/>
      </c>
      <c r="WI362" s="59" t="str">
        <f t="shared" ca="1" si="277"/>
        <v/>
      </c>
      <c r="WJ362" s="18" t="str">
        <f ca="1">IF(AND(SUM($UB362:$VY362)&gt;0,$TM362=WK$1),MAX(WJ$2:WJ361)+1,"")</f>
        <v/>
      </c>
      <c r="WK362" s="59" t="str">
        <f t="shared" ca="1" si="278"/>
        <v/>
      </c>
      <c r="WL362" s="18" t="str">
        <f ca="1">IF(AND(SUM($UB362:$VY362)&gt;0,$TM362=WM$1),MAX(WL$2:WL361)+1,"")</f>
        <v/>
      </c>
      <c r="WM362" s="59" t="str">
        <f t="shared" ca="1" si="279"/>
        <v/>
      </c>
      <c r="WN362" s="18" t="str">
        <f ca="1">IF(AND(SUM($UB362:$VY362)&gt;0,$TM362=WO$1),MAX(WN$2:WN361)+1,"")</f>
        <v/>
      </c>
      <c r="WO362" s="59" t="str">
        <f t="shared" ca="1" si="280"/>
        <v/>
      </c>
      <c r="WP362" s="18" t="str">
        <f ca="1">IF(AND(SUM($UB362:$VY362)&gt;0,$TM362=WQ$1),MAX(WP$2:WP361)+1,"")</f>
        <v/>
      </c>
      <c r="WQ362" s="59" t="str">
        <f t="shared" ca="1" si="281"/>
        <v/>
      </c>
      <c r="WR362" s="18" t="str">
        <f ca="1">IF(AND(SUM($UB362:$VY362)&gt;0,$TM362=WS$1),MAX(WR$2:WR361)+1,"")</f>
        <v/>
      </c>
      <c r="WS362" s="59" t="str">
        <f t="shared" ca="1" si="282"/>
        <v/>
      </c>
      <c r="WT362" s="18" t="str">
        <f ca="1">IF(AND(SUM($UB362:$VY362)&gt;0,$TM362=WU$1),MAX(WT$2:WT361)+1,"")</f>
        <v/>
      </c>
      <c r="WU362" s="59" t="str">
        <f t="shared" ca="1" si="283"/>
        <v/>
      </c>
      <c r="WV362" s="18" t="str">
        <f ca="1">IF(AND(SUM($UB362:$VY362)&gt;0,$TM362=WW$1),MAX(WV$2:WV361)+1,"")</f>
        <v/>
      </c>
      <c r="WW362" s="59" t="str">
        <f t="shared" ca="1" si="284"/>
        <v/>
      </c>
      <c r="WX362" s="18" t="str">
        <f ca="1">IF(AND(SUM($UB362:$VY362)&gt;0,$TM362=WY$1),MAX(WX$2:WX361)+1,"")</f>
        <v/>
      </c>
      <c r="WY362" s="59" t="str">
        <f t="shared" ca="1" si="285"/>
        <v/>
      </c>
    </row>
    <row r="363" spans="530:623" ht="9.9499999999999993" customHeight="1" x14ac:dyDescent="0.2">
      <c r="TJ363" s="18">
        <f t="shared" si="286"/>
        <v>361</v>
      </c>
      <c r="TK363" s="58" t="s">
        <v>726</v>
      </c>
      <c r="TL363" s="58" t="s">
        <v>448</v>
      </c>
      <c r="TM363" s="18">
        <v>1</v>
      </c>
      <c r="TN363" s="59" t="str">
        <f t="shared" si="272"/>
        <v xml:space="preserve">Wrathful Smite </v>
      </c>
      <c r="TO363" s="18" t="str">
        <f>""</f>
        <v/>
      </c>
      <c r="TP363" s="18" t="str">
        <f t="shared" si="273"/>
        <v/>
      </c>
      <c r="TQ363" s="18" t="str">
        <f>IF(OR(TK363=Spellcasting!$AC$18,TK363=Spellcasting!$AC$19),"ᵐ","")</f>
        <v/>
      </c>
      <c r="TR363" s="18" t="str">
        <f>IF(OR(TK363=Spellcasting!$AC$20,TK363=Spellcasting!$AC$21),"ˢ","")</f>
        <v/>
      </c>
      <c r="TS363" s="18" t="str">
        <f>""</f>
        <v/>
      </c>
      <c r="TT363" s="18" t="s">
        <v>1256</v>
      </c>
      <c r="TU363" s="18" t="s">
        <v>509</v>
      </c>
      <c r="TV363" s="18" t="s">
        <v>558</v>
      </c>
      <c r="TW363" s="18" t="s">
        <v>541</v>
      </c>
      <c r="TX363" s="59" t="str">
        <f>""</f>
        <v/>
      </c>
      <c r="TY363" s="18" t="s">
        <v>534</v>
      </c>
      <c r="TZ363" s="18" t="s">
        <v>535</v>
      </c>
      <c r="UA363" s="142" t="s">
        <v>2227</v>
      </c>
      <c r="UB363" s="319" t="s">
        <v>2262</v>
      </c>
      <c r="UD363" s="18" t="str">
        <f ca="1">IF(UD$1&gt;=$TM363,1,"0")</f>
        <v>0</v>
      </c>
      <c r="WD363" s="18" t="str">
        <f ca="1">IF(SUM($VZ$1:$WC$1)&gt;0,IF(AND(SUM($VZ363:$WC363)&gt;0,$TM363=WE$1),MAX(WD$2:WD362)+1,""),IF(AND(SUM($UC363:$VY363)&gt;0,$TM363=WE$1),MAX(WD$2:WD362)+1,""))</f>
        <v/>
      </c>
      <c r="WE363" s="59" t="str">
        <f t="shared" ca="1" si="275"/>
        <v/>
      </c>
      <c r="WF363" s="18" t="str">
        <f ca="1">IF(AND(SUM($UB363:$VY363)&gt;0,$TM363=WG$1),MAX(WF$2:WF362)+1,"")</f>
        <v/>
      </c>
      <c r="WG363" s="59" t="str">
        <f t="shared" ca="1" si="276"/>
        <v/>
      </c>
      <c r="WH363" s="18" t="str">
        <f ca="1">IF(AND(SUM($UB363:$VY363)&gt;0,$TM363=WI$1),MAX(WH$2:WH362)+1,"")</f>
        <v/>
      </c>
      <c r="WI363" s="59" t="str">
        <f t="shared" ca="1" si="277"/>
        <v/>
      </c>
      <c r="WJ363" s="18" t="str">
        <f ca="1">IF(AND(SUM($UB363:$VY363)&gt;0,$TM363=WK$1),MAX(WJ$2:WJ362)+1,"")</f>
        <v/>
      </c>
      <c r="WK363" s="59" t="str">
        <f t="shared" ca="1" si="278"/>
        <v/>
      </c>
      <c r="WL363" s="18" t="str">
        <f ca="1">IF(AND(SUM($UB363:$VY363)&gt;0,$TM363=WM$1),MAX(WL$2:WL362)+1,"")</f>
        <v/>
      </c>
      <c r="WM363" s="59" t="str">
        <f t="shared" ca="1" si="279"/>
        <v/>
      </c>
      <c r="WN363" s="18" t="str">
        <f ca="1">IF(AND(SUM($UB363:$VY363)&gt;0,$TM363=WO$1),MAX(WN$2:WN362)+1,"")</f>
        <v/>
      </c>
      <c r="WO363" s="59" t="str">
        <f t="shared" ca="1" si="280"/>
        <v/>
      </c>
      <c r="WP363" s="18" t="str">
        <f ca="1">IF(AND(SUM($UB363:$VY363)&gt;0,$TM363=WQ$1),MAX(WP$2:WP362)+1,"")</f>
        <v/>
      </c>
      <c r="WQ363" s="59" t="str">
        <f t="shared" ca="1" si="281"/>
        <v/>
      </c>
      <c r="WR363" s="18" t="str">
        <f ca="1">IF(AND(SUM($UB363:$VY363)&gt;0,$TM363=WS$1),MAX(WR$2:WR362)+1,"")</f>
        <v/>
      </c>
      <c r="WS363" s="59" t="str">
        <f t="shared" ca="1" si="282"/>
        <v/>
      </c>
      <c r="WT363" s="18" t="str">
        <f ca="1">IF(AND(SUM($UB363:$VY363)&gt;0,$TM363=WU$1),MAX(WT$2:WT362)+1,"")</f>
        <v/>
      </c>
      <c r="WU363" s="59" t="str">
        <f t="shared" ca="1" si="283"/>
        <v/>
      </c>
      <c r="WV363" s="18" t="str">
        <f ca="1">IF(AND(SUM($UB363:$VY363)&gt;0,$TM363=WW$1),MAX(WV$2:WV362)+1,"")</f>
        <v/>
      </c>
      <c r="WW363" s="59" t="str">
        <f t="shared" ca="1" si="284"/>
        <v/>
      </c>
      <c r="WX363" s="18" t="str">
        <f ca="1">IF(AND(SUM($UB363:$VY363)&gt;0,$TM363=WY$1),MAX(WX$2:WX362)+1,"")</f>
        <v/>
      </c>
      <c r="WY363" s="59" t="str">
        <f t="shared" ca="1" si="285"/>
        <v/>
      </c>
    </row>
    <row r="364" spans="530:623" ht="9.9499999999999993" customHeight="1" x14ac:dyDescent="0.2">
      <c r="TJ364" s="18">
        <f t="shared" si="286"/>
        <v>362</v>
      </c>
      <c r="TK364" s="58" t="s">
        <v>727</v>
      </c>
      <c r="TL364" s="58" t="s">
        <v>459</v>
      </c>
      <c r="TM364" s="18">
        <v>2</v>
      </c>
      <c r="TN364" s="59" t="str">
        <f t="shared" si="272"/>
        <v xml:space="preserve">Zone of Truth </v>
      </c>
      <c r="TO364" s="18" t="str">
        <f>""</f>
        <v/>
      </c>
      <c r="TP364" s="18" t="str">
        <f t="shared" si="273"/>
        <v/>
      </c>
      <c r="TQ364" s="18" t="str">
        <f>IF(OR(TK364=Spellcasting!$AC$18,TK364=Spellcasting!$AC$19),"ᵐ","")</f>
        <v/>
      </c>
      <c r="TR364" s="18" t="str">
        <f>IF(OR(TK364=Spellcasting!$AC$20,TK364=Spellcasting!$AC$21),"ˢ","")</f>
        <v/>
      </c>
      <c r="TS364" s="18" t="str">
        <f>""</f>
        <v/>
      </c>
      <c r="TT364" s="18" t="s">
        <v>484</v>
      </c>
      <c r="TU364" s="18" t="s">
        <v>850</v>
      </c>
      <c r="TV364" s="18" t="s">
        <v>582</v>
      </c>
      <c r="TW364" s="18" t="s">
        <v>486</v>
      </c>
      <c r="TX364" s="59" t="str">
        <f>""</f>
        <v/>
      </c>
      <c r="TY364" s="18" t="s">
        <v>498</v>
      </c>
      <c r="TZ364" s="18" t="s">
        <v>499</v>
      </c>
      <c r="UA364" s="142" t="s">
        <v>1383</v>
      </c>
      <c r="UB364" s="319" t="s">
        <v>3050</v>
      </c>
      <c r="UC364" s="18" t="str">
        <f ca="1">IF(UC$1&gt;=$TM364,1,"0")</f>
        <v>0</v>
      </c>
      <c r="UD364" s="18" t="str">
        <f ca="1">IF(UD$1&gt;=$TM364,1,"0")</f>
        <v>0</v>
      </c>
      <c r="UH364" s="18" t="str">
        <f ca="1">IF(UH$1&gt;=$TM364,1,"0")</f>
        <v>0</v>
      </c>
      <c r="UO364" s="18" t="str">
        <f>IF(UO$1&gt;=$TM364,1,"0")</f>
        <v>0</v>
      </c>
      <c r="WD364" s="18" t="str">
        <f ca="1">IF(SUM($VZ$1:$WC$1)&gt;0,IF(AND(SUM($VZ364:$WC364)&gt;0,$TM364=WE$1),MAX(WD$2:WD363)+1,""),IF(AND(SUM($UC364:$VY364)&gt;0,$TM364=WE$1),MAX(WD$2:WD363)+1,""))</f>
        <v/>
      </c>
      <c r="WE364" s="59" t="str">
        <f t="shared" ca="1" si="275"/>
        <v/>
      </c>
      <c r="WF364" s="18" t="str">
        <f ca="1">IF(AND(SUM($UB364:$VY364)&gt;0,$TM364=WG$1),MAX(WF$2:WF363)+1,"")</f>
        <v/>
      </c>
      <c r="WG364" s="59" t="str">
        <f t="shared" ca="1" si="276"/>
        <v/>
      </c>
      <c r="WH364" s="18" t="str">
        <f ca="1">IF(AND(SUM($UB364:$VY364)&gt;0,$TM364=WI$1),MAX(WH$2:WH363)+1,"")</f>
        <v/>
      </c>
      <c r="WI364" s="59" t="str">
        <f t="shared" ca="1" si="277"/>
        <v/>
      </c>
      <c r="WJ364" s="18" t="str">
        <f ca="1">IF(AND(SUM($UB364:$VY364)&gt;0,$TM364=WK$1),MAX(WJ$2:WJ363)+1,"")</f>
        <v/>
      </c>
      <c r="WK364" s="59" t="str">
        <f t="shared" ca="1" si="278"/>
        <v/>
      </c>
      <c r="WL364" s="18" t="str">
        <f ca="1">IF(AND(SUM($UB364:$VY364)&gt;0,$TM364=WM$1),MAX(WL$2:WL363)+1,"")</f>
        <v/>
      </c>
      <c r="WM364" s="59" t="str">
        <f t="shared" ca="1" si="279"/>
        <v/>
      </c>
      <c r="WN364" s="18" t="str">
        <f ca="1">IF(AND(SUM($UB364:$VY364)&gt;0,$TM364=WO$1),MAX(WN$2:WN363)+1,"")</f>
        <v/>
      </c>
      <c r="WO364" s="59" t="str">
        <f t="shared" ca="1" si="280"/>
        <v/>
      </c>
      <c r="WP364" s="18" t="str">
        <f ca="1">IF(AND(SUM($UB364:$VY364)&gt;0,$TM364=WQ$1),MAX(WP$2:WP363)+1,"")</f>
        <v/>
      </c>
      <c r="WQ364" s="59" t="str">
        <f t="shared" ca="1" si="281"/>
        <v/>
      </c>
      <c r="WR364" s="18" t="str">
        <f ca="1">IF(AND(SUM($UB364:$VY364)&gt;0,$TM364=WS$1),MAX(WR$2:WR363)+1,"")</f>
        <v/>
      </c>
      <c r="WS364" s="59" t="str">
        <f t="shared" ca="1" si="282"/>
        <v/>
      </c>
      <c r="WT364" s="18" t="str">
        <f ca="1">IF(AND(SUM($UB364:$VY364)&gt;0,$TM364=WU$1),MAX(WT$2:WT363)+1,"")</f>
        <v/>
      </c>
      <c r="WU364" s="59" t="str">
        <f t="shared" ca="1" si="283"/>
        <v/>
      </c>
      <c r="WV364" s="18" t="str">
        <f ca="1">IF(AND(SUM($UB364:$VY364)&gt;0,$TM364=WW$1),MAX(WV$2:WV363)+1,"")</f>
        <v/>
      </c>
      <c r="WW364" s="59" t="str">
        <f t="shared" ca="1" si="284"/>
        <v/>
      </c>
      <c r="WX364" s="18" t="str">
        <f ca="1">IF(AND(SUM($UB364:$VY364)&gt;0,$TM364=WY$1),MAX(WX$2:WX363)+1,"")</f>
        <v/>
      </c>
      <c r="WY364" s="59" t="str">
        <f t="shared" ca="1" si="285"/>
        <v/>
      </c>
    </row>
    <row r="365" spans="530:623" ht="9.9499999999999993" customHeight="1" x14ac:dyDescent="0.2">
      <c r="TN365" s="59"/>
      <c r="WD365" s="18"/>
      <c r="WE365" s="59"/>
      <c r="WF365" s="18"/>
      <c r="WG365" s="59"/>
      <c r="WH365" s="18"/>
      <c r="WI365" s="59"/>
      <c r="WJ365" s="18"/>
      <c r="WK365" s="59"/>
      <c r="WL365" s="18"/>
      <c r="WM365" s="59"/>
      <c r="WN365" s="18"/>
      <c r="WO365" s="59"/>
      <c r="WP365" s="18"/>
      <c r="WQ365" s="59"/>
      <c r="WR365" s="18"/>
      <c r="WS365" s="59"/>
      <c r="WT365" s="18"/>
      <c r="WU365" s="59"/>
      <c r="WV365" s="18"/>
      <c r="WW365" s="59"/>
      <c r="WX365" s="18"/>
      <c r="WY365" s="59"/>
    </row>
    <row r="366" spans="530:623" ht="9.9499999999999993" customHeight="1" x14ac:dyDescent="0.2">
      <c r="TN366" s="59"/>
      <c r="WD366" s="18"/>
      <c r="WE366" s="59"/>
      <c r="WF366" s="18"/>
      <c r="WG366" s="59"/>
      <c r="WH366" s="18"/>
      <c r="WI366" s="59"/>
      <c r="WJ366" s="18"/>
      <c r="WK366" s="59"/>
      <c r="WL366" s="18"/>
      <c r="WM366" s="59"/>
      <c r="WN366" s="18"/>
      <c r="WO366" s="59"/>
      <c r="WP366" s="18"/>
      <c r="WQ366" s="59"/>
      <c r="WR366" s="18"/>
      <c r="WS366" s="59"/>
      <c r="WT366" s="18"/>
      <c r="WU366" s="59"/>
      <c r="WV366" s="18"/>
      <c r="WW366" s="59"/>
      <c r="WX366" s="18"/>
      <c r="WY366" s="59"/>
    </row>
    <row r="367" spans="530:623" ht="9.9499999999999993" customHeight="1" x14ac:dyDescent="0.2">
      <c r="TN367" s="59"/>
      <c r="UA367" s="142"/>
      <c r="WD367" s="18"/>
      <c r="WE367" s="59"/>
      <c r="WF367" s="18"/>
      <c r="WG367" s="59"/>
      <c r="WH367" s="18"/>
      <c r="WI367" s="59"/>
      <c r="WJ367" s="18"/>
      <c r="WK367" s="59"/>
      <c r="WL367" s="18"/>
      <c r="WM367" s="59"/>
      <c r="WN367" s="18"/>
      <c r="WO367" s="59"/>
      <c r="WP367" s="18"/>
      <c r="WQ367" s="59"/>
      <c r="WR367" s="18"/>
      <c r="WS367" s="59"/>
      <c r="WT367" s="18"/>
      <c r="WU367" s="59"/>
      <c r="WV367" s="18"/>
      <c r="WW367" s="59"/>
      <c r="WX367" s="18"/>
      <c r="WY367" s="59"/>
    </row>
    <row r="368" spans="530:623" ht="9.9499999999999993" customHeight="1" x14ac:dyDescent="0.2">
      <c r="TN368" s="59"/>
      <c r="WD368" s="18"/>
      <c r="WE368" s="59"/>
      <c r="WF368" s="18"/>
      <c r="WG368" s="59"/>
      <c r="WH368" s="18"/>
      <c r="WI368" s="59"/>
      <c r="WJ368" s="18"/>
      <c r="WK368" s="59"/>
      <c r="WL368" s="18"/>
      <c r="WM368" s="59"/>
      <c r="WN368" s="18"/>
      <c r="WO368" s="59"/>
      <c r="WP368" s="18"/>
      <c r="WQ368" s="59"/>
      <c r="WR368" s="18"/>
      <c r="WS368" s="59"/>
      <c r="WT368" s="18"/>
      <c r="WU368" s="59"/>
      <c r="WV368" s="18"/>
      <c r="WW368" s="59"/>
      <c r="WX368" s="18"/>
      <c r="WY368" s="59"/>
    </row>
    <row r="369" spans="534:623" ht="9.9499999999999993" customHeight="1" x14ac:dyDescent="0.2">
      <c r="TN369" s="59"/>
      <c r="WD369" s="18"/>
      <c r="WE369" s="59"/>
      <c r="WF369" s="18"/>
      <c r="WG369" s="59"/>
      <c r="WH369" s="18"/>
      <c r="WI369" s="59"/>
      <c r="WJ369" s="18"/>
      <c r="WK369" s="59"/>
      <c r="WL369" s="18"/>
      <c r="WM369" s="59"/>
      <c r="WN369" s="18"/>
      <c r="WO369" s="59"/>
      <c r="WP369" s="18"/>
      <c r="WQ369" s="59"/>
      <c r="WR369" s="18"/>
      <c r="WS369" s="59"/>
      <c r="WT369" s="18"/>
      <c r="WU369" s="59"/>
      <c r="WV369" s="18"/>
      <c r="WW369" s="59"/>
      <c r="WX369" s="18"/>
      <c r="WY369" s="59"/>
    </row>
    <row r="370" spans="534:623" ht="9.9499999999999993" customHeight="1" x14ac:dyDescent="0.2">
      <c r="TN370" s="59"/>
      <c r="WD370" s="18"/>
      <c r="WE370" s="59"/>
      <c r="WF370" s="18"/>
      <c r="WG370" s="59"/>
      <c r="WH370" s="18"/>
      <c r="WI370" s="59"/>
      <c r="WJ370" s="18"/>
      <c r="WK370" s="59"/>
      <c r="WL370" s="18"/>
      <c r="WM370" s="59"/>
      <c r="WN370" s="18"/>
      <c r="WO370" s="59"/>
      <c r="WP370" s="18"/>
      <c r="WQ370" s="59"/>
      <c r="WR370" s="18"/>
      <c r="WS370" s="59"/>
      <c r="WT370" s="18"/>
      <c r="WU370" s="59"/>
      <c r="WV370" s="18"/>
      <c r="WW370" s="59"/>
      <c r="WX370" s="18"/>
      <c r="WY370" s="59"/>
    </row>
    <row r="371" spans="534:623" ht="9.9499999999999993" customHeight="1" x14ac:dyDescent="0.2">
      <c r="TN371" s="59"/>
      <c r="WD371" s="18"/>
      <c r="WE371" s="59"/>
      <c r="WF371" s="18"/>
      <c r="WG371" s="59"/>
      <c r="WH371" s="18"/>
      <c r="WI371" s="59"/>
      <c r="WJ371" s="18"/>
      <c r="WK371" s="59"/>
      <c r="WL371" s="18"/>
      <c r="WM371" s="59"/>
      <c r="WN371" s="18"/>
      <c r="WO371" s="59"/>
      <c r="WP371" s="18"/>
      <c r="WQ371" s="59"/>
      <c r="WR371" s="18"/>
      <c r="WS371" s="59"/>
      <c r="WT371" s="18"/>
      <c r="WU371" s="59"/>
      <c r="WV371" s="18"/>
      <c r="WW371" s="59"/>
      <c r="WX371" s="18"/>
      <c r="WY371" s="59"/>
    </row>
    <row r="372" spans="534:623" ht="9.9499999999999993" customHeight="1" x14ac:dyDescent="0.2">
      <c r="TN372" s="59"/>
      <c r="WD372" s="18"/>
      <c r="WE372" s="59"/>
      <c r="WF372" s="18"/>
      <c r="WG372" s="59"/>
      <c r="WH372" s="18"/>
      <c r="WI372" s="59"/>
      <c r="WJ372" s="18"/>
      <c r="WK372" s="59"/>
      <c r="WL372" s="18"/>
      <c r="WM372" s="59"/>
      <c r="WN372" s="18"/>
      <c r="WO372" s="59"/>
      <c r="WP372" s="18"/>
      <c r="WQ372" s="59"/>
      <c r="WR372" s="18"/>
      <c r="WS372" s="59"/>
      <c r="WT372" s="18"/>
      <c r="WU372" s="59"/>
      <c r="WV372" s="18"/>
      <c r="WW372" s="59"/>
      <c r="WX372" s="18"/>
      <c r="WY372" s="59"/>
    </row>
    <row r="373" spans="534:623" ht="9.9499999999999993" customHeight="1" x14ac:dyDescent="0.2">
      <c r="TN373" s="59"/>
      <c r="WD373" s="18"/>
      <c r="WE373" s="59"/>
      <c r="WF373" s="18"/>
      <c r="WG373" s="59"/>
      <c r="WH373" s="18"/>
      <c r="WI373" s="59"/>
      <c r="WJ373" s="18"/>
      <c r="WK373" s="59"/>
      <c r="WL373" s="18"/>
      <c r="WM373" s="59"/>
      <c r="WN373" s="18"/>
      <c r="WO373" s="59"/>
      <c r="WP373" s="18"/>
      <c r="WQ373" s="59"/>
      <c r="WR373" s="18"/>
      <c r="WS373" s="59"/>
      <c r="WT373" s="18"/>
      <c r="WU373" s="59"/>
      <c r="WV373" s="18"/>
      <c r="WW373" s="59"/>
      <c r="WX373" s="18"/>
      <c r="WY373" s="59"/>
    </row>
    <row r="374" spans="534:623" ht="9.9499999999999993" customHeight="1" x14ac:dyDescent="0.2">
      <c r="TN374" s="59"/>
      <c r="WD374" s="18"/>
      <c r="WE374" s="59"/>
      <c r="WF374" s="18"/>
      <c r="WG374" s="59"/>
      <c r="WH374" s="18"/>
      <c r="WI374" s="59"/>
      <c r="WJ374" s="18"/>
      <c r="WK374" s="59"/>
      <c r="WL374" s="18"/>
      <c r="WM374" s="59"/>
      <c r="WN374" s="18"/>
      <c r="WO374" s="59"/>
      <c r="WP374" s="18"/>
      <c r="WQ374" s="59"/>
      <c r="WR374" s="18"/>
      <c r="WS374" s="59"/>
      <c r="WT374" s="18"/>
      <c r="WU374" s="59"/>
      <c r="WV374" s="18"/>
      <c r="WW374" s="59"/>
      <c r="WX374" s="18"/>
      <c r="WY374" s="59"/>
    </row>
    <row r="375" spans="534:623" ht="9.9499999999999993" customHeight="1" x14ac:dyDescent="0.2">
      <c r="TN375" s="59"/>
      <c r="WD375" s="18"/>
      <c r="WE375" s="59"/>
      <c r="WF375" s="18"/>
      <c r="WG375" s="59"/>
      <c r="WH375" s="18"/>
      <c r="WI375" s="59"/>
      <c r="WJ375" s="18"/>
      <c r="WK375" s="59"/>
      <c r="WL375" s="18"/>
      <c r="WM375" s="59"/>
      <c r="WN375" s="18"/>
      <c r="WO375" s="59"/>
      <c r="WP375" s="18"/>
      <c r="WQ375" s="59"/>
      <c r="WR375" s="18"/>
      <c r="WS375" s="59"/>
      <c r="WT375" s="18"/>
      <c r="WU375" s="59"/>
      <c r="WV375" s="18"/>
      <c r="WW375" s="59"/>
      <c r="WX375" s="18"/>
      <c r="WY375" s="59"/>
    </row>
    <row r="376" spans="534:623" ht="9.9499999999999993" customHeight="1" x14ac:dyDescent="0.2">
      <c r="TN376" s="59"/>
      <c r="WD376" s="18"/>
      <c r="WE376" s="59"/>
      <c r="WF376" s="18"/>
      <c r="WG376" s="59"/>
      <c r="WH376" s="18"/>
      <c r="WI376" s="59"/>
      <c r="WJ376" s="18"/>
      <c r="WK376" s="59"/>
      <c r="WL376" s="18"/>
      <c r="WM376" s="59"/>
      <c r="WN376" s="18"/>
      <c r="WO376" s="59"/>
      <c r="WP376" s="18"/>
      <c r="WQ376" s="59"/>
      <c r="WR376" s="18"/>
      <c r="WS376" s="59"/>
      <c r="WT376" s="18"/>
      <c r="WU376" s="59"/>
      <c r="WV376" s="18"/>
      <c r="WW376" s="59"/>
      <c r="WX376" s="18"/>
      <c r="WY376" s="59"/>
    </row>
    <row r="377" spans="534:623" ht="9.9499999999999993" customHeight="1" x14ac:dyDescent="0.2">
      <c r="TN377" s="59"/>
      <c r="WD377" s="18"/>
      <c r="WE377" s="59"/>
      <c r="WF377" s="18"/>
      <c r="WG377" s="59"/>
      <c r="WH377" s="18"/>
      <c r="WI377" s="59"/>
      <c r="WJ377" s="18"/>
      <c r="WK377" s="59"/>
      <c r="WL377" s="18"/>
      <c r="WM377" s="59"/>
      <c r="WN377" s="18"/>
      <c r="WO377" s="59"/>
      <c r="WP377" s="18"/>
      <c r="WQ377" s="59"/>
      <c r="WR377" s="18"/>
      <c r="WS377" s="59"/>
      <c r="WT377" s="18"/>
      <c r="WU377" s="59"/>
      <c r="WV377" s="18"/>
      <c r="WW377" s="59"/>
      <c r="WX377" s="18"/>
      <c r="WY377" s="59"/>
    </row>
    <row r="378" spans="534:623" ht="9.9499999999999993" customHeight="1" x14ac:dyDescent="0.2">
      <c r="TN378" s="59"/>
      <c r="WD378" s="18"/>
      <c r="WE378" s="59"/>
      <c r="WF378" s="18"/>
      <c r="WG378" s="59"/>
      <c r="WH378" s="18"/>
      <c r="WI378" s="59"/>
      <c r="WJ378" s="18"/>
      <c r="WK378" s="59"/>
      <c r="WL378" s="18"/>
      <c r="WM378" s="59"/>
      <c r="WN378" s="18"/>
      <c r="WO378" s="59"/>
      <c r="WP378" s="18"/>
      <c r="WQ378" s="59"/>
      <c r="WR378" s="18"/>
      <c r="WS378" s="59"/>
      <c r="WT378" s="18"/>
      <c r="WU378" s="59"/>
      <c r="WV378" s="18"/>
      <c r="WW378" s="59"/>
      <c r="WX378" s="18"/>
      <c r="WY378" s="59"/>
    </row>
    <row r="379" spans="534:623" ht="9.9499999999999993" customHeight="1" x14ac:dyDescent="0.2">
      <c r="TN379" s="59"/>
      <c r="WD379" s="18"/>
      <c r="WE379" s="59"/>
      <c r="WF379" s="18"/>
      <c r="WG379" s="59"/>
      <c r="WH379" s="18"/>
      <c r="WI379" s="59"/>
      <c r="WJ379" s="18"/>
      <c r="WK379" s="59"/>
      <c r="WL379" s="18"/>
      <c r="WM379" s="59"/>
      <c r="WN379" s="18"/>
      <c r="WO379" s="59"/>
      <c r="WP379" s="18"/>
      <c r="WQ379" s="59"/>
      <c r="WR379" s="18"/>
      <c r="WS379" s="59"/>
      <c r="WT379" s="18"/>
      <c r="WU379" s="59"/>
      <c r="WV379" s="18"/>
      <c r="WW379" s="59"/>
      <c r="WX379" s="18"/>
      <c r="WY379" s="59"/>
    </row>
    <row r="380" spans="534:623" ht="9.9499999999999993" customHeight="1" x14ac:dyDescent="0.2">
      <c r="TN380" s="59"/>
      <c r="WD380" s="18"/>
      <c r="WE380" s="59"/>
      <c r="WF380" s="18"/>
      <c r="WG380" s="59"/>
      <c r="WH380" s="18"/>
      <c r="WI380" s="59"/>
      <c r="WJ380" s="18"/>
      <c r="WK380" s="59"/>
      <c r="WL380" s="18"/>
      <c r="WM380" s="59"/>
      <c r="WN380" s="18"/>
      <c r="WO380" s="59"/>
      <c r="WP380" s="18"/>
      <c r="WQ380" s="59"/>
      <c r="WR380" s="18"/>
      <c r="WS380" s="59"/>
      <c r="WT380" s="18"/>
      <c r="WU380" s="59"/>
      <c r="WV380" s="18"/>
      <c r="WW380" s="59"/>
      <c r="WX380" s="18"/>
      <c r="WY380" s="59"/>
    </row>
    <row r="381" spans="534:623" ht="9.9499999999999993" customHeight="1" x14ac:dyDescent="0.2">
      <c r="TN381" s="59"/>
      <c r="WD381" s="18"/>
      <c r="WE381" s="59"/>
      <c r="WF381" s="18"/>
      <c r="WG381" s="59"/>
      <c r="WH381" s="18"/>
      <c r="WI381" s="59"/>
      <c r="WJ381" s="18"/>
      <c r="WK381" s="59"/>
      <c r="WL381" s="18"/>
      <c r="WM381" s="59"/>
      <c r="WN381" s="18"/>
      <c r="WO381" s="59"/>
      <c r="WP381" s="18"/>
      <c r="WQ381" s="59"/>
      <c r="WR381" s="18"/>
      <c r="WS381" s="59"/>
      <c r="WT381" s="18"/>
      <c r="WU381" s="59"/>
      <c r="WV381" s="18"/>
      <c r="WW381" s="59"/>
      <c r="WX381" s="18"/>
      <c r="WY381" s="59"/>
    </row>
    <row r="382" spans="534:623" ht="9.9499999999999993" customHeight="1" x14ac:dyDescent="0.2">
      <c r="TN382" s="59"/>
      <c r="WD382" s="18"/>
      <c r="WE382" s="59"/>
      <c r="WF382" s="18"/>
      <c r="WG382" s="59"/>
      <c r="WH382" s="18"/>
      <c r="WI382" s="59"/>
      <c r="WJ382" s="18"/>
      <c r="WK382" s="59"/>
      <c r="WL382" s="18"/>
      <c r="WM382" s="59"/>
      <c r="WN382" s="18"/>
      <c r="WO382" s="59"/>
      <c r="WP382" s="18"/>
      <c r="WQ382" s="59"/>
      <c r="WR382" s="18"/>
      <c r="WS382" s="59"/>
      <c r="WT382" s="18"/>
      <c r="WU382" s="59"/>
      <c r="WV382" s="18"/>
      <c r="WW382" s="59"/>
      <c r="WX382" s="18"/>
      <c r="WY382" s="59"/>
    </row>
    <row r="383" spans="534:623" ht="9.9499999999999993" customHeight="1" x14ac:dyDescent="0.2">
      <c r="TN383" s="59"/>
      <c r="WD383" s="18"/>
      <c r="WE383" s="59"/>
      <c r="WF383" s="18"/>
      <c r="WG383" s="59"/>
      <c r="WH383" s="18"/>
      <c r="WI383" s="59"/>
      <c r="WJ383" s="18"/>
      <c r="WK383" s="59"/>
      <c r="WL383" s="18"/>
      <c r="WM383" s="59"/>
      <c r="WN383" s="18"/>
      <c r="WO383" s="59"/>
      <c r="WP383" s="18"/>
      <c r="WQ383" s="59"/>
      <c r="WR383" s="18"/>
      <c r="WS383" s="59"/>
      <c r="WT383" s="18"/>
      <c r="WU383" s="59"/>
      <c r="WV383" s="18"/>
      <c r="WW383" s="59"/>
      <c r="WX383" s="18"/>
      <c r="WY383" s="59"/>
    </row>
    <row r="384" spans="534:623" ht="9.9499999999999993" customHeight="1" x14ac:dyDescent="0.2">
      <c r="TN384" s="59"/>
      <c r="WD384" s="18"/>
      <c r="WE384" s="59"/>
      <c r="WF384" s="18"/>
      <c r="WG384" s="59"/>
      <c r="WH384" s="18"/>
      <c r="WI384" s="59"/>
      <c r="WJ384" s="18"/>
      <c r="WK384" s="59"/>
      <c r="WL384" s="18"/>
      <c r="WM384" s="59"/>
      <c r="WN384" s="18"/>
      <c r="WO384" s="59"/>
      <c r="WP384" s="18"/>
      <c r="WQ384" s="59"/>
      <c r="WR384" s="18"/>
      <c r="WS384" s="59"/>
      <c r="WT384" s="18"/>
      <c r="WU384" s="59"/>
      <c r="WV384" s="18"/>
      <c r="WW384" s="59"/>
      <c r="WX384" s="18"/>
      <c r="WY384" s="59"/>
    </row>
    <row r="385" spans="534:623" ht="9.9499999999999993" customHeight="1" x14ac:dyDescent="0.2">
      <c r="TN385" s="59"/>
      <c r="WD385" s="18"/>
      <c r="WE385" s="59"/>
      <c r="WF385" s="18"/>
      <c r="WG385" s="59"/>
      <c r="WH385" s="18"/>
      <c r="WI385" s="59"/>
      <c r="WJ385" s="18"/>
      <c r="WK385" s="59"/>
      <c r="WL385" s="18"/>
      <c r="WM385" s="59"/>
      <c r="WN385" s="18"/>
      <c r="WO385" s="59"/>
      <c r="WP385" s="18"/>
      <c r="WQ385" s="59"/>
      <c r="WR385" s="18"/>
      <c r="WS385" s="59"/>
      <c r="WT385" s="18"/>
      <c r="WU385" s="59"/>
      <c r="WV385" s="18"/>
      <c r="WW385" s="59"/>
      <c r="WX385" s="18"/>
      <c r="WY385" s="59"/>
    </row>
    <row r="386" spans="534:623" ht="9.9499999999999993" customHeight="1" x14ac:dyDescent="0.2">
      <c r="TN386" s="59"/>
      <c r="WD386" s="18"/>
      <c r="WE386" s="59"/>
      <c r="WF386" s="18"/>
      <c r="WG386" s="59"/>
      <c r="WH386" s="18"/>
      <c r="WI386" s="59"/>
      <c r="WJ386" s="18"/>
      <c r="WK386" s="59"/>
      <c r="WL386" s="18"/>
      <c r="WM386" s="59"/>
      <c r="WN386" s="18"/>
      <c r="WO386" s="59"/>
      <c r="WP386" s="18"/>
      <c r="WQ386" s="59"/>
      <c r="WR386" s="18"/>
      <c r="WS386" s="59"/>
      <c r="WT386" s="18"/>
      <c r="WU386" s="59"/>
      <c r="WV386" s="18"/>
      <c r="WW386" s="59"/>
      <c r="WX386" s="18"/>
      <c r="WY386" s="59"/>
    </row>
    <row r="387" spans="534:623" ht="9.9499999999999993" customHeight="1" x14ac:dyDescent="0.2">
      <c r="TN387" s="59"/>
      <c r="WD387" s="18"/>
      <c r="WE387" s="59"/>
      <c r="WF387" s="18"/>
      <c r="WG387" s="59"/>
      <c r="WH387" s="18"/>
      <c r="WI387" s="59"/>
      <c r="WJ387" s="18"/>
      <c r="WK387" s="59"/>
      <c r="WL387" s="18"/>
      <c r="WM387" s="59"/>
      <c r="WN387" s="18"/>
      <c r="WO387" s="59"/>
      <c r="WP387" s="18"/>
      <c r="WQ387" s="59"/>
      <c r="WR387" s="18"/>
      <c r="WS387" s="59"/>
      <c r="WT387" s="18"/>
      <c r="WU387" s="59"/>
      <c r="WV387" s="18"/>
      <c r="WW387" s="59"/>
      <c r="WX387" s="18"/>
      <c r="WY387" s="59"/>
    </row>
    <row r="388" spans="534:623" ht="9.9499999999999993" customHeight="1" x14ac:dyDescent="0.2">
      <c r="TN388" s="59"/>
      <c r="WD388" s="18"/>
      <c r="WE388" s="59"/>
      <c r="WF388" s="18"/>
      <c r="WG388" s="59"/>
      <c r="WH388" s="18"/>
      <c r="WI388" s="59"/>
      <c r="WJ388" s="18"/>
      <c r="WK388" s="59"/>
      <c r="WL388" s="18"/>
      <c r="WM388" s="59"/>
      <c r="WN388" s="18"/>
      <c r="WO388" s="59"/>
      <c r="WP388" s="18"/>
      <c r="WQ388" s="59"/>
      <c r="WR388" s="18"/>
      <c r="WS388" s="59"/>
      <c r="WT388" s="18"/>
      <c r="WU388" s="59"/>
      <c r="WV388" s="18"/>
      <c r="WW388" s="59"/>
      <c r="WX388" s="18"/>
      <c r="WY388" s="59"/>
    </row>
    <row r="389" spans="534:623" ht="9.9499999999999993" customHeight="1" x14ac:dyDescent="0.2">
      <c r="TN389" s="59"/>
      <c r="WD389" s="18"/>
      <c r="WE389" s="59"/>
      <c r="WF389" s="18"/>
      <c r="WG389" s="59"/>
      <c r="WH389" s="18"/>
      <c r="WI389" s="59"/>
      <c r="WJ389" s="18"/>
      <c r="WK389" s="59"/>
      <c r="WL389" s="18"/>
      <c r="WM389" s="59"/>
      <c r="WN389" s="18"/>
      <c r="WO389" s="59"/>
      <c r="WP389" s="18"/>
      <c r="WQ389" s="59"/>
      <c r="WR389" s="18"/>
      <c r="WS389" s="59"/>
      <c r="WT389" s="18"/>
      <c r="WU389" s="59"/>
      <c r="WV389" s="18"/>
      <c r="WW389" s="59"/>
      <c r="WX389" s="18"/>
      <c r="WY389" s="59"/>
    </row>
    <row r="390" spans="534:623" ht="9.9499999999999993" customHeight="1" x14ac:dyDescent="0.2">
      <c r="TN390" s="59"/>
      <c r="WD390" s="18"/>
      <c r="WE390" s="59"/>
      <c r="WF390" s="18"/>
      <c r="WG390" s="59"/>
      <c r="WH390" s="18"/>
      <c r="WI390" s="59"/>
      <c r="WJ390" s="18"/>
      <c r="WK390" s="59"/>
      <c r="WL390" s="18"/>
      <c r="WM390" s="59"/>
      <c r="WN390" s="18"/>
      <c r="WO390" s="59"/>
      <c r="WP390" s="18"/>
      <c r="WQ390" s="59"/>
      <c r="WR390" s="18"/>
      <c r="WS390" s="59"/>
      <c r="WT390" s="18"/>
      <c r="WU390" s="59"/>
      <c r="WV390" s="18"/>
      <c r="WW390" s="59"/>
      <c r="WX390" s="18"/>
      <c r="WY390" s="59"/>
    </row>
    <row r="391" spans="534:623" ht="9.9499999999999993" customHeight="1" x14ac:dyDescent="0.2">
      <c r="TN391" s="59"/>
      <c r="WD391" s="18"/>
      <c r="WE391" s="59"/>
      <c r="WF391" s="18"/>
      <c r="WG391" s="59"/>
      <c r="WH391" s="18"/>
      <c r="WI391" s="59"/>
      <c r="WJ391" s="18"/>
      <c r="WK391" s="59"/>
      <c r="WL391" s="18"/>
      <c r="WM391" s="59"/>
      <c r="WN391" s="18"/>
      <c r="WO391" s="59"/>
      <c r="WP391" s="18"/>
      <c r="WQ391" s="59"/>
      <c r="WR391" s="18"/>
      <c r="WS391" s="59"/>
      <c r="WT391" s="18"/>
      <c r="WU391" s="59"/>
      <c r="WV391" s="18"/>
      <c r="WW391" s="59"/>
      <c r="WX391" s="18"/>
      <c r="WY391" s="59"/>
    </row>
    <row r="392" spans="534:623" ht="9.9499999999999993" customHeight="1" x14ac:dyDescent="0.2">
      <c r="TN392" s="59"/>
      <c r="WD392" s="18"/>
      <c r="WE392" s="59"/>
      <c r="WF392" s="18"/>
      <c r="WG392" s="59"/>
      <c r="WH392" s="18"/>
      <c r="WI392" s="59"/>
      <c r="WJ392" s="18"/>
      <c r="WK392" s="59"/>
      <c r="WL392" s="18"/>
      <c r="WM392" s="59"/>
      <c r="WN392" s="18"/>
      <c r="WO392" s="59"/>
      <c r="WP392" s="18"/>
      <c r="WQ392" s="59"/>
      <c r="WR392" s="18"/>
      <c r="WS392" s="59"/>
      <c r="WT392" s="18"/>
      <c r="WU392" s="59"/>
      <c r="WV392" s="18"/>
      <c r="WW392" s="59"/>
      <c r="WX392" s="18"/>
      <c r="WY392" s="59"/>
    </row>
    <row r="393" spans="534:623" ht="9.9499999999999993" customHeight="1" x14ac:dyDescent="0.2">
      <c r="TN393" s="59"/>
      <c r="WD393" s="18"/>
      <c r="WE393" s="59"/>
      <c r="WF393" s="18"/>
      <c r="WG393" s="59"/>
      <c r="WH393" s="18"/>
      <c r="WI393" s="59"/>
      <c r="WJ393" s="18"/>
      <c r="WK393" s="59"/>
      <c r="WL393" s="18"/>
      <c r="WM393" s="59"/>
      <c r="WN393" s="18"/>
      <c r="WO393" s="59"/>
      <c r="WP393" s="18"/>
      <c r="WQ393" s="59"/>
      <c r="WR393" s="18"/>
      <c r="WS393" s="59"/>
      <c r="WT393" s="18"/>
      <c r="WU393" s="59"/>
      <c r="WV393" s="18"/>
      <c r="WW393" s="59"/>
      <c r="WX393" s="18"/>
      <c r="WY393" s="59"/>
    </row>
    <row r="394" spans="534:623" ht="9.9499999999999993" customHeight="1" x14ac:dyDescent="0.2">
      <c r="TN394" s="59"/>
      <c r="WD394" s="18"/>
      <c r="WE394" s="59"/>
      <c r="WF394" s="18"/>
      <c r="WG394" s="59"/>
      <c r="WH394" s="18"/>
      <c r="WI394" s="59"/>
      <c r="WJ394" s="18"/>
      <c r="WK394" s="59"/>
      <c r="WL394" s="18"/>
      <c r="WM394" s="59"/>
      <c r="WN394" s="18"/>
      <c r="WO394" s="59"/>
      <c r="WP394" s="18"/>
      <c r="WQ394" s="59"/>
      <c r="WR394" s="18"/>
      <c r="WS394" s="59"/>
      <c r="WT394" s="18"/>
      <c r="WU394" s="59"/>
      <c r="WV394" s="18"/>
      <c r="WW394" s="59"/>
      <c r="WX394" s="18"/>
      <c r="WY394" s="59"/>
    </row>
    <row r="395" spans="534:623" ht="9.9499999999999993" customHeight="1" x14ac:dyDescent="0.2">
      <c r="TN395" s="59"/>
      <c r="WD395" s="18"/>
      <c r="WE395" s="59"/>
      <c r="WF395" s="18"/>
      <c r="WG395" s="59"/>
      <c r="WH395" s="18"/>
      <c r="WI395" s="59"/>
      <c r="WJ395" s="18"/>
      <c r="WK395" s="59"/>
      <c r="WL395" s="18"/>
      <c r="WM395" s="59"/>
      <c r="WN395" s="18"/>
      <c r="WO395" s="59"/>
      <c r="WP395" s="18"/>
      <c r="WQ395" s="59"/>
      <c r="WR395" s="18"/>
      <c r="WS395" s="59"/>
      <c r="WT395" s="18"/>
      <c r="WU395" s="59"/>
      <c r="WV395" s="18"/>
      <c r="WW395" s="59"/>
      <c r="WX395" s="18"/>
      <c r="WY395" s="59"/>
    </row>
    <row r="396" spans="534:623" ht="9.9499999999999993" customHeight="1" x14ac:dyDescent="0.2">
      <c r="TN396" s="59"/>
      <c r="WD396" s="18"/>
      <c r="WE396" s="18"/>
      <c r="WF396" s="18"/>
      <c r="WG396" s="59"/>
      <c r="WH396" s="18"/>
      <c r="WI396" s="59"/>
      <c r="WJ396" s="18"/>
      <c r="WK396" s="59"/>
      <c r="WL396" s="18"/>
      <c r="WM396" s="59"/>
      <c r="WN396" s="18"/>
      <c r="WO396" s="59"/>
      <c r="WP396" s="18"/>
      <c r="WQ396" s="59"/>
      <c r="WR396" s="18"/>
      <c r="WS396" s="59"/>
      <c r="WT396" s="18"/>
      <c r="WU396" s="59"/>
      <c r="WV396" s="18"/>
      <c r="WW396" s="59"/>
      <c r="WX396" s="18"/>
      <c r="WY396" s="59"/>
    </row>
    <row r="397" spans="534:623" ht="9.9499999999999993" customHeight="1" x14ac:dyDescent="0.2">
      <c r="WD397" s="18"/>
      <c r="WE397" s="18"/>
      <c r="WF397" s="18"/>
      <c r="WG397" s="59"/>
      <c r="WH397" s="18"/>
      <c r="WI397" s="59"/>
      <c r="WJ397" s="18"/>
      <c r="WK397" s="59"/>
      <c r="WL397" s="18"/>
      <c r="WM397" s="59"/>
      <c r="WN397" s="18"/>
      <c r="WO397" s="59"/>
      <c r="WP397" s="18"/>
      <c r="WQ397" s="59"/>
      <c r="WR397" s="18"/>
      <c r="WS397" s="59"/>
      <c r="WT397" s="18"/>
      <c r="WU397" s="59"/>
      <c r="WV397" s="18"/>
      <c r="WW397" s="59"/>
      <c r="WX397" s="18"/>
      <c r="WY397" s="59"/>
    </row>
    <row r="398" spans="534:623" ht="9.9499999999999993" customHeight="1" x14ac:dyDescent="0.2">
      <c r="WD398" s="18"/>
      <c r="WE398" s="18"/>
      <c r="WF398" s="18"/>
      <c r="WG398" s="59"/>
      <c r="WH398" s="18"/>
      <c r="WI398" s="59"/>
      <c r="WJ398" s="18"/>
      <c r="WK398" s="59"/>
      <c r="WL398" s="18"/>
      <c r="WM398" s="59"/>
      <c r="WN398" s="18"/>
      <c r="WO398" s="59"/>
      <c r="WP398" s="18"/>
      <c r="WQ398" s="59"/>
      <c r="WR398" s="18"/>
      <c r="WS398" s="59"/>
      <c r="WT398" s="18"/>
      <c r="WU398" s="59"/>
      <c r="WV398" s="18"/>
      <c r="WW398" s="59"/>
      <c r="WX398" s="18"/>
      <c r="WY398" s="59"/>
    </row>
    <row r="399" spans="534:623" ht="9.9499999999999993" customHeight="1" x14ac:dyDescent="0.2">
      <c r="WD399" s="18"/>
      <c r="WE399" s="18"/>
      <c r="WF399" s="18"/>
      <c r="WG399" s="59"/>
      <c r="WH399" s="18"/>
      <c r="WI399" s="59"/>
      <c r="WJ399" s="18"/>
      <c r="WK399" s="59"/>
      <c r="WL399" s="18"/>
      <c r="WM399" s="59"/>
      <c r="WN399" s="18"/>
      <c r="WO399" s="59"/>
      <c r="WP399" s="18"/>
      <c r="WQ399" s="59"/>
      <c r="WR399" s="18"/>
      <c r="WS399" s="59"/>
      <c r="WT399" s="18"/>
      <c r="WU399" s="59"/>
      <c r="WV399" s="18"/>
      <c r="WW399" s="59"/>
      <c r="WX399" s="18"/>
      <c r="WY399" s="59"/>
    </row>
    <row r="400" spans="534:623" ht="9.9499999999999993" customHeight="1" x14ac:dyDescent="0.2">
      <c r="WD400" s="18"/>
      <c r="WE400" s="18"/>
      <c r="WF400" s="18"/>
      <c r="WG400" s="59"/>
      <c r="WH400" s="18"/>
      <c r="WI400" s="59"/>
      <c r="WJ400" s="18"/>
      <c r="WK400" s="59"/>
      <c r="WL400" s="18"/>
      <c r="WM400" s="59"/>
      <c r="WN400" s="18"/>
      <c r="WO400" s="59"/>
      <c r="WP400" s="18"/>
      <c r="WQ400" s="59"/>
      <c r="WR400" s="18"/>
      <c r="WS400" s="59"/>
      <c r="WT400" s="18"/>
      <c r="WU400" s="59"/>
      <c r="WV400" s="18"/>
      <c r="WW400" s="59"/>
      <c r="WX400" s="18"/>
      <c r="WY400" s="59"/>
    </row>
    <row r="401" spans="602:623" ht="9.9499999999999993" customHeight="1" x14ac:dyDescent="0.2">
      <c r="WD401" s="18"/>
      <c r="WE401" s="18"/>
      <c r="WF401" s="18"/>
      <c r="WG401" s="59"/>
      <c r="WH401" s="18"/>
      <c r="WI401" s="59"/>
      <c r="WJ401" s="18"/>
      <c r="WK401" s="59"/>
      <c r="WL401" s="18"/>
      <c r="WM401" s="59"/>
      <c r="WN401" s="18"/>
      <c r="WO401" s="59"/>
      <c r="WP401" s="18"/>
      <c r="WQ401" s="59"/>
      <c r="WR401" s="18"/>
      <c r="WS401" s="59"/>
      <c r="WT401" s="18"/>
      <c r="WU401" s="59"/>
      <c r="WV401" s="18"/>
      <c r="WW401" s="59"/>
      <c r="WX401" s="18"/>
      <c r="WY401" s="59"/>
    </row>
    <row r="402" spans="602:623" ht="9.9499999999999993" customHeight="1" x14ac:dyDescent="0.2">
      <c r="WD402" s="18"/>
      <c r="WE402" s="18"/>
      <c r="WF402" s="18"/>
      <c r="WG402" s="59"/>
      <c r="WH402" s="18"/>
      <c r="WI402" s="59"/>
      <c r="WJ402" s="18"/>
      <c r="WK402" s="59"/>
      <c r="WL402" s="18"/>
      <c r="WM402" s="59"/>
      <c r="WN402" s="18"/>
      <c r="WO402" s="59"/>
      <c r="WP402" s="18"/>
      <c r="WQ402" s="59"/>
      <c r="WR402" s="18"/>
      <c r="WS402" s="59"/>
      <c r="WT402" s="18"/>
      <c r="WU402" s="59"/>
      <c r="WV402" s="18"/>
      <c r="WW402" s="59"/>
      <c r="WX402" s="18"/>
      <c r="WY402" s="59"/>
    </row>
    <row r="403" spans="602:623" ht="9.9499999999999993" customHeight="1" x14ac:dyDescent="0.2">
      <c r="WD403" s="18"/>
      <c r="WE403" s="18"/>
      <c r="WF403" s="18"/>
      <c r="WG403" s="59"/>
      <c r="WH403" s="18"/>
      <c r="WI403" s="59"/>
      <c r="WJ403" s="18"/>
      <c r="WK403" s="59"/>
      <c r="WL403" s="18"/>
      <c r="WM403" s="59"/>
      <c r="WN403" s="18"/>
      <c r="WO403" s="59"/>
      <c r="WP403" s="18"/>
      <c r="WQ403" s="59"/>
      <c r="WR403" s="18"/>
      <c r="WS403" s="59"/>
      <c r="WT403" s="18"/>
      <c r="WU403" s="59"/>
      <c r="WV403" s="18"/>
      <c r="WW403" s="59"/>
      <c r="WX403" s="18"/>
      <c r="WY403" s="59"/>
    </row>
    <row r="404" spans="602:623" ht="9.9499999999999993" customHeight="1" x14ac:dyDescent="0.2">
      <c r="WD404" s="18"/>
      <c r="WE404" s="18"/>
      <c r="WF404" s="18"/>
      <c r="WG404" s="59"/>
      <c r="WH404" s="18"/>
      <c r="WI404" s="59"/>
      <c r="WJ404" s="18"/>
      <c r="WK404" s="59"/>
      <c r="WL404" s="18"/>
      <c r="WM404" s="59"/>
      <c r="WN404" s="18"/>
      <c r="WO404" s="59"/>
      <c r="WP404" s="18"/>
      <c r="WQ404" s="59"/>
      <c r="WR404" s="18"/>
      <c r="WS404" s="59"/>
      <c r="WT404" s="18"/>
      <c r="WU404" s="59"/>
      <c r="WV404" s="18"/>
      <c r="WW404" s="59"/>
      <c r="WX404" s="18"/>
      <c r="WY404" s="59"/>
    </row>
    <row r="405" spans="602:623" ht="9.9499999999999993" customHeight="1" x14ac:dyDescent="0.2">
      <c r="WD405" s="18"/>
      <c r="WE405" s="18"/>
      <c r="WF405" s="18"/>
      <c r="WG405" s="59"/>
      <c r="WH405" s="18"/>
      <c r="WI405" s="59"/>
      <c r="WJ405" s="18"/>
      <c r="WK405" s="59"/>
      <c r="WL405" s="18"/>
      <c r="WM405" s="59"/>
      <c r="WN405" s="18"/>
      <c r="WO405" s="59"/>
      <c r="WP405" s="18"/>
      <c r="WQ405" s="59"/>
      <c r="WR405" s="18"/>
      <c r="WS405" s="59"/>
      <c r="WT405" s="18"/>
      <c r="WU405" s="59"/>
      <c r="WV405" s="18"/>
      <c r="WW405" s="59"/>
      <c r="WX405" s="18"/>
      <c r="WY405" s="59"/>
    </row>
    <row r="406" spans="602:623" ht="9.9499999999999993" customHeight="1" x14ac:dyDescent="0.2">
      <c r="WD406" s="18"/>
      <c r="WE406" s="18"/>
      <c r="WF406" s="18"/>
      <c r="WG406" s="59"/>
      <c r="WH406" s="18"/>
      <c r="WI406" s="59"/>
      <c r="WJ406" s="18"/>
      <c r="WK406" s="59"/>
      <c r="WL406" s="18"/>
      <c r="WM406" s="59"/>
      <c r="WN406" s="18"/>
      <c r="WO406" s="59"/>
      <c r="WP406" s="18"/>
      <c r="WQ406" s="59"/>
      <c r="WR406" s="18"/>
      <c r="WS406" s="59"/>
      <c r="WT406" s="18"/>
      <c r="WU406" s="59"/>
      <c r="WV406" s="18"/>
      <c r="WW406" s="59"/>
      <c r="WX406" s="18"/>
      <c r="WY406" s="59"/>
    </row>
    <row r="407" spans="602:623" ht="9.9499999999999993" customHeight="1" x14ac:dyDescent="0.2">
      <c r="WD407" s="18"/>
      <c r="WE407" s="18"/>
      <c r="WF407" s="18"/>
      <c r="WG407" s="59"/>
      <c r="WH407" s="18"/>
      <c r="WI407" s="59"/>
      <c r="WJ407" s="18"/>
      <c r="WK407" s="59"/>
      <c r="WL407" s="18"/>
      <c r="WM407" s="59"/>
      <c r="WN407" s="18"/>
      <c r="WO407" s="59"/>
      <c r="WP407" s="18"/>
      <c r="WQ407" s="59"/>
      <c r="WR407" s="18"/>
      <c r="WS407" s="59"/>
      <c r="WT407" s="18"/>
      <c r="WU407" s="59"/>
      <c r="WV407" s="18"/>
      <c r="WW407" s="59"/>
      <c r="WX407" s="18"/>
      <c r="WY407" s="59"/>
    </row>
    <row r="408" spans="602:623" ht="9.9499999999999993" customHeight="1" x14ac:dyDescent="0.2">
      <c r="WD408" s="18"/>
      <c r="WE408" s="18"/>
      <c r="WF408" s="18"/>
      <c r="WG408" s="59"/>
      <c r="WH408" s="18"/>
      <c r="WI408" s="59"/>
      <c r="WJ408" s="18"/>
      <c r="WK408" s="59"/>
      <c r="WL408" s="18"/>
      <c r="WM408" s="59"/>
      <c r="WN408" s="18"/>
      <c r="WO408" s="59"/>
      <c r="WP408" s="18"/>
      <c r="WQ408" s="59"/>
      <c r="WR408" s="18"/>
      <c r="WS408" s="59"/>
      <c r="WT408" s="18"/>
      <c r="WU408" s="59"/>
      <c r="WV408" s="18"/>
      <c r="WW408" s="59"/>
      <c r="WX408" s="18"/>
      <c r="WY408" s="59"/>
    </row>
    <row r="409" spans="602:623" ht="9.9499999999999993" customHeight="1" x14ac:dyDescent="0.2">
      <c r="WD409" s="18"/>
      <c r="WE409" s="18"/>
      <c r="WF409" s="18"/>
      <c r="WG409" s="59"/>
      <c r="WH409" s="18"/>
      <c r="WI409" s="59"/>
      <c r="WJ409" s="18"/>
      <c r="WK409" s="59"/>
      <c r="WL409" s="18"/>
      <c r="WM409" s="59"/>
      <c r="WN409" s="18"/>
      <c r="WO409" s="59"/>
      <c r="WP409" s="18"/>
      <c r="WQ409" s="59"/>
      <c r="WR409" s="18"/>
      <c r="WS409" s="59"/>
      <c r="WT409" s="18"/>
      <c r="WU409" s="59"/>
      <c r="WV409" s="18"/>
      <c r="WW409" s="59"/>
      <c r="WX409" s="18"/>
      <c r="WY409" s="59"/>
    </row>
    <row r="410" spans="602:623" ht="9.9499999999999993" customHeight="1" x14ac:dyDescent="0.2">
      <c r="WD410" s="18"/>
      <c r="WE410" s="18"/>
      <c r="WF410" s="18"/>
      <c r="WG410" s="59"/>
      <c r="WH410" s="18"/>
      <c r="WI410" s="59"/>
      <c r="WJ410" s="18"/>
      <c r="WK410" s="59"/>
      <c r="WL410" s="18"/>
      <c r="WM410" s="59"/>
      <c r="WN410" s="18"/>
      <c r="WO410" s="59"/>
      <c r="WP410" s="18"/>
      <c r="WQ410" s="59"/>
      <c r="WR410" s="18"/>
      <c r="WS410" s="59"/>
      <c r="WT410" s="18"/>
      <c r="WU410" s="59"/>
      <c r="WV410" s="18"/>
      <c r="WW410" s="59"/>
      <c r="WX410" s="18"/>
      <c r="WY410" s="59"/>
    </row>
    <row r="411" spans="602:623" ht="9.9499999999999993" customHeight="1" x14ac:dyDescent="0.2">
      <c r="WD411" s="18"/>
      <c r="WE411" s="18"/>
      <c r="WF411" s="18"/>
      <c r="WG411" s="59"/>
      <c r="WH411" s="18"/>
      <c r="WI411" s="59"/>
      <c r="WJ411" s="18"/>
      <c r="WK411" s="59"/>
      <c r="WL411" s="18"/>
      <c r="WM411" s="59"/>
      <c r="WN411" s="18"/>
      <c r="WO411" s="59"/>
      <c r="WP411" s="18"/>
      <c r="WQ411" s="59"/>
      <c r="WR411" s="18"/>
      <c r="WS411" s="59"/>
      <c r="WT411" s="18"/>
      <c r="WU411" s="59"/>
      <c r="WV411" s="18"/>
      <c r="WW411" s="59"/>
      <c r="WX411" s="18"/>
      <c r="WY411" s="59"/>
    </row>
    <row r="412" spans="602:623" ht="9.9499999999999993" customHeight="1" x14ac:dyDescent="0.2">
      <c r="WD412" s="18"/>
      <c r="WE412" s="18"/>
      <c r="WF412" s="18"/>
      <c r="WG412" s="59"/>
      <c r="WH412" s="18"/>
      <c r="WI412" s="59"/>
      <c r="WJ412" s="18"/>
      <c r="WK412" s="59"/>
      <c r="WL412" s="18"/>
      <c r="WM412" s="59"/>
      <c r="WN412" s="18"/>
      <c r="WO412" s="59"/>
      <c r="WP412" s="18"/>
      <c r="WQ412" s="59"/>
      <c r="WR412" s="18"/>
      <c r="WS412" s="59"/>
      <c r="WT412" s="18"/>
      <c r="WU412" s="59"/>
      <c r="WV412" s="18"/>
      <c r="WW412" s="59"/>
      <c r="WX412" s="18"/>
      <c r="WY412" s="59"/>
    </row>
    <row r="413" spans="602:623" ht="9.9499999999999993" customHeight="1" x14ac:dyDescent="0.2">
      <c r="WD413" s="18"/>
      <c r="WE413" s="18"/>
      <c r="WF413" s="18"/>
      <c r="WG413" s="59"/>
      <c r="WH413" s="18"/>
      <c r="WI413" s="59"/>
      <c r="WJ413" s="18"/>
      <c r="WK413" s="59"/>
      <c r="WL413" s="18"/>
      <c r="WM413" s="59"/>
      <c r="WN413" s="18"/>
      <c r="WO413" s="59"/>
      <c r="WP413" s="18"/>
      <c r="WQ413" s="59"/>
      <c r="WR413" s="18"/>
      <c r="WS413" s="59"/>
      <c r="WT413" s="18"/>
      <c r="WU413" s="59"/>
      <c r="WV413" s="18"/>
      <c r="WW413" s="59"/>
      <c r="WX413" s="18"/>
      <c r="WY413" s="59"/>
    </row>
    <row r="414" spans="602:623" ht="9.9499999999999993" customHeight="1" x14ac:dyDescent="0.2">
      <c r="WD414" s="18"/>
      <c r="WE414" s="18"/>
      <c r="WF414" s="18"/>
      <c r="WG414" s="59"/>
      <c r="WH414" s="18"/>
      <c r="WI414" s="59"/>
      <c r="WJ414" s="18"/>
      <c r="WK414" s="59"/>
      <c r="WL414" s="18"/>
      <c r="WM414" s="59"/>
      <c r="WN414" s="18"/>
      <c r="WO414" s="59"/>
      <c r="WP414" s="18"/>
      <c r="WQ414" s="59"/>
      <c r="WR414" s="18"/>
      <c r="WS414" s="59"/>
      <c r="WT414" s="18"/>
      <c r="WU414" s="59"/>
      <c r="WV414" s="18"/>
      <c r="WW414" s="59"/>
      <c r="WX414" s="18"/>
      <c r="WY414" s="59"/>
    </row>
    <row r="415" spans="602:623" ht="9.9499999999999993" customHeight="1" x14ac:dyDescent="0.2">
      <c r="WD415" s="18"/>
      <c r="WE415" s="18"/>
      <c r="WF415" s="18"/>
      <c r="WG415" s="59"/>
      <c r="WH415" s="18"/>
      <c r="WI415" s="59"/>
      <c r="WJ415" s="18"/>
      <c r="WK415" s="59"/>
      <c r="WL415" s="18"/>
      <c r="WM415" s="59"/>
      <c r="WN415" s="18"/>
      <c r="WO415" s="59"/>
      <c r="WP415" s="18"/>
      <c r="WQ415" s="59"/>
      <c r="WR415" s="18"/>
      <c r="WS415" s="59"/>
      <c r="WT415" s="18"/>
      <c r="WU415" s="59"/>
      <c r="WV415" s="18"/>
      <c r="WW415" s="59"/>
      <c r="WX415" s="18"/>
      <c r="WY415" s="59"/>
    </row>
    <row r="416" spans="602:623" ht="9.9499999999999993" customHeight="1" x14ac:dyDescent="0.2">
      <c r="WD416" s="18"/>
      <c r="WE416" s="18"/>
      <c r="WF416" s="18"/>
      <c r="WG416" s="59"/>
      <c r="WH416" s="18"/>
      <c r="WI416" s="59"/>
      <c r="WJ416" s="18"/>
      <c r="WK416" s="59"/>
      <c r="WL416" s="18"/>
      <c r="WM416" s="59"/>
      <c r="WN416" s="18"/>
      <c r="WO416" s="59"/>
      <c r="WP416" s="18"/>
      <c r="WQ416" s="59"/>
      <c r="WR416" s="18"/>
      <c r="WS416" s="59"/>
      <c r="WT416" s="18"/>
      <c r="WU416" s="59"/>
      <c r="WV416" s="18"/>
      <c r="WW416" s="59"/>
      <c r="WX416" s="18"/>
      <c r="WY416" s="59"/>
    </row>
    <row r="417" spans="602:623" ht="9.9499999999999993" customHeight="1" x14ac:dyDescent="0.2">
      <c r="WD417" s="18"/>
      <c r="WE417" s="18"/>
      <c r="WF417" s="18"/>
      <c r="WG417" s="59"/>
      <c r="WH417" s="18"/>
      <c r="WI417" s="59"/>
      <c r="WJ417" s="18"/>
      <c r="WK417" s="59"/>
      <c r="WL417" s="18"/>
      <c r="WM417" s="59"/>
      <c r="WN417" s="18"/>
      <c r="WO417" s="59"/>
      <c r="WP417" s="18"/>
      <c r="WQ417" s="59"/>
      <c r="WR417" s="18"/>
      <c r="WS417" s="59"/>
      <c r="WT417" s="18"/>
      <c r="WU417" s="59"/>
      <c r="WV417" s="18"/>
      <c r="WW417" s="59"/>
      <c r="WX417" s="18"/>
      <c r="WY417" s="59"/>
    </row>
    <row r="418" spans="602:623" ht="9.9499999999999993" customHeight="1" x14ac:dyDescent="0.2">
      <c r="WD418" s="18"/>
      <c r="WE418" s="18"/>
      <c r="WF418" s="18"/>
      <c r="WG418" s="59"/>
      <c r="WH418" s="18"/>
      <c r="WI418" s="59"/>
      <c r="WJ418" s="18"/>
      <c r="WK418" s="59"/>
      <c r="WL418" s="18"/>
      <c r="WM418" s="59"/>
      <c r="WN418" s="18"/>
      <c r="WO418" s="59"/>
      <c r="WP418" s="18"/>
      <c r="WQ418" s="59"/>
      <c r="WR418" s="18"/>
      <c r="WS418" s="59"/>
      <c r="WT418" s="18"/>
      <c r="WU418" s="59"/>
      <c r="WV418" s="18"/>
      <c r="WW418" s="59"/>
      <c r="WX418" s="18"/>
      <c r="WY418" s="59"/>
    </row>
    <row r="419" spans="602:623" ht="9.9499999999999993" customHeight="1" x14ac:dyDescent="0.2">
      <c r="WD419" s="18"/>
      <c r="WE419" s="18"/>
      <c r="WF419" s="18"/>
      <c r="WG419" s="59"/>
      <c r="WH419" s="18"/>
      <c r="WI419" s="59"/>
      <c r="WJ419" s="18"/>
      <c r="WK419" s="59"/>
      <c r="WL419" s="18"/>
      <c r="WM419" s="59"/>
      <c r="WN419" s="18"/>
      <c r="WO419" s="59"/>
      <c r="WP419" s="18"/>
      <c r="WQ419" s="59"/>
      <c r="WR419" s="18"/>
      <c r="WS419" s="59"/>
      <c r="WT419" s="18"/>
      <c r="WU419" s="59"/>
      <c r="WV419" s="18"/>
      <c r="WW419" s="59"/>
      <c r="WX419" s="18"/>
      <c r="WY419" s="59"/>
    </row>
    <row r="420" spans="602:623" ht="9.9499999999999993" customHeight="1" x14ac:dyDescent="0.2">
      <c r="WD420" s="18"/>
      <c r="WE420" s="18"/>
      <c r="WF420" s="18"/>
      <c r="WG420" s="59"/>
      <c r="WH420" s="18"/>
      <c r="WI420" s="59"/>
      <c r="WJ420" s="18"/>
      <c r="WK420" s="59"/>
      <c r="WL420" s="18"/>
      <c r="WM420" s="59"/>
      <c r="WN420" s="18"/>
      <c r="WO420" s="59"/>
      <c r="WP420" s="18"/>
      <c r="WQ420" s="59"/>
      <c r="WR420" s="18"/>
      <c r="WS420" s="59"/>
      <c r="WT420" s="18"/>
      <c r="WU420" s="59"/>
      <c r="WV420" s="18"/>
      <c r="WW420" s="59"/>
      <c r="WX420" s="18"/>
      <c r="WY420" s="59"/>
    </row>
    <row r="421" spans="602:623" ht="9.9499999999999993" customHeight="1" x14ac:dyDescent="0.2">
      <c r="WD421" s="18"/>
      <c r="WE421" s="18"/>
      <c r="WF421" s="18"/>
      <c r="WG421" s="59"/>
      <c r="WH421" s="18"/>
      <c r="WI421" s="59"/>
      <c r="WJ421" s="18"/>
      <c r="WK421" s="59"/>
      <c r="WL421" s="18"/>
      <c r="WM421" s="59"/>
      <c r="WN421" s="18"/>
      <c r="WO421" s="59"/>
      <c r="WP421" s="18"/>
      <c r="WQ421" s="59"/>
      <c r="WR421" s="18"/>
      <c r="WS421" s="59"/>
      <c r="WT421" s="18"/>
      <c r="WU421" s="59"/>
      <c r="WV421" s="18"/>
      <c r="WW421" s="59"/>
      <c r="WX421" s="18"/>
      <c r="WY421" s="59"/>
    </row>
    <row r="422" spans="602:623" ht="9.9499999999999993" customHeight="1" x14ac:dyDescent="0.2">
      <c r="WD422" s="18"/>
      <c r="WE422" s="18"/>
      <c r="WF422" s="18"/>
      <c r="WG422" s="59"/>
      <c r="WH422" s="18"/>
      <c r="WI422" s="59"/>
      <c r="WJ422" s="18"/>
      <c r="WK422" s="59"/>
      <c r="WL422" s="18"/>
      <c r="WM422" s="59"/>
      <c r="WN422" s="18"/>
      <c r="WO422" s="59"/>
      <c r="WP422" s="18"/>
      <c r="WQ422" s="59"/>
      <c r="WR422" s="18"/>
      <c r="WS422" s="59"/>
      <c r="WT422" s="18"/>
      <c r="WU422" s="59"/>
      <c r="WV422" s="18"/>
      <c r="WW422" s="59"/>
      <c r="WX422" s="18"/>
      <c r="WY422" s="59"/>
    </row>
    <row r="423" spans="602:623" ht="9.9499999999999993" customHeight="1" x14ac:dyDescent="0.2">
      <c r="WD423" s="18"/>
      <c r="WE423" s="18"/>
      <c r="WF423" s="18"/>
      <c r="WG423" s="59"/>
      <c r="WH423" s="18"/>
      <c r="WI423" s="59"/>
      <c r="WJ423" s="18"/>
      <c r="WK423" s="59"/>
      <c r="WL423" s="18"/>
      <c r="WM423" s="59"/>
      <c r="WN423" s="18"/>
      <c r="WO423" s="59"/>
      <c r="WP423" s="18"/>
      <c r="WQ423" s="59"/>
      <c r="WR423" s="18"/>
      <c r="WS423" s="59"/>
      <c r="WT423" s="18"/>
      <c r="WU423" s="59"/>
      <c r="WV423" s="18"/>
      <c r="WW423" s="59"/>
      <c r="WX423" s="18"/>
      <c r="WY423" s="59"/>
    </row>
    <row r="424" spans="602:623" ht="9.9499999999999993" customHeight="1" x14ac:dyDescent="0.2">
      <c r="WD424" s="18"/>
      <c r="WE424" s="18"/>
      <c r="WF424" s="18"/>
      <c r="WG424" s="59"/>
      <c r="WH424" s="18"/>
      <c r="WI424" s="59"/>
      <c r="WJ424" s="18"/>
      <c r="WK424" s="59"/>
      <c r="WL424" s="18"/>
      <c r="WM424" s="59"/>
      <c r="WN424" s="18"/>
      <c r="WO424" s="59"/>
      <c r="WP424" s="18"/>
      <c r="WQ424" s="59"/>
      <c r="WR424" s="18"/>
      <c r="WS424" s="59"/>
      <c r="WT424" s="18"/>
      <c r="WU424" s="59"/>
      <c r="WV424" s="18"/>
      <c r="WW424" s="59"/>
      <c r="WX424" s="18"/>
      <c r="WY424" s="59"/>
    </row>
    <row r="425" spans="602:623" ht="9.9499999999999993" customHeight="1" x14ac:dyDescent="0.2">
      <c r="WD425" s="18"/>
      <c r="WE425" s="18"/>
      <c r="WF425" s="18"/>
      <c r="WG425" s="59"/>
      <c r="WH425" s="18"/>
      <c r="WI425" s="59"/>
      <c r="WJ425" s="18"/>
      <c r="WK425" s="59"/>
      <c r="WL425" s="18"/>
      <c r="WM425" s="59"/>
      <c r="WN425" s="18"/>
      <c r="WO425" s="59"/>
      <c r="WP425" s="18"/>
      <c r="WQ425" s="59"/>
      <c r="WR425" s="18"/>
      <c r="WS425" s="59"/>
      <c r="WT425" s="18"/>
      <c r="WU425" s="59"/>
      <c r="WV425" s="18"/>
      <c r="WW425" s="59"/>
      <c r="WX425" s="18"/>
      <c r="WY425" s="59"/>
    </row>
    <row r="426" spans="602:623" ht="9.9499999999999993" customHeight="1" x14ac:dyDescent="0.2">
      <c r="WD426" s="18"/>
      <c r="WE426" s="18"/>
      <c r="WF426" s="18"/>
      <c r="WG426" s="59"/>
      <c r="WH426" s="18"/>
      <c r="WI426" s="59"/>
      <c r="WJ426" s="18"/>
      <c r="WK426" s="59"/>
      <c r="WL426" s="18"/>
      <c r="WM426" s="59"/>
      <c r="WN426" s="18"/>
      <c r="WO426" s="59"/>
      <c r="WP426" s="18"/>
      <c r="WQ426" s="59"/>
      <c r="WR426" s="18"/>
      <c r="WS426" s="59"/>
      <c r="WT426" s="18"/>
      <c r="WU426" s="59"/>
      <c r="WV426" s="18"/>
      <c r="WW426" s="59"/>
      <c r="WX426" s="18"/>
      <c r="WY426" s="59"/>
    </row>
    <row r="427" spans="602:623" ht="9.9499999999999993" customHeight="1" x14ac:dyDescent="0.2">
      <c r="WD427" s="18"/>
      <c r="WE427" s="18"/>
      <c r="WF427" s="18"/>
      <c r="WG427" s="59"/>
      <c r="WH427" s="18"/>
      <c r="WI427" s="59"/>
      <c r="WJ427" s="18"/>
      <c r="WK427" s="59"/>
      <c r="WL427" s="18"/>
      <c r="WM427" s="59"/>
      <c r="WN427" s="18"/>
      <c r="WO427" s="59"/>
      <c r="WP427" s="18"/>
      <c r="WQ427" s="59"/>
      <c r="WR427" s="18"/>
      <c r="WS427" s="59"/>
      <c r="WT427" s="18"/>
      <c r="WU427" s="59"/>
      <c r="WV427" s="18"/>
      <c r="WW427" s="59"/>
      <c r="WX427" s="18"/>
      <c r="WY427" s="59"/>
    </row>
    <row r="428" spans="602:623" ht="9.9499999999999993" customHeight="1" x14ac:dyDescent="0.2">
      <c r="WD428" s="18"/>
      <c r="WE428" s="18"/>
      <c r="WF428" s="18"/>
      <c r="WG428" s="59"/>
      <c r="WH428" s="18"/>
      <c r="WI428" s="59"/>
      <c r="WJ428" s="18"/>
      <c r="WK428" s="59"/>
      <c r="WL428" s="18"/>
      <c r="WM428" s="59"/>
      <c r="WN428" s="18"/>
      <c r="WO428" s="59"/>
      <c r="WP428" s="18"/>
      <c r="WQ428" s="59"/>
      <c r="WR428" s="18"/>
      <c r="WS428" s="59"/>
      <c r="WT428" s="18"/>
      <c r="WU428" s="59"/>
      <c r="WV428" s="18"/>
      <c r="WW428" s="59"/>
      <c r="WX428" s="18"/>
      <c r="WY428" s="59"/>
    </row>
    <row r="429" spans="602:623" ht="9.9499999999999993" customHeight="1" x14ac:dyDescent="0.2">
      <c r="WD429" s="18"/>
      <c r="WE429" s="18"/>
      <c r="WF429" s="18"/>
      <c r="WG429" s="59"/>
      <c r="WH429" s="18"/>
      <c r="WI429" s="59"/>
      <c r="WJ429" s="18"/>
      <c r="WK429" s="59"/>
      <c r="WL429" s="18"/>
      <c r="WM429" s="59"/>
      <c r="WN429" s="18"/>
      <c r="WO429" s="59"/>
      <c r="WP429" s="18"/>
      <c r="WQ429" s="59"/>
      <c r="WR429" s="18"/>
      <c r="WS429" s="59"/>
      <c r="WT429" s="18"/>
      <c r="WU429" s="59"/>
      <c r="WV429" s="18"/>
      <c r="WW429" s="59"/>
      <c r="WX429" s="18"/>
      <c r="WY429" s="59"/>
    </row>
    <row r="430" spans="602:623" ht="9.9499999999999993" customHeight="1" x14ac:dyDescent="0.2">
      <c r="WD430" s="18"/>
      <c r="WE430" s="18"/>
      <c r="WF430" s="18"/>
      <c r="WG430" s="59"/>
      <c r="WH430" s="18"/>
      <c r="WI430" s="59"/>
      <c r="WJ430" s="18"/>
      <c r="WK430" s="59"/>
      <c r="WL430" s="18"/>
      <c r="WM430" s="59"/>
      <c r="WN430" s="18"/>
      <c r="WO430" s="59"/>
      <c r="WP430" s="18"/>
      <c r="WQ430" s="59"/>
      <c r="WR430" s="18"/>
      <c r="WS430" s="59"/>
      <c r="WT430" s="18"/>
      <c r="WU430" s="59"/>
      <c r="WV430" s="18"/>
      <c r="WW430" s="59"/>
      <c r="WX430" s="18"/>
      <c r="WY430" s="59"/>
    </row>
    <row r="431" spans="602:623" ht="9.9499999999999993" customHeight="1" x14ac:dyDescent="0.2">
      <c r="WD431" s="18"/>
      <c r="WE431" s="18"/>
      <c r="WF431" s="18"/>
      <c r="WG431" s="59"/>
      <c r="WH431" s="18"/>
      <c r="WI431" s="59"/>
      <c r="WJ431" s="18"/>
      <c r="WK431" s="59"/>
      <c r="WL431" s="18"/>
      <c r="WM431" s="59"/>
      <c r="WN431" s="18"/>
      <c r="WO431" s="59"/>
      <c r="WP431" s="18"/>
      <c r="WQ431" s="59"/>
      <c r="WR431" s="18"/>
      <c r="WS431" s="59"/>
      <c r="WT431" s="18"/>
      <c r="WU431" s="59"/>
      <c r="WV431" s="18"/>
      <c r="WW431" s="59"/>
      <c r="WX431" s="18"/>
      <c r="WY431" s="59"/>
    </row>
    <row r="432" spans="602:623" ht="9.9499999999999993" customHeight="1" x14ac:dyDescent="0.2">
      <c r="WD432" s="18"/>
      <c r="WE432" s="18"/>
      <c r="WF432" s="18"/>
      <c r="WG432" s="59"/>
      <c r="WH432" s="18"/>
      <c r="WI432" s="59"/>
      <c r="WJ432" s="18"/>
      <c r="WK432" s="59"/>
      <c r="WL432" s="18"/>
      <c r="WM432" s="59"/>
      <c r="WN432" s="18"/>
      <c r="WO432" s="59"/>
      <c r="WP432" s="18"/>
      <c r="WQ432" s="59"/>
      <c r="WR432" s="18"/>
      <c r="WS432" s="59"/>
      <c r="WT432" s="18"/>
      <c r="WU432" s="59"/>
      <c r="WV432" s="18"/>
      <c r="WW432" s="59"/>
      <c r="WX432" s="18"/>
      <c r="WY432" s="59"/>
    </row>
    <row r="433" spans="602:623" ht="9.9499999999999993" customHeight="1" x14ac:dyDescent="0.2">
      <c r="WD433" s="18"/>
      <c r="WE433" s="18"/>
      <c r="WF433" s="18"/>
      <c r="WG433" s="59"/>
      <c r="WH433" s="18"/>
      <c r="WI433" s="59"/>
      <c r="WJ433" s="18"/>
      <c r="WK433" s="59"/>
      <c r="WL433" s="18"/>
      <c r="WM433" s="59"/>
      <c r="WN433" s="18"/>
      <c r="WO433" s="59"/>
      <c r="WP433" s="18"/>
      <c r="WQ433" s="59"/>
      <c r="WR433" s="18"/>
      <c r="WS433" s="59"/>
      <c r="WT433" s="18"/>
      <c r="WU433" s="59"/>
      <c r="WV433" s="18"/>
      <c r="WW433" s="59"/>
      <c r="WX433" s="18"/>
      <c r="WY433" s="59"/>
    </row>
    <row r="434" spans="602:623" ht="9.9499999999999993" customHeight="1" x14ac:dyDescent="0.2">
      <c r="WD434" s="18"/>
      <c r="WE434" s="18"/>
      <c r="WF434" s="18"/>
      <c r="WG434" s="59"/>
      <c r="WH434" s="18"/>
      <c r="WI434" s="59"/>
      <c r="WJ434" s="18"/>
      <c r="WK434" s="59"/>
      <c r="WL434" s="18"/>
      <c r="WM434" s="59"/>
      <c r="WN434" s="18"/>
      <c r="WO434" s="59"/>
      <c r="WP434" s="18"/>
      <c r="WQ434" s="59"/>
      <c r="WR434" s="18"/>
      <c r="WS434" s="59"/>
      <c r="WT434" s="18"/>
      <c r="WU434" s="59"/>
      <c r="WV434" s="18"/>
      <c r="WW434" s="59"/>
      <c r="WX434" s="18"/>
      <c r="WY434" s="59"/>
    </row>
    <row r="435" spans="602:623" ht="9.9499999999999993" customHeight="1" x14ac:dyDescent="0.2">
      <c r="WD435" s="18"/>
      <c r="WE435" s="18"/>
      <c r="WF435" s="18"/>
      <c r="WG435" s="59"/>
      <c r="WH435" s="18"/>
      <c r="WI435" s="59"/>
      <c r="WJ435" s="18"/>
      <c r="WK435" s="59"/>
      <c r="WL435" s="18"/>
      <c r="WM435" s="59"/>
      <c r="WN435" s="18"/>
      <c r="WO435" s="59"/>
      <c r="WP435" s="18"/>
      <c r="WQ435" s="59"/>
      <c r="WR435" s="18"/>
      <c r="WS435" s="59"/>
      <c r="WT435" s="18"/>
      <c r="WU435" s="59"/>
      <c r="WV435" s="18"/>
      <c r="WW435" s="59"/>
      <c r="WX435" s="18"/>
      <c r="WY435" s="59"/>
    </row>
    <row r="436" spans="602:623" ht="9.9499999999999993" customHeight="1" x14ac:dyDescent="0.2">
      <c r="WD436" s="18"/>
      <c r="WE436" s="18"/>
      <c r="WF436" s="18"/>
      <c r="WG436" s="59"/>
      <c r="WH436" s="18"/>
      <c r="WI436" s="59"/>
      <c r="WJ436" s="18"/>
      <c r="WK436" s="59"/>
      <c r="WL436" s="18"/>
      <c r="WM436" s="59"/>
      <c r="WN436" s="18"/>
      <c r="WO436" s="59"/>
      <c r="WP436" s="18"/>
      <c r="WQ436" s="59"/>
      <c r="WR436" s="18"/>
      <c r="WS436" s="59"/>
      <c r="WT436" s="18"/>
      <c r="WU436" s="59"/>
      <c r="WV436" s="18"/>
      <c r="WW436" s="59"/>
      <c r="WX436" s="18"/>
      <c r="WY436" s="59"/>
    </row>
    <row r="437" spans="602:623" ht="9.9499999999999993" customHeight="1" x14ac:dyDescent="0.2">
      <c r="WD437" s="18"/>
      <c r="WE437" s="18"/>
      <c r="WF437" s="18"/>
      <c r="WG437" s="59"/>
      <c r="WH437" s="18"/>
      <c r="WI437" s="59"/>
      <c r="WJ437" s="18"/>
      <c r="WK437" s="59"/>
      <c r="WL437" s="18"/>
      <c r="WM437" s="59"/>
      <c r="WN437" s="18"/>
      <c r="WO437" s="59"/>
      <c r="WP437" s="18"/>
      <c r="WQ437" s="59"/>
      <c r="WR437" s="18"/>
      <c r="WS437" s="59"/>
      <c r="WT437" s="18"/>
      <c r="WU437" s="59"/>
      <c r="WV437" s="18"/>
      <c r="WW437" s="59"/>
      <c r="WX437" s="18"/>
      <c r="WY437" s="59"/>
    </row>
    <row r="438" spans="602:623" ht="9.9499999999999993" customHeight="1" x14ac:dyDescent="0.2">
      <c r="WD438" s="18"/>
      <c r="WE438" s="18"/>
      <c r="WF438" s="18"/>
      <c r="WG438" s="59"/>
      <c r="WH438" s="18"/>
      <c r="WI438" s="59"/>
      <c r="WJ438" s="18"/>
      <c r="WK438" s="59"/>
      <c r="WL438" s="18"/>
      <c r="WM438" s="59"/>
      <c r="WN438" s="18"/>
      <c r="WO438" s="59"/>
      <c r="WP438" s="18"/>
      <c r="WQ438" s="59"/>
      <c r="WR438" s="18"/>
      <c r="WS438" s="59"/>
      <c r="WT438" s="18"/>
      <c r="WU438" s="59"/>
      <c r="WV438" s="18"/>
      <c r="WW438" s="59"/>
      <c r="WX438" s="18"/>
      <c r="WY438" s="59"/>
    </row>
    <row r="439" spans="602:623" ht="9.9499999999999993" customHeight="1" x14ac:dyDescent="0.2">
      <c r="WD439" s="18"/>
      <c r="WE439" s="18"/>
      <c r="WF439" s="18"/>
      <c r="WG439" s="59"/>
      <c r="WH439" s="18"/>
      <c r="WI439" s="59"/>
      <c r="WJ439" s="18"/>
      <c r="WK439" s="59"/>
      <c r="WL439" s="18"/>
      <c r="WM439" s="59"/>
      <c r="WN439" s="18"/>
      <c r="WO439" s="59"/>
      <c r="WP439" s="18"/>
      <c r="WQ439" s="59"/>
      <c r="WR439" s="18"/>
      <c r="WS439" s="59"/>
      <c r="WT439" s="18"/>
      <c r="WU439" s="59"/>
      <c r="WV439" s="18"/>
      <c r="WW439" s="59"/>
      <c r="WX439" s="18"/>
      <c r="WY439" s="59"/>
    </row>
    <row r="440" spans="602:623" ht="9.9499999999999993" customHeight="1" x14ac:dyDescent="0.2">
      <c r="WD440" s="18"/>
      <c r="WE440" s="18"/>
      <c r="WF440" s="18"/>
      <c r="WG440" s="59"/>
      <c r="WH440" s="18"/>
      <c r="WI440" s="59"/>
      <c r="WJ440" s="18"/>
      <c r="WK440" s="59"/>
      <c r="WL440" s="18"/>
      <c r="WM440" s="59"/>
      <c r="WN440" s="18"/>
      <c r="WO440" s="59"/>
      <c r="WP440" s="18"/>
      <c r="WQ440" s="59"/>
      <c r="WR440" s="18"/>
      <c r="WS440" s="59"/>
      <c r="WT440" s="18"/>
      <c r="WU440" s="59"/>
      <c r="WV440" s="18"/>
      <c r="WW440" s="59"/>
      <c r="WX440" s="18"/>
      <c r="WY440" s="59"/>
    </row>
    <row r="441" spans="602:623" ht="9.9499999999999993" customHeight="1" x14ac:dyDescent="0.2">
      <c r="WD441" s="18"/>
      <c r="WE441" s="18"/>
      <c r="WF441" s="18"/>
      <c r="WG441" s="59"/>
      <c r="WH441" s="18"/>
      <c r="WI441" s="59"/>
      <c r="WJ441" s="18"/>
      <c r="WK441" s="59"/>
      <c r="WL441" s="18"/>
      <c r="WM441" s="59"/>
      <c r="WN441" s="18"/>
      <c r="WO441" s="59"/>
      <c r="WP441" s="18"/>
      <c r="WQ441" s="59"/>
      <c r="WR441" s="18"/>
      <c r="WS441" s="59"/>
      <c r="WT441" s="18"/>
      <c r="WU441" s="59"/>
      <c r="WV441" s="18"/>
      <c r="WW441" s="59"/>
      <c r="WX441" s="18"/>
      <c r="WY441" s="59"/>
    </row>
    <row r="442" spans="602:623" ht="9.9499999999999993" customHeight="1" x14ac:dyDescent="0.2">
      <c r="WD442" s="18"/>
      <c r="WE442" s="18"/>
      <c r="WF442" s="18"/>
      <c r="WG442" s="59"/>
      <c r="WH442" s="18"/>
      <c r="WI442" s="59"/>
      <c r="WJ442" s="18"/>
      <c r="WK442" s="59"/>
      <c r="WL442" s="18"/>
      <c r="WM442" s="59"/>
      <c r="WN442" s="18"/>
      <c r="WO442" s="59"/>
      <c r="WP442" s="18"/>
      <c r="WQ442" s="59"/>
      <c r="WR442" s="18"/>
      <c r="WS442" s="59"/>
      <c r="WT442" s="18"/>
      <c r="WU442" s="59"/>
      <c r="WV442" s="18"/>
      <c r="WW442" s="59"/>
      <c r="WX442" s="18"/>
      <c r="WY442" s="59"/>
    </row>
    <row r="443" spans="602:623" ht="9.9499999999999993" customHeight="1" x14ac:dyDescent="0.2">
      <c r="WD443" s="18"/>
      <c r="WE443" s="18"/>
      <c r="WF443" s="18"/>
      <c r="WG443" s="59"/>
      <c r="WH443" s="18"/>
      <c r="WI443" s="59"/>
      <c r="WJ443" s="18"/>
      <c r="WK443" s="59"/>
      <c r="WL443" s="18"/>
      <c r="WM443" s="59"/>
      <c r="WN443" s="18"/>
      <c r="WO443" s="59"/>
      <c r="WP443" s="18"/>
      <c r="WQ443" s="59"/>
      <c r="WR443" s="18"/>
      <c r="WS443" s="59"/>
      <c r="WT443" s="18"/>
      <c r="WU443" s="59"/>
      <c r="WV443" s="18"/>
      <c r="WW443" s="59"/>
      <c r="WX443" s="18"/>
      <c r="WY443" s="59"/>
    </row>
    <row r="444" spans="602:623" ht="9.9499999999999993" customHeight="1" x14ac:dyDescent="0.2">
      <c r="WD444" s="18"/>
      <c r="WE444" s="18"/>
      <c r="WF444" s="18"/>
      <c r="WG444" s="59"/>
      <c r="WH444" s="18"/>
      <c r="WI444" s="59"/>
      <c r="WJ444" s="18"/>
      <c r="WK444" s="59"/>
      <c r="WL444" s="18"/>
      <c r="WM444" s="59"/>
      <c r="WN444" s="18"/>
      <c r="WO444" s="59"/>
      <c r="WP444" s="18"/>
      <c r="WQ444" s="59"/>
      <c r="WR444" s="18"/>
      <c r="WS444" s="59"/>
      <c r="WT444" s="18"/>
      <c r="WU444" s="59"/>
      <c r="WV444" s="18"/>
      <c r="WW444" s="59"/>
      <c r="WX444" s="18"/>
      <c r="WY444" s="59"/>
    </row>
    <row r="445" spans="602:623" ht="9.9499999999999993" customHeight="1" x14ac:dyDescent="0.2">
      <c r="WD445" s="18"/>
      <c r="WE445" s="18"/>
      <c r="WF445" s="18"/>
      <c r="WG445" s="59"/>
      <c r="WH445" s="18"/>
      <c r="WI445" s="59"/>
      <c r="WJ445" s="18"/>
      <c r="WK445" s="59"/>
      <c r="WL445" s="18"/>
      <c r="WM445" s="59"/>
      <c r="WN445" s="18"/>
      <c r="WO445" s="59"/>
      <c r="WP445" s="18"/>
      <c r="WQ445" s="59"/>
      <c r="WR445" s="18"/>
      <c r="WS445" s="59"/>
      <c r="WT445" s="18"/>
      <c r="WU445" s="59"/>
      <c r="WV445" s="18"/>
      <c r="WW445" s="59"/>
      <c r="WX445" s="18"/>
      <c r="WY445" s="59"/>
    </row>
    <row r="446" spans="602:623" ht="9.9499999999999993" customHeight="1" x14ac:dyDescent="0.2">
      <c r="WD446" s="18"/>
      <c r="WE446" s="18"/>
      <c r="WF446" s="18"/>
      <c r="WG446" s="59"/>
      <c r="WH446" s="18"/>
      <c r="WI446" s="59"/>
      <c r="WJ446" s="18"/>
      <c r="WK446" s="59"/>
      <c r="WL446" s="18"/>
      <c r="WM446" s="59"/>
      <c r="WN446" s="18"/>
      <c r="WO446" s="59"/>
      <c r="WP446" s="18"/>
      <c r="WQ446" s="59"/>
      <c r="WR446" s="18"/>
      <c r="WS446" s="59"/>
      <c r="WT446" s="18"/>
      <c r="WU446" s="59"/>
      <c r="WV446" s="18"/>
      <c r="WW446" s="59"/>
      <c r="WX446" s="18"/>
      <c r="WY446" s="59"/>
    </row>
    <row r="447" spans="602:623" ht="9.9499999999999993" customHeight="1" x14ac:dyDescent="0.2">
      <c r="WD447" s="18"/>
      <c r="WE447" s="18"/>
      <c r="WF447" s="18"/>
      <c r="WG447" s="59"/>
      <c r="WH447" s="18"/>
      <c r="WI447" s="59"/>
      <c r="WJ447" s="18"/>
      <c r="WK447" s="59"/>
      <c r="WL447" s="18"/>
      <c r="WM447" s="59"/>
      <c r="WN447" s="18"/>
      <c r="WO447" s="59"/>
      <c r="WP447" s="18"/>
      <c r="WQ447" s="59"/>
      <c r="WR447" s="18"/>
      <c r="WS447" s="59"/>
      <c r="WT447" s="18"/>
      <c r="WU447" s="59"/>
      <c r="WV447" s="18"/>
      <c r="WW447" s="59"/>
      <c r="WX447" s="18"/>
      <c r="WY447" s="59"/>
    </row>
    <row r="448" spans="602:623" ht="9.9499999999999993" customHeight="1" x14ac:dyDescent="0.2">
      <c r="WD448" s="18"/>
      <c r="WE448" s="18"/>
      <c r="WF448" s="18"/>
      <c r="WG448" s="59"/>
      <c r="WH448" s="18"/>
      <c r="WI448" s="59"/>
      <c r="WJ448" s="18"/>
      <c r="WK448" s="59"/>
      <c r="WL448" s="18"/>
      <c r="WM448" s="59"/>
      <c r="WN448" s="18"/>
      <c r="WO448" s="59"/>
      <c r="WP448" s="18"/>
      <c r="WQ448" s="59"/>
      <c r="WR448" s="18"/>
      <c r="WS448" s="59"/>
      <c r="WT448" s="18"/>
      <c r="WU448" s="59"/>
      <c r="WV448" s="18"/>
      <c r="WW448" s="59"/>
      <c r="WX448" s="18"/>
      <c r="WY448" s="59"/>
    </row>
    <row r="449" spans="602:623" ht="9.9499999999999993" customHeight="1" x14ac:dyDescent="0.2">
      <c r="WD449" s="18"/>
      <c r="WE449" s="18"/>
      <c r="WF449" s="18"/>
      <c r="WG449" s="59"/>
      <c r="WH449" s="18"/>
      <c r="WI449" s="59"/>
      <c r="WJ449" s="18"/>
      <c r="WK449" s="59"/>
      <c r="WL449" s="18"/>
      <c r="WM449" s="59"/>
      <c r="WN449" s="18"/>
      <c r="WO449" s="59"/>
      <c r="WP449" s="18"/>
      <c r="WQ449" s="59"/>
      <c r="WR449" s="18"/>
      <c r="WS449" s="59"/>
      <c r="WT449" s="18"/>
      <c r="WU449" s="59"/>
      <c r="WV449" s="18"/>
      <c r="WW449" s="59"/>
      <c r="WX449" s="18"/>
      <c r="WY449" s="59"/>
    </row>
    <row r="450" spans="602:623" ht="9.9499999999999993" customHeight="1" x14ac:dyDescent="0.2">
      <c r="WD450" s="18"/>
      <c r="WE450" s="18"/>
      <c r="WF450" s="18"/>
      <c r="WG450" s="59"/>
      <c r="WH450" s="18"/>
      <c r="WI450" s="59"/>
      <c r="WJ450" s="18"/>
      <c r="WK450" s="59"/>
      <c r="WL450" s="18"/>
      <c r="WM450" s="59"/>
      <c r="WN450" s="18"/>
      <c r="WO450" s="59"/>
      <c r="WP450" s="18"/>
      <c r="WQ450" s="59"/>
      <c r="WR450" s="18"/>
      <c r="WS450" s="59"/>
      <c r="WT450" s="18"/>
      <c r="WU450" s="59"/>
      <c r="WV450" s="18"/>
      <c r="WW450" s="59"/>
      <c r="WX450" s="18"/>
      <c r="WY450" s="59"/>
    </row>
    <row r="451" spans="602:623" ht="9.9499999999999993" customHeight="1" x14ac:dyDescent="0.2">
      <c r="WD451" s="18"/>
      <c r="WE451" s="18"/>
      <c r="WF451" s="18"/>
      <c r="WG451" s="59"/>
      <c r="WH451" s="18"/>
      <c r="WI451" s="59"/>
      <c r="WJ451" s="18"/>
      <c r="WK451" s="59"/>
      <c r="WL451" s="18"/>
      <c r="WM451" s="59"/>
      <c r="WN451" s="18"/>
      <c r="WO451" s="59"/>
      <c r="WP451" s="18"/>
      <c r="WQ451" s="59"/>
      <c r="WR451" s="18"/>
      <c r="WS451" s="59"/>
      <c r="WT451" s="18"/>
      <c r="WU451" s="59"/>
      <c r="WV451" s="18"/>
      <c r="WW451" s="59"/>
      <c r="WX451" s="18"/>
      <c r="WY451" s="59"/>
    </row>
    <row r="452" spans="602:623" ht="9.9499999999999993" customHeight="1" x14ac:dyDescent="0.2">
      <c r="WD452" s="18"/>
      <c r="WE452" s="18"/>
      <c r="WF452" s="18"/>
      <c r="WG452" s="59"/>
      <c r="WH452" s="18"/>
      <c r="WI452" s="59"/>
      <c r="WJ452" s="18"/>
      <c r="WK452" s="59"/>
      <c r="WL452" s="18"/>
      <c r="WM452" s="59"/>
      <c r="WN452" s="18"/>
      <c r="WO452" s="59"/>
      <c r="WP452" s="18"/>
      <c r="WQ452" s="59"/>
      <c r="WR452" s="18"/>
      <c r="WS452" s="59"/>
      <c r="WT452" s="18"/>
      <c r="WU452" s="59"/>
      <c r="WV452" s="18"/>
      <c r="WW452" s="59"/>
      <c r="WX452" s="18"/>
      <c r="WY452" s="59"/>
    </row>
  </sheetData>
  <autoFilter ref="TK2:WC364"/>
  <sortState ref="IX96:JB104">
    <sortCondition ref="IX99"/>
  </sortState>
  <mergeCells count="175">
    <mergeCell ref="JY1:KB1"/>
    <mergeCell ref="NV2:NV4"/>
    <mergeCell ref="NW2:NW4"/>
    <mergeCell ref="NV5:NV10"/>
    <mergeCell ref="NW5:NW10"/>
    <mergeCell ref="LS5:LS10"/>
    <mergeCell ref="LT5:LT10"/>
    <mergeCell ref="LU5:LU10"/>
    <mergeCell ref="ND2:ND4"/>
    <mergeCell ref="NE2:NE4"/>
    <mergeCell ref="NF2:NF4"/>
    <mergeCell ref="NG2:NG4"/>
    <mergeCell ref="NN2:NN4"/>
    <mergeCell ref="NB2:NB4"/>
    <mergeCell ref="NC2:NC4"/>
    <mergeCell ref="NI2:NI4"/>
    <mergeCell ref="MD5:MD10"/>
    <mergeCell ref="ME5:ME10"/>
    <mergeCell ref="NQ2:NQ4"/>
    <mergeCell ref="NS2:NS4"/>
    <mergeCell ref="NT2:NT4"/>
    <mergeCell ref="NU2:NU4"/>
    <mergeCell ref="LY5:LY10"/>
    <mergeCell ref="MO2:MO4"/>
    <mergeCell ref="PP5:PP10"/>
    <mergeCell ref="PQ5:PQ10"/>
    <mergeCell ref="PG5:PG10"/>
    <mergeCell ref="PH5:PH10"/>
    <mergeCell ref="PI5:PI10"/>
    <mergeCell ref="PJ5:PJ10"/>
    <mergeCell ref="PK5:PK10"/>
    <mergeCell ref="PL5:PL10"/>
    <mergeCell ref="PM5:PM10"/>
    <mergeCell ref="PN5:PN10"/>
    <mergeCell ref="PO5:PO10"/>
    <mergeCell ref="OX5:OX10"/>
    <mergeCell ref="OY5:OY10"/>
    <mergeCell ref="OZ5:OZ10"/>
    <mergeCell ref="PA5:PA10"/>
    <mergeCell ref="PB5:PB10"/>
    <mergeCell ref="PC5:PC10"/>
    <mergeCell ref="PD5:PD10"/>
    <mergeCell ref="PE5:PE10"/>
    <mergeCell ref="PF5:PF10"/>
    <mergeCell ref="OT5:OT10"/>
    <mergeCell ref="OU5:OU10"/>
    <mergeCell ref="LZ5:LZ10"/>
    <mergeCell ref="MF5:MF10"/>
    <mergeCell ref="MA5:MA10"/>
    <mergeCell ref="MV2:MV4"/>
    <mergeCell ref="MZ2:MZ4"/>
    <mergeCell ref="NA2:NA4"/>
    <mergeCell ref="MP2:MP4"/>
    <mergeCell ref="MS2:MS4"/>
    <mergeCell ref="NL2:NL4"/>
    <mergeCell ref="NX2:NX4"/>
    <mergeCell ref="NY2:NY4"/>
    <mergeCell ref="NZ2:NZ4"/>
    <mergeCell ref="NX5:NX10"/>
    <mergeCell ref="NY5:NY10"/>
    <mergeCell ref="NZ5:NZ10"/>
    <mergeCell ref="MJ5:MJ10"/>
    <mergeCell ref="MK5:MK10"/>
    <mergeCell ref="NM2:NM4"/>
    <mergeCell ref="MW2:MW4"/>
    <mergeCell ref="OS5:OS10"/>
    <mergeCell ref="MY2:MY4"/>
    <mergeCell ref="NO2:NO4"/>
    <mergeCell ref="MR5:MR10"/>
    <mergeCell ref="MU2:MU4"/>
    <mergeCell ref="MU5:MU10"/>
    <mergeCell ref="PR5:PR10"/>
    <mergeCell ref="PS5:PS10"/>
    <mergeCell ref="OB5:OB10"/>
    <mergeCell ref="OC5:OC10"/>
    <mergeCell ref="OL5:OL10"/>
    <mergeCell ref="OM5:OM10"/>
    <mergeCell ref="ON5:ON10"/>
    <mergeCell ref="OO5:OO10"/>
    <mergeCell ref="OP5:OP10"/>
    <mergeCell ref="OQ5:OQ10"/>
    <mergeCell ref="OD5:OD10"/>
    <mergeCell ref="OE5:OE10"/>
    <mergeCell ref="OF5:OF10"/>
    <mergeCell ref="OG5:OG10"/>
    <mergeCell ref="OH5:OH10"/>
    <mergeCell ref="OI5:OI10"/>
    <mergeCell ref="OJ5:OJ10"/>
    <mergeCell ref="OK5:OK10"/>
    <mergeCell ref="OR5:OR10"/>
    <mergeCell ref="OV5:OV10"/>
    <mergeCell ref="OW5:OW10"/>
    <mergeCell ref="NP5:NP10"/>
    <mergeCell ref="NF5:NF10"/>
    <mergeCell ref="LW5:LW10"/>
    <mergeCell ref="TA1:TH1"/>
    <mergeCell ref="MC5:MC10"/>
    <mergeCell ref="MG5:MG10"/>
    <mergeCell ref="MH5:MH10"/>
    <mergeCell ref="MI5:MI10"/>
    <mergeCell ref="MB5:MB10"/>
    <mergeCell ref="NK5:NK10"/>
    <mergeCell ref="NJ5:NJ10"/>
    <mergeCell ref="MM5:MM10"/>
    <mergeCell ref="MN5:MN10"/>
    <mergeCell ref="MO5:MO10"/>
    <mergeCell ref="MP5:MP10"/>
    <mergeCell ref="MS5:MS10"/>
    <mergeCell ref="NL5:NL10"/>
    <mergeCell ref="NM5:NM10"/>
    <mergeCell ref="MT5:MT10"/>
    <mergeCell ref="NG5:NG10"/>
    <mergeCell ref="NH2:NH4"/>
    <mergeCell ref="MX2:MX4"/>
    <mergeCell ref="MX5:MX10"/>
    <mergeCell ref="MQ2:MQ4"/>
    <mergeCell ref="MM2:MM4"/>
    <mergeCell ref="MT2:MT4"/>
    <mergeCell ref="LE5:LE10"/>
    <mergeCell ref="LV5:LV10"/>
    <mergeCell ref="LX5:LX10"/>
    <mergeCell ref="BF1:BH1"/>
    <mergeCell ref="JC1:JG1"/>
    <mergeCell ref="IX1:JB1"/>
    <mergeCell ref="LR5:LR10"/>
    <mergeCell ref="LM5:LM10"/>
    <mergeCell ref="LF5:LF10"/>
    <mergeCell ref="IU1:IW1"/>
    <mergeCell ref="LL5:LL10"/>
    <mergeCell ref="LG5:LG10"/>
    <mergeCell ref="KU6:KU11"/>
    <mergeCell ref="ML5:ML10"/>
    <mergeCell ref="LH5:LH10"/>
    <mergeCell ref="LI5:LI10"/>
    <mergeCell ref="LJ5:LJ10"/>
    <mergeCell ref="LK5:LK10"/>
    <mergeCell ref="LN5:LN10"/>
    <mergeCell ref="MN2:MN4"/>
    <mergeCell ref="MQ5:MQ10"/>
    <mergeCell ref="MR2:MR4"/>
    <mergeCell ref="SR1:SY1"/>
    <mergeCell ref="MV5:MV10"/>
    <mergeCell ref="MZ5:MZ10"/>
    <mergeCell ref="NA5:NA10"/>
    <mergeCell ref="NB5:NB10"/>
    <mergeCell ref="NC5:NC10"/>
    <mergeCell ref="MW5:MW10"/>
    <mergeCell ref="MY5:MY10"/>
    <mergeCell ref="NH5:NH10"/>
    <mergeCell ref="NI5:NI10"/>
    <mergeCell ref="NO5:NO10"/>
    <mergeCell ref="NQ5:NQ10"/>
    <mergeCell ref="NS5:NS10"/>
    <mergeCell ref="NT5:NT10"/>
    <mergeCell ref="NU5:NU10"/>
    <mergeCell ref="ND5:ND10"/>
    <mergeCell ref="NE5:NE10"/>
    <mergeCell ref="PU5:PU10"/>
    <mergeCell ref="NN5:NN10"/>
    <mergeCell ref="NK2:NK4"/>
    <mergeCell ref="NJ2:NJ4"/>
    <mergeCell ref="NR2:NR4"/>
    <mergeCell ref="NR5:NR10"/>
    <mergeCell ref="NP2:NP4"/>
    <mergeCell ref="LO5:LO10"/>
    <mergeCell ref="LP5:LP10"/>
    <mergeCell ref="LQ5:LQ10"/>
    <mergeCell ref="LC5:LC10"/>
    <mergeCell ref="KY5:KY10"/>
    <mergeCell ref="LD5:LD10"/>
    <mergeCell ref="KZ5:KZ10"/>
    <mergeCell ref="KW5:KW10"/>
    <mergeCell ref="LA5:LA10"/>
    <mergeCell ref="KX5:KX10"/>
    <mergeCell ref="LB5:LB10"/>
  </mergeCells>
  <pageMargins left="0.7" right="0.7" top="0.75" bottom="0.75" header="0.3" footer="0.3"/>
  <pageSetup paperSize="9" orientation="portrait" r:id="rId1"/>
  <ignoredErrors>
    <ignoredError sqref="QE28"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L244"/>
  <sheetViews>
    <sheetView showGridLines="0" showRowColHeaders="0" showOutlineSymbols="0" topLeftCell="A139" zoomScaleNormal="100" zoomScaleSheetLayoutView="100" workbookViewId="0">
      <selection activeCell="AX46" sqref="AX46"/>
    </sheetView>
  </sheetViews>
  <sheetFormatPr defaultColWidth="0" defaultRowHeight="12" customHeight="1" x14ac:dyDescent="0.2"/>
  <cols>
    <col min="1" max="1" width="1" style="6" customWidth="1"/>
    <col min="2" max="99" width="2.5703125" style="6" customWidth="1"/>
    <col min="100" max="100" width="1" style="6" customWidth="1"/>
    <col min="101" max="101" width="2.5703125" style="6" customWidth="1"/>
    <col min="102" max="16384" width="2.5703125" style="6" hidden="1"/>
  </cols>
  <sheetData>
    <row r="1" spans="1:100" s="1" customFormat="1" ht="5.25" customHeigh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358"/>
      <c r="BO1" s="358"/>
      <c r="BP1" s="358"/>
      <c r="BQ1" s="358"/>
      <c r="BR1" s="358"/>
      <c r="BS1" s="358"/>
      <c r="BT1" s="358"/>
      <c r="BU1" s="358"/>
      <c r="BV1" s="358"/>
      <c r="BW1" s="358"/>
      <c r="BX1" s="358"/>
      <c r="BY1" s="358"/>
      <c r="BZ1" s="2"/>
      <c r="CA1" s="358"/>
      <c r="CB1" s="2"/>
      <c r="CC1" s="2"/>
      <c r="CD1" s="2"/>
      <c r="CE1" s="2"/>
      <c r="CF1" s="2"/>
      <c r="CG1" s="2"/>
      <c r="CH1" s="2"/>
      <c r="CI1" s="2"/>
      <c r="CJ1" s="2"/>
      <c r="CK1" s="2"/>
      <c r="CL1" s="2"/>
      <c r="CM1" s="2"/>
      <c r="CN1" s="2"/>
      <c r="CO1" s="2"/>
      <c r="CP1" s="358"/>
      <c r="CQ1" s="358"/>
      <c r="CR1" s="358"/>
      <c r="CS1" s="358"/>
      <c r="CT1" s="358"/>
      <c r="CU1" s="358"/>
      <c r="CV1" s="358"/>
    </row>
    <row r="2" spans="1:100" s="1" customFormat="1" ht="12" customHeight="1" x14ac:dyDescent="0.4">
      <c r="A2" s="2"/>
      <c r="B2" s="1251" t="str">
        <f>IF(OR(CharacterLevel="",CharacterName=""),"",CharacterName)</f>
        <v/>
      </c>
      <c r="C2" s="1251"/>
      <c r="D2" s="1251"/>
      <c r="E2" s="1251"/>
      <c r="F2" s="1251"/>
      <c r="G2" s="1251"/>
      <c r="H2" s="1251"/>
      <c r="I2" s="1251"/>
      <c r="J2" s="1251"/>
      <c r="K2" s="1251"/>
      <c r="L2" s="1251"/>
      <c r="M2" s="1251"/>
      <c r="N2" s="1251"/>
      <c r="O2" s="1251"/>
      <c r="P2" s="1251"/>
      <c r="Q2" s="1251"/>
      <c r="R2" s="1251"/>
      <c r="S2" s="1251"/>
      <c r="T2" s="1251"/>
      <c r="U2" s="1251"/>
      <c r="V2" s="1251"/>
      <c r="W2" s="1251"/>
      <c r="X2" s="1251"/>
      <c r="Y2" s="1251"/>
      <c r="Z2" s="1251"/>
      <c r="AA2" s="1251"/>
      <c r="AB2" s="1251"/>
      <c r="AC2" s="1251"/>
      <c r="AD2" s="246"/>
      <c r="AE2" s="1257" t="str">
        <f>IF(OR(CharacterLevel="",CharacterBackground="",CharacterBackground=SelectText),"",CharacterBackground)</f>
        <v/>
      </c>
      <c r="AF2" s="1257"/>
      <c r="AG2" s="1257"/>
      <c r="AH2" s="1257"/>
      <c r="AI2" s="1257"/>
      <c r="AJ2" s="1257"/>
      <c r="AK2" s="1257"/>
      <c r="AL2" s="1257"/>
      <c r="AM2" s="1257"/>
      <c r="AN2" s="1257"/>
      <c r="AO2" s="1257"/>
      <c r="AP2" s="1257"/>
      <c r="AQ2" s="1257"/>
      <c r="AR2" s="1257"/>
      <c r="AS2" s="1257"/>
      <c r="AT2" s="1257"/>
      <c r="AU2" s="1257"/>
      <c r="AV2" s="1257"/>
      <c r="AW2" s="225"/>
      <c r="AX2" s="1259">
        <f>IF(OR(CharacterLevel="",Experience=""),"",Experience)</f>
        <v>0</v>
      </c>
      <c r="AY2" s="1259"/>
      <c r="AZ2" s="1259"/>
      <c r="BA2" s="1259"/>
      <c r="BB2" s="1259"/>
      <c r="BC2" s="1259"/>
      <c r="BD2" s="1259"/>
      <c r="BE2" s="1259"/>
      <c r="BF2" s="1259"/>
      <c r="BG2" s="1259"/>
      <c r="BH2" s="1259"/>
      <c r="BI2" s="225"/>
      <c r="BJ2" s="1259">
        <f>IF(OR(CharacterLevel="",Experience=""),"",ExperienceNextLvl)</f>
        <v>300</v>
      </c>
      <c r="BK2" s="1259"/>
      <c r="BL2" s="1259"/>
      <c r="BM2" s="1259"/>
      <c r="BN2" s="1259"/>
      <c r="BO2" s="1259"/>
      <c r="BP2" s="1259"/>
      <c r="BQ2" s="1259"/>
      <c r="BR2" s="1259"/>
      <c r="BS2" s="1259"/>
      <c r="BT2" s="1259"/>
      <c r="BU2" s="225"/>
      <c r="BV2" s="1255" t="str">
        <f>IF(OR(CharacterLevel="",PlayerName=""),"",PlayerName)</f>
        <v/>
      </c>
      <c r="BW2" s="1255"/>
      <c r="BX2" s="1255"/>
      <c r="BY2" s="1255"/>
      <c r="BZ2" s="1255"/>
      <c r="CA2" s="1255"/>
      <c r="CB2" s="1255"/>
      <c r="CC2" s="1255"/>
      <c r="CD2" s="1255"/>
      <c r="CE2" s="1255"/>
      <c r="CF2" s="1255"/>
      <c r="CG2" s="1255"/>
      <c r="CH2" s="1255"/>
      <c r="CI2" s="1255"/>
      <c r="CJ2" s="1255"/>
      <c r="CK2" s="1255"/>
      <c r="CL2" s="1255"/>
      <c r="CM2" s="1255"/>
      <c r="CN2" s="2"/>
      <c r="CO2" s="2"/>
      <c r="CP2" s="358"/>
      <c r="CQ2" s="358"/>
      <c r="CR2" s="358"/>
      <c r="CS2" s="358"/>
      <c r="CT2" s="358"/>
      <c r="CU2" s="358"/>
      <c r="CV2" s="358"/>
    </row>
    <row r="3" spans="1:100" s="1" customFormat="1" ht="12" customHeight="1" thickBot="1" x14ac:dyDescent="0.25">
      <c r="A3" s="2"/>
      <c r="B3" s="1252"/>
      <c r="C3" s="1252"/>
      <c r="D3" s="1252"/>
      <c r="E3" s="1252"/>
      <c r="F3" s="1252"/>
      <c r="G3" s="1252"/>
      <c r="H3" s="1252"/>
      <c r="I3" s="1252"/>
      <c r="J3" s="1252"/>
      <c r="K3" s="1252"/>
      <c r="L3" s="1252"/>
      <c r="M3" s="1252"/>
      <c r="N3" s="1252"/>
      <c r="O3" s="1252"/>
      <c r="P3" s="1252"/>
      <c r="Q3" s="1252"/>
      <c r="R3" s="1252"/>
      <c r="S3" s="1252"/>
      <c r="T3" s="1252"/>
      <c r="U3" s="1252"/>
      <c r="V3" s="1252"/>
      <c r="W3" s="1252"/>
      <c r="X3" s="1252"/>
      <c r="Y3" s="1252"/>
      <c r="Z3" s="1252"/>
      <c r="AA3" s="1252"/>
      <c r="AB3" s="1252"/>
      <c r="AC3" s="1252"/>
      <c r="AD3" s="247"/>
      <c r="AE3" s="1258"/>
      <c r="AF3" s="1258"/>
      <c r="AG3" s="1258"/>
      <c r="AH3" s="1258"/>
      <c r="AI3" s="1258"/>
      <c r="AJ3" s="1258"/>
      <c r="AK3" s="1258"/>
      <c r="AL3" s="1258"/>
      <c r="AM3" s="1258"/>
      <c r="AN3" s="1258"/>
      <c r="AO3" s="1258"/>
      <c r="AP3" s="1258"/>
      <c r="AQ3" s="1258"/>
      <c r="AR3" s="1258"/>
      <c r="AS3" s="1258"/>
      <c r="AT3" s="1258"/>
      <c r="AU3" s="1258"/>
      <c r="AV3" s="1258"/>
      <c r="AW3" s="225"/>
      <c r="AX3" s="1260"/>
      <c r="AY3" s="1260"/>
      <c r="AZ3" s="1260"/>
      <c r="BA3" s="1260"/>
      <c r="BB3" s="1260"/>
      <c r="BC3" s="1260"/>
      <c r="BD3" s="1260"/>
      <c r="BE3" s="1260"/>
      <c r="BF3" s="1260"/>
      <c r="BG3" s="1260"/>
      <c r="BH3" s="1260"/>
      <c r="BI3" s="225"/>
      <c r="BJ3" s="1260"/>
      <c r="BK3" s="1260"/>
      <c r="BL3" s="1260"/>
      <c r="BM3" s="1260"/>
      <c r="BN3" s="1260"/>
      <c r="BO3" s="1260"/>
      <c r="BP3" s="1260"/>
      <c r="BQ3" s="1260"/>
      <c r="BR3" s="1260"/>
      <c r="BS3" s="1260"/>
      <c r="BT3" s="1260"/>
      <c r="BU3" s="225"/>
      <c r="BV3" s="1256"/>
      <c r="BW3" s="1256"/>
      <c r="BX3" s="1256"/>
      <c r="BY3" s="1256"/>
      <c r="BZ3" s="1256"/>
      <c r="CA3" s="1256"/>
      <c r="CB3" s="1256"/>
      <c r="CC3" s="1256"/>
      <c r="CD3" s="1256"/>
      <c r="CE3" s="1256"/>
      <c r="CF3" s="1256"/>
      <c r="CG3" s="1256"/>
      <c r="CH3" s="1256"/>
      <c r="CI3" s="1256"/>
      <c r="CJ3" s="1256"/>
      <c r="CK3" s="1256"/>
      <c r="CL3" s="1256"/>
      <c r="CM3" s="1256"/>
      <c r="CN3" s="2"/>
      <c r="CO3" s="2"/>
      <c r="CP3" s="2"/>
      <c r="CQ3" s="2"/>
      <c r="CR3" s="2"/>
      <c r="CS3" s="2"/>
      <c r="CT3" s="2"/>
      <c r="CU3" s="2"/>
      <c r="CV3" s="358"/>
    </row>
    <row r="4" spans="1:100" s="1" customFormat="1" ht="12" customHeight="1" x14ac:dyDescent="0.2">
      <c r="A4" s="2"/>
      <c r="B4" s="369" t="s">
        <v>0</v>
      </c>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225"/>
      <c r="AE4" s="369" t="s">
        <v>302</v>
      </c>
      <c r="AF4" s="369"/>
      <c r="AG4" s="369"/>
      <c r="AH4" s="369"/>
      <c r="AI4" s="369"/>
      <c r="AJ4" s="369"/>
      <c r="AK4" s="369"/>
      <c r="AL4" s="369"/>
      <c r="AM4" s="369"/>
      <c r="AN4" s="369"/>
      <c r="AO4" s="369"/>
      <c r="AP4" s="369"/>
      <c r="AQ4" s="369"/>
      <c r="AR4" s="369"/>
      <c r="AS4" s="369"/>
      <c r="AT4" s="369"/>
      <c r="AU4" s="369"/>
      <c r="AV4" s="369"/>
      <c r="AW4" s="225"/>
      <c r="AX4" s="369" t="s">
        <v>224</v>
      </c>
      <c r="AY4" s="369"/>
      <c r="AZ4" s="369"/>
      <c r="BA4" s="369"/>
      <c r="BB4" s="369"/>
      <c r="BC4" s="369"/>
      <c r="BD4" s="369"/>
      <c r="BE4" s="369"/>
      <c r="BF4" s="369"/>
      <c r="BG4" s="369"/>
      <c r="BH4" s="369"/>
      <c r="BI4" s="225"/>
      <c r="BJ4" s="325" t="s">
        <v>223</v>
      </c>
      <c r="BK4" s="225"/>
      <c r="BL4" s="225"/>
      <c r="BM4" s="225"/>
      <c r="BN4" s="248"/>
      <c r="BO4" s="248"/>
      <c r="BP4" s="248"/>
      <c r="BQ4" s="248"/>
      <c r="BR4" s="248"/>
      <c r="BS4" s="225"/>
      <c r="BT4" s="225"/>
      <c r="BU4" s="225"/>
      <c r="BV4" s="325" t="s">
        <v>56</v>
      </c>
      <c r="BW4" s="325"/>
      <c r="BX4" s="325"/>
      <c r="BY4" s="325"/>
      <c r="BZ4" s="325"/>
      <c r="CA4" s="325"/>
      <c r="CB4" s="325"/>
      <c r="CC4" s="325"/>
      <c r="CD4" s="325"/>
      <c r="CE4" s="325"/>
      <c r="CF4" s="325"/>
      <c r="CG4" s="325"/>
      <c r="CH4" s="325"/>
      <c r="CI4" s="325"/>
      <c r="CJ4" s="325"/>
      <c r="CK4" s="325"/>
      <c r="CL4" s="325"/>
      <c r="CM4" s="2"/>
      <c r="CN4" s="2"/>
      <c r="CO4" s="2"/>
      <c r="CP4" s="2"/>
      <c r="CQ4" s="2"/>
      <c r="CR4" s="2"/>
      <c r="CS4" s="2"/>
      <c r="CT4" s="2"/>
      <c r="CU4" s="2"/>
      <c r="CV4" s="358"/>
    </row>
    <row r="5" spans="1:100" s="1" customFormat="1" ht="12" customHeight="1" x14ac:dyDescent="0.2">
      <c r="A5" s="2"/>
      <c r="B5" s="325"/>
      <c r="C5" s="225"/>
      <c r="D5" s="225"/>
      <c r="E5" s="225"/>
      <c r="F5" s="225"/>
      <c r="G5" s="225"/>
      <c r="H5" s="225"/>
      <c r="I5" s="225"/>
      <c r="J5" s="225"/>
      <c r="K5" s="225"/>
      <c r="L5" s="225"/>
      <c r="M5" s="225"/>
      <c r="N5" s="225"/>
      <c r="O5" s="225"/>
      <c r="P5" s="225"/>
      <c r="Q5" s="2"/>
      <c r="R5" s="2"/>
      <c r="S5" s="2"/>
      <c r="T5" s="2"/>
      <c r="U5" s="2"/>
      <c r="V5" s="225"/>
      <c r="W5" s="225"/>
      <c r="X5" s="225"/>
      <c r="Y5" s="225"/>
      <c r="Z5" s="225"/>
      <c r="AA5" s="225"/>
      <c r="AB5" s="225"/>
      <c r="AC5" s="225"/>
      <c r="AD5" s="225"/>
      <c r="AE5" s="368"/>
      <c r="AF5" s="368"/>
      <c r="AG5" s="368"/>
      <c r="AH5" s="368"/>
      <c r="AI5" s="368"/>
      <c r="AJ5" s="368"/>
      <c r="AK5" s="368"/>
      <c r="AL5" s="368"/>
      <c r="AM5" s="368"/>
      <c r="AN5" s="368"/>
      <c r="AO5" s="368"/>
      <c r="AP5" s="368"/>
      <c r="AQ5" s="368"/>
      <c r="AR5" s="368"/>
      <c r="AS5" s="368"/>
      <c r="AT5" s="368"/>
      <c r="AU5" s="368"/>
      <c r="AV5" s="368"/>
      <c r="AW5" s="225"/>
      <c r="AX5" s="325"/>
      <c r="AY5" s="225"/>
      <c r="AZ5" s="225"/>
      <c r="BA5" s="225"/>
      <c r="BB5" s="225"/>
      <c r="BC5" s="225"/>
      <c r="BD5" s="225"/>
      <c r="BE5" s="225"/>
      <c r="BF5" s="225"/>
      <c r="BG5" s="225"/>
      <c r="BH5" s="225"/>
      <c r="BI5" s="225"/>
      <c r="BJ5" s="325"/>
      <c r="BK5" s="225"/>
      <c r="BL5" s="225"/>
      <c r="BM5" s="225"/>
      <c r="BN5" s="248"/>
      <c r="BO5" s="248"/>
      <c r="BP5" s="248"/>
      <c r="BQ5" s="248"/>
      <c r="BR5" s="248"/>
      <c r="BS5" s="225"/>
      <c r="BT5" s="225"/>
      <c r="BU5" s="225"/>
      <c r="BV5" s="368"/>
      <c r="BW5" s="368"/>
      <c r="BX5" s="368"/>
      <c r="BY5" s="368"/>
      <c r="BZ5" s="368"/>
      <c r="CA5" s="368"/>
      <c r="CB5" s="368"/>
      <c r="CC5" s="368"/>
      <c r="CD5" s="368"/>
      <c r="CE5" s="368"/>
      <c r="CF5" s="368"/>
      <c r="CG5" s="368"/>
      <c r="CH5" s="368"/>
      <c r="CI5" s="368"/>
      <c r="CJ5" s="368"/>
      <c r="CK5" s="368"/>
      <c r="CL5" s="368"/>
      <c r="CM5" s="2"/>
      <c r="CN5" s="2"/>
      <c r="CO5" s="2"/>
      <c r="CP5"/>
      <c r="CQ5" s="2"/>
      <c r="CR5" s="2"/>
      <c r="CS5" s="2"/>
      <c r="CT5" s="2"/>
      <c r="CU5" s="2"/>
      <c r="CV5" s="358"/>
    </row>
    <row r="6" spans="1:100" s="1" customFormat="1" ht="12" customHeight="1" x14ac:dyDescent="0.2">
      <c r="A6" s="2"/>
      <c r="B6" s="1255" t="str">
        <f>IF(OR(CharacterLevel="",Class=""),"",Class)</f>
        <v/>
      </c>
      <c r="C6" s="1255"/>
      <c r="D6" s="1255"/>
      <c r="E6" s="1255"/>
      <c r="F6" s="1255"/>
      <c r="G6" s="1255"/>
      <c r="H6" s="1255"/>
      <c r="I6" s="1255"/>
      <c r="J6" s="1255"/>
      <c r="K6" s="1255"/>
      <c r="L6" s="1255"/>
      <c r="M6" s="1255"/>
      <c r="N6" s="1255"/>
      <c r="O6" s="1255"/>
      <c r="P6" s="1255"/>
      <c r="Q6" s="1255"/>
      <c r="R6" s="1255"/>
      <c r="S6" s="1255"/>
      <c r="T6" s="1255"/>
      <c r="U6" s="1255"/>
      <c r="V6" s="1255"/>
      <c r="W6" s="1255"/>
      <c r="X6" s="1255"/>
      <c r="Y6" s="225"/>
      <c r="Z6" s="1255" t="str">
        <f>IF(OR(CharacterLevel="",SubClass=""),"",SubClass)</f>
        <v/>
      </c>
      <c r="AA6" s="1255"/>
      <c r="AB6" s="1255"/>
      <c r="AC6" s="1255"/>
      <c r="AD6" s="1255"/>
      <c r="AE6" s="1255"/>
      <c r="AF6" s="1255"/>
      <c r="AG6" s="1255"/>
      <c r="AH6" s="1255"/>
      <c r="AI6" s="1255"/>
      <c r="AJ6" s="1255"/>
      <c r="AK6" s="1255"/>
      <c r="AL6" s="1255"/>
      <c r="AM6" s="1255"/>
      <c r="AN6" s="1255"/>
      <c r="AO6" s="1255"/>
      <c r="AP6" s="1255"/>
      <c r="AQ6" s="1255"/>
      <c r="AR6" s="1255"/>
      <c r="AS6" s="1255"/>
      <c r="AT6" s="1255"/>
      <c r="AU6" s="1255"/>
      <c r="AV6" s="1255"/>
      <c r="AW6" s="1255"/>
      <c r="AX6" s="1255"/>
      <c r="AY6" s="1255"/>
      <c r="AZ6" s="1255"/>
      <c r="BA6" s="1255"/>
      <c r="BB6" s="225"/>
      <c r="BC6" s="1257" t="str">
        <f>IF(OR(CharacterLevel="",Alignment="",Alignment=Tables!IV3),"",Alignment)</f>
        <v/>
      </c>
      <c r="BD6" s="1257"/>
      <c r="BE6" s="1257"/>
      <c r="BF6" s="1257"/>
      <c r="BG6" s="1257"/>
      <c r="BH6" s="1257"/>
      <c r="BI6" s="1257"/>
      <c r="BJ6" s="1257"/>
      <c r="BK6" s="1257"/>
      <c r="BL6" s="1257"/>
      <c r="BM6" s="1257"/>
      <c r="BN6" s="1257"/>
      <c r="BO6" s="1257"/>
      <c r="BP6" s="1257"/>
      <c r="BQ6" s="1257"/>
      <c r="BR6" s="225"/>
      <c r="BS6" s="1255" t="str">
        <f>IF(OR(CharacterLevel="",Deity="",Deity=Tables!IX3),"",Deity)</f>
        <v/>
      </c>
      <c r="BT6" s="1255"/>
      <c r="BU6" s="1255"/>
      <c r="BV6" s="1255"/>
      <c r="BW6" s="1255"/>
      <c r="BX6" s="1255"/>
      <c r="BY6" s="1255"/>
      <c r="BZ6" s="1255"/>
      <c r="CA6" s="1255"/>
      <c r="CB6" s="1255"/>
      <c r="CC6" s="1255"/>
      <c r="CD6" s="1255"/>
      <c r="CE6" s="1255"/>
      <c r="CF6" s="1255"/>
      <c r="CG6" s="1255"/>
      <c r="CH6" s="1255"/>
      <c r="CI6" s="1255"/>
      <c r="CJ6" s="1255"/>
      <c r="CK6" s="1255"/>
      <c r="CL6" s="1255"/>
      <c r="CM6" s="1255"/>
      <c r="CN6" s="367"/>
      <c r="CO6" s="367"/>
      <c r="CP6" s="367"/>
      <c r="CQ6" s="367"/>
      <c r="CR6" s="367"/>
      <c r="CS6" s="367"/>
      <c r="CT6" s="367"/>
      <c r="CU6" s="367"/>
      <c r="CV6" s="367"/>
    </row>
    <row r="7" spans="1:100" s="1" customFormat="1" ht="12" customHeight="1" thickBot="1" x14ac:dyDescent="0.25">
      <c r="A7" s="2"/>
      <c r="B7" s="1256"/>
      <c r="C7" s="1256"/>
      <c r="D7" s="1256"/>
      <c r="E7" s="1256"/>
      <c r="F7" s="1256"/>
      <c r="G7" s="1256"/>
      <c r="H7" s="1256"/>
      <c r="I7" s="1256"/>
      <c r="J7" s="1256"/>
      <c r="K7" s="1256"/>
      <c r="L7" s="1256"/>
      <c r="M7" s="1256"/>
      <c r="N7" s="1256"/>
      <c r="O7" s="1256"/>
      <c r="P7" s="1256"/>
      <c r="Q7" s="1256"/>
      <c r="R7" s="1256"/>
      <c r="S7" s="1256"/>
      <c r="T7" s="1256"/>
      <c r="U7" s="1256"/>
      <c r="V7" s="1256"/>
      <c r="W7" s="1256"/>
      <c r="X7" s="1256"/>
      <c r="Y7" s="225"/>
      <c r="Z7" s="1256"/>
      <c r="AA7" s="1256"/>
      <c r="AB7" s="1256"/>
      <c r="AC7" s="1256"/>
      <c r="AD7" s="1256"/>
      <c r="AE7" s="1256"/>
      <c r="AF7" s="1256"/>
      <c r="AG7" s="1256"/>
      <c r="AH7" s="1256"/>
      <c r="AI7" s="1256"/>
      <c r="AJ7" s="1256"/>
      <c r="AK7" s="1256"/>
      <c r="AL7" s="1256"/>
      <c r="AM7" s="1256"/>
      <c r="AN7" s="1256"/>
      <c r="AO7" s="1256"/>
      <c r="AP7" s="1256"/>
      <c r="AQ7" s="1256"/>
      <c r="AR7" s="1256"/>
      <c r="AS7" s="1256"/>
      <c r="AT7" s="1256"/>
      <c r="AU7" s="1256"/>
      <c r="AV7" s="1256"/>
      <c r="AW7" s="1256"/>
      <c r="AX7" s="1256"/>
      <c r="AY7" s="1256"/>
      <c r="AZ7" s="1256"/>
      <c r="BA7" s="1256"/>
      <c r="BB7" s="225"/>
      <c r="BC7" s="1258"/>
      <c r="BD7" s="1258"/>
      <c r="BE7" s="1258"/>
      <c r="BF7" s="1258"/>
      <c r="BG7" s="1258"/>
      <c r="BH7" s="1258"/>
      <c r="BI7" s="1258"/>
      <c r="BJ7" s="1258"/>
      <c r="BK7" s="1258"/>
      <c r="BL7" s="1258"/>
      <c r="BM7" s="1258"/>
      <c r="BN7" s="1258"/>
      <c r="BO7" s="1258"/>
      <c r="BP7" s="1258"/>
      <c r="BQ7" s="1258"/>
      <c r="BR7" s="225"/>
      <c r="BS7" s="1256"/>
      <c r="BT7" s="1256"/>
      <c r="BU7" s="1256"/>
      <c r="BV7" s="1256"/>
      <c r="BW7" s="1256"/>
      <c r="BX7" s="1256"/>
      <c r="BY7" s="1256"/>
      <c r="BZ7" s="1256"/>
      <c r="CA7" s="1256"/>
      <c r="CB7" s="1256"/>
      <c r="CC7" s="1256"/>
      <c r="CD7" s="1256"/>
      <c r="CE7" s="1256"/>
      <c r="CF7" s="1256"/>
      <c r="CG7" s="1256"/>
      <c r="CH7" s="1256"/>
      <c r="CI7" s="1256"/>
      <c r="CJ7" s="1256"/>
      <c r="CK7" s="1256"/>
      <c r="CL7" s="1256"/>
      <c r="CM7" s="1256"/>
      <c r="CN7" s="367"/>
      <c r="CO7" s="367"/>
      <c r="CP7" s="367"/>
      <c r="CQ7" s="367"/>
      <c r="CR7" s="367"/>
      <c r="CS7" s="367"/>
      <c r="CT7" s="367"/>
      <c r="CU7" s="367"/>
      <c r="CV7" s="367"/>
    </row>
    <row r="8" spans="1:100" s="1" customFormat="1" ht="12" customHeight="1" x14ac:dyDescent="0.2">
      <c r="A8" s="2"/>
      <c r="B8" s="325" t="s">
        <v>2</v>
      </c>
      <c r="C8" s="225"/>
      <c r="D8" s="225"/>
      <c r="E8" s="225"/>
      <c r="F8" s="225"/>
      <c r="G8" s="225"/>
      <c r="H8" s="225"/>
      <c r="I8" s="225"/>
      <c r="J8" s="225"/>
      <c r="K8" s="225"/>
      <c r="L8" s="225"/>
      <c r="M8" s="225"/>
      <c r="N8" s="225"/>
      <c r="O8" s="225"/>
      <c r="P8" s="225"/>
      <c r="Q8" s="225"/>
      <c r="R8" s="225"/>
      <c r="S8" s="225"/>
      <c r="T8" s="225"/>
      <c r="U8" s="225"/>
      <c r="V8" s="225"/>
      <c r="W8" s="225"/>
      <c r="X8" s="225"/>
      <c r="Y8" s="225"/>
      <c r="Z8" s="325" t="s">
        <v>275</v>
      </c>
      <c r="AA8" s="225"/>
      <c r="AB8" s="225"/>
      <c r="AC8" s="154"/>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325" t="s">
        <v>5</v>
      </c>
      <c r="BD8" s="225"/>
      <c r="BE8" s="225"/>
      <c r="BF8" s="225"/>
      <c r="BG8" s="225"/>
      <c r="BH8" s="225"/>
      <c r="BI8" s="225"/>
      <c r="BJ8" s="225"/>
      <c r="BK8" s="225"/>
      <c r="BL8" s="225"/>
      <c r="BM8" s="225"/>
      <c r="BN8" s="225"/>
      <c r="BO8" s="225"/>
      <c r="BP8" s="225"/>
      <c r="BQ8" s="225"/>
      <c r="BR8" s="225"/>
      <c r="BS8" s="325" t="s">
        <v>6</v>
      </c>
      <c r="BT8" s="325"/>
      <c r="BU8" s="325"/>
      <c r="BV8" s="325"/>
      <c r="BW8" s="325"/>
      <c r="BX8" s="325"/>
      <c r="BY8" s="325"/>
      <c r="BZ8" s="325"/>
      <c r="CA8" s="325"/>
      <c r="CB8" s="325"/>
      <c r="CC8" s="325"/>
      <c r="CD8" s="325"/>
      <c r="CE8" s="325"/>
      <c r="CF8" s="325"/>
      <c r="CG8" s="325"/>
      <c r="CH8" s="325"/>
      <c r="CI8" s="325"/>
      <c r="CJ8" s="325"/>
      <c r="CK8" s="325"/>
      <c r="CL8" s="325"/>
      <c r="CM8" s="2"/>
      <c r="CN8" s="2"/>
      <c r="CO8" s="2"/>
      <c r="CP8" s="2"/>
      <c r="CQ8" s="2"/>
      <c r="CR8" s="358"/>
      <c r="CS8" s="358"/>
      <c r="CT8" s="358"/>
      <c r="CU8" s="358"/>
      <c r="CV8" s="358"/>
    </row>
    <row r="9" spans="1:100" s="1" customFormat="1" ht="12" customHeight="1" x14ac:dyDescent="0.3">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366"/>
      <c r="CK9" s="366"/>
      <c r="CL9" s="366"/>
      <c r="CM9" s="366"/>
      <c r="CN9" s="366"/>
      <c r="CO9" s="366"/>
      <c r="CP9" s="366"/>
      <c r="CQ9" s="366"/>
      <c r="CR9" s="366"/>
      <c r="CS9" s="366"/>
      <c r="CT9" s="366"/>
      <c r="CU9" s="366"/>
      <c r="CV9" s="366"/>
    </row>
    <row r="10" spans="1:100" s="1" customFormat="1" ht="12" customHeight="1" x14ac:dyDescent="0.3">
      <c r="A10" s="2"/>
      <c r="B10" s="1263">
        <f>IF(CharacterLevel="","",CharacterLevel)</f>
        <v>1</v>
      </c>
      <c r="C10" s="1263"/>
      <c r="D10" s="1263"/>
      <c r="E10" s="225"/>
      <c r="F10" s="1255" t="str">
        <f>IF(OR(CharacterLevel="",Race="",Race=Tables!A4),"",Race&amp;IF(OR(Subrace="",Subrace=SelectText),""," ("&amp;Subrace&amp;")"))</f>
        <v/>
      </c>
      <c r="G10" s="1255"/>
      <c r="H10" s="1255"/>
      <c r="I10" s="1255"/>
      <c r="J10" s="1255"/>
      <c r="K10" s="1255"/>
      <c r="L10" s="1255"/>
      <c r="M10" s="1255"/>
      <c r="N10" s="1255"/>
      <c r="O10" s="1255"/>
      <c r="P10" s="1255"/>
      <c r="Q10" s="1255"/>
      <c r="R10" s="1255"/>
      <c r="S10" s="1255"/>
      <c r="T10" s="1255"/>
      <c r="U10" s="244"/>
      <c r="V10" s="1257" t="str">
        <f>IF(OR(CharacterLevel="",Race="",Race=Tables!A4),"",Size)</f>
        <v/>
      </c>
      <c r="W10" s="1257"/>
      <c r="X10" s="1257"/>
      <c r="Y10" s="1257"/>
      <c r="Z10" s="1257"/>
      <c r="AA10" s="1257"/>
      <c r="AB10" s="244"/>
      <c r="AC10" s="1257" t="str">
        <f>IF(OR(CharacterLevel="",Gender="",Gender=Tables!AB3),"",Gender)</f>
        <v/>
      </c>
      <c r="AD10" s="1257"/>
      <c r="AE10" s="1257"/>
      <c r="AF10" s="1257"/>
      <c r="AG10" s="1257"/>
      <c r="AH10" s="1257"/>
      <c r="AI10" s="244"/>
      <c r="AJ10" s="1261">
        <f>IF(OR(CharacterLevel="",CharacterAge=""),"",CharacterAge)</f>
        <v>0</v>
      </c>
      <c r="AK10" s="1261"/>
      <c r="AL10" s="1261"/>
      <c r="AM10" s="1261"/>
      <c r="AN10" s="1261"/>
      <c r="AO10" s="244"/>
      <c r="AP10" s="1257">
        <f>IF(OR(CharacterLevel="",CharacterHeight=""),"",CharacterHeight)</f>
        <v>0</v>
      </c>
      <c r="AQ10" s="1257"/>
      <c r="AR10" s="1257"/>
      <c r="AS10" s="1257"/>
      <c r="AT10" s="1257"/>
      <c r="AU10" s="244"/>
      <c r="AV10" s="1265" t="str">
        <f>IF(OR(CharacterLevel="",CharacterWeight=""),"",CharacterWeight)</f>
        <v/>
      </c>
      <c r="AW10" s="1265"/>
      <c r="AX10" s="1265"/>
      <c r="AY10" s="1265"/>
      <c r="AZ10" s="1265"/>
      <c r="BA10" s="1265"/>
      <c r="BB10" s="2"/>
      <c r="BC10" s="1253" t="str">
        <f>IF(OR(CharacterLevel="",CharacterSkin=""),"",CharacterSkin)</f>
        <v/>
      </c>
      <c r="BD10" s="1253"/>
      <c r="BE10" s="1253"/>
      <c r="BF10" s="1253"/>
      <c r="BG10" s="1253"/>
      <c r="BH10" s="1253"/>
      <c r="BI10" s="1253"/>
      <c r="BJ10" s="1253"/>
      <c r="BK10" s="1253"/>
      <c r="BL10" s="1253"/>
      <c r="BM10" s="1253"/>
      <c r="BN10" s="2"/>
      <c r="BO10" s="1255" t="str">
        <f>IF(OR(CharacterLevel="",CharacterEyes=""),"",CharacterEyes)</f>
        <v/>
      </c>
      <c r="BP10" s="1255"/>
      <c r="BQ10" s="1255"/>
      <c r="BR10" s="1255"/>
      <c r="BS10" s="1255"/>
      <c r="BT10" s="1255"/>
      <c r="BU10" s="1255"/>
      <c r="BV10" s="1255"/>
      <c r="BW10" s="1255"/>
      <c r="BX10" s="1255"/>
      <c r="BY10" s="1255"/>
      <c r="BZ10" s="1255"/>
      <c r="CA10" s="2"/>
      <c r="CB10" s="1255" t="str">
        <f>IF(OR(CharacterLevel="",CharacterHair=""),"",CharacterHair)</f>
        <v/>
      </c>
      <c r="CC10" s="1255"/>
      <c r="CD10" s="1255"/>
      <c r="CE10" s="1255"/>
      <c r="CF10" s="1255"/>
      <c r="CG10" s="1255"/>
      <c r="CH10" s="1255"/>
      <c r="CI10" s="1255"/>
      <c r="CJ10" s="1255"/>
      <c r="CK10" s="1255"/>
      <c r="CL10" s="1255"/>
      <c r="CM10" s="1255"/>
      <c r="CN10" s="366"/>
      <c r="CO10" s="366"/>
      <c r="CP10" s="366"/>
      <c r="CQ10" s="366"/>
      <c r="CR10" s="366"/>
      <c r="CS10" s="366"/>
      <c r="CT10" s="366"/>
      <c r="CU10" s="366"/>
      <c r="CV10" s="366"/>
    </row>
    <row r="11" spans="1:100" s="1" customFormat="1" ht="12" customHeight="1" thickBot="1" x14ac:dyDescent="0.35">
      <c r="A11" s="2"/>
      <c r="B11" s="1264"/>
      <c r="C11" s="1264"/>
      <c r="D11" s="1264"/>
      <c r="E11" s="225"/>
      <c r="F11" s="1256"/>
      <c r="G11" s="1256"/>
      <c r="H11" s="1256"/>
      <c r="I11" s="1256"/>
      <c r="J11" s="1256"/>
      <c r="K11" s="1256"/>
      <c r="L11" s="1256"/>
      <c r="M11" s="1256"/>
      <c r="N11" s="1256"/>
      <c r="O11" s="1256"/>
      <c r="P11" s="1256"/>
      <c r="Q11" s="1256"/>
      <c r="R11" s="1256"/>
      <c r="S11" s="1256"/>
      <c r="T11" s="1256"/>
      <c r="U11" s="244"/>
      <c r="V11" s="1258"/>
      <c r="W11" s="1258"/>
      <c r="X11" s="1258"/>
      <c r="Y11" s="1258"/>
      <c r="Z11" s="1258"/>
      <c r="AA11" s="1258"/>
      <c r="AB11" s="244"/>
      <c r="AC11" s="1258"/>
      <c r="AD11" s="1258"/>
      <c r="AE11" s="1258"/>
      <c r="AF11" s="1258"/>
      <c r="AG11" s="1258"/>
      <c r="AH11" s="1258"/>
      <c r="AI11" s="244"/>
      <c r="AJ11" s="1262"/>
      <c r="AK11" s="1262"/>
      <c r="AL11" s="1262"/>
      <c r="AM11" s="1262"/>
      <c r="AN11" s="1262"/>
      <c r="AO11" s="244"/>
      <c r="AP11" s="1258"/>
      <c r="AQ11" s="1258"/>
      <c r="AR11" s="1258"/>
      <c r="AS11" s="1258"/>
      <c r="AT11" s="1258"/>
      <c r="AU11" s="244"/>
      <c r="AV11" s="1266"/>
      <c r="AW11" s="1266"/>
      <c r="AX11" s="1266"/>
      <c r="AY11" s="1266"/>
      <c r="AZ11" s="1266"/>
      <c r="BA11" s="1266"/>
      <c r="BB11" s="2"/>
      <c r="BC11" s="1254"/>
      <c r="BD11" s="1254"/>
      <c r="BE11" s="1254"/>
      <c r="BF11" s="1254"/>
      <c r="BG11" s="1254"/>
      <c r="BH11" s="1254"/>
      <c r="BI11" s="1254"/>
      <c r="BJ11" s="1254"/>
      <c r="BK11" s="1254"/>
      <c r="BL11" s="1254"/>
      <c r="BM11" s="1254"/>
      <c r="BN11" s="2"/>
      <c r="BO11" s="1256"/>
      <c r="BP11" s="1256"/>
      <c r="BQ11" s="1256"/>
      <c r="BR11" s="1256"/>
      <c r="BS11" s="1256"/>
      <c r="BT11" s="1256"/>
      <c r="BU11" s="1256"/>
      <c r="BV11" s="1256"/>
      <c r="BW11" s="1256"/>
      <c r="BX11" s="1256"/>
      <c r="BY11" s="1256"/>
      <c r="BZ11" s="1256"/>
      <c r="CA11" s="2"/>
      <c r="CB11" s="1256"/>
      <c r="CC11" s="1256"/>
      <c r="CD11" s="1256"/>
      <c r="CE11" s="1256"/>
      <c r="CF11" s="1256"/>
      <c r="CG11" s="1256"/>
      <c r="CH11" s="1256"/>
      <c r="CI11" s="1256"/>
      <c r="CJ11" s="1256"/>
      <c r="CK11" s="1256"/>
      <c r="CL11" s="1256"/>
      <c r="CM11" s="1256"/>
      <c r="CN11" s="366"/>
      <c r="CO11" s="366"/>
      <c r="CP11" s="366"/>
      <c r="CQ11" s="366"/>
      <c r="CR11" s="366"/>
      <c r="CS11" s="366"/>
      <c r="CT11" s="366"/>
      <c r="CU11" s="366"/>
      <c r="CV11" s="366"/>
    </row>
    <row r="12" spans="1:100" s="1" customFormat="1" ht="12" customHeight="1" x14ac:dyDescent="0.2">
      <c r="A12" s="2"/>
      <c r="B12" s="325" t="s">
        <v>7</v>
      </c>
      <c r="C12" s="225"/>
      <c r="D12" s="225"/>
      <c r="E12" s="225"/>
      <c r="F12" s="325" t="str">
        <f>IF(Subrace=Tables!U4,"RACE","RACE (SUBRACE)")</f>
        <v>RACE</v>
      </c>
      <c r="G12" s="225"/>
      <c r="H12" s="225"/>
      <c r="I12" s="225"/>
      <c r="J12" s="225"/>
      <c r="K12" s="225"/>
      <c r="L12" s="225"/>
      <c r="M12" s="225"/>
      <c r="N12" s="225"/>
      <c r="O12" s="225"/>
      <c r="P12" s="225"/>
      <c r="Q12" s="225"/>
      <c r="R12" s="225"/>
      <c r="S12" s="225"/>
      <c r="T12" s="225"/>
      <c r="U12" s="225"/>
      <c r="V12" s="325" t="s">
        <v>8</v>
      </c>
      <c r="W12" s="225"/>
      <c r="X12" s="225"/>
      <c r="Y12" s="225"/>
      <c r="Z12" s="225"/>
      <c r="AA12" s="225"/>
      <c r="AB12" s="225"/>
      <c r="AC12" s="325" t="s">
        <v>4</v>
      </c>
      <c r="AD12" s="225"/>
      <c r="AE12" s="225"/>
      <c r="AF12" s="225"/>
      <c r="AG12" s="225"/>
      <c r="AH12" s="225"/>
      <c r="AI12" s="225"/>
      <c r="AJ12" s="325" t="s">
        <v>10</v>
      </c>
      <c r="AK12" s="247"/>
      <c r="AL12" s="247"/>
      <c r="AM12" s="247"/>
      <c r="AN12" s="247"/>
      <c r="AO12" s="225"/>
      <c r="AP12" s="325" t="s">
        <v>11</v>
      </c>
      <c r="AQ12" s="225"/>
      <c r="AR12" s="225"/>
      <c r="AS12" s="225"/>
      <c r="AT12" s="225"/>
      <c r="AU12" s="225"/>
      <c r="AV12" s="325" t="s">
        <v>12</v>
      </c>
      <c r="AW12" s="225"/>
      <c r="AX12" s="225"/>
      <c r="AY12" s="225"/>
      <c r="AZ12" s="225"/>
      <c r="BA12" s="225"/>
      <c r="BB12" s="2"/>
      <c r="BC12" s="325" t="s">
        <v>814</v>
      </c>
      <c r="BD12" s="225"/>
      <c r="BE12" s="225"/>
      <c r="BF12" s="225"/>
      <c r="BG12" s="225"/>
      <c r="BH12" s="225"/>
      <c r="BI12" s="225"/>
      <c r="BJ12" s="225"/>
      <c r="BK12" s="225"/>
      <c r="BL12" s="3"/>
      <c r="BM12" s="3"/>
      <c r="BN12" s="3"/>
      <c r="BO12" s="325" t="s">
        <v>13</v>
      </c>
      <c r="BP12" s="225"/>
      <c r="BQ12" s="225"/>
      <c r="BR12" s="225"/>
      <c r="BS12" s="225"/>
      <c r="BT12" s="225"/>
      <c r="BU12" s="225"/>
      <c r="BV12" s="225"/>
      <c r="BW12" s="225"/>
      <c r="BX12" s="225"/>
      <c r="BY12" s="2"/>
      <c r="BZ12" s="2"/>
      <c r="CA12" s="2"/>
      <c r="CB12" s="325" t="s">
        <v>14</v>
      </c>
      <c r="CC12" s="225"/>
      <c r="CD12" s="225"/>
      <c r="CE12" s="225"/>
      <c r="CF12" s="225"/>
      <c r="CG12" s="225"/>
      <c r="CH12" s="225"/>
      <c r="CI12" s="225"/>
      <c r="CJ12" s="225"/>
      <c r="CK12" s="225"/>
      <c r="CL12" s="224"/>
      <c r="CM12" s="224"/>
      <c r="CN12" s="224"/>
      <c r="CO12" s="224"/>
      <c r="CP12" s="224"/>
      <c r="CQ12" s="224"/>
      <c r="CR12" s="224"/>
      <c r="CS12" s="224"/>
      <c r="CT12" s="224"/>
      <c r="CU12" s="224"/>
      <c r="CV12" s="224"/>
    </row>
    <row r="13" spans="1:100" s="1" customFormat="1" ht="12"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3"/>
      <c r="BP13" s="3"/>
      <c r="BQ13" s="3"/>
      <c r="BR13" s="3"/>
      <c r="BS13" s="3"/>
      <c r="BT13" s="3"/>
      <c r="BU13" s="2"/>
      <c r="BV13" s="2"/>
      <c r="BW13" s="2"/>
      <c r="BX13" s="2"/>
      <c r="BY13" s="2"/>
      <c r="BZ13" s="2"/>
      <c r="CA13" s="2"/>
      <c r="CB13" s="2"/>
      <c r="CC13" s="2"/>
      <c r="CD13" s="2"/>
      <c r="CE13" s="2"/>
      <c r="CF13" s="2"/>
      <c r="CG13" s="2"/>
      <c r="CH13" s="2"/>
      <c r="CI13" s="224"/>
      <c r="CJ13" s="224"/>
      <c r="CK13" s="224"/>
      <c r="CL13" s="224"/>
      <c r="CM13" s="224"/>
      <c r="CN13" s="224"/>
      <c r="CO13" s="224"/>
      <c r="CP13" s="224"/>
      <c r="CQ13" s="224"/>
      <c r="CR13" s="224"/>
      <c r="CS13" s="224"/>
      <c r="CT13" s="224"/>
      <c r="CU13" s="224"/>
      <c r="CV13" s="224"/>
    </row>
    <row r="14" spans="1:100" s="1" customFormat="1" ht="12" customHeight="1" x14ac:dyDescent="0.2">
      <c r="A14" s="2"/>
      <c r="B14" s="997" t="s">
        <v>58</v>
      </c>
      <c r="C14" s="997"/>
      <c r="D14" s="997"/>
      <c r="E14" s="997"/>
      <c r="F14" s="997"/>
      <c r="G14" s="997"/>
      <c r="H14" s="997"/>
      <c r="I14" s="997"/>
      <c r="J14" s="997"/>
      <c r="K14" s="997"/>
      <c r="L14" s="997"/>
      <c r="M14" s="997"/>
      <c r="N14" s="997"/>
      <c r="O14" s="997"/>
      <c r="P14" s="997"/>
      <c r="Q14" s="997"/>
      <c r="R14" s="997"/>
      <c r="S14" s="997"/>
      <c r="T14" s="997"/>
      <c r="U14" s="997"/>
      <c r="V14" s="997"/>
      <c r="W14" s="997"/>
      <c r="X14" s="997"/>
      <c r="Y14" s="997"/>
      <c r="Z14" s="997"/>
      <c r="AA14" s="997"/>
      <c r="AB14" s="997"/>
      <c r="AC14" s="997"/>
      <c r="AD14" s="997"/>
      <c r="AE14" s="997"/>
      <c r="AF14" s="2"/>
      <c r="AG14" s="997" t="s">
        <v>45</v>
      </c>
      <c r="AH14" s="997"/>
      <c r="AI14" s="997"/>
      <c r="AJ14" s="997"/>
      <c r="AK14" s="997"/>
      <c r="AL14" s="997"/>
      <c r="AM14" s="997"/>
      <c r="AN14" s="997"/>
      <c r="AO14" s="997"/>
      <c r="AP14" s="997"/>
      <c r="AQ14" s="997"/>
      <c r="AR14" s="997"/>
      <c r="AS14" s="997"/>
      <c r="AT14" s="997"/>
      <c r="AU14" s="997"/>
      <c r="AV14" s="997"/>
      <c r="AW14" s="997"/>
      <c r="AX14" s="997"/>
      <c r="AY14" s="997"/>
      <c r="AZ14" s="997"/>
      <c r="BA14" s="997"/>
      <c r="BB14" s="997"/>
      <c r="BC14" s="997"/>
      <c r="BD14" s="2"/>
      <c r="BE14" s="997" t="s">
        <v>33</v>
      </c>
      <c r="BF14" s="997"/>
      <c r="BG14" s="997"/>
      <c r="BH14" s="997"/>
      <c r="BI14" s="997"/>
      <c r="BJ14" s="997"/>
      <c r="BK14" s="997"/>
      <c r="BL14" s="997"/>
      <c r="BM14" s="997"/>
      <c r="BN14" s="997"/>
      <c r="BO14" s="997"/>
      <c r="BP14" s="997"/>
      <c r="BQ14" s="997"/>
      <c r="BR14" s="997"/>
      <c r="BS14" s="997"/>
      <c r="BT14" s="997"/>
      <c r="BU14" s="997"/>
      <c r="BV14" s="997"/>
      <c r="BW14" s="997"/>
      <c r="BX14" s="997"/>
      <c r="BY14" s="997"/>
      <c r="BZ14" s="997"/>
      <c r="CA14" s="997"/>
      <c r="CB14" s="997"/>
      <c r="CC14" s="997"/>
      <c r="CD14" s="997"/>
      <c r="CE14" s="997"/>
      <c r="CF14" s="997"/>
      <c r="CG14" s="997"/>
      <c r="CH14" s="997"/>
      <c r="CI14" s="997"/>
      <c r="CJ14" s="997"/>
      <c r="CK14" s="997"/>
      <c r="CL14" s="997"/>
      <c r="CM14" s="997"/>
      <c r="CN14" s="997"/>
      <c r="CO14" s="997"/>
      <c r="CP14" s="997"/>
      <c r="CQ14" s="997"/>
      <c r="CR14" s="997"/>
      <c r="CS14" s="997"/>
      <c r="CT14" s="997"/>
      <c r="CU14" s="997"/>
      <c r="CV14" s="2"/>
    </row>
    <row r="15" spans="1:100" ht="12" customHeight="1" x14ac:dyDescent="0.2">
      <c r="A15" s="5"/>
      <c r="B15" s="997"/>
      <c r="C15" s="997"/>
      <c r="D15" s="997"/>
      <c r="E15" s="997"/>
      <c r="F15" s="997"/>
      <c r="G15" s="997"/>
      <c r="H15" s="997"/>
      <c r="I15" s="997"/>
      <c r="J15" s="997"/>
      <c r="K15" s="997"/>
      <c r="L15" s="997"/>
      <c r="M15" s="997"/>
      <c r="N15" s="997"/>
      <c r="O15" s="997"/>
      <c r="P15" s="997"/>
      <c r="Q15" s="997"/>
      <c r="R15" s="997"/>
      <c r="S15" s="997"/>
      <c r="T15" s="997"/>
      <c r="U15" s="997"/>
      <c r="V15" s="997"/>
      <c r="W15" s="997"/>
      <c r="X15" s="997"/>
      <c r="Y15" s="997"/>
      <c r="Z15" s="997"/>
      <c r="AA15" s="997"/>
      <c r="AB15" s="997"/>
      <c r="AC15" s="997"/>
      <c r="AD15" s="997"/>
      <c r="AE15" s="997"/>
      <c r="AF15" s="5"/>
      <c r="AG15" s="997"/>
      <c r="AH15" s="997"/>
      <c r="AI15" s="997"/>
      <c r="AJ15" s="997"/>
      <c r="AK15" s="997"/>
      <c r="AL15" s="997"/>
      <c r="AM15" s="997"/>
      <c r="AN15" s="997"/>
      <c r="AO15" s="997"/>
      <c r="AP15" s="997"/>
      <c r="AQ15" s="997"/>
      <c r="AR15" s="997"/>
      <c r="AS15" s="997"/>
      <c r="AT15" s="997"/>
      <c r="AU15" s="997"/>
      <c r="AV15" s="997"/>
      <c r="AW15" s="997"/>
      <c r="AX15" s="997"/>
      <c r="AY15" s="997"/>
      <c r="AZ15" s="997"/>
      <c r="BA15" s="997"/>
      <c r="BB15" s="997"/>
      <c r="BC15" s="997"/>
      <c r="BD15" s="2"/>
      <c r="BE15" s="997"/>
      <c r="BF15" s="997"/>
      <c r="BG15" s="997"/>
      <c r="BH15" s="997"/>
      <c r="BI15" s="997"/>
      <c r="BJ15" s="997"/>
      <c r="BK15" s="997"/>
      <c r="BL15" s="997"/>
      <c r="BM15" s="997"/>
      <c r="BN15" s="997"/>
      <c r="BO15" s="997"/>
      <c r="BP15" s="997"/>
      <c r="BQ15" s="997"/>
      <c r="BR15" s="997"/>
      <c r="BS15" s="997"/>
      <c r="BT15" s="997"/>
      <c r="BU15" s="997"/>
      <c r="BV15" s="997"/>
      <c r="BW15" s="997"/>
      <c r="BX15" s="997"/>
      <c r="BY15" s="997"/>
      <c r="BZ15" s="997"/>
      <c r="CA15" s="997"/>
      <c r="CB15" s="997"/>
      <c r="CC15" s="997"/>
      <c r="CD15" s="997"/>
      <c r="CE15" s="997"/>
      <c r="CF15" s="997"/>
      <c r="CG15" s="997"/>
      <c r="CH15" s="997"/>
      <c r="CI15" s="997"/>
      <c r="CJ15" s="997"/>
      <c r="CK15" s="997"/>
      <c r="CL15" s="997"/>
      <c r="CM15" s="997"/>
      <c r="CN15" s="997"/>
      <c r="CO15" s="997"/>
      <c r="CP15" s="997"/>
      <c r="CQ15" s="997"/>
      <c r="CR15" s="997"/>
      <c r="CS15" s="997"/>
      <c r="CT15" s="997"/>
      <c r="CU15" s="997"/>
      <c r="CV15" s="5"/>
    </row>
    <row r="16" spans="1:100" ht="12" customHeight="1" x14ac:dyDescent="0.2">
      <c r="A16" s="5"/>
      <c r="B16" s="1059" t="s">
        <v>80</v>
      </c>
      <c r="C16" s="1063"/>
      <c r="D16" s="1063"/>
      <c r="E16" s="1063"/>
      <c r="F16" s="1063"/>
      <c r="G16" s="1063"/>
      <c r="H16" s="262"/>
      <c r="I16" s="1059" t="s">
        <v>15</v>
      </c>
      <c r="J16" s="1059"/>
      <c r="K16" s="1059"/>
      <c r="L16" s="1059"/>
      <c r="M16" s="1059"/>
      <c r="N16" s="261"/>
      <c r="O16" s="1059" t="s">
        <v>16</v>
      </c>
      <c r="P16" s="1059"/>
      <c r="Q16" s="1059"/>
      <c r="R16" s="1059"/>
      <c r="S16" s="1059"/>
      <c r="T16" s="261"/>
      <c r="U16" s="1059" t="s">
        <v>59</v>
      </c>
      <c r="V16" s="1059"/>
      <c r="W16" s="1059"/>
      <c r="X16" s="1059"/>
      <c r="Y16" s="1059"/>
      <c r="Z16" s="261"/>
      <c r="AA16" s="1059" t="s">
        <v>61</v>
      </c>
      <c r="AB16" s="1059"/>
      <c r="AC16" s="1059"/>
      <c r="AD16" s="1059"/>
      <c r="AE16" s="1059"/>
      <c r="AF16" s="262"/>
      <c r="AG16" s="1059" t="s">
        <v>60</v>
      </c>
      <c r="AH16" s="1059"/>
      <c r="AI16" s="1059"/>
      <c r="AJ16" s="1059"/>
      <c r="AK16" s="1059"/>
      <c r="AL16" s="262"/>
      <c r="AM16" s="1059" t="s">
        <v>16</v>
      </c>
      <c r="AN16" s="1059"/>
      <c r="AO16" s="1059"/>
      <c r="AP16" s="1059"/>
      <c r="AQ16" s="1059"/>
      <c r="AS16" s="1059" t="s">
        <v>74</v>
      </c>
      <c r="AT16" s="1059"/>
      <c r="AU16" s="1059"/>
      <c r="AV16" s="1059"/>
      <c r="AW16" s="1059"/>
      <c r="AX16" s="352"/>
      <c r="AY16" s="1046" t="s">
        <v>373</v>
      </c>
      <c r="AZ16" s="1046"/>
      <c r="BA16" s="1046"/>
      <c r="BB16" s="1046"/>
      <c r="BC16" s="1046"/>
      <c r="BD16" s="4"/>
      <c r="BE16" s="1077" t="s">
        <v>35</v>
      </c>
      <c r="BF16" s="1077"/>
      <c r="BG16" s="1077"/>
      <c r="BH16" s="1077"/>
      <c r="BI16" s="1077"/>
      <c r="BJ16" s="1077"/>
      <c r="BK16" s="1077"/>
      <c r="BL16" s="1077"/>
      <c r="BM16" s="1077"/>
      <c r="BN16" s="1077"/>
      <c r="BO16" s="1077"/>
      <c r="BP16" s="1077"/>
      <c r="BQ16" s="1046" t="s">
        <v>36</v>
      </c>
      <c r="BR16" s="1046"/>
      <c r="BS16" s="1046"/>
      <c r="BT16" s="1048" t="s">
        <v>73</v>
      </c>
      <c r="BU16" s="1048"/>
      <c r="BV16" s="1048"/>
      <c r="BW16" s="1048"/>
      <c r="BX16" s="1048"/>
      <c r="BY16" s="1046" t="s">
        <v>37</v>
      </c>
      <c r="BZ16" s="1046"/>
      <c r="CA16" s="1046"/>
      <c r="CB16" s="1046"/>
      <c r="CC16" s="1046"/>
      <c r="CD16" s="261"/>
      <c r="CE16" s="1046" t="s">
        <v>16</v>
      </c>
      <c r="CF16" s="1046"/>
      <c r="CG16" s="1046"/>
      <c r="CH16" s="1046"/>
      <c r="CI16" s="1046"/>
      <c r="CK16" s="1046" t="s">
        <v>74</v>
      </c>
      <c r="CL16" s="1046"/>
      <c r="CM16" s="1046"/>
      <c r="CN16" s="1046"/>
      <c r="CO16" s="1046"/>
      <c r="CP16" s="755"/>
      <c r="CQ16" s="1046" t="s">
        <v>373</v>
      </c>
      <c r="CR16" s="1046"/>
      <c r="CS16" s="1046"/>
      <c r="CT16" s="1046"/>
      <c r="CU16" s="1046"/>
      <c r="CV16" s="5"/>
    </row>
    <row r="17" spans="1:116" ht="12" customHeight="1" x14ac:dyDescent="0.2">
      <c r="A17" s="5"/>
      <c r="B17" s="1059"/>
      <c r="C17" s="1063"/>
      <c r="D17" s="1063"/>
      <c r="E17" s="1063"/>
      <c r="F17" s="1063"/>
      <c r="G17" s="1063"/>
      <c r="H17" s="262"/>
      <c r="I17" s="1059"/>
      <c r="J17" s="1059"/>
      <c r="K17" s="1059"/>
      <c r="L17" s="1059"/>
      <c r="M17" s="1059"/>
      <c r="N17" s="261"/>
      <c r="O17" s="1059"/>
      <c r="P17" s="1059"/>
      <c r="Q17" s="1059"/>
      <c r="R17" s="1059"/>
      <c r="S17" s="1059"/>
      <c r="T17" s="261"/>
      <c r="U17" s="1059"/>
      <c r="V17" s="1059"/>
      <c r="W17" s="1059"/>
      <c r="X17" s="1059"/>
      <c r="Y17" s="1059"/>
      <c r="Z17" s="261"/>
      <c r="AA17" s="1059"/>
      <c r="AB17" s="1059"/>
      <c r="AC17" s="1059"/>
      <c r="AD17" s="1059"/>
      <c r="AE17" s="1059"/>
      <c r="AF17" s="262"/>
      <c r="AG17" s="1059"/>
      <c r="AH17" s="1059"/>
      <c r="AI17" s="1059"/>
      <c r="AJ17" s="1059"/>
      <c r="AK17" s="1059"/>
      <c r="AL17" s="262"/>
      <c r="AM17" s="1059"/>
      <c r="AN17" s="1059"/>
      <c r="AO17" s="1059"/>
      <c r="AP17" s="1059"/>
      <c r="AQ17" s="1059"/>
      <c r="AR17" s="352"/>
      <c r="AS17" s="1059"/>
      <c r="AT17" s="1059"/>
      <c r="AU17" s="1059"/>
      <c r="AV17" s="1059"/>
      <c r="AW17" s="1059"/>
      <c r="AX17" s="352"/>
      <c r="AY17" s="1046"/>
      <c r="AZ17" s="1046"/>
      <c r="BA17" s="1046"/>
      <c r="BB17" s="1046"/>
      <c r="BC17" s="1046"/>
      <c r="BD17" s="4"/>
      <c r="BE17" s="1077"/>
      <c r="BF17" s="1077"/>
      <c r="BG17" s="1077"/>
      <c r="BH17" s="1077"/>
      <c r="BI17" s="1077"/>
      <c r="BJ17" s="1077"/>
      <c r="BK17" s="1077"/>
      <c r="BL17" s="1077"/>
      <c r="BM17" s="1077"/>
      <c r="BN17" s="1077"/>
      <c r="BO17" s="1077"/>
      <c r="BP17" s="1077"/>
      <c r="BQ17" s="1046"/>
      <c r="BR17" s="1046"/>
      <c r="BS17" s="1046"/>
      <c r="BT17" s="1048"/>
      <c r="BU17" s="1048"/>
      <c r="BV17" s="1048"/>
      <c r="BW17" s="1048"/>
      <c r="BX17" s="1048"/>
      <c r="BY17" s="1046"/>
      <c r="BZ17" s="1046"/>
      <c r="CA17" s="1046"/>
      <c r="CB17" s="1046"/>
      <c r="CC17" s="1046"/>
      <c r="CD17" s="261"/>
      <c r="CE17" s="1046"/>
      <c r="CF17" s="1046"/>
      <c r="CG17" s="1046"/>
      <c r="CH17" s="1046"/>
      <c r="CI17" s="1046"/>
      <c r="CJ17" s="755"/>
      <c r="CK17" s="1046"/>
      <c r="CL17" s="1046"/>
      <c r="CM17" s="1046"/>
      <c r="CN17" s="1046"/>
      <c r="CO17" s="1046"/>
      <c r="CP17" s="755"/>
      <c r="CQ17" s="1046"/>
      <c r="CR17" s="1046"/>
      <c r="CS17" s="1046"/>
      <c r="CT17" s="1046"/>
      <c r="CU17" s="1046"/>
      <c r="CV17" s="5"/>
    </row>
    <row r="18" spans="1:116" ht="12" customHeight="1" thickBot="1" x14ac:dyDescent="0.25">
      <c r="A18" s="5"/>
      <c r="B18" s="1063"/>
      <c r="C18" s="1063"/>
      <c r="D18" s="1064"/>
      <c r="E18" s="1063"/>
      <c r="F18" s="1063"/>
      <c r="G18" s="1063"/>
      <c r="H18" s="262"/>
      <c r="I18" s="1059"/>
      <c r="J18" s="1059"/>
      <c r="K18" s="1059"/>
      <c r="L18" s="1059"/>
      <c r="M18" s="1059"/>
      <c r="N18" s="261"/>
      <c r="O18" s="1076"/>
      <c r="P18" s="1076"/>
      <c r="Q18" s="1076"/>
      <c r="R18" s="1076"/>
      <c r="S18" s="1076"/>
      <c r="T18" s="261"/>
      <c r="U18" s="1059"/>
      <c r="V18" s="1059"/>
      <c r="W18" s="1059"/>
      <c r="X18" s="1059"/>
      <c r="Y18" s="1059"/>
      <c r="Z18" s="261"/>
      <c r="AA18" s="1059"/>
      <c r="AB18" s="1059"/>
      <c r="AC18" s="1059"/>
      <c r="AD18" s="1059"/>
      <c r="AE18" s="1059"/>
      <c r="AF18" s="262"/>
      <c r="AG18" s="1059"/>
      <c r="AH18" s="1059"/>
      <c r="AI18" s="1059"/>
      <c r="AJ18" s="1059"/>
      <c r="AK18" s="1059"/>
      <c r="AL18" s="262"/>
      <c r="AM18" s="1076"/>
      <c r="AN18" s="1076"/>
      <c r="AO18" s="1076"/>
      <c r="AP18" s="1076"/>
      <c r="AQ18" s="1076"/>
      <c r="AR18" s="352"/>
      <c r="AS18" s="1076"/>
      <c r="AT18" s="1076"/>
      <c r="AU18" s="1076"/>
      <c r="AV18" s="1076"/>
      <c r="AW18" s="1076"/>
      <c r="AX18" s="352"/>
      <c r="AY18" s="1046"/>
      <c r="AZ18" s="1046"/>
      <c r="BA18" s="1046"/>
      <c r="BB18" s="1046"/>
      <c r="BC18" s="1046"/>
      <c r="BD18" s="4"/>
      <c r="BE18" s="1077"/>
      <c r="BF18" s="1077"/>
      <c r="BG18" s="1077"/>
      <c r="BH18" s="1077"/>
      <c r="BI18" s="1077"/>
      <c r="BJ18" s="1077"/>
      <c r="BK18" s="1077"/>
      <c r="BL18" s="1077"/>
      <c r="BM18" s="1077"/>
      <c r="BN18" s="1077"/>
      <c r="BO18" s="1077"/>
      <c r="BP18" s="1077"/>
      <c r="BQ18" s="1046"/>
      <c r="BR18" s="1046"/>
      <c r="BS18" s="1046"/>
      <c r="BT18" s="1048"/>
      <c r="BU18" s="1048"/>
      <c r="BV18" s="1048"/>
      <c r="BW18" s="1048"/>
      <c r="BX18" s="1048"/>
      <c r="BY18" s="1046"/>
      <c r="BZ18" s="1046"/>
      <c r="CA18" s="1046"/>
      <c r="CB18" s="1046"/>
      <c r="CC18" s="1046"/>
      <c r="CD18" s="261"/>
      <c r="CE18" s="1046"/>
      <c r="CF18" s="1046"/>
      <c r="CG18" s="1046"/>
      <c r="CH18" s="1046"/>
      <c r="CI18" s="1046"/>
      <c r="CJ18" s="755"/>
      <c r="CK18" s="1046"/>
      <c r="CL18" s="1046"/>
      <c r="CM18" s="1046"/>
      <c r="CN18" s="1046"/>
      <c r="CO18" s="1046"/>
      <c r="CP18" s="755"/>
      <c r="CQ18" s="1046"/>
      <c r="CR18" s="1046"/>
      <c r="CS18" s="1046"/>
      <c r="CT18" s="1046"/>
      <c r="CU18" s="1046"/>
      <c r="CV18" s="5"/>
    </row>
    <row r="19" spans="1:116" ht="12" customHeight="1" x14ac:dyDescent="0.25">
      <c r="A19" s="5"/>
      <c r="B19" s="997" t="s">
        <v>19</v>
      </c>
      <c r="C19" s="997"/>
      <c r="D19" s="1049"/>
      <c r="E19" s="997"/>
      <c r="F19" s="997"/>
      <c r="G19" s="997"/>
      <c r="H19" s="5"/>
      <c r="I19" s="1050">
        <f>IF(CharacterLevel="","",IF(U19="",STR,U19))</f>
        <v>0</v>
      </c>
      <c r="J19" s="1051"/>
      <c r="K19" s="1051"/>
      <c r="L19" s="1051"/>
      <c r="M19" s="1052"/>
      <c r="N19" s="354">
        <f>STR</f>
        <v>0</v>
      </c>
      <c r="O19" s="1065">
        <f>IF(I19="","",INT((I19-10)/2))</f>
        <v>-5</v>
      </c>
      <c r="P19" s="1066"/>
      <c r="Q19" s="1066"/>
      <c r="R19" s="1066"/>
      <c r="S19" s="1067"/>
      <c r="T19" s="5"/>
      <c r="U19" s="1165"/>
      <c r="V19" s="1165"/>
      <c r="W19" s="1165"/>
      <c r="X19" s="1165"/>
      <c r="Y19" s="1165"/>
      <c r="Z19" s="5"/>
      <c r="AA19" s="1075" t="str">
        <f>IF(U19=0,"",INT((U19-10)/2))</f>
        <v/>
      </c>
      <c r="AB19" s="1075"/>
      <c r="AC19" s="1075"/>
      <c r="AD19" s="1075"/>
      <c r="AE19" s="1075"/>
      <c r="AF19" s="2"/>
      <c r="AG19" s="1065">
        <f ca="1">IF(CharacterLevel="","",AM19+AS19+AY19)</f>
        <v>-4</v>
      </c>
      <c r="AH19" s="1051"/>
      <c r="AI19" s="1051"/>
      <c r="AJ19" s="1051"/>
      <c r="AK19" s="1052"/>
      <c r="AL19" s="38"/>
      <c r="AM19" s="1147">
        <f>IF(AA19="",O19,AA19)</f>
        <v>-5</v>
      </c>
      <c r="AN19" s="1148"/>
      <c r="AO19" s="1148"/>
      <c r="AP19" s="1148"/>
      <c r="AQ19" s="1149"/>
      <c r="AR19" s="38"/>
      <c r="AS19" s="1078">
        <f ca="1">IF(CharacterLevel="","",IF(Tables!BG3="",0,ProfBonus))</f>
        <v>0</v>
      </c>
      <c r="AT19" s="1079"/>
      <c r="AU19" s="1079"/>
      <c r="AV19" s="1079"/>
      <c r="AW19" s="1080"/>
      <c r="AX19" s="38"/>
      <c r="AY19" s="1062">
        <v>1</v>
      </c>
      <c r="AZ19" s="1062"/>
      <c r="BA19" s="1062"/>
      <c r="BB19" s="1062"/>
      <c r="BC19" s="1062"/>
      <c r="BD19" s="2"/>
      <c r="BE19" s="1035" t="s">
        <v>63</v>
      </c>
      <c r="BF19" s="1035"/>
      <c r="BG19" s="1035"/>
      <c r="BH19" s="1035"/>
      <c r="BI19" s="1035"/>
      <c r="BJ19" s="1035"/>
      <c r="BK19" s="1035"/>
      <c r="BL19" s="1035"/>
      <c r="BM19" s="1035"/>
      <c r="BN19" s="1035"/>
      <c r="BO19" s="1035"/>
      <c r="BP19" s="1035"/>
      <c r="BQ19" s="1034" t="s">
        <v>23</v>
      </c>
      <c r="BR19" s="1034"/>
      <c r="BS19" s="1034"/>
      <c r="BT19" s="5"/>
      <c r="BU19" s="1047" t="str">
        <f>IF(CharacterLevel="","○",IF(Start!L65="","○","●"))</f>
        <v>○</v>
      </c>
      <c r="BV19" s="1047"/>
      <c r="BW19" s="1047"/>
      <c r="BX19" s="5"/>
      <c r="BY19" s="1060">
        <f ca="1">IF(OR(BE19="",CharacterLevel=""),"",CE19+CK19+CQ19)</f>
        <v>-5</v>
      </c>
      <c r="BZ19" s="1060"/>
      <c r="CA19" s="1060"/>
      <c r="CB19" s="1060"/>
      <c r="CC19" s="1060"/>
      <c r="CD19" s="1036" t="s">
        <v>25</v>
      </c>
      <c r="CE19" s="1041">
        <f ca="1">IF(OR(BE19="",CharacterLevel=""),"",INDIRECT(TEXT(BQ19&amp;"Mod",0)))</f>
        <v>-5</v>
      </c>
      <c r="CF19" s="1041"/>
      <c r="CG19" s="1041"/>
      <c r="CH19" s="1041"/>
      <c r="CI19" s="1041"/>
      <c r="CJ19" s="1036" t="s">
        <v>26</v>
      </c>
      <c r="CK19" s="1038">
        <f ca="1">IF(OR(BE19="",CharacterLevel=""),"",IF(BU19="●",ProfBonus,0)+IF(RogueLevel&gt;=1,IF(COUNTIF(Start!$AJ$63:$AR$66,BE19)&gt;0,ProfBonus,0),0)+IF(AND(BU19="○",FighterChampionLevel&gt;=7),ROUNDUP(ProfBonus/2,0),0))</f>
        <v>0</v>
      </c>
      <c r="CL19" s="1038"/>
      <c r="CM19" s="1038"/>
      <c r="CN19" s="1038"/>
      <c r="CO19" s="1038"/>
      <c r="CP19" s="1036" t="s">
        <v>26</v>
      </c>
      <c r="CQ19" s="1044"/>
      <c r="CR19" s="1044"/>
      <c r="CS19" s="1044"/>
      <c r="CT19" s="1044"/>
      <c r="CU19" s="1044"/>
      <c r="CV19" s="5"/>
    </row>
    <row r="20" spans="1:116" ht="12" customHeight="1" x14ac:dyDescent="0.2">
      <c r="A20" s="5"/>
      <c r="B20" s="997"/>
      <c r="C20" s="997"/>
      <c r="D20" s="1049"/>
      <c r="E20" s="997"/>
      <c r="F20" s="997"/>
      <c r="G20" s="997"/>
      <c r="H20" s="5"/>
      <c r="I20" s="1053"/>
      <c r="J20" s="1054"/>
      <c r="K20" s="1054"/>
      <c r="L20" s="1054"/>
      <c r="M20" s="1055"/>
      <c r="N20" s="260"/>
      <c r="O20" s="1068"/>
      <c r="P20" s="1069"/>
      <c r="Q20" s="1069"/>
      <c r="R20" s="1069"/>
      <c r="S20" s="1070"/>
      <c r="T20" s="5"/>
      <c r="U20" s="1165"/>
      <c r="V20" s="1165"/>
      <c r="W20" s="1165"/>
      <c r="X20" s="1165"/>
      <c r="Y20" s="1165"/>
      <c r="Z20" s="5"/>
      <c r="AA20" s="1075"/>
      <c r="AB20" s="1075"/>
      <c r="AC20" s="1075"/>
      <c r="AD20" s="1075"/>
      <c r="AE20" s="1075"/>
      <c r="AF20" s="2"/>
      <c r="AG20" s="1053"/>
      <c r="AH20" s="1054"/>
      <c r="AI20" s="1054"/>
      <c r="AJ20" s="1054"/>
      <c r="AK20" s="1055"/>
      <c r="AL20" s="39" t="s">
        <v>25</v>
      </c>
      <c r="AM20" s="1150"/>
      <c r="AN20" s="1151"/>
      <c r="AO20" s="1151"/>
      <c r="AP20" s="1151"/>
      <c r="AQ20" s="1152"/>
      <c r="AR20" s="39" t="s">
        <v>26</v>
      </c>
      <c r="AS20" s="1081"/>
      <c r="AT20" s="1082"/>
      <c r="AU20" s="1082"/>
      <c r="AV20" s="1082"/>
      <c r="AW20" s="1083"/>
      <c r="AX20" s="39" t="s">
        <v>26</v>
      </c>
      <c r="AY20" s="1062"/>
      <c r="AZ20" s="1062"/>
      <c r="BA20" s="1062"/>
      <c r="BB20" s="1062"/>
      <c r="BC20" s="1062"/>
      <c r="BD20" s="2"/>
      <c r="BE20" s="1035"/>
      <c r="BF20" s="1035"/>
      <c r="BG20" s="1035"/>
      <c r="BH20" s="1035"/>
      <c r="BI20" s="1035"/>
      <c r="BJ20" s="1035"/>
      <c r="BK20" s="1035"/>
      <c r="BL20" s="1035"/>
      <c r="BM20" s="1035"/>
      <c r="BN20" s="1035"/>
      <c r="BO20" s="1035"/>
      <c r="BP20" s="1035"/>
      <c r="BQ20" s="1034"/>
      <c r="BR20" s="1034"/>
      <c r="BS20" s="1034"/>
      <c r="BT20" s="5"/>
      <c r="BU20" s="1047"/>
      <c r="BV20" s="1047"/>
      <c r="BW20" s="1047"/>
      <c r="BX20" s="5"/>
      <c r="BY20" s="1061"/>
      <c r="BZ20" s="1061"/>
      <c r="CA20" s="1061"/>
      <c r="CB20" s="1061"/>
      <c r="CC20" s="1061"/>
      <c r="CD20" s="1037"/>
      <c r="CE20" s="1042"/>
      <c r="CF20" s="1042"/>
      <c r="CG20" s="1042"/>
      <c r="CH20" s="1042"/>
      <c r="CI20" s="1042"/>
      <c r="CJ20" s="1037"/>
      <c r="CK20" s="1039"/>
      <c r="CL20" s="1039"/>
      <c r="CM20" s="1039"/>
      <c r="CN20" s="1039"/>
      <c r="CO20" s="1039"/>
      <c r="CP20" s="1037"/>
      <c r="CQ20" s="1045"/>
      <c r="CR20" s="1045"/>
      <c r="CS20" s="1045"/>
      <c r="CT20" s="1045"/>
      <c r="CU20" s="1045"/>
      <c r="CV20" s="5"/>
      <c r="DE20" s="8" t="e">
        <f>#REF!</f>
        <v>#REF!</v>
      </c>
      <c r="DF20" s="8" t="e">
        <f>#REF!</f>
        <v>#REF!</v>
      </c>
      <c r="DG20" s="8" t="e">
        <f>#REF!</f>
        <v>#REF!</v>
      </c>
      <c r="DH20" s="8" t="e">
        <f>#REF!</f>
        <v>#REF!</v>
      </c>
      <c r="DI20" s="8" t="e">
        <f>NaturalArmor</f>
        <v>#NAME?</v>
      </c>
      <c r="DJ20" s="8" t="e">
        <f>VALUE(#REF!)</f>
        <v>#REF!</v>
      </c>
      <c r="DK20" s="8" t="e">
        <f>VALUE(ACMisc)</f>
        <v>#NAME?</v>
      </c>
    </row>
    <row r="21" spans="1:116" ht="12" customHeight="1" thickBot="1" x14ac:dyDescent="0.3">
      <c r="A21" s="5"/>
      <c r="B21" s="1040" t="s">
        <v>21</v>
      </c>
      <c r="C21" s="1040"/>
      <c r="D21" s="1040"/>
      <c r="E21" s="1040"/>
      <c r="F21" s="1040"/>
      <c r="G21" s="1040"/>
      <c r="H21" s="5"/>
      <c r="I21" s="1056"/>
      <c r="J21" s="1057"/>
      <c r="K21" s="1057"/>
      <c r="L21" s="1057"/>
      <c r="M21" s="1058"/>
      <c r="N21" s="260"/>
      <c r="O21" s="1071"/>
      <c r="P21" s="1072"/>
      <c r="Q21" s="1072"/>
      <c r="R21" s="1072"/>
      <c r="S21" s="1073"/>
      <c r="T21" s="5"/>
      <c r="U21" s="1165"/>
      <c r="V21" s="1165"/>
      <c r="W21" s="1165"/>
      <c r="X21" s="1165"/>
      <c r="Y21" s="1165"/>
      <c r="Z21" s="5"/>
      <c r="AA21" s="1075"/>
      <c r="AB21" s="1075"/>
      <c r="AC21" s="1075"/>
      <c r="AD21" s="1075"/>
      <c r="AE21" s="1075"/>
      <c r="AF21" s="2"/>
      <c r="AG21" s="1056"/>
      <c r="AH21" s="1057"/>
      <c r="AI21" s="1057"/>
      <c r="AJ21" s="1057"/>
      <c r="AK21" s="1058"/>
      <c r="AL21" s="38"/>
      <c r="AM21" s="1153"/>
      <c r="AN21" s="1154"/>
      <c r="AO21" s="1154"/>
      <c r="AP21" s="1154"/>
      <c r="AQ21" s="1155"/>
      <c r="AR21" s="38"/>
      <c r="AS21" s="1084"/>
      <c r="AT21" s="1085"/>
      <c r="AU21" s="1085"/>
      <c r="AV21" s="1085"/>
      <c r="AW21" s="1086"/>
      <c r="AX21" s="38"/>
      <c r="AY21" s="1062"/>
      <c r="AZ21" s="1062"/>
      <c r="BA21" s="1062"/>
      <c r="BB21" s="1062"/>
      <c r="BC21" s="1062"/>
      <c r="BD21" s="2"/>
      <c r="BE21" s="1035" t="s">
        <v>64</v>
      </c>
      <c r="BF21" s="1035"/>
      <c r="BG21" s="1035"/>
      <c r="BH21" s="1035"/>
      <c r="BI21" s="1035"/>
      <c r="BJ21" s="1035"/>
      <c r="BK21" s="1035"/>
      <c r="BL21" s="1035"/>
      <c r="BM21" s="1035"/>
      <c r="BN21" s="1035"/>
      <c r="BO21" s="1035"/>
      <c r="BP21" s="1035"/>
      <c r="BQ21" s="1034" t="s">
        <v>39</v>
      </c>
      <c r="BR21" s="1034"/>
      <c r="BS21" s="1034"/>
      <c r="BT21" s="5"/>
      <c r="BU21" s="1047" t="str">
        <f>IF(CharacterLevel="","○",IF(Start!L66="","○","●"))</f>
        <v>○</v>
      </c>
      <c r="BV21" s="1047"/>
      <c r="BW21" s="1047"/>
      <c r="BX21" s="5"/>
      <c r="BY21" s="1060">
        <f ca="1">IF(OR(BE21="",CharacterLevel=""),"",CE21+CK21+CQ21)</f>
        <v>-5</v>
      </c>
      <c r="BZ21" s="1060"/>
      <c r="CA21" s="1060"/>
      <c r="CB21" s="1060"/>
      <c r="CC21" s="1060"/>
      <c r="CD21" s="1036" t="s">
        <v>25</v>
      </c>
      <c r="CE21" s="1041">
        <f ca="1">IF(OR(BE21="",CharacterLevel=""),"",INDIRECT(TEXT(BQ21&amp;"Mod",0)))</f>
        <v>-5</v>
      </c>
      <c r="CF21" s="1041"/>
      <c r="CG21" s="1041"/>
      <c r="CH21" s="1041"/>
      <c r="CI21" s="1041"/>
      <c r="CJ21" s="1036" t="s">
        <v>26</v>
      </c>
      <c r="CK21" s="1038">
        <f>IF(OR(BE21="",CharacterLevel=""),"",IF(BU21="●",ProfBonus,0)+IF(RogueLevel&gt;=1,IF(COUNTIF(Start!$AJ$63:$AR$66,BE21)&gt;0,ProfBonus,0),0))</f>
        <v>0</v>
      </c>
      <c r="CL21" s="1038"/>
      <c r="CM21" s="1038"/>
      <c r="CN21" s="1038"/>
      <c r="CO21" s="1038"/>
      <c r="CP21" s="1036" t="s">
        <v>26</v>
      </c>
      <c r="CQ21" s="1044"/>
      <c r="CR21" s="1044"/>
      <c r="CS21" s="1044"/>
      <c r="CT21" s="1044"/>
      <c r="CU21" s="1044"/>
      <c r="CV21" s="5"/>
      <c r="DE21" s="6" t="e">
        <f>IF(DE20,TEXT(DE20,"+0;-0")&amp;" armor","")</f>
        <v>#REF!</v>
      </c>
      <c r="DF21" s="6" t="e">
        <f>IF(DF20,TEXT(DF20,"+0;-0")&amp;" shield","")</f>
        <v>#REF!</v>
      </c>
      <c r="DG21" s="6" t="e">
        <f>IF(DG20,TEXT(DG20,"+0;-0")&amp;" dex","")</f>
        <v>#REF!</v>
      </c>
      <c r="DH21" s="6" t="e">
        <f>IF(DH20,TEXT(DH20,"+0;-0")&amp;" size","")</f>
        <v>#REF!</v>
      </c>
      <c r="DI21" s="6" t="e">
        <f>IF(DI20,TEXT(DI20,"+0;-0")&amp;" natural","")</f>
        <v>#NAME?</v>
      </c>
      <c r="DJ21" s="6" t="e">
        <f>IF(DJ20,TEXT(DJ20,"+0;-0")&amp;" deflection","")</f>
        <v>#REF!</v>
      </c>
      <c r="DK21" s="6" t="e">
        <f>IF(DK20,TEXT(DK20,"+0;-0")&amp;" misc","")</f>
        <v>#NAME?</v>
      </c>
    </row>
    <row r="22" spans="1:116" ht="12" customHeight="1" thickBot="1" x14ac:dyDescent="0.3">
      <c r="A22" s="5"/>
      <c r="B22" s="5"/>
      <c r="C22" s="5"/>
      <c r="D22" s="7"/>
      <c r="E22" s="5"/>
      <c r="F22" s="5"/>
      <c r="G22" s="5"/>
      <c r="H22" s="5"/>
      <c r="I22" s="2"/>
      <c r="J22" s="2"/>
      <c r="K22" s="2"/>
      <c r="L22" s="2"/>
      <c r="M22" s="2"/>
      <c r="N22" s="260"/>
      <c r="O22" s="5"/>
      <c r="P22" s="5"/>
      <c r="Q22" s="5"/>
      <c r="R22" s="5"/>
      <c r="S22" s="5"/>
      <c r="T22" s="5"/>
      <c r="U22" s="5"/>
      <c r="V22" s="5"/>
      <c r="W22" s="5"/>
      <c r="X22" s="5"/>
      <c r="Y22" s="5"/>
      <c r="Z22" s="5"/>
      <c r="AA22" s="5"/>
      <c r="AB22" s="2"/>
      <c r="AC22" s="2"/>
      <c r="AD22" s="2"/>
      <c r="AE22" s="2"/>
      <c r="AF22" s="2"/>
      <c r="AG22" s="2"/>
      <c r="AH22" s="2"/>
      <c r="AI22" s="2"/>
      <c r="AJ22" s="2"/>
      <c r="AK22" s="2"/>
      <c r="AL22" s="38"/>
      <c r="AM22" s="5"/>
      <c r="AN22" s="5"/>
      <c r="AO22" s="5"/>
      <c r="AP22" s="5"/>
      <c r="AQ22" s="5"/>
      <c r="AR22" s="38"/>
      <c r="AS22" s="5"/>
      <c r="AT22" s="5"/>
      <c r="AU22" s="5"/>
      <c r="AV22" s="5"/>
      <c r="AW22" s="5"/>
      <c r="AX22" s="38"/>
      <c r="AY22" s="5"/>
      <c r="AZ22" s="2"/>
      <c r="BA22" s="2"/>
      <c r="BB22" s="2"/>
      <c r="BC22" s="2"/>
      <c r="BD22" s="2"/>
      <c r="BE22" s="1035"/>
      <c r="BF22" s="1035"/>
      <c r="BG22" s="1035"/>
      <c r="BH22" s="1035"/>
      <c r="BI22" s="1035"/>
      <c r="BJ22" s="1035"/>
      <c r="BK22" s="1035"/>
      <c r="BL22" s="1035"/>
      <c r="BM22" s="1035"/>
      <c r="BN22" s="1035"/>
      <c r="BO22" s="1035"/>
      <c r="BP22" s="1035"/>
      <c r="BQ22" s="1034"/>
      <c r="BR22" s="1034"/>
      <c r="BS22" s="1034"/>
      <c r="BT22" s="5"/>
      <c r="BU22" s="1047"/>
      <c r="BV22" s="1047"/>
      <c r="BW22" s="1047"/>
      <c r="BX22" s="5"/>
      <c r="BY22" s="1061"/>
      <c r="BZ22" s="1061"/>
      <c r="CA22" s="1061"/>
      <c r="CB22" s="1061"/>
      <c r="CC22" s="1061"/>
      <c r="CD22" s="1037"/>
      <c r="CE22" s="1042"/>
      <c r="CF22" s="1042"/>
      <c r="CG22" s="1042"/>
      <c r="CH22" s="1042"/>
      <c r="CI22" s="1042"/>
      <c r="CJ22" s="1037"/>
      <c r="CK22" s="1039"/>
      <c r="CL22" s="1039"/>
      <c r="CM22" s="1039"/>
      <c r="CN22" s="1039"/>
      <c r="CO22" s="1039"/>
      <c r="CP22" s="1037"/>
      <c r="CQ22" s="1045"/>
      <c r="CR22" s="1045"/>
      <c r="CS22" s="1045"/>
      <c r="CT22" s="1045"/>
      <c r="CU22" s="1045"/>
      <c r="CV22" s="5"/>
      <c r="DE22" s="6" t="e">
        <f>DE21</f>
        <v>#REF!</v>
      </c>
      <c r="DF22" s="6" t="e">
        <f t="shared" ref="DF22:DK22" si="0">IF(AND(DE22&lt;&gt;"",DF21&lt;&gt;""),DE22&amp;", "&amp;DF21,DE22&amp;DF21)</f>
        <v>#REF!</v>
      </c>
      <c r="DG22" s="6" t="e">
        <f t="shared" si="0"/>
        <v>#REF!</v>
      </c>
      <c r="DH22" s="6" t="e">
        <f t="shared" si="0"/>
        <v>#REF!</v>
      </c>
      <c r="DI22" s="6" t="e">
        <f t="shared" si="0"/>
        <v>#REF!</v>
      </c>
      <c r="DJ22" s="6" t="e">
        <f t="shared" si="0"/>
        <v>#REF!</v>
      </c>
      <c r="DK22" s="6" t="e">
        <f t="shared" si="0"/>
        <v>#REF!</v>
      </c>
      <c r="DL22" s="6" t="e">
        <f>IF(DK22&lt;&gt;"","("&amp;DK22&amp;"), ","")&amp;"touch "&amp;TouchAC&amp;", flat-footed "&amp;FlatFootedAC</f>
        <v>#REF!</v>
      </c>
    </row>
    <row r="23" spans="1:116" ht="12" customHeight="1" x14ac:dyDescent="0.25">
      <c r="A23" s="5"/>
      <c r="B23" s="997" t="s">
        <v>23</v>
      </c>
      <c r="C23" s="997"/>
      <c r="D23" s="1049"/>
      <c r="E23" s="997"/>
      <c r="F23" s="997"/>
      <c r="G23" s="997"/>
      <c r="H23" s="5"/>
      <c r="I23" s="1050">
        <f>IF(CharacterLevel="","",IF(U23="",DEX,U23))</f>
        <v>0</v>
      </c>
      <c r="J23" s="1051"/>
      <c r="K23" s="1051"/>
      <c r="L23" s="1051"/>
      <c r="M23" s="1052"/>
      <c r="N23" s="260">
        <f>DEX</f>
        <v>0</v>
      </c>
      <c r="O23" s="1065">
        <f>IF(I23="","",INT((I23-10)/2))</f>
        <v>-5</v>
      </c>
      <c r="P23" s="1066"/>
      <c r="Q23" s="1066"/>
      <c r="R23" s="1066"/>
      <c r="S23" s="1067"/>
      <c r="T23" s="5"/>
      <c r="U23" s="1165"/>
      <c r="V23" s="1165"/>
      <c r="W23" s="1165"/>
      <c r="X23" s="1165"/>
      <c r="Y23" s="1165"/>
      <c r="Z23" s="5"/>
      <c r="AA23" s="1075" t="str">
        <f>IF(U23=0,"",INT((U23-10)/2))</f>
        <v/>
      </c>
      <c r="AB23" s="1075"/>
      <c r="AC23" s="1075"/>
      <c r="AD23" s="1075"/>
      <c r="AE23" s="1075"/>
      <c r="AF23" s="2"/>
      <c r="AG23" s="1065">
        <f ca="1">IF(CharacterLevel="","",AM23+AS23+AY23)</f>
        <v>-4</v>
      </c>
      <c r="AH23" s="1051"/>
      <c r="AI23" s="1051"/>
      <c r="AJ23" s="1051"/>
      <c r="AK23" s="1052"/>
      <c r="AL23" s="38"/>
      <c r="AM23" s="1147">
        <f>IF(AA23="",O23,AA23)</f>
        <v>-5</v>
      </c>
      <c r="AN23" s="1148"/>
      <c r="AO23" s="1148"/>
      <c r="AP23" s="1148"/>
      <c r="AQ23" s="1149"/>
      <c r="AR23" s="38"/>
      <c r="AS23" s="1078">
        <f ca="1">IF(CharacterLevel="","",IF(Tables!BG4="",0,ProfBonus))</f>
        <v>0</v>
      </c>
      <c r="AT23" s="1079"/>
      <c r="AU23" s="1079"/>
      <c r="AV23" s="1079"/>
      <c r="AW23" s="1080"/>
      <c r="AX23" s="38"/>
      <c r="AY23" s="1074">
        <v>1</v>
      </c>
      <c r="AZ23" s="1074"/>
      <c r="BA23" s="1074"/>
      <c r="BB23" s="1074"/>
      <c r="BC23" s="1074"/>
      <c r="BD23" s="2"/>
      <c r="BE23" s="1035" t="s">
        <v>183</v>
      </c>
      <c r="BF23" s="1035"/>
      <c r="BG23" s="1035"/>
      <c r="BH23" s="1035"/>
      <c r="BI23" s="1035"/>
      <c r="BJ23" s="1035"/>
      <c r="BK23" s="1035"/>
      <c r="BL23" s="1035"/>
      <c r="BM23" s="1035"/>
      <c r="BN23" s="1035"/>
      <c r="BO23" s="1035"/>
      <c r="BP23" s="1035"/>
      <c r="BQ23" s="1034" t="s">
        <v>34</v>
      </c>
      <c r="BR23" s="1034"/>
      <c r="BS23" s="1034"/>
      <c r="BT23" s="5"/>
      <c r="BU23" s="1047" t="str">
        <f>IF(CharacterLevel="","○",IF(Start!L67="","○","●"))</f>
        <v>○</v>
      </c>
      <c r="BV23" s="1047"/>
      <c r="BW23" s="1047"/>
      <c r="BX23" s="5"/>
      <c r="BY23" s="1060">
        <f ca="1">IF(OR(BE23="",CharacterLevel=""),"",CE23+CK23+CQ23)</f>
        <v>-4</v>
      </c>
      <c r="BZ23" s="1060"/>
      <c r="CA23" s="1060"/>
      <c r="CB23" s="1060"/>
      <c r="CC23" s="1060"/>
      <c r="CD23" s="1036" t="s">
        <v>25</v>
      </c>
      <c r="CE23" s="1041">
        <f ca="1">IF(OR(BE23="",CharacterLevel=""),"",INDIRECT(TEXT(BQ23&amp;"Mod",0)))</f>
        <v>-5</v>
      </c>
      <c r="CF23" s="1041"/>
      <c r="CG23" s="1041"/>
      <c r="CH23" s="1041"/>
      <c r="CI23" s="1041"/>
      <c r="CJ23" s="1036" t="s">
        <v>26</v>
      </c>
      <c r="CK23" s="1038">
        <f ca="1">IF(OR(BE23="",CharacterLevel=""),"",IF(BU23="●",ProfBonus,0)+IF(OR(RogueLevel&gt;=1,ClericKnowledgeLevel&gt;=1),IF(OR(COUNTIF(Start!$AJ$63:$AR$66,BE23)&gt;0,COUNTIF(Start!$AJ$74:$AR$75,'Character Sheet I'!BE23)&gt;0),ProfBonus,0),0))</f>
        <v>0</v>
      </c>
      <c r="CL23" s="1038"/>
      <c r="CM23" s="1038"/>
      <c r="CN23" s="1038"/>
      <c r="CO23" s="1038"/>
      <c r="CP23" s="1036" t="s">
        <v>26</v>
      </c>
      <c r="CQ23" s="1044">
        <v>1</v>
      </c>
      <c r="CR23" s="1044"/>
      <c r="CS23" s="1044"/>
      <c r="CT23" s="1044"/>
      <c r="CU23" s="1044"/>
      <c r="CV23" s="5"/>
    </row>
    <row r="24" spans="1:116" ht="12" customHeight="1" x14ac:dyDescent="0.2">
      <c r="A24" s="5"/>
      <c r="B24" s="997"/>
      <c r="C24" s="997"/>
      <c r="D24" s="1049"/>
      <c r="E24" s="997"/>
      <c r="F24" s="997"/>
      <c r="G24" s="997"/>
      <c r="H24" s="5"/>
      <c r="I24" s="1053"/>
      <c r="J24" s="1054"/>
      <c r="K24" s="1054"/>
      <c r="L24" s="1054"/>
      <c r="M24" s="1055"/>
      <c r="N24" s="260"/>
      <c r="O24" s="1068"/>
      <c r="P24" s="1069"/>
      <c r="Q24" s="1069"/>
      <c r="R24" s="1069"/>
      <c r="S24" s="1070"/>
      <c r="T24" s="5"/>
      <c r="U24" s="1165"/>
      <c r="V24" s="1165"/>
      <c r="W24" s="1165"/>
      <c r="X24" s="1165"/>
      <c r="Y24" s="1165"/>
      <c r="Z24" s="5"/>
      <c r="AA24" s="1075"/>
      <c r="AB24" s="1075"/>
      <c r="AC24" s="1075"/>
      <c r="AD24" s="1075"/>
      <c r="AE24" s="1075"/>
      <c r="AF24" s="2"/>
      <c r="AG24" s="1053"/>
      <c r="AH24" s="1054"/>
      <c r="AI24" s="1054"/>
      <c r="AJ24" s="1054"/>
      <c r="AK24" s="1055"/>
      <c r="AL24" s="39" t="s">
        <v>25</v>
      </c>
      <c r="AM24" s="1150"/>
      <c r="AN24" s="1151"/>
      <c r="AO24" s="1151"/>
      <c r="AP24" s="1151"/>
      <c r="AQ24" s="1152"/>
      <c r="AR24" s="39" t="s">
        <v>26</v>
      </c>
      <c r="AS24" s="1081"/>
      <c r="AT24" s="1082"/>
      <c r="AU24" s="1082"/>
      <c r="AV24" s="1082"/>
      <c r="AW24" s="1083"/>
      <c r="AX24" s="39" t="s">
        <v>26</v>
      </c>
      <c r="AY24" s="1074"/>
      <c r="AZ24" s="1074"/>
      <c r="BA24" s="1074"/>
      <c r="BB24" s="1074"/>
      <c r="BC24" s="1074"/>
      <c r="BD24" s="2"/>
      <c r="BE24" s="1035"/>
      <c r="BF24" s="1035"/>
      <c r="BG24" s="1035"/>
      <c r="BH24" s="1035"/>
      <c r="BI24" s="1035"/>
      <c r="BJ24" s="1035"/>
      <c r="BK24" s="1035"/>
      <c r="BL24" s="1035"/>
      <c r="BM24" s="1035"/>
      <c r="BN24" s="1035"/>
      <c r="BO24" s="1035"/>
      <c r="BP24" s="1035"/>
      <c r="BQ24" s="1034"/>
      <c r="BR24" s="1034"/>
      <c r="BS24" s="1034"/>
      <c r="BT24" s="5"/>
      <c r="BU24" s="1047"/>
      <c r="BV24" s="1047"/>
      <c r="BW24" s="1047"/>
      <c r="BX24" s="5"/>
      <c r="BY24" s="1061"/>
      <c r="BZ24" s="1061"/>
      <c r="CA24" s="1061"/>
      <c r="CB24" s="1061"/>
      <c r="CC24" s="1061"/>
      <c r="CD24" s="1037"/>
      <c r="CE24" s="1042"/>
      <c r="CF24" s="1042"/>
      <c r="CG24" s="1042"/>
      <c r="CH24" s="1042"/>
      <c r="CI24" s="1042"/>
      <c r="CJ24" s="1037"/>
      <c r="CK24" s="1039"/>
      <c r="CL24" s="1039"/>
      <c r="CM24" s="1039"/>
      <c r="CN24" s="1039"/>
      <c r="CO24" s="1039"/>
      <c r="CP24" s="1037"/>
      <c r="CQ24" s="1045"/>
      <c r="CR24" s="1045"/>
      <c r="CS24" s="1045"/>
      <c r="CT24" s="1045"/>
      <c r="CU24" s="1045"/>
      <c r="CV24" s="5"/>
    </row>
    <row r="25" spans="1:116" ht="12" customHeight="1" thickBot="1" x14ac:dyDescent="0.3">
      <c r="A25" s="5"/>
      <c r="B25" s="1040" t="s">
        <v>27</v>
      </c>
      <c r="C25" s="1040"/>
      <c r="D25" s="1040"/>
      <c r="E25" s="1040"/>
      <c r="F25" s="1040"/>
      <c r="G25" s="1040"/>
      <c r="H25" s="5"/>
      <c r="I25" s="1056"/>
      <c r="J25" s="1057"/>
      <c r="K25" s="1057"/>
      <c r="L25" s="1057"/>
      <c r="M25" s="1058"/>
      <c r="N25" s="260"/>
      <c r="O25" s="1071"/>
      <c r="P25" s="1072"/>
      <c r="Q25" s="1072"/>
      <c r="R25" s="1072"/>
      <c r="S25" s="1073"/>
      <c r="T25" s="5"/>
      <c r="U25" s="1165"/>
      <c r="V25" s="1165"/>
      <c r="W25" s="1165"/>
      <c r="X25" s="1165"/>
      <c r="Y25" s="1165"/>
      <c r="Z25" s="5"/>
      <c r="AA25" s="1075"/>
      <c r="AB25" s="1075"/>
      <c r="AC25" s="1075"/>
      <c r="AD25" s="1075"/>
      <c r="AE25" s="1075"/>
      <c r="AF25" s="2"/>
      <c r="AG25" s="1056"/>
      <c r="AH25" s="1057"/>
      <c r="AI25" s="1057"/>
      <c r="AJ25" s="1057"/>
      <c r="AK25" s="1058"/>
      <c r="AL25" s="38"/>
      <c r="AM25" s="1153"/>
      <c r="AN25" s="1154"/>
      <c r="AO25" s="1154"/>
      <c r="AP25" s="1154"/>
      <c r="AQ25" s="1155"/>
      <c r="AR25" s="38"/>
      <c r="AS25" s="1084"/>
      <c r="AT25" s="1085"/>
      <c r="AU25" s="1085"/>
      <c r="AV25" s="1085"/>
      <c r="AW25" s="1086"/>
      <c r="AX25" s="38"/>
      <c r="AY25" s="1074"/>
      <c r="AZ25" s="1074"/>
      <c r="BA25" s="1074"/>
      <c r="BB25" s="1074"/>
      <c r="BC25" s="1074"/>
      <c r="BD25" s="2"/>
      <c r="BE25" s="1035" t="s">
        <v>188</v>
      </c>
      <c r="BF25" s="1035"/>
      <c r="BG25" s="1035"/>
      <c r="BH25" s="1035"/>
      <c r="BI25" s="1035"/>
      <c r="BJ25" s="1035"/>
      <c r="BK25" s="1035"/>
      <c r="BL25" s="1035"/>
      <c r="BM25" s="1035"/>
      <c r="BN25" s="1035"/>
      <c r="BO25" s="1035"/>
      <c r="BP25" s="1035"/>
      <c r="BQ25" s="1034" t="s">
        <v>19</v>
      </c>
      <c r="BR25" s="1034"/>
      <c r="BS25" s="1034"/>
      <c r="BT25" s="5"/>
      <c r="BU25" s="1047" t="str">
        <f>IF(CharacterLevel="","○",IF(Start!L68="","○","●"))</f>
        <v>○</v>
      </c>
      <c r="BV25" s="1047"/>
      <c r="BW25" s="1047"/>
      <c r="BX25" s="5"/>
      <c r="BY25" s="1060">
        <f ca="1">IF(OR(BE25="",CharacterLevel=""),"",CE25+CK25+CQ25)</f>
        <v>-5</v>
      </c>
      <c r="BZ25" s="1060"/>
      <c r="CA25" s="1060"/>
      <c r="CB25" s="1060"/>
      <c r="CC25" s="1060"/>
      <c r="CD25" s="1036" t="s">
        <v>25</v>
      </c>
      <c r="CE25" s="1041">
        <f ca="1">IF(OR(BE25="",CharacterLevel=""),"",INDIRECT(TEXT(BQ25&amp;"Mod",0)))</f>
        <v>-5</v>
      </c>
      <c r="CF25" s="1041"/>
      <c r="CG25" s="1041"/>
      <c r="CH25" s="1041"/>
      <c r="CI25" s="1041"/>
      <c r="CJ25" s="1036" t="s">
        <v>26</v>
      </c>
      <c r="CK25" s="1038">
        <f ca="1">IF(OR(BE25="",CharacterLevel=""),"",IF(BU25="●",ProfBonus,0)+IF(RogueLevel&gt;=1,IF(COUNTIF(Start!$AJ$63:$AR$66,BE25)&gt;0,ProfBonus,0),0)+IF(AND(BU19="○",FighterChampionLevel&gt;=7),ROUNDUP(ProfBonus/2,0),0))</f>
        <v>0</v>
      </c>
      <c r="CL25" s="1038"/>
      <c r="CM25" s="1038"/>
      <c r="CN25" s="1038"/>
      <c r="CO25" s="1038"/>
      <c r="CP25" s="1036" t="s">
        <v>26</v>
      </c>
      <c r="CQ25" s="1044"/>
      <c r="CR25" s="1044"/>
      <c r="CS25" s="1044"/>
      <c r="CT25" s="1044"/>
      <c r="CU25" s="1044"/>
      <c r="CV25" s="5"/>
    </row>
    <row r="26" spans="1:116" ht="12" customHeight="1" thickBot="1" x14ac:dyDescent="0.3">
      <c r="A26" s="5"/>
      <c r="B26" s="5"/>
      <c r="C26" s="5"/>
      <c r="D26" s="7"/>
      <c r="E26" s="5"/>
      <c r="F26" s="5"/>
      <c r="G26" s="5"/>
      <c r="H26" s="5"/>
      <c r="I26" s="2"/>
      <c r="J26" s="2"/>
      <c r="K26" s="2"/>
      <c r="L26" s="2"/>
      <c r="M26" s="2"/>
      <c r="N26" s="260"/>
      <c r="O26" s="5"/>
      <c r="P26" s="5"/>
      <c r="Q26" s="5"/>
      <c r="R26" s="5"/>
      <c r="S26" s="5"/>
      <c r="T26" s="5"/>
      <c r="U26" s="5"/>
      <c r="V26" s="5"/>
      <c r="W26" s="5"/>
      <c r="X26" s="5"/>
      <c r="Y26" s="5"/>
      <c r="Z26" s="5"/>
      <c r="AA26" s="5"/>
      <c r="AB26" s="2"/>
      <c r="AC26" s="2"/>
      <c r="AD26" s="2"/>
      <c r="AE26" s="2"/>
      <c r="AF26" s="2"/>
      <c r="AG26" s="2"/>
      <c r="AH26" s="2"/>
      <c r="AI26" s="2"/>
      <c r="AJ26" s="2"/>
      <c r="AK26" s="2"/>
      <c r="AL26" s="38"/>
      <c r="AM26" s="5"/>
      <c r="AN26" s="5"/>
      <c r="AO26" s="5"/>
      <c r="AP26" s="5"/>
      <c r="AQ26" s="5"/>
      <c r="AR26" s="38"/>
      <c r="AS26" s="5"/>
      <c r="AT26" s="5"/>
      <c r="AU26" s="5"/>
      <c r="AV26" s="5"/>
      <c r="AW26" s="5"/>
      <c r="AX26" s="38"/>
      <c r="AY26" s="5"/>
      <c r="AZ26" s="2"/>
      <c r="BA26" s="2"/>
      <c r="BB26" s="2"/>
      <c r="BC26" s="2"/>
      <c r="BD26" s="2"/>
      <c r="BE26" s="1035"/>
      <c r="BF26" s="1035"/>
      <c r="BG26" s="1035"/>
      <c r="BH26" s="1035"/>
      <c r="BI26" s="1035"/>
      <c r="BJ26" s="1035"/>
      <c r="BK26" s="1035"/>
      <c r="BL26" s="1035"/>
      <c r="BM26" s="1035"/>
      <c r="BN26" s="1035"/>
      <c r="BO26" s="1035"/>
      <c r="BP26" s="1035"/>
      <c r="BQ26" s="1034"/>
      <c r="BR26" s="1034"/>
      <c r="BS26" s="1034"/>
      <c r="BT26" s="5"/>
      <c r="BU26" s="1047"/>
      <c r="BV26" s="1047"/>
      <c r="BW26" s="1047"/>
      <c r="BX26" s="5"/>
      <c r="BY26" s="1061"/>
      <c r="BZ26" s="1061"/>
      <c r="CA26" s="1061"/>
      <c r="CB26" s="1061"/>
      <c r="CC26" s="1061"/>
      <c r="CD26" s="1037"/>
      <c r="CE26" s="1042"/>
      <c r="CF26" s="1042"/>
      <c r="CG26" s="1042"/>
      <c r="CH26" s="1042"/>
      <c r="CI26" s="1042"/>
      <c r="CJ26" s="1037"/>
      <c r="CK26" s="1039"/>
      <c r="CL26" s="1039"/>
      <c r="CM26" s="1039"/>
      <c r="CN26" s="1039"/>
      <c r="CO26" s="1039"/>
      <c r="CP26" s="1037"/>
      <c r="CQ26" s="1045"/>
      <c r="CR26" s="1045"/>
      <c r="CS26" s="1045"/>
      <c r="CT26" s="1045"/>
      <c r="CU26" s="1045"/>
      <c r="CV26" s="5"/>
    </row>
    <row r="27" spans="1:116" ht="12" customHeight="1" x14ac:dyDescent="0.25">
      <c r="A27" s="5"/>
      <c r="B27" s="997" t="s">
        <v>31</v>
      </c>
      <c r="C27" s="997"/>
      <c r="D27" s="1049"/>
      <c r="E27" s="997"/>
      <c r="F27" s="997"/>
      <c r="G27" s="997"/>
      <c r="H27" s="5"/>
      <c r="I27" s="1050">
        <f>IF(CharacterLevel="","",IF(U27="",CON,U27))</f>
        <v>0</v>
      </c>
      <c r="J27" s="1051"/>
      <c r="K27" s="1051"/>
      <c r="L27" s="1051"/>
      <c r="M27" s="1052"/>
      <c r="N27" s="260">
        <f>CON</f>
        <v>0</v>
      </c>
      <c r="O27" s="1065">
        <f>IF(I27="","",INT((I27-10)/2))</f>
        <v>-5</v>
      </c>
      <c r="P27" s="1066"/>
      <c r="Q27" s="1066"/>
      <c r="R27" s="1066"/>
      <c r="S27" s="1067"/>
      <c r="T27" s="5"/>
      <c r="U27" s="1165"/>
      <c r="V27" s="1165"/>
      <c r="W27" s="1165"/>
      <c r="X27" s="1165"/>
      <c r="Y27" s="1165"/>
      <c r="Z27" s="5"/>
      <c r="AA27" s="1075" t="str">
        <f>IF(U27=0,"",INT((U27-10)/2))</f>
        <v/>
      </c>
      <c r="AB27" s="1075"/>
      <c r="AC27" s="1075"/>
      <c r="AD27" s="1075"/>
      <c r="AE27" s="1075"/>
      <c r="AF27" s="2"/>
      <c r="AG27" s="1065">
        <f ca="1">IF(CharacterLevel="","",AM27+AS27+AY27)</f>
        <v>-4</v>
      </c>
      <c r="AH27" s="1051"/>
      <c r="AI27" s="1051"/>
      <c r="AJ27" s="1051"/>
      <c r="AK27" s="1052"/>
      <c r="AL27" s="38"/>
      <c r="AM27" s="1147">
        <f>IF(AA27="",O27,AA27)</f>
        <v>-5</v>
      </c>
      <c r="AN27" s="1148"/>
      <c r="AO27" s="1148"/>
      <c r="AP27" s="1148"/>
      <c r="AQ27" s="1149"/>
      <c r="AR27" s="38"/>
      <c r="AS27" s="1078">
        <f ca="1">IF(CharacterLevel="","",IF(Tables!BG5="",0,ProfBonus))</f>
        <v>0</v>
      </c>
      <c r="AT27" s="1079"/>
      <c r="AU27" s="1079"/>
      <c r="AV27" s="1079"/>
      <c r="AW27" s="1080"/>
      <c r="AX27" s="38"/>
      <c r="AY27" s="1074">
        <v>1</v>
      </c>
      <c r="AZ27" s="1074"/>
      <c r="BA27" s="1074"/>
      <c r="BB27" s="1074"/>
      <c r="BC27" s="1074"/>
      <c r="BD27" s="2"/>
      <c r="BE27" s="1035" t="s">
        <v>65</v>
      </c>
      <c r="BF27" s="1035"/>
      <c r="BG27" s="1035"/>
      <c r="BH27" s="1035"/>
      <c r="BI27" s="1035"/>
      <c r="BJ27" s="1035"/>
      <c r="BK27" s="1035"/>
      <c r="BL27" s="1035"/>
      <c r="BM27" s="1035"/>
      <c r="BN27" s="1035"/>
      <c r="BO27" s="1035"/>
      <c r="BP27" s="1035"/>
      <c r="BQ27" s="1034" t="s">
        <v>42</v>
      </c>
      <c r="BR27" s="1034"/>
      <c r="BS27" s="1034"/>
      <c r="BT27" s="5"/>
      <c r="BU27" s="1047" t="str">
        <f>IF(CharacterLevel="","○",IF(Start!L69="","○","●"))</f>
        <v>○</v>
      </c>
      <c r="BV27" s="1047"/>
      <c r="BW27" s="1047"/>
      <c r="BX27" s="5"/>
      <c r="BY27" s="1060">
        <f ca="1">IF(OR(BE27="",CharacterLevel=""),"",CE27+CK27+CQ27)</f>
        <v>-5</v>
      </c>
      <c r="BZ27" s="1060"/>
      <c r="CA27" s="1060"/>
      <c r="CB27" s="1060"/>
      <c r="CC27" s="1060"/>
      <c r="CD27" s="1036" t="s">
        <v>25</v>
      </c>
      <c r="CE27" s="1041">
        <f ca="1">IF(OR(BE27="",CharacterLevel=""),"",INDIRECT(TEXT(BQ27&amp;"Mod",0)))</f>
        <v>-5</v>
      </c>
      <c r="CF27" s="1041"/>
      <c r="CG27" s="1041"/>
      <c r="CH27" s="1041"/>
      <c r="CI27" s="1041"/>
      <c r="CJ27" s="1036" t="s">
        <v>26</v>
      </c>
      <c r="CK27" s="1038">
        <f>IF(OR(BE27="",CharacterLevel=""),"",IF(BU27="●",ProfBonus,0)+IF(RogueLevel&gt;=1,IF(COUNTIF(Start!$AJ$63:$AR$66,BE27)&gt;0,ProfBonus,0),0))</f>
        <v>0</v>
      </c>
      <c r="CL27" s="1038"/>
      <c r="CM27" s="1038"/>
      <c r="CN27" s="1038"/>
      <c r="CO27" s="1038"/>
      <c r="CP27" s="1036" t="s">
        <v>26</v>
      </c>
      <c r="CQ27" s="1044"/>
      <c r="CR27" s="1044"/>
      <c r="CS27" s="1044"/>
      <c r="CT27" s="1044"/>
      <c r="CU27" s="1044"/>
      <c r="CV27" s="5"/>
    </row>
    <row r="28" spans="1:116" ht="12" customHeight="1" x14ac:dyDescent="0.2">
      <c r="A28" s="5"/>
      <c r="B28" s="997"/>
      <c r="C28" s="997"/>
      <c r="D28" s="1049"/>
      <c r="E28" s="997"/>
      <c r="F28" s="997"/>
      <c r="G28" s="997"/>
      <c r="H28" s="5"/>
      <c r="I28" s="1053"/>
      <c r="J28" s="1054"/>
      <c r="K28" s="1054"/>
      <c r="L28" s="1054"/>
      <c r="M28" s="1055"/>
      <c r="N28" s="260"/>
      <c r="O28" s="1068"/>
      <c r="P28" s="1069"/>
      <c r="Q28" s="1069"/>
      <c r="R28" s="1069"/>
      <c r="S28" s="1070"/>
      <c r="T28" s="5"/>
      <c r="U28" s="1165"/>
      <c r="V28" s="1165"/>
      <c r="W28" s="1165"/>
      <c r="X28" s="1165"/>
      <c r="Y28" s="1165"/>
      <c r="Z28" s="5"/>
      <c r="AA28" s="1075"/>
      <c r="AB28" s="1075"/>
      <c r="AC28" s="1075"/>
      <c r="AD28" s="1075"/>
      <c r="AE28" s="1075"/>
      <c r="AF28" s="2"/>
      <c r="AG28" s="1053"/>
      <c r="AH28" s="1054"/>
      <c r="AI28" s="1054"/>
      <c r="AJ28" s="1054"/>
      <c r="AK28" s="1055"/>
      <c r="AL28" s="39" t="s">
        <v>25</v>
      </c>
      <c r="AM28" s="1150"/>
      <c r="AN28" s="1151"/>
      <c r="AO28" s="1151"/>
      <c r="AP28" s="1151"/>
      <c r="AQ28" s="1152"/>
      <c r="AR28" s="39" t="s">
        <v>26</v>
      </c>
      <c r="AS28" s="1081"/>
      <c r="AT28" s="1082"/>
      <c r="AU28" s="1082"/>
      <c r="AV28" s="1082"/>
      <c r="AW28" s="1083"/>
      <c r="AX28" s="39" t="s">
        <v>26</v>
      </c>
      <c r="AY28" s="1074"/>
      <c r="AZ28" s="1074"/>
      <c r="BA28" s="1074"/>
      <c r="BB28" s="1074"/>
      <c r="BC28" s="1074"/>
      <c r="BD28" s="2"/>
      <c r="BE28" s="1035"/>
      <c r="BF28" s="1035"/>
      <c r="BG28" s="1035"/>
      <c r="BH28" s="1035"/>
      <c r="BI28" s="1035"/>
      <c r="BJ28" s="1035"/>
      <c r="BK28" s="1035"/>
      <c r="BL28" s="1035"/>
      <c r="BM28" s="1035"/>
      <c r="BN28" s="1035"/>
      <c r="BO28" s="1035"/>
      <c r="BP28" s="1035"/>
      <c r="BQ28" s="1034"/>
      <c r="BR28" s="1034"/>
      <c r="BS28" s="1034"/>
      <c r="BT28" s="5"/>
      <c r="BU28" s="1047"/>
      <c r="BV28" s="1047"/>
      <c r="BW28" s="1047"/>
      <c r="BX28" s="5"/>
      <c r="BY28" s="1061"/>
      <c r="BZ28" s="1061"/>
      <c r="CA28" s="1061"/>
      <c r="CB28" s="1061"/>
      <c r="CC28" s="1061"/>
      <c r="CD28" s="1037"/>
      <c r="CE28" s="1042"/>
      <c r="CF28" s="1042"/>
      <c r="CG28" s="1042"/>
      <c r="CH28" s="1042"/>
      <c r="CI28" s="1042"/>
      <c r="CJ28" s="1037"/>
      <c r="CK28" s="1039"/>
      <c r="CL28" s="1039"/>
      <c r="CM28" s="1039"/>
      <c r="CN28" s="1039"/>
      <c r="CO28" s="1039"/>
      <c r="CP28" s="1037"/>
      <c r="CQ28" s="1045"/>
      <c r="CR28" s="1045"/>
      <c r="CS28" s="1045"/>
      <c r="CT28" s="1045"/>
      <c r="CU28" s="1045"/>
      <c r="CV28" s="5"/>
    </row>
    <row r="29" spans="1:116" ht="12" customHeight="1" thickBot="1" x14ac:dyDescent="0.3">
      <c r="A29" s="5"/>
      <c r="B29" s="1040" t="s">
        <v>32</v>
      </c>
      <c r="C29" s="1040"/>
      <c r="D29" s="1040"/>
      <c r="E29" s="1040"/>
      <c r="F29" s="1040"/>
      <c r="G29" s="1040"/>
      <c r="H29" s="5"/>
      <c r="I29" s="1056"/>
      <c r="J29" s="1057"/>
      <c r="K29" s="1057"/>
      <c r="L29" s="1057"/>
      <c r="M29" s="1058"/>
      <c r="N29" s="260"/>
      <c r="O29" s="1071"/>
      <c r="P29" s="1072"/>
      <c r="Q29" s="1072"/>
      <c r="R29" s="1072"/>
      <c r="S29" s="1073"/>
      <c r="T29" s="5"/>
      <c r="U29" s="1165"/>
      <c r="V29" s="1165"/>
      <c r="W29" s="1165"/>
      <c r="X29" s="1165"/>
      <c r="Y29" s="1165"/>
      <c r="Z29" s="5"/>
      <c r="AA29" s="1075"/>
      <c r="AB29" s="1075"/>
      <c r="AC29" s="1075"/>
      <c r="AD29" s="1075"/>
      <c r="AE29" s="1075"/>
      <c r="AF29" s="2"/>
      <c r="AG29" s="1056"/>
      <c r="AH29" s="1057"/>
      <c r="AI29" s="1057"/>
      <c r="AJ29" s="1057"/>
      <c r="AK29" s="1058"/>
      <c r="AL29" s="38"/>
      <c r="AM29" s="1153"/>
      <c r="AN29" s="1154"/>
      <c r="AO29" s="1154"/>
      <c r="AP29" s="1154"/>
      <c r="AQ29" s="1155"/>
      <c r="AR29" s="38"/>
      <c r="AS29" s="1084"/>
      <c r="AT29" s="1085"/>
      <c r="AU29" s="1085"/>
      <c r="AV29" s="1085"/>
      <c r="AW29" s="1086"/>
      <c r="AX29" s="38"/>
      <c r="AY29" s="1074"/>
      <c r="AZ29" s="1074"/>
      <c r="BA29" s="1074"/>
      <c r="BB29" s="1074"/>
      <c r="BC29" s="1074"/>
      <c r="BD29" s="2"/>
      <c r="BE29" s="1035" t="s">
        <v>184</v>
      </c>
      <c r="BF29" s="1035"/>
      <c r="BG29" s="1035"/>
      <c r="BH29" s="1035"/>
      <c r="BI29" s="1035"/>
      <c r="BJ29" s="1035"/>
      <c r="BK29" s="1035"/>
      <c r="BL29" s="1035"/>
      <c r="BM29" s="1035"/>
      <c r="BN29" s="1035"/>
      <c r="BO29" s="1035"/>
      <c r="BP29" s="1035"/>
      <c r="BQ29" s="1034" t="s">
        <v>34</v>
      </c>
      <c r="BR29" s="1034"/>
      <c r="BS29" s="1034"/>
      <c r="BT29" s="5"/>
      <c r="BU29" s="1047" t="str">
        <f>IF(CharacterLevel="","○",IF(Start!L70="","○","●"))</f>
        <v>○</v>
      </c>
      <c r="BV29" s="1047"/>
      <c r="BW29" s="1047"/>
      <c r="BX29" s="5"/>
      <c r="BY29" s="1060">
        <f ca="1">IF(OR(BE29="",CharacterLevel=""),"",CE29+CK29+CQ29)</f>
        <v>-4</v>
      </c>
      <c r="BZ29" s="1060"/>
      <c r="CA29" s="1060"/>
      <c r="CB29" s="1060"/>
      <c r="CC29" s="1060"/>
      <c r="CD29" s="1036" t="s">
        <v>25</v>
      </c>
      <c r="CE29" s="1041">
        <f ca="1">IF(OR(BE29="",CharacterLevel=""),"",INDIRECT(TEXT(BQ29&amp;"Mod",0)))</f>
        <v>-5</v>
      </c>
      <c r="CF29" s="1041"/>
      <c r="CG29" s="1041"/>
      <c r="CH29" s="1041"/>
      <c r="CI29" s="1041"/>
      <c r="CJ29" s="1036" t="s">
        <v>26</v>
      </c>
      <c r="CK29" s="1038">
        <f ca="1">IF(OR(BE29="",CharacterLevel=""),"",IF(BU29="●",ProfBonus,0)+IF(OR(RogueLevel&gt;=1,ClericKnowledgeLevel&gt;=1),IF(OR(COUNTIF(Start!$AJ$63:$AR$66,BE29)&gt;0,COUNTIF(Start!$AJ$74:$AR$75,'Character Sheet I'!BE29)&gt;0),ProfBonus,0),0))</f>
        <v>0</v>
      </c>
      <c r="CL29" s="1038"/>
      <c r="CM29" s="1038"/>
      <c r="CN29" s="1038"/>
      <c r="CO29" s="1038"/>
      <c r="CP29" s="1036" t="s">
        <v>26</v>
      </c>
      <c r="CQ29" s="1044">
        <v>1</v>
      </c>
      <c r="CR29" s="1044"/>
      <c r="CS29" s="1044"/>
      <c r="CT29" s="1044"/>
      <c r="CU29" s="1044"/>
      <c r="CV29" s="5"/>
    </row>
    <row r="30" spans="1:116" ht="12" customHeight="1" thickBot="1" x14ac:dyDescent="0.3">
      <c r="A30" s="5"/>
      <c r="B30" s="5"/>
      <c r="C30" s="5"/>
      <c r="D30" s="7"/>
      <c r="E30" s="5"/>
      <c r="F30" s="5"/>
      <c r="G30" s="5"/>
      <c r="H30" s="5"/>
      <c r="I30" s="2"/>
      <c r="J30" s="2"/>
      <c r="K30" s="2"/>
      <c r="L30" s="2"/>
      <c r="M30" s="2"/>
      <c r="N30" s="260"/>
      <c r="O30" s="5"/>
      <c r="P30" s="5"/>
      <c r="Q30" s="5"/>
      <c r="R30" s="5"/>
      <c r="S30" s="5"/>
      <c r="T30" s="5"/>
      <c r="U30" s="5"/>
      <c r="V30" s="5"/>
      <c r="W30" s="5"/>
      <c r="X30" s="5"/>
      <c r="Y30" s="5"/>
      <c r="Z30" s="5"/>
      <c r="AA30" s="5"/>
      <c r="AB30" s="2"/>
      <c r="AC30" s="2"/>
      <c r="AD30" s="2"/>
      <c r="AE30" s="2"/>
      <c r="AF30" s="2"/>
      <c r="AG30" s="2"/>
      <c r="AH30" s="2"/>
      <c r="AI30" s="2"/>
      <c r="AJ30" s="2"/>
      <c r="AK30" s="2"/>
      <c r="AL30" s="38"/>
      <c r="AM30" s="5"/>
      <c r="AN30" s="5"/>
      <c r="AO30" s="5"/>
      <c r="AP30" s="5"/>
      <c r="AQ30" s="5"/>
      <c r="AR30" s="38"/>
      <c r="AS30" s="5"/>
      <c r="AT30" s="5"/>
      <c r="AU30" s="5"/>
      <c r="AV30" s="5"/>
      <c r="AW30" s="5"/>
      <c r="AX30" s="38"/>
      <c r="AY30" s="5"/>
      <c r="AZ30" s="2"/>
      <c r="BA30" s="2"/>
      <c r="BB30" s="2"/>
      <c r="BC30" s="2"/>
      <c r="BD30" s="2"/>
      <c r="BE30" s="1035"/>
      <c r="BF30" s="1035"/>
      <c r="BG30" s="1035"/>
      <c r="BH30" s="1035"/>
      <c r="BI30" s="1035"/>
      <c r="BJ30" s="1035"/>
      <c r="BK30" s="1035"/>
      <c r="BL30" s="1035"/>
      <c r="BM30" s="1035"/>
      <c r="BN30" s="1035"/>
      <c r="BO30" s="1035"/>
      <c r="BP30" s="1035"/>
      <c r="BQ30" s="1034"/>
      <c r="BR30" s="1034"/>
      <c r="BS30" s="1034"/>
      <c r="BT30" s="5"/>
      <c r="BU30" s="1047"/>
      <c r="BV30" s="1047"/>
      <c r="BW30" s="1047"/>
      <c r="BX30" s="5"/>
      <c r="BY30" s="1061"/>
      <c r="BZ30" s="1061"/>
      <c r="CA30" s="1061"/>
      <c r="CB30" s="1061"/>
      <c r="CC30" s="1061"/>
      <c r="CD30" s="1037"/>
      <c r="CE30" s="1042"/>
      <c r="CF30" s="1042"/>
      <c r="CG30" s="1042"/>
      <c r="CH30" s="1042"/>
      <c r="CI30" s="1042"/>
      <c r="CJ30" s="1037"/>
      <c r="CK30" s="1039"/>
      <c r="CL30" s="1039"/>
      <c r="CM30" s="1039"/>
      <c r="CN30" s="1039"/>
      <c r="CO30" s="1039"/>
      <c r="CP30" s="1037"/>
      <c r="CQ30" s="1045"/>
      <c r="CR30" s="1045"/>
      <c r="CS30" s="1045"/>
      <c r="CT30" s="1045"/>
      <c r="CU30" s="1045"/>
      <c r="CV30" s="5"/>
    </row>
    <row r="31" spans="1:116" ht="12" customHeight="1" x14ac:dyDescent="0.25">
      <c r="A31" s="5"/>
      <c r="B31" s="997" t="s">
        <v>34</v>
      </c>
      <c r="C31" s="997"/>
      <c r="D31" s="1049"/>
      <c r="E31" s="997"/>
      <c r="F31" s="997"/>
      <c r="G31" s="997"/>
      <c r="H31" s="5"/>
      <c r="I31" s="1050">
        <f>IF(CharacterLevel="","",IF(U31="",INT,U31))</f>
        <v>0</v>
      </c>
      <c r="J31" s="1051"/>
      <c r="K31" s="1051"/>
      <c r="L31" s="1051"/>
      <c r="M31" s="1052"/>
      <c r="N31" s="260">
        <f>INT</f>
        <v>0</v>
      </c>
      <c r="O31" s="1065">
        <f>IF(I31="","",INT((I31-10)/2))</f>
        <v>-5</v>
      </c>
      <c r="P31" s="1066"/>
      <c r="Q31" s="1066"/>
      <c r="R31" s="1066"/>
      <c r="S31" s="1067"/>
      <c r="T31" s="5"/>
      <c r="U31" s="1165"/>
      <c r="V31" s="1165"/>
      <c r="W31" s="1165"/>
      <c r="X31" s="1165"/>
      <c r="Y31" s="1165"/>
      <c r="Z31" s="5"/>
      <c r="AA31" s="1075" t="str">
        <f>IF(U31=0,"",INT((U31-10)/2))</f>
        <v/>
      </c>
      <c r="AB31" s="1075"/>
      <c r="AC31" s="1075"/>
      <c r="AD31" s="1075"/>
      <c r="AE31" s="1075"/>
      <c r="AF31" s="2"/>
      <c r="AG31" s="1065">
        <f ca="1">IF(CharacterLevel="","",AM31+AS31+AY31)</f>
        <v>-4</v>
      </c>
      <c r="AH31" s="1051"/>
      <c r="AI31" s="1051"/>
      <c r="AJ31" s="1051"/>
      <c r="AK31" s="1052"/>
      <c r="AL31" s="38"/>
      <c r="AM31" s="1147">
        <f>IF(AA31="",O31,AA31)</f>
        <v>-5</v>
      </c>
      <c r="AN31" s="1148"/>
      <c r="AO31" s="1148"/>
      <c r="AP31" s="1148"/>
      <c r="AQ31" s="1149"/>
      <c r="AR31" s="38"/>
      <c r="AS31" s="1078">
        <f ca="1">IF(CharacterLevel="","",IF(Tables!BG6="",0,ProfBonus))</f>
        <v>0</v>
      </c>
      <c r="AT31" s="1079"/>
      <c r="AU31" s="1079"/>
      <c r="AV31" s="1079"/>
      <c r="AW31" s="1080"/>
      <c r="AX31" s="38"/>
      <c r="AY31" s="1074">
        <v>1</v>
      </c>
      <c r="AZ31" s="1074"/>
      <c r="BA31" s="1074"/>
      <c r="BB31" s="1074"/>
      <c r="BC31" s="1074"/>
      <c r="BD31" s="2"/>
      <c r="BE31" s="1035" t="s">
        <v>66</v>
      </c>
      <c r="BF31" s="1035"/>
      <c r="BG31" s="1035"/>
      <c r="BH31" s="1035"/>
      <c r="BI31" s="1035"/>
      <c r="BJ31" s="1035"/>
      <c r="BK31" s="1035"/>
      <c r="BL31" s="1035"/>
      <c r="BM31" s="1035"/>
      <c r="BN31" s="1035"/>
      <c r="BO31" s="1035"/>
      <c r="BP31" s="1035"/>
      <c r="BQ31" s="1034" t="s">
        <v>39</v>
      </c>
      <c r="BR31" s="1034"/>
      <c r="BS31" s="1034"/>
      <c r="BT31" s="5"/>
      <c r="BU31" s="1047" t="str">
        <f>IF(CharacterLevel="","○",IF(Start!L71="","○","●"))</f>
        <v>○</v>
      </c>
      <c r="BV31" s="1047"/>
      <c r="BW31" s="1047"/>
      <c r="BX31" s="5"/>
      <c r="BY31" s="1060">
        <f ca="1">IF(OR(BE31="",CharacterLevel=""),"",CE31+CK31+CQ31)</f>
        <v>-5</v>
      </c>
      <c r="BZ31" s="1060"/>
      <c r="CA31" s="1060"/>
      <c r="CB31" s="1060"/>
      <c r="CC31" s="1060"/>
      <c r="CD31" s="1036" t="s">
        <v>25</v>
      </c>
      <c r="CE31" s="1041">
        <f ca="1">IF(OR(BE31="",CharacterLevel=""),"",INDIRECT(TEXT(BQ31&amp;"Mod",0)))</f>
        <v>-5</v>
      </c>
      <c r="CF31" s="1041"/>
      <c r="CG31" s="1041"/>
      <c r="CH31" s="1041"/>
      <c r="CI31" s="1041"/>
      <c r="CJ31" s="1036" t="s">
        <v>26</v>
      </c>
      <c r="CK31" s="1038">
        <f>IF(OR(BE31="",CharacterLevel=""),"",IF(BU31="●",ProfBonus,0)+IF(RogueLevel&gt;=1,IF(COUNTIF(Start!$AJ$63:$AR$66,BE31)&gt;0,ProfBonus,0),0))</f>
        <v>0</v>
      </c>
      <c r="CL31" s="1038"/>
      <c r="CM31" s="1038"/>
      <c r="CN31" s="1038"/>
      <c r="CO31" s="1038"/>
      <c r="CP31" s="1036" t="s">
        <v>26</v>
      </c>
      <c r="CQ31" s="1044"/>
      <c r="CR31" s="1044"/>
      <c r="CS31" s="1044"/>
      <c r="CT31" s="1044"/>
      <c r="CU31" s="1044"/>
      <c r="CV31" s="5"/>
    </row>
    <row r="32" spans="1:116" ht="12" customHeight="1" x14ac:dyDescent="0.2">
      <c r="A32" s="5"/>
      <c r="B32" s="997"/>
      <c r="C32" s="997"/>
      <c r="D32" s="997"/>
      <c r="E32" s="997"/>
      <c r="F32" s="997"/>
      <c r="G32" s="997"/>
      <c r="H32" s="5"/>
      <c r="I32" s="1053"/>
      <c r="J32" s="1054"/>
      <c r="K32" s="1054"/>
      <c r="L32" s="1054"/>
      <c r="M32" s="1055"/>
      <c r="N32" s="260"/>
      <c r="O32" s="1068"/>
      <c r="P32" s="1069"/>
      <c r="Q32" s="1069"/>
      <c r="R32" s="1069"/>
      <c r="S32" s="1070"/>
      <c r="T32" s="5"/>
      <c r="U32" s="1165"/>
      <c r="V32" s="1165"/>
      <c r="W32" s="1165"/>
      <c r="X32" s="1165"/>
      <c r="Y32" s="1165"/>
      <c r="Z32" s="5"/>
      <c r="AA32" s="1075"/>
      <c r="AB32" s="1075"/>
      <c r="AC32" s="1075"/>
      <c r="AD32" s="1075"/>
      <c r="AE32" s="1075"/>
      <c r="AF32" s="2"/>
      <c r="AG32" s="1053"/>
      <c r="AH32" s="1054"/>
      <c r="AI32" s="1054"/>
      <c r="AJ32" s="1054"/>
      <c r="AK32" s="1055"/>
      <c r="AL32" s="39" t="s">
        <v>25</v>
      </c>
      <c r="AM32" s="1150"/>
      <c r="AN32" s="1151"/>
      <c r="AO32" s="1151"/>
      <c r="AP32" s="1151"/>
      <c r="AQ32" s="1152"/>
      <c r="AR32" s="39" t="s">
        <v>26</v>
      </c>
      <c r="AS32" s="1081"/>
      <c r="AT32" s="1082"/>
      <c r="AU32" s="1082"/>
      <c r="AV32" s="1082"/>
      <c r="AW32" s="1083"/>
      <c r="AX32" s="39" t="s">
        <v>26</v>
      </c>
      <c r="AY32" s="1074"/>
      <c r="AZ32" s="1074"/>
      <c r="BA32" s="1074"/>
      <c r="BB32" s="1074"/>
      <c r="BC32" s="1074"/>
      <c r="BD32" s="2"/>
      <c r="BE32" s="1035"/>
      <c r="BF32" s="1035"/>
      <c r="BG32" s="1035"/>
      <c r="BH32" s="1035"/>
      <c r="BI32" s="1035"/>
      <c r="BJ32" s="1035"/>
      <c r="BK32" s="1035"/>
      <c r="BL32" s="1035"/>
      <c r="BM32" s="1035"/>
      <c r="BN32" s="1035"/>
      <c r="BO32" s="1035"/>
      <c r="BP32" s="1035"/>
      <c r="BQ32" s="1034"/>
      <c r="BR32" s="1034"/>
      <c r="BS32" s="1034"/>
      <c r="BT32" s="5"/>
      <c r="BU32" s="1047"/>
      <c r="BV32" s="1047"/>
      <c r="BW32" s="1047"/>
      <c r="BX32" s="5"/>
      <c r="BY32" s="1061"/>
      <c r="BZ32" s="1061"/>
      <c r="CA32" s="1061"/>
      <c r="CB32" s="1061"/>
      <c r="CC32" s="1061"/>
      <c r="CD32" s="1037"/>
      <c r="CE32" s="1042"/>
      <c r="CF32" s="1042"/>
      <c r="CG32" s="1042"/>
      <c r="CH32" s="1042"/>
      <c r="CI32" s="1042"/>
      <c r="CJ32" s="1037"/>
      <c r="CK32" s="1039"/>
      <c r="CL32" s="1039"/>
      <c r="CM32" s="1039"/>
      <c r="CN32" s="1039"/>
      <c r="CO32" s="1039"/>
      <c r="CP32" s="1037"/>
      <c r="CQ32" s="1045"/>
      <c r="CR32" s="1045"/>
      <c r="CS32" s="1045"/>
      <c r="CT32" s="1045"/>
      <c r="CU32" s="1045"/>
      <c r="CV32" s="5"/>
    </row>
    <row r="33" spans="1:103" ht="12" customHeight="1" thickBot="1" x14ac:dyDescent="0.3">
      <c r="A33" s="5"/>
      <c r="B33" s="1040" t="s">
        <v>38</v>
      </c>
      <c r="C33" s="1040"/>
      <c r="D33" s="1040"/>
      <c r="E33" s="1040"/>
      <c r="F33" s="1040"/>
      <c r="G33" s="1040"/>
      <c r="H33" s="5"/>
      <c r="I33" s="1056"/>
      <c r="J33" s="1057"/>
      <c r="K33" s="1057"/>
      <c r="L33" s="1057"/>
      <c r="M33" s="1058"/>
      <c r="N33" s="260"/>
      <c r="O33" s="1071"/>
      <c r="P33" s="1072"/>
      <c r="Q33" s="1072"/>
      <c r="R33" s="1072"/>
      <c r="S33" s="1073"/>
      <c r="T33" s="5"/>
      <c r="U33" s="1165"/>
      <c r="V33" s="1165"/>
      <c r="W33" s="1165"/>
      <c r="X33" s="1165"/>
      <c r="Y33" s="1165"/>
      <c r="Z33" s="5"/>
      <c r="AA33" s="1075"/>
      <c r="AB33" s="1075"/>
      <c r="AC33" s="1075"/>
      <c r="AD33" s="1075"/>
      <c r="AE33" s="1075"/>
      <c r="AF33" s="2"/>
      <c r="AG33" s="1056"/>
      <c r="AH33" s="1057"/>
      <c r="AI33" s="1057"/>
      <c r="AJ33" s="1057"/>
      <c r="AK33" s="1058"/>
      <c r="AL33" s="38"/>
      <c r="AM33" s="1153"/>
      <c r="AN33" s="1154"/>
      <c r="AO33" s="1154"/>
      <c r="AP33" s="1154"/>
      <c r="AQ33" s="1155"/>
      <c r="AR33" s="38"/>
      <c r="AS33" s="1084"/>
      <c r="AT33" s="1085"/>
      <c r="AU33" s="1085"/>
      <c r="AV33" s="1085"/>
      <c r="AW33" s="1086"/>
      <c r="AX33" s="38"/>
      <c r="AY33" s="1074"/>
      <c r="AZ33" s="1074"/>
      <c r="BA33" s="1074"/>
      <c r="BB33" s="1074"/>
      <c r="BC33" s="1074"/>
      <c r="BD33" s="2"/>
      <c r="BE33" s="1035" t="s">
        <v>67</v>
      </c>
      <c r="BF33" s="1035"/>
      <c r="BG33" s="1035"/>
      <c r="BH33" s="1035"/>
      <c r="BI33" s="1035"/>
      <c r="BJ33" s="1035"/>
      <c r="BK33" s="1035"/>
      <c r="BL33" s="1035"/>
      <c r="BM33" s="1035"/>
      <c r="BN33" s="1035"/>
      <c r="BO33" s="1035"/>
      <c r="BP33" s="1035"/>
      <c r="BQ33" s="1034" t="s">
        <v>42</v>
      </c>
      <c r="BR33" s="1034"/>
      <c r="BS33" s="1034"/>
      <c r="BT33" s="5"/>
      <c r="BU33" s="1047" t="str">
        <f>IF(CharacterLevel="","○",IF(Start!L72="","○","●"))</f>
        <v>○</v>
      </c>
      <c r="BV33" s="1047"/>
      <c r="BW33" s="1047"/>
      <c r="BX33" s="5"/>
      <c r="BY33" s="1060">
        <f ca="1">IF(OR(BE33="",CharacterLevel=""),"",CE33+CK33+CQ33)</f>
        <v>-5</v>
      </c>
      <c r="BZ33" s="1060"/>
      <c r="CA33" s="1060"/>
      <c r="CB33" s="1060"/>
      <c r="CC33" s="1060"/>
      <c r="CD33" s="1036" t="s">
        <v>25</v>
      </c>
      <c r="CE33" s="1041">
        <f ca="1">IF(OR(BE33="",CharacterLevel=""),"",INDIRECT(TEXT(BQ33&amp;"Mod",0)))</f>
        <v>-5</v>
      </c>
      <c r="CF33" s="1041"/>
      <c r="CG33" s="1041"/>
      <c r="CH33" s="1041"/>
      <c r="CI33" s="1041"/>
      <c r="CJ33" s="1036" t="s">
        <v>26</v>
      </c>
      <c r="CK33" s="1038">
        <f>IF(OR(BE33="",CharacterLevel=""),"",IF(BU33="●",ProfBonus,0)+IF(RogueLevel&gt;=1,IF(COUNTIF(Start!$AJ$63:$AR$66,BE33)&gt;0,ProfBonus,0),0))</f>
        <v>0</v>
      </c>
      <c r="CL33" s="1038"/>
      <c r="CM33" s="1038"/>
      <c r="CN33" s="1038"/>
      <c r="CO33" s="1038"/>
      <c r="CP33" s="1036" t="s">
        <v>26</v>
      </c>
      <c r="CQ33" s="1044"/>
      <c r="CR33" s="1044"/>
      <c r="CS33" s="1044"/>
      <c r="CT33" s="1044"/>
      <c r="CU33" s="1044"/>
      <c r="CV33" s="5"/>
      <c r="CY33" s="6">
        <f>1</f>
        <v>1</v>
      </c>
    </row>
    <row r="34" spans="1:103" ht="12" customHeight="1" thickBot="1" x14ac:dyDescent="0.3">
      <c r="A34" s="5"/>
      <c r="B34" s="5"/>
      <c r="C34" s="5"/>
      <c r="D34" s="5"/>
      <c r="E34" s="5"/>
      <c r="F34" s="5"/>
      <c r="G34" s="5"/>
      <c r="H34" s="5"/>
      <c r="I34" s="2"/>
      <c r="J34" s="2"/>
      <c r="K34" s="2"/>
      <c r="L34" s="2"/>
      <c r="M34" s="2"/>
      <c r="N34" s="260"/>
      <c r="O34" s="5"/>
      <c r="P34" s="5"/>
      <c r="Q34" s="5"/>
      <c r="R34" s="5"/>
      <c r="S34" s="5"/>
      <c r="T34" s="5"/>
      <c r="U34" s="5"/>
      <c r="V34" s="5"/>
      <c r="W34" s="5"/>
      <c r="X34" s="5"/>
      <c r="Y34" s="5"/>
      <c r="Z34" s="5"/>
      <c r="AA34" s="5"/>
      <c r="AB34" s="2"/>
      <c r="AC34" s="2"/>
      <c r="AD34" s="2"/>
      <c r="AE34" s="2"/>
      <c r="AF34" s="2"/>
      <c r="AG34" s="2"/>
      <c r="AH34" s="2"/>
      <c r="AI34" s="2"/>
      <c r="AJ34" s="2"/>
      <c r="AK34" s="2"/>
      <c r="AL34" s="38"/>
      <c r="AM34" s="5"/>
      <c r="AN34" s="5"/>
      <c r="AO34" s="5"/>
      <c r="AP34" s="5"/>
      <c r="AQ34" s="5"/>
      <c r="AR34" s="38"/>
      <c r="AS34" s="5"/>
      <c r="AT34" s="5"/>
      <c r="AU34" s="5"/>
      <c r="AV34" s="5"/>
      <c r="AW34" s="5"/>
      <c r="AX34" s="38"/>
      <c r="AY34" s="5"/>
      <c r="AZ34" s="2"/>
      <c r="BA34" s="2"/>
      <c r="BB34" s="2"/>
      <c r="BC34" s="2"/>
      <c r="BD34" s="2"/>
      <c r="BE34" s="1035"/>
      <c r="BF34" s="1035"/>
      <c r="BG34" s="1035"/>
      <c r="BH34" s="1035"/>
      <c r="BI34" s="1035"/>
      <c r="BJ34" s="1035"/>
      <c r="BK34" s="1035"/>
      <c r="BL34" s="1035"/>
      <c r="BM34" s="1035"/>
      <c r="BN34" s="1035"/>
      <c r="BO34" s="1035"/>
      <c r="BP34" s="1035"/>
      <c r="BQ34" s="1034"/>
      <c r="BR34" s="1034"/>
      <c r="BS34" s="1034"/>
      <c r="BT34" s="5"/>
      <c r="BU34" s="1047"/>
      <c r="BV34" s="1047"/>
      <c r="BW34" s="1047"/>
      <c r="BX34" s="5"/>
      <c r="BY34" s="1061"/>
      <c r="BZ34" s="1061"/>
      <c r="CA34" s="1061"/>
      <c r="CB34" s="1061"/>
      <c r="CC34" s="1061"/>
      <c r="CD34" s="1037"/>
      <c r="CE34" s="1042"/>
      <c r="CF34" s="1042"/>
      <c r="CG34" s="1042"/>
      <c r="CH34" s="1042"/>
      <c r="CI34" s="1042"/>
      <c r="CJ34" s="1037"/>
      <c r="CK34" s="1039"/>
      <c r="CL34" s="1039"/>
      <c r="CM34" s="1039"/>
      <c r="CN34" s="1039"/>
      <c r="CO34" s="1039"/>
      <c r="CP34" s="1037"/>
      <c r="CQ34" s="1045"/>
      <c r="CR34" s="1045"/>
      <c r="CS34" s="1045"/>
      <c r="CT34" s="1045"/>
      <c r="CU34" s="1045"/>
      <c r="CV34" s="5"/>
    </row>
    <row r="35" spans="1:103" ht="12" customHeight="1" x14ac:dyDescent="0.25">
      <c r="A35" s="5"/>
      <c r="B35" s="997" t="s">
        <v>39</v>
      </c>
      <c r="C35" s="997"/>
      <c r="D35" s="997"/>
      <c r="E35" s="997"/>
      <c r="F35" s="997"/>
      <c r="G35" s="997"/>
      <c r="H35" s="5"/>
      <c r="I35" s="1050">
        <f>IF(CharacterLevel="","",IF(U35="",WIS,U35))</f>
        <v>0</v>
      </c>
      <c r="J35" s="1051"/>
      <c r="K35" s="1051"/>
      <c r="L35" s="1051"/>
      <c r="M35" s="1052"/>
      <c r="N35" s="260">
        <f>WIS</f>
        <v>0</v>
      </c>
      <c r="O35" s="1065">
        <f>IF(I35="","",INT((I35-10)/2))</f>
        <v>-5</v>
      </c>
      <c r="P35" s="1066"/>
      <c r="Q35" s="1066"/>
      <c r="R35" s="1066"/>
      <c r="S35" s="1067"/>
      <c r="T35" s="5"/>
      <c r="U35" s="1165"/>
      <c r="V35" s="1165"/>
      <c r="W35" s="1165"/>
      <c r="X35" s="1165"/>
      <c r="Y35" s="1165"/>
      <c r="Z35" s="5"/>
      <c r="AA35" s="1075" t="str">
        <f>IF(U35=0,"",INT((U35-10)/2))</f>
        <v/>
      </c>
      <c r="AB35" s="1075"/>
      <c r="AC35" s="1075"/>
      <c r="AD35" s="1075"/>
      <c r="AE35" s="1075"/>
      <c r="AF35" s="2"/>
      <c r="AG35" s="1065">
        <f ca="1">IF(CharacterLevel="","",AM35+AS35+AY35)</f>
        <v>-4</v>
      </c>
      <c r="AH35" s="1051"/>
      <c r="AI35" s="1051"/>
      <c r="AJ35" s="1051"/>
      <c r="AK35" s="1052"/>
      <c r="AL35" s="38"/>
      <c r="AM35" s="1147">
        <f>IF(AA35="",O35,AA35)</f>
        <v>-5</v>
      </c>
      <c r="AN35" s="1148"/>
      <c r="AO35" s="1148"/>
      <c r="AP35" s="1148"/>
      <c r="AQ35" s="1149"/>
      <c r="AR35" s="38"/>
      <c r="AS35" s="1078">
        <f ca="1">IF(CharacterLevel="","",IF(Tables!BG7="",0,ProfBonus))</f>
        <v>0</v>
      </c>
      <c r="AT35" s="1079"/>
      <c r="AU35" s="1079"/>
      <c r="AV35" s="1079"/>
      <c r="AW35" s="1080"/>
      <c r="AX35" s="38"/>
      <c r="AY35" s="1074">
        <v>1</v>
      </c>
      <c r="AZ35" s="1074"/>
      <c r="BA35" s="1074"/>
      <c r="BB35" s="1074"/>
      <c r="BC35" s="1074"/>
      <c r="BD35" s="2"/>
      <c r="BE35" s="1035" t="s">
        <v>797</v>
      </c>
      <c r="BF35" s="1035"/>
      <c r="BG35" s="1035"/>
      <c r="BH35" s="1035"/>
      <c r="BI35" s="1035"/>
      <c r="BJ35" s="1035"/>
      <c r="BK35" s="1035"/>
      <c r="BL35" s="1035"/>
      <c r="BM35" s="1035"/>
      <c r="BN35" s="1035"/>
      <c r="BO35" s="1035"/>
      <c r="BP35" s="1035"/>
      <c r="BQ35" s="1034" t="s">
        <v>34</v>
      </c>
      <c r="BR35" s="1034"/>
      <c r="BS35" s="1034"/>
      <c r="BT35" s="5"/>
      <c r="BU35" s="1047" t="str">
        <f>IF(CharacterLevel="","○",IF(Start!L73="","○","●"))</f>
        <v>○</v>
      </c>
      <c r="BV35" s="1047"/>
      <c r="BW35" s="1047"/>
      <c r="BX35" s="5"/>
      <c r="BY35" s="1060">
        <f ca="1">IF(OR(BE35="",CharacterLevel=""),"",CE35+CK35+CQ35)</f>
        <v>-5</v>
      </c>
      <c r="BZ35" s="1060"/>
      <c r="CA35" s="1060"/>
      <c r="CB35" s="1060"/>
      <c r="CC35" s="1060"/>
      <c r="CD35" s="1036" t="s">
        <v>25</v>
      </c>
      <c r="CE35" s="1041">
        <f ca="1">IF(OR(BE35="",CharacterLevel=""),"",INDIRECT(TEXT(BQ35&amp;"Mod",0)))</f>
        <v>-5</v>
      </c>
      <c r="CF35" s="1041"/>
      <c r="CG35" s="1041"/>
      <c r="CH35" s="1041"/>
      <c r="CI35" s="1041"/>
      <c r="CJ35" s="1036" t="s">
        <v>26</v>
      </c>
      <c r="CK35" s="1038">
        <f>IF(OR(BE35="",CharacterLevel=""),"",IF(BU35="●",ProfBonus,0)+IF(RogueLevel&gt;=1,IF(COUNTIF(Start!$AJ$63:$AR$66,BE35)&gt;0,ProfBonus,0),0))</f>
        <v>0</v>
      </c>
      <c r="CL35" s="1038"/>
      <c r="CM35" s="1038"/>
      <c r="CN35" s="1038"/>
      <c r="CO35" s="1038"/>
      <c r="CP35" s="1036" t="s">
        <v>26</v>
      </c>
      <c r="CQ35" s="1044"/>
      <c r="CR35" s="1044"/>
      <c r="CS35" s="1044"/>
      <c r="CT35" s="1044"/>
      <c r="CU35" s="1044"/>
      <c r="CV35" s="5"/>
      <c r="CY35" s="6">
        <f>CY33+1</f>
        <v>2</v>
      </c>
    </row>
    <row r="36" spans="1:103" ht="12" customHeight="1" x14ac:dyDescent="0.2">
      <c r="A36" s="5"/>
      <c r="B36" s="997"/>
      <c r="C36" s="997"/>
      <c r="D36" s="997"/>
      <c r="E36" s="997"/>
      <c r="F36" s="997"/>
      <c r="G36" s="997"/>
      <c r="H36" s="5"/>
      <c r="I36" s="1053"/>
      <c r="J36" s="1054"/>
      <c r="K36" s="1054"/>
      <c r="L36" s="1054"/>
      <c r="M36" s="1055"/>
      <c r="N36" s="260"/>
      <c r="O36" s="1068"/>
      <c r="P36" s="1069"/>
      <c r="Q36" s="1069"/>
      <c r="R36" s="1069"/>
      <c r="S36" s="1070"/>
      <c r="T36" s="5"/>
      <c r="U36" s="1165"/>
      <c r="V36" s="1165"/>
      <c r="W36" s="1165"/>
      <c r="X36" s="1165"/>
      <c r="Y36" s="1165"/>
      <c r="Z36" s="5"/>
      <c r="AA36" s="1075"/>
      <c r="AB36" s="1075"/>
      <c r="AC36" s="1075"/>
      <c r="AD36" s="1075"/>
      <c r="AE36" s="1075"/>
      <c r="AF36" s="2"/>
      <c r="AG36" s="1053"/>
      <c r="AH36" s="1054"/>
      <c r="AI36" s="1054"/>
      <c r="AJ36" s="1054"/>
      <c r="AK36" s="1055"/>
      <c r="AL36" s="39" t="s">
        <v>25</v>
      </c>
      <c r="AM36" s="1150"/>
      <c r="AN36" s="1151"/>
      <c r="AO36" s="1151"/>
      <c r="AP36" s="1151"/>
      <c r="AQ36" s="1152"/>
      <c r="AR36" s="39" t="s">
        <v>26</v>
      </c>
      <c r="AS36" s="1081"/>
      <c r="AT36" s="1082"/>
      <c r="AU36" s="1082"/>
      <c r="AV36" s="1082"/>
      <c r="AW36" s="1083"/>
      <c r="AX36" s="39" t="s">
        <v>26</v>
      </c>
      <c r="AY36" s="1074"/>
      <c r="AZ36" s="1074"/>
      <c r="BA36" s="1074"/>
      <c r="BB36" s="1074"/>
      <c r="BC36" s="1074"/>
      <c r="BD36" s="2"/>
      <c r="BE36" s="1035"/>
      <c r="BF36" s="1035"/>
      <c r="BG36" s="1035"/>
      <c r="BH36" s="1035"/>
      <c r="BI36" s="1035"/>
      <c r="BJ36" s="1035"/>
      <c r="BK36" s="1035"/>
      <c r="BL36" s="1035"/>
      <c r="BM36" s="1035"/>
      <c r="BN36" s="1035"/>
      <c r="BO36" s="1035"/>
      <c r="BP36" s="1035"/>
      <c r="BQ36" s="1034"/>
      <c r="BR36" s="1034"/>
      <c r="BS36" s="1034"/>
      <c r="BT36" s="5"/>
      <c r="BU36" s="1047"/>
      <c r="BV36" s="1047"/>
      <c r="BW36" s="1047"/>
      <c r="BX36" s="5"/>
      <c r="BY36" s="1061"/>
      <c r="BZ36" s="1061"/>
      <c r="CA36" s="1061"/>
      <c r="CB36" s="1061"/>
      <c r="CC36" s="1061"/>
      <c r="CD36" s="1037"/>
      <c r="CE36" s="1042"/>
      <c r="CF36" s="1042"/>
      <c r="CG36" s="1042"/>
      <c r="CH36" s="1042"/>
      <c r="CI36" s="1042"/>
      <c r="CJ36" s="1037"/>
      <c r="CK36" s="1039"/>
      <c r="CL36" s="1039"/>
      <c r="CM36" s="1039"/>
      <c r="CN36" s="1039"/>
      <c r="CO36" s="1039"/>
      <c r="CP36" s="1037"/>
      <c r="CQ36" s="1045"/>
      <c r="CR36" s="1045"/>
      <c r="CS36" s="1045"/>
      <c r="CT36" s="1045"/>
      <c r="CU36" s="1045"/>
      <c r="CV36" s="5"/>
    </row>
    <row r="37" spans="1:103" ht="12" customHeight="1" thickBot="1" x14ac:dyDescent="0.3">
      <c r="A37" s="5"/>
      <c r="B37" s="1040" t="s">
        <v>40</v>
      </c>
      <c r="C37" s="1040"/>
      <c r="D37" s="1040"/>
      <c r="E37" s="1040"/>
      <c r="F37" s="1040"/>
      <c r="G37" s="1040"/>
      <c r="H37" s="5"/>
      <c r="I37" s="1056"/>
      <c r="J37" s="1057"/>
      <c r="K37" s="1057"/>
      <c r="L37" s="1057"/>
      <c r="M37" s="1058"/>
      <c r="N37" s="260"/>
      <c r="O37" s="1071"/>
      <c r="P37" s="1072"/>
      <c r="Q37" s="1072"/>
      <c r="R37" s="1072"/>
      <c r="S37" s="1073"/>
      <c r="T37" s="5"/>
      <c r="U37" s="1165"/>
      <c r="V37" s="1165"/>
      <c r="W37" s="1165"/>
      <c r="X37" s="1165"/>
      <c r="Y37" s="1165"/>
      <c r="Z37" s="5"/>
      <c r="AA37" s="1075"/>
      <c r="AB37" s="1075"/>
      <c r="AC37" s="1075"/>
      <c r="AD37" s="1075"/>
      <c r="AE37" s="1075"/>
      <c r="AF37" s="2"/>
      <c r="AG37" s="1056"/>
      <c r="AH37" s="1057"/>
      <c r="AI37" s="1057"/>
      <c r="AJ37" s="1057"/>
      <c r="AK37" s="1058"/>
      <c r="AL37" s="38"/>
      <c r="AM37" s="1153"/>
      <c r="AN37" s="1154"/>
      <c r="AO37" s="1154"/>
      <c r="AP37" s="1154"/>
      <c r="AQ37" s="1155"/>
      <c r="AR37" s="38"/>
      <c r="AS37" s="1084"/>
      <c r="AT37" s="1085"/>
      <c r="AU37" s="1085"/>
      <c r="AV37" s="1085"/>
      <c r="AW37" s="1086"/>
      <c r="AX37" s="38"/>
      <c r="AY37" s="1074"/>
      <c r="AZ37" s="1074"/>
      <c r="BA37" s="1074"/>
      <c r="BB37" s="1074"/>
      <c r="BC37" s="1074"/>
      <c r="BD37" s="2"/>
      <c r="BE37" s="1035" t="s">
        <v>68</v>
      </c>
      <c r="BF37" s="1035"/>
      <c r="BG37" s="1035"/>
      <c r="BH37" s="1035"/>
      <c r="BI37" s="1035"/>
      <c r="BJ37" s="1035"/>
      <c r="BK37" s="1035"/>
      <c r="BL37" s="1035"/>
      <c r="BM37" s="1035"/>
      <c r="BN37" s="1035"/>
      <c r="BO37" s="1035"/>
      <c r="BP37" s="1035"/>
      <c r="BQ37" s="1034" t="s">
        <v>39</v>
      </c>
      <c r="BR37" s="1034"/>
      <c r="BS37" s="1034"/>
      <c r="BT37" s="5"/>
      <c r="BU37" s="1047" t="str">
        <f>IF(CharacterLevel="","○",IF(Start!X65="","○","●"))</f>
        <v>○</v>
      </c>
      <c r="BV37" s="1047"/>
      <c r="BW37" s="1047"/>
      <c r="BX37" s="5"/>
      <c r="BY37" s="1060">
        <f ca="1">IF(OR(BE37="",CharacterLevel=""),"",CE37+CK37+CQ37)</f>
        <v>-5</v>
      </c>
      <c r="BZ37" s="1060"/>
      <c r="CA37" s="1060"/>
      <c r="CB37" s="1060"/>
      <c r="CC37" s="1060"/>
      <c r="CD37" s="1036" t="s">
        <v>25</v>
      </c>
      <c r="CE37" s="1041">
        <f ca="1">IF(OR(BE37="",CharacterLevel=""),"",INDIRECT(TEXT(BQ37&amp;"Mod",0)))</f>
        <v>-5</v>
      </c>
      <c r="CF37" s="1041"/>
      <c r="CG37" s="1041"/>
      <c r="CH37" s="1041"/>
      <c r="CI37" s="1041"/>
      <c r="CJ37" s="1036" t="s">
        <v>26</v>
      </c>
      <c r="CK37" s="1038">
        <f>IF(OR(BE37="",CharacterLevel=""),"",IF(BU37="●",ProfBonus,0)+IF(RogueLevel&gt;=1,IF(COUNTIF(Start!$AJ$63:$AR$66,BE37)&gt;0,ProfBonus,0),0))</f>
        <v>0</v>
      </c>
      <c r="CL37" s="1038"/>
      <c r="CM37" s="1038"/>
      <c r="CN37" s="1038"/>
      <c r="CO37" s="1038"/>
      <c r="CP37" s="1036" t="s">
        <v>26</v>
      </c>
      <c r="CQ37" s="1044"/>
      <c r="CR37" s="1044"/>
      <c r="CS37" s="1044"/>
      <c r="CT37" s="1044"/>
      <c r="CU37" s="1044"/>
      <c r="CV37" s="5"/>
      <c r="CY37" s="6">
        <f>CY35+1</f>
        <v>3</v>
      </c>
    </row>
    <row r="38" spans="1:103" ht="12" customHeight="1" thickBot="1" x14ac:dyDescent="0.3">
      <c r="A38" s="5"/>
      <c r="B38" s="5"/>
      <c r="C38" s="5"/>
      <c r="D38" s="5"/>
      <c r="E38" s="5"/>
      <c r="F38" s="5"/>
      <c r="G38" s="5"/>
      <c r="H38" s="5"/>
      <c r="I38" s="2"/>
      <c r="J38" s="2"/>
      <c r="K38" s="2"/>
      <c r="L38" s="2"/>
      <c r="M38" s="2"/>
      <c r="N38" s="260"/>
      <c r="O38" s="5"/>
      <c r="P38" s="5"/>
      <c r="Q38" s="5"/>
      <c r="R38" s="5"/>
      <c r="S38" s="5"/>
      <c r="T38" s="5"/>
      <c r="U38" s="5"/>
      <c r="V38" s="5"/>
      <c r="W38" s="5"/>
      <c r="X38" s="5"/>
      <c r="Y38" s="5"/>
      <c r="Z38" s="5"/>
      <c r="AA38" s="5"/>
      <c r="AB38" s="2"/>
      <c r="AC38" s="2"/>
      <c r="AD38" s="2"/>
      <c r="AE38" s="2"/>
      <c r="AF38" s="2"/>
      <c r="AG38" s="2"/>
      <c r="AH38" s="2"/>
      <c r="AI38" s="2"/>
      <c r="AJ38" s="2"/>
      <c r="AK38" s="2"/>
      <c r="AL38" s="38"/>
      <c r="AM38" s="5"/>
      <c r="AN38" s="5"/>
      <c r="AO38" s="5"/>
      <c r="AP38" s="5"/>
      <c r="AQ38" s="5"/>
      <c r="AR38" s="38"/>
      <c r="AS38" s="5"/>
      <c r="AT38" s="5"/>
      <c r="AU38" s="5"/>
      <c r="AV38" s="5"/>
      <c r="AW38" s="5"/>
      <c r="AX38" s="38"/>
      <c r="AY38" s="5"/>
      <c r="AZ38" s="2"/>
      <c r="BA38" s="2"/>
      <c r="BB38" s="2"/>
      <c r="BC38" s="2"/>
      <c r="BD38" s="2"/>
      <c r="BE38" s="1035"/>
      <c r="BF38" s="1035"/>
      <c r="BG38" s="1035"/>
      <c r="BH38" s="1035"/>
      <c r="BI38" s="1035"/>
      <c r="BJ38" s="1035"/>
      <c r="BK38" s="1035"/>
      <c r="BL38" s="1035"/>
      <c r="BM38" s="1035"/>
      <c r="BN38" s="1035"/>
      <c r="BO38" s="1035"/>
      <c r="BP38" s="1035"/>
      <c r="BQ38" s="1034"/>
      <c r="BR38" s="1034"/>
      <c r="BS38" s="1034"/>
      <c r="BT38" s="5"/>
      <c r="BU38" s="1047"/>
      <c r="BV38" s="1047"/>
      <c r="BW38" s="1047"/>
      <c r="BX38" s="5"/>
      <c r="BY38" s="1061"/>
      <c r="BZ38" s="1061"/>
      <c r="CA38" s="1061"/>
      <c r="CB38" s="1061"/>
      <c r="CC38" s="1061"/>
      <c r="CD38" s="1037"/>
      <c r="CE38" s="1042"/>
      <c r="CF38" s="1042"/>
      <c r="CG38" s="1042"/>
      <c r="CH38" s="1042"/>
      <c r="CI38" s="1042"/>
      <c r="CJ38" s="1037"/>
      <c r="CK38" s="1039"/>
      <c r="CL38" s="1039"/>
      <c r="CM38" s="1039"/>
      <c r="CN38" s="1039"/>
      <c r="CO38" s="1039"/>
      <c r="CP38" s="1037"/>
      <c r="CQ38" s="1045"/>
      <c r="CR38" s="1045"/>
      <c r="CS38" s="1045"/>
      <c r="CT38" s="1045"/>
      <c r="CU38" s="1045"/>
      <c r="CV38" s="5"/>
    </row>
    <row r="39" spans="1:103" ht="12" customHeight="1" x14ac:dyDescent="0.25">
      <c r="A39" s="5"/>
      <c r="B39" s="997" t="s">
        <v>42</v>
      </c>
      <c r="C39" s="997"/>
      <c r="D39" s="997"/>
      <c r="E39" s="997"/>
      <c r="F39" s="997"/>
      <c r="G39" s="997"/>
      <c r="H39" s="5"/>
      <c r="I39" s="1050">
        <f>IF(CharacterLevel="","",IF(U39="",CHA,U39))</f>
        <v>0</v>
      </c>
      <c r="J39" s="1051"/>
      <c r="K39" s="1051"/>
      <c r="L39" s="1051"/>
      <c r="M39" s="1052"/>
      <c r="N39" s="260">
        <f>CHA</f>
        <v>0</v>
      </c>
      <c r="O39" s="1065">
        <f>IF(I39="","",INT((I39-10)/2))</f>
        <v>-5</v>
      </c>
      <c r="P39" s="1066"/>
      <c r="Q39" s="1066"/>
      <c r="R39" s="1066"/>
      <c r="S39" s="1067"/>
      <c r="T39" s="5"/>
      <c r="U39" s="1165"/>
      <c r="V39" s="1165"/>
      <c r="W39" s="1165"/>
      <c r="X39" s="1165"/>
      <c r="Y39" s="1165"/>
      <c r="Z39" s="5"/>
      <c r="AA39" s="1075" t="str">
        <f>IF(U39=0,"",INT((U39-10)/2))</f>
        <v/>
      </c>
      <c r="AB39" s="1075"/>
      <c r="AC39" s="1075"/>
      <c r="AD39" s="1075"/>
      <c r="AE39" s="1075"/>
      <c r="AF39" s="2"/>
      <c r="AG39" s="1065">
        <f ca="1">IF(CharacterLevel="","",AM39+AS39+AY39)</f>
        <v>-4</v>
      </c>
      <c r="AH39" s="1051"/>
      <c r="AI39" s="1051"/>
      <c r="AJ39" s="1051"/>
      <c r="AK39" s="1052"/>
      <c r="AL39" s="38"/>
      <c r="AM39" s="1147">
        <f>IF(AA39="",O39,AA39)</f>
        <v>-5</v>
      </c>
      <c r="AN39" s="1148"/>
      <c r="AO39" s="1148"/>
      <c r="AP39" s="1148"/>
      <c r="AQ39" s="1149"/>
      <c r="AR39" s="38"/>
      <c r="AS39" s="1078">
        <f ca="1">IF(CharacterLevel="","",IF(Tables!BG8="",0,ProfBonus))</f>
        <v>0</v>
      </c>
      <c r="AT39" s="1079"/>
      <c r="AU39" s="1079"/>
      <c r="AV39" s="1079"/>
      <c r="AW39" s="1080"/>
      <c r="AX39" s="38"/>
      <c r="AY39" s="1074">
        <v>1</v>
      </c>
      <c r="AZ39" s="1074"/>
      <c r="BA39" s="1074"/>
      <c r="BB39" s="1074"/>
      <c r="BC39" s="1074"/>
      <c r="BD39" s="2"/>
      <c r="BE39" s="1035" t="s">
        <v>185</v>
      </c>
      <c r="BF39" s="1035"/>
      <c r="BG39" s="1035"/>
      <c r="BH39" s="1035"/>
      <c r="BI39" s="1035"/>
      <c r="BJ39" s="1035"/>
      <c r="BK39" s="1035"/>
      <c r="BL39" s="1035"/>
      <c r="BM39" s="1035"/>
      <c r="BN39" s="1035"/>
      <c r="BO39" s="1035"/>
      <c r="BP39" s="1035"/>
      <c r="BQ39" s="1034" t="s">
        <v>34</v>
      </c>
      <c r="BR39" s="1034"/>
      <c r="BS39" s="1034"/>
      <c r="BT39" s="5"/>
      <c r="BU39" s="1047" t="str">
        <f>IF(CharacterLevel="","○",IF(Start!X66="","○","●"))</f>
        <v>○</v>
      </c>
      <c r="BV39" s="1047"/>
      <c r="BW39" s="1047"/>
      <c r="BX39" s="5"/>
      <c r="BY39" s="1060">
        <f ca="1">IF(OR(BE39="",CharacterLevel=""),"",CE39+CK39+CQ39)</f>
        <v>-5</v>
      </c>
      <c r="BZ39" s="1060"/>
      <c r="CA39" s="1060"/>
      <c r="CB39" s="1060"/>
      <c r="CC39" s="1060"/>
      <c r="CD39" s="1036" t="s">
        <v>25</v>
      </c>
      <c r="CE39" s="1041">
        <f ca="1">IF(OR(BE39="",CharacterLevel=""),"",INDIRECT(TEXT(BQ39&amp;"Mod",0)))</f>
        <v>-5</v>
      </c>
      <c r="CF39" s="1041"/>
      <c r="CG39" s="1041"/>
      <c r="CH39" s="1041"/>
      <c r="CI39" s="1041"/>
      <c r="CJ39" s="1036" t="s">
        <v>26</v>
      </c>
      <c r="CK39" s="1038">
        <f ca="1">IF(OR(BE39="",CharacterLevel=""),"",IF(BU39="●",ProfBonus,0)+IF(OR(RogueLevel&gt;=1,ClericKnowledgeLevel&gt;=1),IF(OR(COUNTIF(Start!$AJ$63:$AR$66,BE39)&gt;0,COUNTIF(Start!$AJ$74:$AR$75,'Character Sheet I'!BE39)&gt;0),ProfBonus,0),0))</f>
        <v>0</v>
      </c>
      <c r="CL39" s="1038"/>
      <c r="CM39" s="1038"/>
      <c r="CN39" s="1038"/>
      <c r="CO39" s="1038"/>
      <c r="CP39" s="1036" t="s">
        <v>26</v>
      </c>
      <c r="CQ39" s="1044"/>
      <c r="CR39" s="1044"/>
      <c r="CS39" s="1044"/>
      <c r="CT39" s="1044"/>
      <c r="CU39" s="1044"/>
      <c r="CV39" s="5"/>
      <c r="CY39" s="6">
        <f>CY37+1</f>
        <v>4</v>
      </c>
    </row>
    <row r="40" spans="1:103" ht="12" customHeight="1" x14ac:dyDescent="0.2">
      <c r="A40" s="5"/>
      <c r="B40" s="997"/>
      <c r="C40" s="997"/>
      <c r="D40" s="997"/>
      <c r="E40" s="997"/>
      <c r="F40" s="997"/>
      <c r="G40" s="997"/>
      <c r="H40" s="5"/>
      <c r="I40" s="1053"/>
      <c r="J40" s="1054"/>
      <c r="K40" s="1054"/>
      <c r="L40" s="1054"/>
      <c r="M40" s="1055"/>
      <c r="N40" s="260"/>
      <c r="O40" s="1068"/>
      <c r="P40" s="1069"/>
      <c r="Q40" s="1069"/>
      <c r="R40" s="1069"/>
      <c r="S40" s="1070"/>
      <c r="T40" s="5"/>
      <c r="U40" s="1165"/>
      <c r="V40" s="1165"/>
      <c r="W40" s="1165"/>
      <c r="X40" s="1165"/>
      <c r="Y40" s="1165"/>
      <c r="Z40" s="5"/>
      <c r="AA40" s="1075"/>
      <c r="AB40" s="1075"/>
      <c r="AC40" s="1075"/>
      <c r="AD40" s="1075"/>
      <c r="AE40" s="1075"/>
      <c r="AF40" s="2"/>
      <c r="AG40" s="1053"/>
      <c r="AH40" s="1054"/>
      <c r="AI40" s="1054"/>
      <c r="AJ40" s="1054"/>
      <c r="AK40" s="1055"/>
      <c r="AL40" s="39" t="s">
        <v>25</v>
      </c>
      <c r="AM40" s="1150"/>
      <c r="AN40" s="1151"/>
      <c r="AO40" s="1151"/>
      <c r="AP40" s="1151"/>
      <c r="AQ40" s="1152"/>
      <c r="AR40" s="39" t="s">
        <v>26</v>
      </c>
      <c r="AS40" s="1081"/>
      <c r="AT40" s="1082"/>
      <c r="AU40" s="1082"/>
      <c r="AV40" s="1082"/>
      <c r="AW40" s="1083"/>
      <c r="AX40" s="39" t="s">
        <v>26</v>
      </c>
      <c r="AY40" s="1074"/>
      <c r="AZ40" s="1074"/>
      <c r="BA40" s="1074"/>
      <c r="BB40" s="1074"/>
      <c r="BC40" s="1074"/>
      <c r="BD40" s="2"/>
      <c r="BE40" s="1035"/>
      <c r="BF40" s="1035"/>
      <c r="BG40" s="1035"/>
      <c r="BH40" s="1035"/>
      <c r="BI40" s="1035"/>
      <c r="BJ40" s="1035"/>
      <c r="BK40" s="1035"/>
      <c r="BL40" s="1035"/>
      <c r="BM40" s="1035"/>
      <c r="BN40" s="1035"/>
      <c r="BO40" s="1035"/>
      <c r="BP40" s="1035"/>
      <c r="BQ40" s="1034"/>
      <c r="BR40" s="1034"/>
      <c r="BS40" s="1034"/>
      <c r="BT40" s="5"/>
      <c r="BU40" s="1047"/>
      <c r="BV40" s="1047"/>
      <c r="BW40" s="1047"/>
      <c r="BX40" s="5"/>
      <c r="BY40" s="1061"/>
      <c r="BZ40" s="1061"/>
      <c r="CA40" s="1061"/>
      <c r="CB40" s="1061"/>
      <c r="CC40" s="1061"/>
      <c r="CD40" s="1037"/>
      <c r="CE40" s="1042"/>
      <c r="CF40" s="1042"/>
      <c r="CG40" s="1042"/>
      <c r="CH40" s="1042"/>
      <c r="CI40" s="1042"/>
      <c r="CJ40" s="1037"/>
      <c r="CK40" s="1039"/>
      <c r="CL40" s="1039"/>
      <c r="CM40" s="1039"/>
      <c r="CN40" s="1039"/>
      <c r="CO40" s="1039"/>
      <c r="CP40" s="1037"/>
      <c r="CQ40" s="1045"/>
      <c r="CR40" s="1045"/>
      <c r="CS40" s="1045"/>
      <c r="CT40" s="1045"/>
      <c r="CU40" s="1045"/>
      <c r="CV40" s="5"/>
    </row>
    <row r="41" spans="1:103" ht="12" customHeight="1" thickBot="1" x14ac:dyDescent="0.3">
      <c r="A41" s="5"/>
      <c r="B41" s="1040" t="s">
        <v>44</v>
      </c>
      <c r="C41" s="1040"/>
      <c r="D41" s="1040"/>
      <c r="E41" s="1040"/>
      <c r="F41" s="1040"/>
      <c r="G41" s="1040"/>
      <c r="H41" s="5"/>
      <c r="I41" s="1056"/>
      <c r="J41" s="1057"/>
      <c r="K41" s="1057"/>
      <c r="L41" s="1057"/>
      <c r="M41" s="1058"/>
      <c r="N41" s="260"/>
      <c r="O41" s="1071"/>
      <c r="P41" s="1072"/>
      <c r="Q41" s="1072"/>
      <c r="R41" s="1072"/>
      <c r="S41" s="1073"/>
      <c r="T41" s="5"/>
      <c r="U41" s="1165"/>
      <c r="V41" s="1165"/>
      <c r="W41" s="1165"/>
      <c r="X41" s="1165"/>
      <c r="Y41" s="1165"/>
      <c r="Z41" s="5"/>
      <c r="AA41" s="1075"/>
      <c r="AB41" s="1075"/>
      <c r="AC41" s="1075"/>
      <c r="AD41" s="1075"/>
      <c r="AE41" s="1075"/>
      <c r="AF41" s="2"/>
      <c r="AG41" s="1056"/>
      <c r="AH41" s="1057"/>
      <c r="AI41" s="1057"/>
      <c r="AJ41" s="1057"/>
      <c r="AK41" s="1058"/>
      <c r="AL41" s="38"/>
      <c r="AM41" s="1153"/>
      <c r="AN41" s="1154"/>
      <c r="AO41" s="1154"/>
      <c r="AP41" s="1154"/>
      <c r="AQ41" s="1155"/>
      <c r="AR41" s="38"/>
      <c r="AS41" s="1084"/>
      <c r="AT41" s="1085"/>
      <c r="AU41" s="1085"/>
      <c r="AV41" s="1085"/>
      <c r="AW41" s="1086"/>
      <c r="AX41" s="38"/>
      <c r="AY41" s="1074"/>
      <c r="AZ41" s="1074"/>
      <c r="BA41" s="1074"/>
      <c r="BB41" s="1074"/>
      <c r="BC41" s="1074"/>
      <c r="BD41" s="2"/>
      <c r="BE41" s="1035" t="s">
        <v>182</v>
      </c>
      <c r="BF41" s="1035"/>
      <c r="BG41" s="1035"/>
      <c r="BH41" s="1035"/>
      <c r="BI41" s="1035"/>
      <c r="BJ41" s="1035"/>
      <c r="BK41" s="1035"/>
      <c r="BL41" s="1043" t="str">
        <f>IF(CharacterLevel="","",VLOOKUP(Start!K20,Tables!$A$4:$D$5001,4,FALSE))</f>
        <v/>
      </c>
      <c r="BM41" s="1043"/>
      <c r="BN41" s="1043"/>
      <c r="BO41" s="1043"/>
      <c r="BP41" s="1043"/>
      <c r="BQ41" s="1034" t="s">
        <v>39</v>
      </c>
      <c r="BR41" s="1034"/>
      <c r="BS41" s="1034"/>
      <c r="BT41" s="5"/>
      <c r="BU41" s="1047" t="str">
        <f>IF(CharacterLevel="","○",IF(Start!X67="","○","●"))</f>
        <v>○</v>
      </c>
      <c r="BV41" s="1047"/>
      <c r="BW41" s="1047"/>
      <c r="BX41" s="5"/>
      <c r="BY41" s="1060">
        <f ca="1">IF(OR(BE41="",CharacterLevel=""),"",CE41+CK41+CQ41)</f>
        <v>-5</v>
      </c>
      <c r="BZ41" s="1060"/>
      <c r="CA41" s="1060"/>
      <c r="CB41" s="1060"/>
      <c r="CC41" s="1060"/>
      <c r="CD41" s="1036" t="s">
        <v>25</v>
      </c>
      <c r="CE41" s="1041">
        <f ca="1">IF(OR(BE41="",CharacterLevel=""),"",INDIRECT(TEXT(BQ41&amp;"Mod",0)))</f>
        <v>-5</v>
      </c>
      <c r="CF41" s="1041"/>
      <c r="CG41" s="1041"/>
      <c r="CH41" s="1041"/>
      <c r="CI41" s="1041"/>
      <c r="CJ41" s="1036" t="s">
        <v>26</v>
      </c>
      <c r="CK41" s="1038">
        <f>IF(OR(BE41="",CharacterLevel=""),"",IF(BU41="●",ProfBonus,0)+IF(RogueLevel&gt;=1,IF(COUNTIF(Start!$AJ$63:$AR$66,BE41)&gt;0,ProfBonus,0),0))</f>
        <v>0</v>
      </c>
      <c r="CL41" s="1038"/>
      <c r="CM41" s="1038"/>
      <c r="CN41" s="1038"/>
      <c r="CO41" s="1038"/>
      <c r="CP41" s="1036" t="s">
        <v>26</v>
      </c>
      <c r="CQ41" s="1044"/>
      <c r="CR41" s="1044"/>
      <c r="CS41" s="1044"/>
      <c r="CT41" s="1044"/>
      <c r="CU41" s="1044"/>
      <c r="CV41" s="5"/>
      <c r="CY41" s="6">
        <f>CY39+1</f>
        <v>5</v>
      </c>
    </row>
    <row r="42" spans="1:103" ht="12" customHeight="1" x14ac:dyDescent="0.2">
      <c r="A42" s="5"/>
      <c r="B42" s="2"/>
      <c r="C42" s="2"/>
      <c r="D42" s="2"/>
      <c r="E42" s="2"/>
      <c r="F42" s="2"/>
      <c r="G42" s="2"/>
      <c r="H42" s="2"/>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12"/>
      <c r="BA42" s="12"/>
      <c r="BB42" s="12"/>
      <c r="BC42" s="12"/>
      <c r="BD42" s="2"/>
      <c r="BE42" s="1035"/>
      <c r="BF42" s="1035"/>
      <c r="BG42" s="1035"/>
      <c r="BH42" s="1035"/>
      <c r="BI42" s="1035"/>
      <c r="BJ42" s="1035"/>
      <c r="BK42" s="1035"/>
      <c r="BL42" s="1043"/>
      <c r="BM42" s="1043"/>
      <c r="BN42" s="1043"/>
      <c r="BO42" s="1043"/>
      <c r="BP42" s="1043"/>
      <c r="BQ42" s="1034"/>
      <c r="BR42" s="1034"/>
      <c r="BS42" s="1034"/>
      <c r="BT42" s="5"/>
      <c r="BU42" s="1047"/>
      <c r="BV42" s="1047"/>
      <c r="BW42" s="1047"/>
      <c r="BX42" s="5"/>
      <c r="BY42" s="1061"/>
      <c r="BZ42" s="1061"/>
      <c r="CA42" s="1061"/>
      <c r="CB42" s="1061"/>
      <c r="CC42" s="1061"/>
      <c r="CD42" s="1037"/>
      <c r="CE42" s="1042"/>
      <c r="CF42" s="1042"/>
      <c r="CG42" s="1042"/>
      <c r="CH42" s="1042"/>
      <c r="CI42" s="1042"/>
      <c r="CJ42" s="1037"/>
      <c r="CK42" s="1039"/>
      <c r="CL42" s="1039"/>
      <c r="CM42" s="1039"/>
      <c r="CN42" s="1039"/>
      <c r="CO42" s="1039"/>
      <c r="CP42" s="1037"/>
      <c r="CQ42" s="1045"/>
      <c r="CR42" s="1045"/>
      <c r="CS42" s="1045"/>
      <c r="CT42" s="1045"/>
      <c r="CU42" s="1045"/>
      <c r="CV42" s="5"/>
    </row>
    <row r="43" spans="1:103" ht="12" customHeight="1" x14ac:dyDescent="0.2">
      <c r="A43" s="5"/>
      <c r="B43" s="997" t="s">
        <v>2950</v>
      </c>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c r="AU43" s="997"/>
      <c r="AV43" s="997"/>
      <c r="AW43" s="997"/>
      <c r="AX43" s="997"/>
      <c r="AY43" s="997"/>
      <c r="AZ43" s="997"/>
      <c r="BA43" s="997"/>
      <c r="BB43" s="997"/>
      <c r="BC43" s="997"/>
      <c r="BD43" s="2"/>
      <c r="BE43" s="1035" t="s">
        <v>70</v>
      </c>
      <c r="BF43" s="1035"/>
      <c r="BG43" s="1035"/>
      <c r="BH43" s="1035"/>
      <c r="BI43" s="1035"/>
      <c r="BJ43" s="1035"/>
      <c r="BK43" s="1035"/>
      <c r="BL43" s="1035"/>
      <c r="BM43" s="1035"/>
      <c r="BN43" s="1035"/>
      <c r="BO43" s="1035"/>
      <c r="BP43" s="1035"/>
      <c r="BQ43" s="1034" t="s">
        <v>42</v>
      </c>
      <c r="BR43" s="1034"/>
      <c r="BS43" s="1034"/>
      <c r="BT43" s="5"/>
      <c r="BU43" s="1047" t="str">
        <f>IF(CharacterLevel="","○",IF(Start!X68="","○","●"))</f>
        <v>○</v>
      </c>
      <c r="BV43" s="1047"/>
      <c r="BW43" s="1047"/>
      <c r="BX43" s="5"/>
      <c r="BY43" s="1060">
        <f ca="1">IF(OR(BE43="",CharacterLevel=""),"",CE43+CK43+CQ43)</f>
        <v>-5</v>
      </c>
      <c r="BZ43" s="1060"/>
      <c r="CA43" s="1060"/>
      <c r="CB43" s="1060"/>
      <c r="CC43" s="1060"/>
      <c r="CD43" s="1036" t="s">
        <v>25</v>
      </c>
      <c r="CE43" s="1041">
        <f ca="1">IF(OR(BE43="",CharacterLevel=""),"",INDIRECT(TEXT(BQ43&amp;"Mod",0)))</f>
        <v>-5</v>
      </c>
      <c r="CF43" s="1041"/>
      <c r="CG43" s="1041"/>
      <c r="CH43" s="1041"/>
      <c r="CI43" s="1041"/>
      <c r="CJ43" s="1036" t="s">
        <v>26</v>
      </c>
      <c r="CK43" s="1038">
        <f>IF(OR(BE43="",CharacterLevel=""),"",IF(BU43="●",ProfBonus,0)+IF(RogueLevel&gt;=1,IF(COUNTIF(Start!$AJ$63:$AR$66,BE43)&gt;0,ProfBonus,0),0))</f>
        <v>0</v>
      </c>
      <c r="CL43" s="1038"/>
      <c r="CM43" s="1038"/>
      <c r="CN43" s="1038"/>
      <c r="CO43" s="1038"/>
      <c r="CP43" s="1036" t="s">
        <v>26</v>
      </c>
      <c r="CQ43" s="1044"/>
      <c r="CR43" s="1044"/>
      <c r="CS43" s="1044"/>
      <c r="CT43" s="1044"/>
      <c r="CU43" s="1044"/>
      <c r="CV43" s="5"/>
      <c r="CY43" s="6">
        <f>CY41+1</f>
        <v>6</v>
      </c>
    </row>
    <row r="44" spans="1:103" ht="12" customHeight="1" x14ac:dyDescent="0.2">
      <c r="A44" s="5"/>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c r="AU44" s="997"/>
      <c r="AV44" s="997"/>
      <c r="AW44" s="997"/>
      <c r="AX44" s="997"/>
      <c r="AY44" s="997"/>
      <c r="AZ44" s="997"/>
      <c r="BA44" s="997"/>
      <c r="BB44" s="997"/>
      <c r="BC44" s="997"/>
      <c r="BD44" s="2"/>
      <c r="BE44" s="1035"/>
      <c r="BF44" s="1035"/>
      <c r="BG44" s="1035"/>
      <c r="BH44" s="1035"/>
      <c r="BI44" s="1035"/>
      <c r="BJ44" s="1035"/>
      <c r="BK44" s="1035"/>
      <c r="BL44" s="1035"/>
      <c r="BM44" s="1035"/>
      <c r="BN44" s="1035"/>
      <c r="BO44" s="1035"/>
      <c r="BP44" s="1035"/>
      <c r="BQ44" s="1034"/>
      <c r="BR44" s="1034"/>
      <c r="BS44" s="1034"/>
      <c r="BT44" s="5"/>
      <c r="BU44" s="1047"/>
      <c r="BV44" s="1047"/>
      <c r="BW44" s="1047"/>
      <c r="BX44" s="5"/>
      <c r="BY44" s="1061"/>
      <c r="BZ44" s="1061"/>
      <c r="CA44" s="1061"/>
      <c r="CB44" s="1061"/>
      <c r="CC44" s="1061"/>
      <c r="CD44" s="1037"/>
      <c r="CE44" s="1042"/>
      <c r="CF44" s="1042"/>
      <c r="CG44" s="1042"/>
      <c r="CH44" s="1042"/>
      <c r="CI44" s="1042"/>
      <c r="CJ44" s="1037"/>
      <c r="CK44" s="1039"/>
      <c r="CL44" s="1039"/>
      <c r="CM44" s="1039"/>
      <c r="CN44" s="1039"/>
      <c r="CO44" s="1039"/>
      <c r="CP44" s="1037"/>
      <c r="CQ44" s="1045"/>
      <c r="CR44" s="1045"/>
      <c r="CS44" s="1045"/>
      <c r="CT44" s="1045"/>
      <c r="CU44" s="1045"/>
      <c r="CV44" s="5"/>
    </row>
    <row r="45" spans="1:103" ht="12" customHeight="1" thickBo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2"/>
      <c r="BE45" s="1035" t="s">
        <v>69</v>
      </c>
      <c r="BF45" s="1035"/>
      <c r="BG45" s="1035"/>
      <c r="BH45" s="1035"/>
      <c r="BI45" s="1035"/>
      <c r="BJ45" s="1035"/>
      <c r="BK45" s="1035"/>
      <c r="BL45" s="1035"/>
      <c r="BM45" s="1035"/>
      <c r="BN45" s="1035"/>
      <c r="BO45" s="1035"/>
      <c r="BP45" s="1035"/>
      <c r="BQ45" s="1034" t="s">
        <v>42</v>
      </c>
      <c r="BR45" s="1034"/>
      <c r="BS45" s="1034"/>
      <c r="BT45" s="5"/>
      <c r="BU45" s="1047" t="str">
        <f>IF(CharacterLevel="","○",IF(Start!X69="","○","●"))</f>
        <v>○</v>
      </c>
      <c r="BV45" s="1047"/>
      <c r="BW45" s="1047"/>
      <c r="BX45" s="5"/>
      <c r="BY45" s="1060">
        <f ca="1">IF(OR(BE45="",CharacterLevel=""),"",CE45+CK45+CQ45)</f>
        <v>-5</v>
      </c>
      <c r="BZ45" s="1060"/>
      <c r="CA45" s="1060"/>
      <c r="CB45" s="1060"/>
      <c r="CC45" s="1060"/>
      <c r="CD45" s="1036" t="s">
        <v>25</v>
      </c>
      <c r="CE45" s="1041">
        <f ca="1">IF(OR(BE45="",CharacterLevel=""),"",INDIRECT(TEXT(BQ45&amp;"Mod",0)))</f>
        <v>-5</v>
      </c>
      <c r="CF45" s="1041"/>
      <c r="CG45" s="1041"/>
      <c r="CH45" s="1041"/>
      <c r="CI45" s="1041"/>
      <c r="CJ45" s="1036" t="s">
        <v>26</v>
      </c>
      <c r="CK45" s="1038">
        <f>IF(OR(BE45="",CharacterLevel=""),"",IF(BU45="●",ProfBonus,0)+IF(RogueLevel&gt;=1,IF(COUNTIF(Start!$AJ$63:$AR$66,BE45)&gt;0,ProfBonus,0),0))</f>
        <v>0</v>
      </c>
      <c r="CL45" s="1038"/>
      <c r="CM45" s="1038"/>
      <c r="CN45" s="1038"/>
      <c r="CO45" s="1038"/>
      <c r="CP45" s="1036" t="s">
        <v>26</v>
      </c>
      <c r="CQ45" s="1044"/>
      <c r="CR45" s="1044"/>
      <c r="CS45" s="1044"/>
      <c r="CT45" s="1044"/>
      <c r="CU45" s="1044"/>
      <c r="CV45" s="5"/>
      <c r="CY45" s="6">
        <f>CY43+1</f>
        <v>7</v>
      </c>
    </row>
    <row r="46" spans="1:103" ht="12" customHeight="1" thickBot="1" x14ac:dyDescent="0.25">
      <c r="A46" s="5"/>
      <c r="B46" s="997" t="s">
        <v>20</v>
      </c>
      <c r="C46" s="997"/>
      <c r="D46" s="997"/>
      <c r="E46" s="997"/>
      <c r="F46" s="997"/>
      <c r="G46" s="997"/>
      <c r="H46" s="5"/>
      <c r="I46" s="1099" t="str">
        <f>IF(CharacterLevel="","",HitPoints)</f>
        <v/>
      </c>
      <c r="J46" s="1100"/>
      <c r="K46" s="1100"/>
      <c r="L46" s="1101"/>
      <c r="M46" s="2"/>
      <c r="N46" s="1108"/>
      <c r="O46" s="1109"/>
      <c r="P46" s="1109"/>
      <c r="Q46" s="1109"/>
      <c r="R46" s="1109"/>
      <c r="S46" s="1109"/>
      <c r="T46" s="1109"/>
      <c r="U46" s="1109"/>
      <c r="V46" s="1109"/>
      <c r="W46" s="1110"/>
      <c r="X46" s="5"/>
      <c r="Y46" s="997" t="s">
        <v>221</v>
      </c>
      <c r="Z46" s="997"/>
      <c r="AA46" s="997"/>
      <c r="AB46" s="997"/>
      <c r="AC46" s="997"/>
      <c r="AD46" s="997"/>
      <c r="AE46" s="5"/>
      <c r="AF46" s="1099">
        <f>IF(CharacterLevel="","",CharacterLevel)</f>
        <v>1</v>
      </c>
      <c r="AG46" s="1100"/>
      <c r="AH46" s="1100"/>
      <c r="AI46" s="1101"/>
      <c r="AJ46" s="2"/>
      <c r="AK46" s="1108"/>
      <c r="AL46" s="1109"/>
      <c r="AM46" s="1109"/>
      <c r="AN46" s="1109"/>
      <c r="AO46" s="1109"/>
      <c r="AP46" s="1109"/>
      <c r="AQ46" s="1109"/>
      <c r="AR46" s="1109"/>
      <c r="AS46" s="1109"/>
      <c r="AT46" s="1110"/>
      <c r="AU46" s="162"/>
      <c r="AV46" s="5"/>
      <c r="AW46" s="265" t="s">
        <v>1048</v>
      </c>
      <c r="AX46" s="387"/>
      <c r="AY46" s="386"/>
      <c r="AZ46" s="387"/>
      <c r="BA46" s="386"/>
      <c r="BB46" s="387"/>
      <c r="BC46" s="9"/>
      <c r="BD46" s="2"/>
      <c r="BE46" s="1035"/>
      <c r="BF46" s="1035"/>
      <c r="BG46" s="1035"/>
      <c r="BH46" s="1035"/>
      <c r="BI46" s="1035"/>
      <c r="BJ46" s="1035"/>
      <c r="BK46" s="1035"/>
      <c r="BL46" s="1035"/>
      <c r="BM46" s="1035"/>
      <c r="BN46" s="1035"/>
      <c r="BO46" s="1035"/>
      <c r="BP46" s="1035"/>
      <c r="BQ46" s="1034"/>
      <c r="BR46" s="1034"/>
      <c r="BS46" s="1034"/>
      <c r="BT46" s="5"/>
      <c r="BU46" s="1047"/>
      <c r="BV46" s="1047"/>
      <c r="BW46" s="1047"/>
      <c r="BX46" s="5"/>
      <c r="BY46" s="1061"/>
      <c r="BZ46" s="1061"/>
      <c r="CA46" s="1061"/>
      <c r="CB46" s="1061"/>
      <c r="CC46" s="1061"/>
      <c r="CD46" s="1037"/>
      <c r="CE46" s="1042"/>
      <c r="CF46" s="1042"/>
      <c r="CG46" s="1042"/>
      <c r="CH46" s="1042"/>
      <c r="CI46" s="1042"/>
      <c r="CJ46" s="1037"/>
      <c r="CK46" s="1039"/>
      <c r="CL46" s="1039"/>
      <c r="CM46" s="1039"/>
      <c r="CN46" s="1039"/>
      <c r="CO46" s="1039"/>
      <c r="CP46" s="1037"/>
      <c r="CQ46" s="1045"/>
      <c r="CR46" s="1045"/>
      <c r="CS46" s="1045"/>
      <c r="CT46" s="1045"/>
      <c r="CU46" s="1045"/>
      <c r="CV46" s="5"/>
    </row>
    <row r="47" spans="1:103" ht="12" customHeight="1" thickBot="1" x14ac:dyDescent="0.25">
      <c r="A47" s="5"/>
      <c r="B47" s="997"/>
      <c r="C47" s="997"/>
      <c r="D47" s="997"/>
      <c r="E47" s="997"/>
      <c r="F47" s="997"/>
      <c r="G47" s="997"/>
      <c r="H47" s="5"/>
      <c r="I47" s="1102"/>
      <c r="J47" s="1103"/>
      <c r="K47" s="1103"/>
      <c r="L47" s="1104"/>
      <c r="M47" s="2"/>
      <c r="N47" s="1111"/>
      <c r="O47" s="1112"/>
      <c r="P47" s="1112"/>
      <c r="Q47" s="1112"/>
      <c r="R47" s="1112"/>
      <c r="S47" s="1112"/>
      <c r="T47" s="1112"/>
      <c r="U47" s="1112"/>
      <c r="V47" s="1112"/>
      <c r="W47" s="1113"/>
      <c r="X47" s="5"/>
      <c r="Y47" s="997"/>
      <c r="Z47" s="997"/>
      <c r="AA47" s="997"/>
      <c r="AB47" s="997"/>
      <c r="AC47" s="997"/>
      <c r="AD47" s="997"/>
      <c r="AE47" s="5"/>
      <c r="AF47" s="1102"/>
      <c r="AG47" s="1103"/>
      <c r="AH47" s="1103"/>
      <c r="AI47" s="1104"/>
      <c r="AJ47" s="2"/>
      <c r="AK47" s="1111"/>
      <c r="AL47" s="1112"/>
      <c r="AM47" s="1112"/>
      <c r="AN47" s="1112"/>
      <c r="AO47" s="1112"/>
      <c r="AP47" s="1112"/>
      <c r="AQ47" s="1112"/>
      <c r="AR47" s="1112"/>
      <c r="AS47" s="1112"/>
      <c r="AT47" s="1113"/>
      <c r="AU47" s="162"/>
      <c r="AV47" s="5"/>
      <c r="AW47" s="263"/>
      <c r="AX47" s="386"/>
      <c r="AY47" s="386"/>
      <c r="AZ47" s="386"/>
      <c r="BA47" s="386"/>
      <c r="BB47" s="386"/>
      <c r="BC47" s="9"/>
      <c r="BD47" s="2"/>
      <c r="BE47" s="1035" t="s">
        <v>186</v>
      </c>
      <c r="BF47" s="1035"/>
      <c r="BG47" s="1035"/>
      <c r="BH47" s="1035"/>
      <c r="BI47" s="1035"/>
      <c r="BJ47" s="1035"/>
      <c r="BK47" s="1035"/>
      <c r="BL47" s="1035"/>
      <c r="BM47" s="1035"/>
      <c r="BN47" s="1035"/>
      <c r="BO47" s="1035"/>
      <c r="BP47" s="1035"/>
      <c r="BQ47" s="1034" t="s">
        <v>34</v>
      </c>
      <c r="BR47" s="1034"/>
      <c r="BS47" s="1034"/>
      <c r="BT47" s="5"/>
      <c r="BU47" s="1047" t="str">
        <f>IF(CharacterLevel="","○",IF(Start!X70="","○","●"))</f>
        <v>○</v>
      </c>
      <c r="BV47" s="1047"/>
      <c r="BW47" s="1047"/>
      <c r="BX47" s="5"/>
      <c r="BY47" s="1060">
        <f ca="1">IF(OR(BE47="",CharacterLevel=""),"",CE47+CK47+CQ47)</f>
        <v>-5</v>
      </c>
      <c r="BZ47" s="1060"/>
      <c r="CA47" s="1060"/>
      <c r="CB47" s="1060"/>
      <c r="CC47" s="1060"/>
      <c r="CD47" s="1036" t="s">
        <v>25</v>
      </c>
      <c r="CE47" s="1041">
        <f ca="1">IF(OR(BE47="",CharacterLevel=""),"",INDIRECT(TEXT(BQ47&amp;"Mod",0)))</f>
        <v>-5</v>
      </c>
      <c r="CF47" s="1041"/>
      <c r="CG47" s="1041"/>
      <c r="CH47" s="1041"/>
      <c r="CI47" s="1041"/>
      <c r="CJ47" s="1036" t="s">
        <v>26</v>
      </c>
      <c r="CK47" s="1038">
        <f ca="1">IF(OR(BE47="",CharacterLevel=""),"",IF(BU47="●",ProfBonus,0)+IF(OR(RogueLevel&gt;=1,ClericKnowledgeLevel&gt;=1),IF(OR(COUNTIF(Start!$AJ$63:$AR$66,BE47)&gt;0,COUNTIF(Start!$AJ$74:$AR$75,'Character Sheet I'!BE47)&gt;0),ProfBonus,0),0))</f>
        <v>0</v>
      </c>
      <c r="CL47" s="1038"/>
      <c r="CM47" s="1038"/>
      <c r="CN47" s="1038"/>
      <c r="CO47" s="1038"/>
      <c r="CP47" s="1036" t="s">
        <v>26</v>
      </c>
      <c r="CQ47" s="1044"/>
      <c r="CR47" s="1044"/>
      <c r="CS47" s="1044"/>
      <c r="CT47" s="1044"/>
      <c r="CU47" s="1044"/>
      <c r="CV47" s="5"/>
      <c r="CY47" s="6">
        <f>CY45+1</f>
        <v>8</v>
      </c>
    </row>
    <row r="48" spans="1:103" ht="12" customHeight="1" thickBot="1" x14ac:dyDescent="0.25">
      <c r="A48" s="5"/>
      <c r="B48" s="1040" t="s">
        <v>22</v>
      </c>
      <c r="C48" s="1040"/>
      <c r="D48" s="1040"/>
      <c r="E48" s="1040"/>
      <c r="F48" s="1040"/>
      <c r="G48" s="1040"/>
      <c r="H48" s="5"/>
      <c r="I48" s="1105"/>
      <c r="J48" s="1106"/>
      <c r="K48" s="1106"/>
      <c r="L48" s="1107"/>
      <c r="M48" s="2"/>
      <c r="N48" s="1114"/>
      <c r="O48" s="1115"/>
      <c r="P48" s="1115"/>
      <c r="Q48" s="1115"/>
      <c r="R48" s="1115"/>
      <c r="S48" s="1115"/>
      <c r="T48" s="1115"/>
      <c r="U48" s="1115"/>
      <c r="V48" s="1115"/>
      <c r="W48" s="1116"/>
      <c r="X48" s="5"/>
      <c r="Y48" s="1040" t="s">
        <v>222</v>
      </c>
      <c r="Z48" s="1040"/>
      <c r="AA48" s="1040"/>
      <c r="AB48" s="1040"/>
      <c r="AC48" s="1040"/>
      <c r="AD48" s="1040"/>
      <c r="AE48" s="5"/>
      <c r="AF48" s="1105"/>
      <c r="AG48" s="1106"/>
      <c r="AH48" s="1106"/>
      <c r="AI48" s="1107"/>
      <c r="AJ48" s="2"/>
      <c r="AK48" s="1114"/>
      <c r="AL48" s="1115"/>
      <c r="AM48" s="1115"/>
      <c r="AN48" s="1115"/>
      <c r="AO48" s="1115"/>
      <c r="AP48" s="1115"/>
      <c r="AQ48" s="1115"/>
      <c r="AR48" s="1115"/>
      <c r="AS48" s="1115"/>
      <c r="AT48" s="1116"/>
      <c r="AU48" s="251"/>
      <c r="AV48" s="5"/>
      <c r="AW48" s="265" t="s">
        <v>1049</v>
      </c>
      <c r="AX48" s="387"/>
      <c r="AY48" s="386"/>
      <c r="AZ48" s="387"/>
      <c r="BA48" s="386"/>
      <c r="BB48" s="387"/>
      <c r="BC48" s="9"/>
      <c r="BD48" s="2"/>
      <c r="BE48" s="1035"/>
      <c r="BF48" s="1035"/>
      <c r="BG48" s="1035"/>
      <c r="BH48" s="1035"/>
      <c r="BI48" s="1035"/>
      <c r="BJ48" s="1035"/>
      <c r="BK48" s="1035"/>
      <c r="BL48" s="1035"/>
      <c r="BM48" s="1035"/>
      <c r="BN48" s="1035"/>
      <c r="BO48" s="1035"/>
      <c r="BP48" s="1035"/>
      <c r="BQ48" s="1034"/>
      <c r="BR48" s="1034"/>
      <c r="BS48" s="1034"/>
      <c r="BT48" s="5"/>
      <c r="BU48" s="1047"/>
      <c r="BV48" s="1047"/>
      <c r="BW48" s="1047"/>
      <c r="BX48" s="5"/>
      <c r="BY48" s="1061"/>
      <c r="BZ48" s="1061"/>
      <c r="CA48" s="1061"/>
      <c r="CB48" s="1061"/>
      <c r="CC48" s="1061"/>
      <c r="CD48" s="1037"/>
      <c r="CE48" s="1042"/>
      <c r="CF48" s="1042"/>
      <c r="CG48" s="1042"/>
      <c r="CH48" s="1042"/>
      <c r="CI48" s="1042"/>
      <c r="CJ48" s="1037"/>
      <c r="CK48" s="1039"/>
      <c r="CL48" s="1039"/>
      <c r="CM48" s="1039"/>
      <c r="CN48" s="1039"/>
      <c r="CO48" s="1039"/>
      <c r="CP48" s="1037"/>
      <c r="CQ48" s="1045"/>
      <c r="CR48" s="1045"/>
      <c r="CS48" s="1045"/>
      <c r="CT48" s="1045"/>
      <c r="CU48" s="1045"/>
      <c r="CV48" s="5"/>
    </row>
    <row r="49" spans="1:103" ht="12" customHeight="1" x14ac:dyDescent="0.2">
      <c r="A49" s="5"/>
      <c r="B49" s="5"/>
      <c r="C49" s="5"/>
      <c r="D49" s="5"/>
      <c r="E49" s="5"/>
      <c r="F49" s="5"/>
      <c r="G49" s="5"/>
      <c r="H49" s="5"/>
      <c r="I49" s="1121" t="s">
        <v>17</v>
      </c>
      <c r="J49" s="1121"/>
      <c r="K49" s="1121"/>
      <c r="L49" s="1121"/>
      <c r="M49" s="4"/>
      <c r="N49" s="1141" t="s">
        <v>220</v>
      </c>
      <c r="O49" s="1141"/>
      <c r="P49" s="1141"/>
      <c r="Q49" s="1141"/>
      <c r="R49" s="1141"/>
      <c r="S49" s="1141"/>
      <c r="T49" s="1141"/>
      <c r="U49" s="1141"/>
      <c r="V49" s="1141"/>
      <c r="W49" s="1141"/>
      <c r="X49" s="5"/>
      <c r="Y49" s="2"/>
      <c r="Z49" s="2"/>
      <c r="AA49" s="2"/>
      <c r="AB49" s="2"/>
      <c r="AC49" s="2"/>
      <c r="AD49" s="2"/>
      <c r="AE49" s="2"/>
      <c r="AF49" s="1121" t="s">
        <v>17</v>
      </c>
      <c r="AG49" s="1121"/>
      <c r="AH49" s="1121"/>
      <c r="AI49" s="1121"/>
      <c r="AJ49" s="4"/>
      <c r="AK49" s="1141" t="s">
        <v>220</v>
      </c>
      <c r="AL49" s="1141"/>
      <c r="AM49" s="1141"/>
      <c r="AN49" s="1141"/>
      <c r="AO49" s="1141"/>
      <c r="AP49" s="1141"/>
      <c r="AQ49" s="1141"/>
      <c r="AR49" s="1141"/>
      <c r="AS49" s="1141"/>
      <c r="AT49" s="1141"/>
      <c r="AU49" s="250"/>
      <c r="AV49" s="250"/>
      <c r="AW49" s="1063" t="s">
        <v>227</v>
      </c>
      <c r="AX49" s="1063"/>
      <c r="AY49" s="1063"/>
      <c r="AZ49" s="1063"/>
      <c r="BA49" s="1063"/>
      <c r="BB49" s="1063"/>
      <c r="BC49" s="1063"/>
      <c r="BD49" s="2"/>
      <c r="BE49" s="1035" t="s">
        <v>71</v>
      </c>
      <c r="BF49" s="1035"/>
      <c r="BG49" s="1035"/>
      <c r="BH49" s="1035"/>
      <c r="BI49" s="1035"/>
      <c r="BJ49" s="1035"/>
      <c r="BK49" s="1035"/>
      <c r="BL49" s="1035"/>
      <c r="BM49" s="1035"/>
      <c r="BN49" s="1035"/>
      <c r="BO49" s="1035"/>
      <c r="BP49" s="1035"/>
      <c r="BQ49" s="1034" t="s">
        <v>23</v>
      </c>
      <c r="BR49" s="1034"/>
      <c r="BS49" s="1034"/>
      <c r="BT49" s="5"/>
      <c r="BU49" s="1047" t="str">
        <f>IF(CharacterLevel="","○",IF(Start!X71="","○","●"))</f>
        <v>○</v>
      </c>
      <c r="BV49" s="1047"/>
      <c r="BW49" s="1047"/>
      <c r="BX49" s="5"/>
      <c r="BY49" s="1060">
        <f ca="1">IF(OR(BE49="",CharacterLevel=""),"",CE49+CK49+CQ49)</f>
        <v>-5</v>
      </c>
      <c r="BZ49" s="1060"/>
      <c r="CA49" s="1060"/>
      <c r="CB49" s="1060"/>
      <c r="CC49" s="1060"/>
      <c r="CD49" s="1036" t="s">
        <v>25</v>
      </c>
      <c r="CE49" s="1041">
        <f ca="1">IF(OR(BE49="",CharacterLevel=""),"",INDIRECT(TEXT(BQ49&amp;"Mod",0)))</f>
        <v>-5</v>
      </c>
      <c r="CF49" s="1041"/>
      <c r="CG49" s="1041"/>
      <c r="CH49" s="1041"/>
      <c r="CI49" s="1041"/>
      <c r="CJ49" s="1036" t="s">
        <v>26</v>
      </c>
      <c r="CK49" s="1038">
        <f ca="1">IF(OR(BE49="",CharacterLevel=""),"",IF(BU49="●",ProfBonus,0)+IF(RogueLevel&gt;=1,IF(COUNTIF(Start!$AJ$63:$AR$66,BE49)&gt;0,ProfBonus,0),0)+IF(AND(BU19="○",FighterChampionLevel&gt;=7),ROUNDUP(ProfBonus/2,0),0))</f>
        <v>0</v>
      </c>
      <c r="CL49" s="1038"/>
      <c r="CM49" s="1038"/>
      <c r="CN49" s="1038"/>
      <c r="CO49" s="1038"/>
      <c r="CP49" s="1036" t="s">
        <v>26</v>
      </c>
      <c r="CQ49" s="1044"/>
      <c r="CR49" s="1044"/>
      <c r="CS49" s="1044"/>
      <c r="CT49" s="1044"/>
      <c r="CU49" s="1044"/>
      <c r="CV49" s="5"/>
      <c r="CY49" s="6">
        <f>CY47+1</f>
        <v>9</v>
      </c>
    </row>
    <row r="50" spans="1:103" ht="12" customHeight="1" thickBot="1" x14ac:dyDescent="0.25">
      <c r="A50" s="5"/>
      <c r="B50" s="5"/>
      <c r="C50" s="5"/>
      <c r="D50" s="5"/>
      <c r="E50" s="5"/>
      <c r="F50" s="5"/>
      <c r="G50" s="5"/>
      <c r="H50" s="5"/>
      <c r="I50" s="754"/>
      <c r="J50" s="754"/>
      <c r="K50" s="754"/>
      <c r="L50" s="754"/>
      <c r="M50" s="4"/>
      <c r="N50" s="752"/>
      <c r="O50" s="752"/>
      <c r="P50" s="752"/>
      <c r="Q50" s="752"/>
      <c r="R50" s="752"/>
      <c r="S50" s="752"/>
      <c r="T50" s="752"/>
      <c r="U50" s="752"/>
      <c r="V50" s="752"/>
      <c r="W50" s="752"/>
      <c r="X50" s="5"/>
      <c r="Y50" s="2"/>
      <c r="Z50" s="2"/>
      <c r="AA50" s="2"/>
      <c r="AB50" s="2"/>
      <c r="AC50" s="2"/>
      <c r="AD50" s="2"/>
      <c r="AE50" s="2"/>
      <c r="AF50" s="753"/>
      <c r="AG50" s="753"/>
      <c r="AH50" s="753"/>
      <c r="AI50" s="753"/>
      <c r="AJ50" s="4"/>
      <c r="AK50" s="752"/>
      <c r="AL50" s="752"/>
      <c r="AM50" s="752"/>
      <c r="AN50" s="752"/>
      <c r="AO50" s="752"/>
      <c r="AP50" s="752"/>
      <c r="AQ50" s="752"/>
      <c r="AR50" s="752"/>
      <c r="AS50" s="752"/>
      <c r="AT50" s="752"/>
      <c r="AU50" s="12"/>
      <c r="AV50" s="12"/>
      <c r="AW50" s="1063"/>
      <c r="AX50" s="1063"/>
      <c r="AY50" s="1063"/>
      <c r="AZ50" s="1063"/>
      <c r="BA50" s="1063"/>
      <c r="BB50" s="1063"/>
      <c r="BC50" s="1063"/>
      <c r="BD50" s="2"/>
      <c r="BE50" s="1035"/>
      <c r="BF50" s="1035"/>
      <c r="BG50" s="1035"/>
      <c r="BH50" s="1035"/>
      <c r="BI50" s="1035"/>
      <c r="BJ50" s="1035"/>
      <c r="BK50" s="1035"/>
      <c r="BL50" s="1035"/>
      <c r="BM50" s="1035"/>
      <c r="BN50" s="1035"/>
      <c r="BO50" s="1035"/>
      <c r="BP50" s="1035"/>
      <c r="BQ50" s="1034"/>
      <c r="BR50" s="1034"/>
      <c r="BS50" s="1034"/>
      <c r="BT50" s="5"/>
      <c r="BU50" s="1047"/>
      <c r="BV50" s="1047"/>
      <c r="BW50" s="1047"/>
      <c r="BX50" s="5"/>
      <c r="BY50" s="1061"/>
      <c r="BZ50" s="1061"/>
      <c r="CA50" s="1061"/>
      <c r="CB50" s="1061"/>
      <c r="CC50" s="1061"/>
      <c r="CD50" s="1037"/>
      <c r="CE50" s="1042"/>
      <c r="CF50" s="1042"/>
      <c r="CG50" s="1042"/>
      <c r="CH50" s="1042"/>
      <c r="CI50" s="1042"/>
      <c r="CJ50" s="1037"/>
      <c r="CK50" s="1039"/>
      <c r="CL50" s="1039"/>
      <c r="CM50" s="1039"/>
      <c r="CN50" s="1039"/>
      <c r="CO50" s="1039"/>
      <c r="CP50" s="1037"/>
      <c r="CQ50" s="1045"/>
      <c r="CR50" s="1045"/>
      <c r="CS50" s="1045"/>
      <c r="CT50" s="1045"/>
      <c r="CU50" s="1045"/>
      <c r="CV50" s="5"/>
    </row>
    <row r="51" spans="1:103" ht="12" customHeight="1" x14ac:dyDescent="0.2">
      <c r="A51" s="5"/>
      <c r="B51" s="997" t="s">
        <v>24</v>
      </c>
      <c r="C51" s="997"/>
      <c r="D51" s="997"/>
      <c r="E51" s="997"/>
      <c r="F51" s="997"/>
      <c r="G51" s="997"/>
      <c r="H51" s="5"/>
      <c r="I51" s="1131">
        <f>IF(CharacterLevel="","",N51+S51+X51+AC51)</f>
        <v>-5</v>
      </c>
      <c r="J51" s="1132"/>
      <c r="K51" s="1132"/>
      <c r="L51" s="1133"/>
      <c r="M51" s="1140" t="s">
        <v>25</v>
      </c>
      <c r="N51" s="1156">
        <f>IF(CharacterLevel="","",IF(ArmorName="",Tables!BV2,ArmorAC))</f>
        <v>0</v>
      </c>
      <c r="O51" s="1157"/>
      <c r="P51" s="1157"/>
      <c r="Q51" s="1158"/>
      <c r="R51" s="1096" t="s">
        <v>26</v>
      </c>
      <c r="S51" s="1156">
        <f>IF(CharacterLevel="","",IF(ShieldName="",0,ShieldAC))</f>
        <v>0</v>
      </c>
      <c r="T51" s="1157"/>
      <c r="U51" s="1157"/>
      <c r="V51" s="1158"/>
      <c r="W51" s="1096" t="s">
        <v>26</v>
      </c>
      <c r="X51" s="1184">
        <f>IF(CharacterLevel="","",IF(ArmorDEXmod="",DEXMod,ArmorDEXmod))</f>
        <v>-5</v>
      </c>
      <c r="Y51" s="1185"/>
      <c r="Z51" s="1185"/>
      <c r="AA51" s="1186"/>
      <c r="AB51" s="1096" t="s">
        <v>26</v>
      </c>
      <c r="AC51" s="1156">
        <f>IF(CharacterLevel="","",Start!Y168+IF(AND(OR(ArmorGroup="light",ArmorGroup="medium",ArmorGroup="heavy"),COUNTIF(Tables!GA2:GA5,Tables!FX26)&gt;0),1,0)+IF(AND(OR(B69="",B69="None"),Tables!ZT5&lt;&gt;""),1,0))</f>
        <v>0</v>
      </c>
      <c r="AD51" s="1157"/>
      <c r="AE51" s="1157"/>
      <c r="AF51" s="1158"/>
      <c r="AG51" s="5"/>
      <c r="AH51" s="5"/>
      <c r="AI51" s="1166" t="str">
        <f>IF(OR(CharacterLevel="",Start!Y170=""),"",Start!Y170)</f>
        <v/>
      </c>
      <c r="AJ51" s="1167"/>
      <c r="AK51" s="1167"/>
      <c r="AL51" s="1167"/>
      <c r="AM51" s="1167"/>
      <c r="AN51" s="1167"/>
      <c r="AO51" s="1167"/>
      <c r="AP51" s="1167"/>
      <c r="AQ51" s="1167"/>
      <c r="AR51" s="1168"/>
      <c r="AS51" s="353"/>
      <c r="AT51" s="1175" t="str">
        <f>IF(OR(CharacterLevel="",Start!Y169=""),"",Start!Y169)</f>
        <v/>
      </c>
      <c r="AU51" s="1176"/>
      <c r="AV51" s="1176"/>
      <c r="AW51" s="1176"/>
      <c r="AX51" s="1176"/>
      <c r="AY51" s="1176"/>
      <c r="AZ51" s="1176"/>
      <c r="BA51" s="1176"/>
      <c r="BB51" s="1176"/>
      <c r="BC51" s="1177"/>
      <c r="BD51" s="2"/>
      <c r="BE51" s="1035" t="s">
        <v>181</v>
      </c>
      <c r="BF51" s="1035"/>
      <c r="BG51" s="1035"/>
      <c r="BH51" s="1035"/>
      <c r="BI51" s="1035"/>
      <c r="BJ51" s="1035"/>
      <c r="BK51" s="1035"/>
      <c r="BL51" s="1035"/>
      <c r="BM51" s="1035"/>
      <c r="BN51" s="1035"/>
      <c r="BO51" s="1035"/>
      <c r="BP51" s="1035"/>
      <c r="BQ51" s="1034" t="s">
        <v>23</v>
      </c>
      <c r="BR51" s="1034"/>
      <c r="BS51" s="1034"/>
      <c r="BT51" s="5"/>
      <c r="BU51" s="1047" t="str">
        <f>IF(CharacterLevel="","○",IF(Start!X72="","○","●"))</f>
        <v>○</v>
      </c>
      <c r="BV51" s="1047"/>
      <c r="BW51" s="1047"/>
      <c r="BX51" s="5"/>
      <c r="BY51" s="1060">
        <f ca="1">IF(OR(BE51="",CharacterLevel=""),"",CE51+CK51+CQ51)</f>
        <v>-5</v>
      </c>
      <c r="BZ51" s="1060"/>
      <c r="CA51" s="1060"/>
      <c r="CB51" s="1060"/>
      <c r="CC51" s="1060"/>
      <c r="CD51" s="1036" t="s">
        <v>25</v>
      </c>
      <c r="CE51" s="1041">
        <f ca="1">IF(OR(BE51="",CharacterLevel=""),"",INDIRECT(TEXT(BQ51&amp;"Mod",0)))</f>
        <v>-5</v>
      </c>
      <c r="CF51" s="1041"/>
      <c r="CG51" s="1041"/>
      <c r="CH51" s="1041"/>
      <c r="CI51" s="1041"/>
      <c r="CJ51" s="1036" t="s">
        <v>26</v>
      </c>
      <c r="CK51" s="1038">
        <f ca="1">IF(OR(BE51="",CharacterLevel=""),"",IF(BU51="●",ProfBonus,0)+IF(RogueLevel&gt;=1,IF(COUNTIF(Start!$AJ$63:$AR$66,BE51)&gt;0,ProfBonus,0),0)+IF(AND(BU19="○",FighterChampionLevel&gt;=7),ROUNDUP(ProfBonus/2,0),0))</f>
        <v>0</v>
      </c>
      <c r="CL51" s="1038"/>
      <c r="CM51" s="1038"/>
      <c r="CN51" s="1038"/>
      <c r="CO51" s="1038"/>
      <c r="CP51" s="1036" t="s">
        <v>26</v>
      </c>
      <c r="CQ51" s="1044"/>
      <c r="CR51" s="1044"/>
      <c r="CS51" s="1044"/>
      <c r="CT51" s="1044"/>
      <c r="CU51" s="1044"/>
      <c r="CV51" s="5"/>
      <c r="CY51" s="6">
        <f>CY49+1</f>
        <v>10</v>
      </c>
    </row>
    <row r="52" spans="1:103" ht="12" customHeight="1" x14ac:dyDescent="0.2">
      <c r="A52" s="5"/>
      <c r="B52" s="997"/>
      <c r="C52" s="997"/>
      <c r="D52" s="997"/>
      <c r="E52" s="997"/>
      <c r="F52" s="997"/>
      <c r="G52" s="997"/>
      <c r="H52" s="5"/>
      <c r="I52" s="1134"/>
      <c r="J52" s="1135"/>
      <c r="K52" s="1135"/>
      <c r="L52" s="1136"/>
      <c r="M52" s="1140"/>
      <c r="N52" s="1159"/>
      <c r="O52" s="1160"/>
      <c r="P52" s="1160"/>
      <c r="Q52" s="1161"/>
      <c r="R52" s="1096"/>
      <c r="S52" s="1159"/>
      <c r="T52" s="1160"/>
      <c r="U52" s="1160"/>
      <c r="V52" s="1161"/>
      <c r="W52" s="1096"/>
      <c r="X52" s="1187"/>
      <c r="Y52" s="1188"/>
      <c r="Z52" s="1188"/>
      <c r="AA52" s="1189"/>
      <c r="AB52" s="1096"/>
      <c r="AC52" s="1159"/>
      <c r="AD52" s="1160"/>
      <c r="AE52" s="1160"/>
      <c r="AF52" s="1161"/>
      <c r="AG52" s="5"/>
      <c r="AH52" s="5"/>
      <c r="AI52" s="1169"/>
      <c r="AJ52" s="1170"/>
      <c r="AK52" s="1170"/>
      <c r="AL52" s="1170"/>
      <c r="AM52" s="1170"/>
      <c r="AN52" s="1170"/>
      <c r="AO52" s="1170"/>
      <c r="AP52" s="1170"/>
      <c r="AQ52" s="1170"/>
      <c r="AR52" s="1171"/>
      <c r="AS52" s="353"/>
      <c r="AT52" s="1178"/>
      <c r="AU52" s="1179"/>
      <c r="AV52" s="1179"/>
      <c r="AW52" s="1179"/>
      <c r="AX52" s="1179"/>
      <c r="AY52" s="1179"/>
      <c r="AZ52" s="1179"/>
      <c r="BA52" s="1179"/>
      <c r="BB52" s="1179"/>
      <c r="BC52" s="1180"/>
      <c r="BD52" s="2"/>
      <c r="BE52" s="1035"/>
      <c r="BF52" s="1035"/>
      <c r="BG52" s="1035"/>
      <c r="BH52" s="1035"/>
      <c r="BI52" s="1035"/>
      <c r="BJ52" s="1035"/>
      <c r="BK52" s="1035"/>
      <c r="BL52" s="1035"/>
      <c r="BM52" s="1035"/>
      <c r="BN52" s="1035"/>
      <c r="BO52" s="1035"/>
      <c r="BP52" s="1035"/>
      <c r="BQ52" s="1034"/>
      <c r="BR52" s="1034"/>
      <c r="BS52" s="1034"/>
      <c r="BT52" s="5"/>
      <c r="BU52" s="1047"/>
      <c r="BV52" s="1047"/>
      <c r="BW52" s="1047"/>
      <c r="BX52" s="5"/>
      <c r="BY52" s="1061"/>
      <c r="BZ52" s="1061"/>
      <c r="CA52" s="1061"/>
      <c r="CB52" s="1061"/>
      <c r="CC52" s="1061"/>
      <c r="CD52" s="1037"/>
      <c r="CE52" s="1042"/>
      <c r="CF52" s="1042"/>
      <c r="CG52" s="1042"/>
      <c r="CH52" s="1042"/>
      <c r="CI52" s="1042"/>
      <c r="CJ52" s="1037"/>
      <c r="CK52" s="1039"/>
      <c r="CL52" s="1039"/>
      <c r="CM52" s="1039"/>
      <c r="CN52" s="1039"/>
      <c r="CO52" s="1039"/>
      <c r="CP52" s="1037"/>
      <c r="CQ52" s="1045"/>
      <c r="CR52" s="1045"/>
      <c r="CS52" s="1045"/>
      <c r="CT52" s="1045"/>
      <c r="CU52" s="1045"/>
      <c r="CV52" s="5"/>
    </row>
    <row r="53" spans="1:103" ht="12" customHeight="1" thickBot="1" x14ac:dyDescent="0.25">
      <c r="A53" s="5"/>
      <c r="B53" s="1040" t="s">
        <v>28</v>
      </c>
      <c r="C53" s="1040"/>
      <c r="D53" s="1040"/>
      <c r="E53" s="1040"/>
      <c r="F53" s="1040"/>
      <c r="G53" s="1040"/>
      <c r="H53" s="5"/>
      <c r="I53" s="1137"/>
      <c r="J53" s="1138"/>
      <c r="K53" s="1138"/>
      <c r="L53" s="1139"/>
      <c r="M53" s="1140"/>
      <c r="N53" s="1162"/>
      <c r="O53" s="1163"/>
      <c r="P53" s="1163"/>
      <c r="Q53" s="1164"/>
      <c r="R53" s="1096"/>
      <c r="S53" s="1162"/>
      <c r="T53" s="1163"/>
      <c r="U53" s="1163"/>
      <c r="V53" s="1164"/>
      <c r="W53" s="1096"/>
      <c r="X53" s="1190"/>
      <c r="Y53" s="1191"/>
      <c r="Z53" s="1191"/>
      <c r="AA53" s="1192"/>
      <c r="AB53" s="1096"/>
      <c r="AC53" s="1162"/>
      <c r="AD53" s="1163"/>
      <c r="AE53" s="1163"/>
      <c r="AF53" s="1164"/>
      <c r="AG53" s="5"/>
      <c r="AH53" s="5"/>
      <c r="AI53" s="1172"/>
      <c r="AJ53" s="1173"/>
      <c r="AK53" s="1173"/>
      <c r="AL53" s="1173"/>
      <c r="AM53" s="1173"/>
      <c r="AN53" s="1173"/>
      <c r="AO53" s="1173"/>
      <c r="AP53" s="1173"/>
      <c r="AQ53" s="1173"/>
      <c r="AR53" s="1174"/>
      <c r="AS53" s="353"/>
      <c r="AT53" s="1181"/>
      <c r="AU53" s="1182"/>
      <c r="AV53" s="1182"/>
      <c r="AW53" s="1182"/>
      <c r="AX53" s="1182"/>
      <c r="AY53" s="1182"/>
      <c r="AZ53" s="1182"/>
      <c r="BA53" s="1182"/>
      <c r="BB53" s="1182"/>
      <c r="BC53" s="1183"/>
      <c r="BD53" s="2"/>
      <c r="BE53" s="1035" t="s">
        <v>72</v>
      </c>
      <c r="BF53" s="1035"/>
      <c r="BG53" s="1035"/>
      <c r="BH53" s="1035"/>
      <c r="BI53" s="1035"/>
      <c r="BJ53" s="1035"/>
      <c r="BK53" s="1035"/>
      <c r="BL53" s="1035"/>
      <c r="BM53" s="1035"/>
      <c r="BN53" s="1035"/>
      <c r="BO53" s="1035"/>
      <c r="BP53" s="1035"/>
      <c r="BQ53" s="1034" t="s">
        <v>39</v>
      </c>
      <c r="BR53" s="1034"/>
      <c r="BS53" s="1034"/>
      <c r="BT53" s="5"/>
      <c r="BU53" s="1047" t="str">
        <f>IF(CharacterLevel="","○",IF(Start!X73="","○","●"))</f>
        <v>○</v>
      </c>
      <c r="BV53" s="1047"/>
      <c r="BW53" s="1047"/>
      <c r="BX53" s="5"/>
      <c r="BY53" s="1060">
        <f ca="1">IF(OR(BE53="",CharacterLevel=""),"",CE53+CK53+CQ53)</f>
        <v>-5</v>
      </c>
      <c r="BZ53" s="1060"/>
      <c r="CA53" s="1060"/>
      <c r="CB53" s="1060"/>
      <c r="CC53" s="1060"/>
      <c r="CD53" s="1036" t="s">
        <v>25</v>
      </c>
      <c r="CE53" s="1041">
        <f ca="1">IF(OR(BE53="",CharacterLevel=""),"",INDIRECT(TEXT(BQ53&amp;"Mod",0)))</f>
        <v>-5</v>
      </c>
      <c r="CF53" s="1041"/>
      <c r="CG53" s="1041"/>
      <c r="CH53" s="1041"/>
      <c r="CI53" s="1041"/>
      <c r="CJ53" s="1036" t="s">
        <v>26</v>
      </c>
      <c r="CK53" s="1038">
        <f>IF(OR(BE53="",CharacterLevel=""),"",IF(BU53="●",ProfBonus,0)+IF(RogueLevel&gt;=1,IF(COUNTIF(Start!$AJ$63:$AR$66,BE53)&gt;0,ProfBonus,0),0))</f>
        <v>0</v>
      </c>
      <c r="CL53" s="1038"/>
      <c r="CM53" s="1038"/>
      <c r="CN53" s="1038"/>
      <c r="CO53" s="1038"/>
      <c r="CP53" s="1036" t="s">
        <v>26</v>
      </c>
      <c r="CQ53" s="1044"/>
      <c r="CR53" s="1044"/>
      <c r="CS53" s="1044"/>
      <c r="CT53" s="1044"/>
      <c r="CU53" s="1044"/>
      <c r="CV53" s="5"/>
      <c r="CY53" s="6">
        <f>CY51+1</f>
        <v>11</v>
      </c>
    </row>
    <row r="54" spans="1:103" ht="12" customHeight="1" x14ac:dyDescent="0.2">
      <c r="A54" s="5"/>
      <c r="B54" s="5"/>
      <c r="C54" s="5"/>
      <c r="D54" s="5"/>
      <c r="E54" s="5"/>
      <c r="F54" s="5"/>
      <c r="G54" s="5"/>
      <c r="H54" s="5"/>
      <c r="I54" s="1143" t="s">
        <v>17</v>
      </c>
      <c r="J54" s="1143"/>
      <c r="K54" s="1143"/>
      <c r="L54" s="1143"/>
      <c r="M54" s="2"/>
      <c r="N54" s="1142" t="s">
        <v>78</v>
      </c>
      <c r="O54" s="1142"/>
      <c r="P54" s="1142"/>
      <c r="Q54" s="1142"/>
      <c r="R54" s="264"/>
      <c r="S54" s="1142" t="s">
        <v>246</v>
      </c>
      <c r="T54" s="1142"/>
      <c r="U54" s="1142"/>
      <c r="V54" s="1142"/>
      <c r="W54" s="1142" t="s">
        <v>1927</v>
      </c>
      <c r="X54" s="1142"/>
      <c r="Y54" s="1142"/>
      <c r="Z54" s="1142"/>
      <c r="AA54" s="1142"/>
      <c r="AB54" s="1142"/>
      <c r="AC54" s="1142" t="s">
        <v>372</v>
      </c>
      <c r="AD54" s="1142"/>
      <c r="AE54" s="1142"/>
      <c r="AF54" s="1142"/>
      <c r="AG54" s="5"/>
      <c r="AH54" s="5"/>
      <c r="AI54" s="1141" t="s">
        <v>1878</v>
      </c>
      <c r="AJ54" s="1141"/>
      <c r="AK54" s="1141"/>
      <c r="AL54" s="1141"/>
      <c r="AM54" s="1141"/>
      <c r="AN54" s="1141"/>
      <c r="AO54" s="1141"/>
      <c r="AP54" s="1141"/>
      <c r="AQ54" s="1141"/>
      <c r="AR54" s="1141"/>
      <c r="AS54" s="352"/>
      <c r="AT54" s="1141" t="s">
        <v>30</v>
      </c>
      <c r="AU54" s="1141"/>
      <c r="AV54" s="1141"/>
      <c r="AW54" s="1141"/>
      <c r="AX54" s="1141"/>
      <c r="AY54" s="1141"/>
      <c r="AZ54" s="1141"/>
      <c r="BA54" s="1141"/>
      <c r="BB54" s="1141"/>
      <c r="BC54" s="1141"/>
      <c r="BD54" s="2"/>
      <c r="BE54" s="1035"/>
      <c r="BF54" s="1035"/>
      <c r="BG54" s="1035"/>
      <c r="BH54" s="1035"/>
      <c r="BI54" s="1035"/>
      <c r="BJ54" s="1035"/>
      <c r="BK54" s="1035"/>
      <c r="BL54" s="1035"/>
      <c r="BM54" s="1035"/>
      <c r="BN54" s="1035"/>
      <c r="BO54" s="1035"/>
      <c r="BP54" s="1035"/>
      <c r="BQ54" s="1034"/>
      <c r="BR54" s="1034"/>
      <c r="BS54" s="1034"/>
      <c r="BT54" s="5"/>
      <c r="BU54" s="1047"/>
      <c r="BV54" s="1047"/>
      <c r="BW54" s="1047"/>
      <c r="BX54" s="5"/>
      <c r="BY54" s="1061"/>
      <c r="BZ54" s="1061"/>
      <c r="CA54" s="1061"/>
      <c r="CB54" s="1061"/>
      <c r="CC54" s="1061"/>
      <c r="CD54" s="1037"/>
      <c r="CE54" s="1042"/>
      <c r="CF54" s="1042"/>
      <c r="CG54" s="1042"/>
      <c r="CH54" s="1042"/>
      <c r="CI54" s="1042"/>
      <c r="CJ54" s="1037"/>
      <c r="CK54" s="1039"/>
      <c r="CL54" s="1039"/>
      <c r="CM54" s="1039"/>
      <c r="CN54" s="1039"/>
      <c r="CO54" s="1039"/>
      <c r="CP54" s="1037"/>
      <c r="CQ54" s="1045"/>
      <c r="CR54" s="1045"/>
      <c r="CS54" s="1045"/>
      <c r="CT54" s="1045"/>
      <c r="CU54" s="1045"/>
      <c r="CV54" s="5"/>
    </row>
    <row r="55" spans="1:103" ht="12" customHeight="1" x14ac:dyDescent="0.2">
      <c r="A55" s="5"/>
      <c r="B55" s="5"/>
      <c r="C55" s="5"/>
      <c r="D55" s="5"/>
      <c r="E55" s="5"/>
      <c r="F55" s="5"/>
      <c r="G55" s="5"/>
      <c r="H55" s="5"/>
      <c r="I55" s="1143"/>
      <c r="J55" s="1143"/>
      <c r="K55" s="1143"/>
      <c r="L55" s="1143"/>
      <c r="M55" s="2"/>
      <c r="N55" s="1142"/>
      <c r="O55" s="1142"/>
      <c r="P55" s="1142"/>
      <c r="Q55" s="1142"/>
      <c r="R55" s="264"/>
      <c r="S55" s="1142"/>
      <c r="T55" s="1142"/>
      <c r="U55" s="1142"/>
      <c r="V55" s="1142"/>
      <c r="W55" s="1142"/>
      <c r="X55" s="1142"/>
      <c r="Y55" s="1142"/>
      <c r="Z55" s="1142"/>
      <c r="AA55" s="1142"/>
      <c r="AB55" s="1142"/>
      <c r="AC55" s="1142"/>
      <c r="AD55" s="1142"/>
      <c r="AE55" s="1142"/>
      <c r="AF55" s="1142"/>
      <c r="AG55" s="5"/>
      <c r="AH55" s="5"/>
      <c r="AI55" s="1142"/>
      <c r="AJ55" s="1142"/>
      <c r="AK55" s="1142"/>
      <c r="AL55" s="1142"/>
      <c r="AM55" s="1142"/>
      <c r="AN55" s="1142"/>
      <c r="AO55" s="1142"/>
      <c r="AP55" s="1142"/>
      <c r="AQ55" s="1142"/>
      <c r="AR55" s="1142"/>
      <c r="AS55" s="352"/>
      <c r="AT55" s="1142"/>
      <c r="AU55" s="1142"/>
      <c r="AV55" s="1142"/>
      <c r="AW55" s="1142"/>
      <c r="AX55" s="1142"/>
      <c r="AY55" s="1142"/>
      <c r="AZ55" s="1142"/>
      <c r="BA55" s="1142"/>
      <c r="BB55" s="1142"/>
      <c r="BC55" s="1142"/>
      <c r="BD55" s="2"/>
      <c r="BE55" s="2"/>
      <c r="BF55" s="2"/>
      <c r="BG55" s="2"/>
      <c r="BH55" s="2"/>
      <c r="BI55" s="2"/>
      <c r="BJ55" s="2"/>
      <c r="BK55" s="2"/>
      <c r="BL55" s="2"/>
      <c r="BM55" s="2"/>
      <c r="BN55" s="2"/>
      <c r="BO55" s="3"/>
      <c r="BP55" s="3"/>
      <c r="BQ55" s="3"/>
      <c r="BR55" s="3"/>
      <c r="BS55" s="3"/>
      <c r="BT55" s="3"/>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5"/>
      <c r="CY55" s="6">
        <f>CY53+1</f>
        <v>12</v>
      </c>
    </row>
    <row r="56" spans="1:103" ht="12" customHeight="1" thickBo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2"/>
      <c r="AD56" s="2"/>
      <c r="AE56" s="2"/>
      <c r="AF56" s="2"/>
      <c r="AG56" s="2"/>
      <c r="AH56" s="2"/>
      <c r="AI56" s="2"/>
      <c r="AJ56" s="2"/>
      <c r="AK56" s="2"/>
      <c r="AL56" s="2"/>
      <c r="AM56" s="2"/>
      <c r="AN56" s="2"/>
      <c r="AO56" s="2"/>
      <c r="AP56" s="2"/>
      <c r="AQ56" s="2"/>
      <c r="AR56" s="2"/>
      <c r="AS56" s="2"/>
      <c r="AT56" s="2"/>
      <c r="AU56" s="2"/>
      <c r="AV56" s="2"/>
      <c r="AW56" s="13"/>
      <c r="AX56" s="13"/>
      <c r="AY56" s="13"/>
      <c r="AZ56" s="13"/>
      <c r="BA56" s="2"/>
      <c r="BB56" s="2"/>
      <c r="BC56" s="2"/>
      <c r="BD56" s="2"/>
      <c r="BE56" s="997" t="s">
        <v>75</v>
      </c>
      <c r="BF56" s="997"/>
      <c r="BG56" s="997"/>
      <c r="BH56" s="997"/>
      <c r="BI56" s="997"/>
      <c r="BJ56" s="997"/>
      <c r="BK56" s="997"/>
      <c r="BL56" s="997"/>
      <c r="BM56" s="997"/>
      <c r="BN56" s="997"/>
      <c r="BO56" s="997"/>
      <c r="BP56" s="997"/>
      <c r="BQ56" s="997"/>
      <c r="BR56" s="997"/>
      <c r="BS56" s="997"/>
      <c r="BT56" s="997"/>
      <c r="BU56" s="997"/>
      <c r="BV56" s="997"/>
      <c r="BW56" s="997"/>
      <c r="BX56" s="997"/>
      <c r="BY56" s="997"/>
      <c r="BZ56" s="997"/>
      <c r="CA56" s="997"/>
      <c r="CB56" s="997"/>
      <c r="CC56" s="997"/>
      <c r="CD56" s="997"/>
      <c r="CE56" s="997"/>
      <c r="CF56" s="997"/>
      <c r="CG56" s="997"/>
      <c r="CH56" s="997"/>
      <c r="CI56" s="997"/>
      <c r="CJ56" s="997"/>
      <c r="CK56" s="997"/>
      <c r="CL56" s="997"/>
      <c r="CM56" s="997"/>
      <c r="CN56" s="997"/>
      <c r="CO56" s="997"/>
      <c r="CP56" s="997"/>
      <c r="CQ56" s="997"/>
      <c r="CR56" s="997"/>
      <c r="CS56" s="997"/>
      <c r="CT56" s="997"/>
      <c r="CU56" s="997"/>
      <c r="CV56" s="5"/>
    </row>
    <row r="57" spans="1:103" ht="12" customHeight="1" x14ac:dyDescent="0.2">
      <c r="A57" s="5"/>
      <c r="B57" s="1027" t="s">
        <v>78</v>
      </c>
      <c r="C57" s="1028"/>
      <c r="D57" s="1028"/>
      <c r="E57" s="1028"/>
      <c r="F57" s="1028"/>
      <c r="G57" s="1028"/>
      <c r="H57" s="1028"/>
      <c r="I57" s="1028"/>
      <c r="J57" s="1028"/>
      <c r="K57" s="1028"/>
      <c r="L57" s="1028"/>
      <c r="M57" s="1028"/>
      <c r="N57" s="1028"/>
      <c r="O57" s="1028"/>
      <c r="P57" s="1028"/>
      <c r="Q57" s="1028"/>
      <c r="R57" s="1028"/>
      <c r="S57" s="1028"/>
      <c r="T57" s="1028"/>
      <c r="U57" s="1029"/>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2"/>
      <c r="BE57" s="997"/>
      <c r="BF57" s="997"/>
      <c r="BG57" s="997"/>
      <c r="BH57" s="997"/>
      <c r="BI57" s="997"/>
      <c r="BJ57" s="997"/>
      <c r="BK57" s="997"/>
      <c r="BL57" s="997"/>
      <c r="BM57" s="997"/>
      <c r="BN57" s="997"/>
      <c r="BO57" s="997"/>
      <c r="BP57" s="997"/>
      <c r="BQ57" s="997"/>
      <c r="BR57" s="997"/>
      <c r="BS57" s="997"/>
      <c r="BT57" s="997"/>
      <c r="BU57" s="997"/>
      <c r="BV57" s="997"/>
      <c r="BW57" s="997"/>
      <c r="BX57" s="997"/>
      <c r="BY57" s="997"/>
      <c r="BZ57" s="997"/>
      <c r="CA57" s="997"/>
      <c r="CB57" s="997"/>
      <c r="CC57" s="997"/>
      <c r="CD57" s="997"/>
      <c r="CE57" s="997"/>
      <c r="CF57" s="997"/>
      <c r="CG57" s="997"/>
      <c r="CH57" s="997"/>
      <c r="CI57" s="997"/>
      <c r="CJ57" s="997"/>
      <c r="CK57" s="997"/>
      <c r="CL57" s="997"/>
      <c r="CM57" s="997"/>
      <c r="CN57" s="997"/>
      <c r="CO57" s="997"/>
      <c r="CP57" s="997"/>
      <c r="CQ57" s="997"/>
      <c r="CR57" s="997"/>
      <c r="CS57" s="997"/>
      <c r="CT57" s="997"/>
      <c r="CU57" s="997"/>
      <c r="CV57" s="5"/>
      <c r="CY57" s="6">
        <f>CY55+1</f>
        <v>13</v>
      </c>
    </row>
    <row r="58" spans="1:103" ht="12" customHeight="1" thickBot="1" x14ac:dyDescent="0.25">
      <c r="A58" s="5"/>
      <c r="B58" s="1030"/>
      <c r="C58" s="1031"/>
      <c r="D58" s="1031"/>
      <c r="E58" s="1031"/>
      <c r="F58" s="1031"/>
      <c r="G58" s="1031"/>
      <c r="H58" s="1031"/>
      <c r="I58" s="1031"/>
      <c r="J58" s="1031"/>
      <c r="K58" s="1031"/>
      <c r="L58" s="1031"/>
      <c r="M58" s="1031"/>
      <c r="N58" s="1031"/>
      <c r="O58" s="1031"/>
      <c r="P58" s="1031"/>
      <c r="Q58" s="1031"/>
      <c r="R58" s="1031"/>
      <c r="S58" s="1031"/>
      <c r="T58" s="1031"/>
      <c r="U58" s="1032"/>
      <c r="V58" s="988" t="s">
        <v>78</v>
      </c>
      <c r="W58" s="988"/>
      <c r="X58" s="988"/>
      <c r="Y58" s="988"/>
      <c r="Z58" s="988"/>
      <c r="AA58" s="988"/>
      <c r="AB58" s="988" t="s">
        <v>12</v>
      </c>
      <c r="AC58" s="988"/>
      <c r="AD58" s="988"/>
      <c r="AE58" s="988"/>
      <c r="AF58" s="988"/>
      <c r="AG58" s="1098" t="s">
        <v>252</v>
      </c>
      <c r="AH58" s="1098"/>
      <c r="AI58" s="1098"/>
      <c r="AJ58" s="1098"/>
      <c r="AK58" s="1098"/>
      <c r="AL58" s="988" t="s">
        <v>21</v>
      </c>
      <c r="AM58" s="988"/>
      <c r="AN58" s="988"/>
      <c r="AO58" s="988"/>
      <c r="AP58" s="988"/>
      <c r="AQ58" s="1098" t="s">
        <v>181</v>
      </c>
      <c r="AR58" s="1098"/>
      <c r="AS58" s="1098"/>
      <c r="AT58" s="1098"/>
      <c r="AU58" s="1098"/>
      <c r="AV58" s="1098"/>
      <c r="AW58" s="1098"/>
      <c r="AX58" s="1098"/>
      <c r="AY58" s="1098"/>
      <c r="AZ58" s="1098"/>
      <c r="BA58" s="1098"/>
      <c r="BB58" s="1098"/>
      <c r="BC58" s="1098"/>
      <c r="BD58" s="2"/>
      <c r="BE58" s="2"/>
      <c r="BF58" s="2"/>
      <c r="BG58" s="2"/>
      <c r="BH58" s="2"/>
      <c r="BI58" s="2"/>
      <c r="BJ58" s="2"/>
      <c r="BK58" s="2"/>
      <c r="BL58" s="2"/>
      <c r="BM58" s="2"/>
      <c r="BN58" s="2"/>
      <c r="BO58" s="3"/>
      <c r="BP58" s="3"/>
      <c r="BQ58" s="3"/>
      <c r="BR58" s="3"/>
      <c r="BS58" s="3"/>
      <c r="BT58" s="3"/>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5"/>
    </row>
    <row r="59" spans="1:103" ht="12" customHeight="1" thickBot="1" x14ac:dyDescent="0.25">
      <c r="A59" s="5"/>
      <c r="B59" s="1018" t="str">
        <f>IF(CharacterLevel="","",ArmorName)</f>
        <v/>
      </c>
      <c r="C59" s="1019"/>
      <c r="D59" s="1019"/>
      <c r="E59" s="1019"/>
      <c r="F59" s="1019"/>
      <c r="G59" s="1019"/>
      <c r="H59" s="1019"/>
      <c r="I59" s="1019"/>
      <c r="J59" s="1019"/>
      <c r="K59" s="1019"/>
      <c r="L59" s="1019"/>
      <c r="M59" s="1019"/>
      <c r="N59" s="1019"/>
      <c r="O59" s="1019"/>
      <c r="P59" s="1019"/>
      <c r="Q59" s="1019"/>
      <c r="R59" s="1019"/>
      <c r="S59" s="1019"/>
      <c r="T59" s="1019"/>
      <c r="U59" s="1020"/>
      <c r="V59" s="990" t="str">
        <f>IF(CharacterLevel="","",ArmorAC)</f>
        <v/>
      </c>
      <c r="W59" s="990"/>
      <c r="X59" s="990"/>
      <c r="Y59" s="990"/>
      <c r="Z59" s="990"/>
      <c r="AA59" s="990"/>
      <c r="AB59" s="1206" t="str">
        <f>IF(CharacterLevel="","",ArmorWeight)</f>
        <v/>
      </c>
      <c r="AC59" s="1206"/>
      <c r="AD59" s="1206"/>
      <c r="AE59" s="1206"/>
      <c r="AF59" s="1207"/>
      <c r="AG59" s="1234" t="str">
        <f>IF(CharacterLevel="","",ArmorDEXmod)</f>
        <v/>
      </c>
      <c r="AH59" s="1235"/>
      <c r="AI59" s="1235"/>
      <c r="AJ59" s="1235"/>
      <c r="AK59" s="1236"/>
      <c r="AL59" s="1184" t="str">
        <f>IF(CharacterLevel="","",ArmorStrength)</f>
        <v/>
      </c>
      <c r="AM59" s="1185"/>
      <c r="AN59" s="1185"/>
      <c r="AO59" s="1185"/>
      <c r="AP59" s="1186"/>
      <c r="AQ59" s="1184" t="str">
        <f>IF(CharacterLevel="","",ArmorStealth)</f>
        <v/>
      </c>
      <c r="AR59" s="1185"/>
      <c r="AS59" s="1185"/>
      <c r="AT59" s="1185"/>
      <c r="AU59" s="1185"/>
      <c r="AV59" s="1185"/>
      <c r="AW59" s="1185"/>
      <c r="AX59" s="1185"/>
      <c r="AY59" s="1185"/>
      <c r="AZ59" s="1185"/>
      <c r="BA59" s="1185"/>
      <c r="BB59" s="1185"/>
      <c r="BC59" s="1186"/>
      <c r="BD59" s="2"/>
      <c r="BE59" s="1202" t="s">
        <v>74</v>
      </c>
      <c r="BF59" s="1202"/>
      <c r="BG59" s="1202"/>
      <c r="BH59" s="1202"/>
      <c r="BI59" s="1202"/>
      <c r="BJ59" s="1202"/>
      <c r="BK59" s="1202"/>
      <c r="BL59" s="1202"/>
      <c r="BM59" s="5"/>
      <c r="BN59" s="1018">
        <f>IF(CharacterLevel="","",ProfBonus)</f>
        <v>2</v>
      </c>
      <c r="BO59" s="1019"/>
      <c r="BP59" s="1019"/>
      <c r="BQ59" s="1020"/>
      <c r="BR59" s="2"/>
      <c r="BS59" s="1202" t="s">
        <v>45</v>
      </c>
      <c r="BT59" s="1202"/>
      <c r="BU59" s="1202"/>
      <c r="BV59" s="1202"/>
      <c r="BW59" s="1202"/>
      <c r="BX59" s="1202"/>
      <c r="BY59" s="1202"/>
      <c r="BZ59" s="1202"/>
      <c r="CA59" s="5"/>
      <c r="CB59" s="1216" t="str">
        <f ca="1">IF(CharacterLevel="","",ProfSaves)</f>
        <v/>
      </c>
      <c r="CC59" s="1217"/>
      <c r="CD59" s="1217"/>
      <c r="CE59" s="1217"/>
      <c r="CF59" s="1217"/>
      <c r="CG59" s="1217"/>
      <c r="CH59" s="1217"/>
      <c r="CI59" s="1217"/>
      <c r="CJ59" s="1217"/>
      <c r="CK59" s="1217"/>
      <c r="CL59" s="1217"/>
      <c r="CM59" s="1217"/>
      <c r="CN59" s="1217"/>
      <c r="CO59" s="1217"/>
      <c r="CP59" s="1217"/>
      <c r="CQ59" s="1217"/>
      <c r="CR59" s="1217"/>
      <c r="CS59" s="1217"/>
      <c r="CT59" s="1217"/>
      <c r="CU59" s="1218"/>
      <c r="CV59" s="5"/>
      <c r="CY59" s="6">
        <f>CY57+1</f>
        <v>14</v>
      </c>
    </row>
    <row r="60" spans="1:103" ht="12" customHeight="1" thickBot="1" x14ac:dyDescent="0.25">
      <c r="A60" s="5"/>
      <c r="B60" s="1021"/>
      <c r="C60" s="1022"/>
      <c r="D60" s="1022"/>
      <c r="E60" s="1022"/>
      <c r="F60" s="1022"/>
      <c r="G60" s="1022"/>
      <c r="H60" s="1022"/>
      <c r="I60" s="1022"/>
      <c r="J60" s="1022"/>
      <c r="K60" s="1022"/>
      <c r="L60" s="1022"/>
      <c r="M60" s="1022"/>
      <c r="N60" s="1022"/>
      <c r="O60" s="1022"/>
      <c r="P60" s="1022"/>
      <c r="Q60" s="1022"/>
      <c r="R60" s="1022"/>
      <c r="S60" s="1022"/>
      <c r="T60" s="1022"/>
      <c r="U60" s="1023"/>
      <c r="V60" s="990"/>
      <c r="W60" s="990"/>
      <c r="X60" s="990"/>
      <c r="Y60" s="990"/>
      <c r="Z60" s="990"/>
      <c r="AA60" s="990"/>
      <c r="AB60" s="1209"/>
      <c r="AC60" s="1209"/>
      <c r="AD60" s="1209"/>
      <c r="AE60" s="1209"/>
      <c r="AF60" s="1210"/>
      <c r="AG60" s="1237"/>
      <c r="AH60" s="1060"/>
      <c r="AI60" s="1060"/>
      <c r="AJ60" s="1060"/>
      <c r="AK60" s="1238"/>
      <c r="AL60" s="1187"/>
      <c r="AM60" s="1188"/>
      <c r="AN60" s="1188"/>
      <c r="AO60" s="1188"/>
      <c r="AP60" s="1189"/>
      <c r="AQ60" s="1187"/>
      <c r="AR60" s="1188"/>
      <c r="AS60" s="1188"/>
      <c r="AT60" s="1188"/>
      <c r="AU60" s="1188"/>
      <c r="AV60" s="1188"/>
      <c r="AW60" s="1188"/>
      <c r="AX60" s="1188"/>
      <c r="AY60" s="1188"/>
      <c r="AZ60" s="1188"/>
      <c r="BA60" s="1188"/>
      <c r="BB60" s="1188"/>
      <c r="BC60" s="1189"/>
      <c r="BD60" s="2"/>
      <c r="BE60" s="1202"/>
      <c r="BF60" s="1202"/>
      <c r="BG60" s="1202"/>
      <c r="BH60" s="1202"/>
      <c r="BI60" s="1202"/>
      <c r="BJ60" s="1202"/>
      <c r="BK60" s="1202"/>
      <c r="BL60" s="1202"/>
      <c r="BM60" s="5"/>
      <c r="BN60" s="1021"/>
      <c r="BO60" s="1022"/>
      <c r="BP60" s="1022"/>
      <c r="BQ60" s="1023"/>
      <c r="BR60" s="2"/>
      <c r="BS60" s="1202"/>
      <c r="BT60" s="1202"/>
      <c r="BU60" s="1202"/>
      <c r="BV60" s="1202"/>
      <c r="BW60" s="1202"/>
      <c r="BX60" s="1202"/>
      <c r="BY60" s="1202"/>
      <c r="BZ60" s="1202"/>
      <c r="CA60" s="5"/>
      <c r="CB60" s="1219"/>
      <c r="CC60" s="1220"/>
      <c r="CD60" s="1220"/>
      <c r="CE60" s="1220"/>
      <c r="CF60" s="1220"/>
      <c r="CG60" s="1220"/>
      <c r="CH60" s="1220"/>
      <c r="CI60" s="1220"/>
      <c r="CJ60" s="1220"/>
      <c r="CK60" s="1220"/>
      <c r="CL60" s="1220"/>
      <c r="CM60" s="1220"/>
      <c r="CN60" s="1220"/>
      <c r="CO60" s="1220"/>
      <c r="CP60" s="1220"/>
      <c r="CQ60" s="1220"/>
      <c r="CR60" s="1220"/>
      <c r="CS60" s="1220"/>
      <c r="CT60" s="1220"/>
      <c r="CU60" s="1221"/>
      <c r="CV60" s="5"/>
    </row>
    <row r="61" spans="1:103" ht="12" customHeight="1" thickBot="1" x14ac:dyDescent="0.25">
      <c r="A61" s="5"/>
      <c r="B61" s="1024"/>
      <c r="C61" s="1025"/>
      <c r="D61" s="1025"/>
      <c r="E61" s="1025"/>
      <c r="F61" s="1025"/>
      <c r="G61" s="1025"/>
      <c r="H61" s="1025"/>
      <c r="I61" s="1025"/>
      <c r="J61" s="1025"/>
      <c r="K61" s="1025"/>
      <c r="L61" s="1025"/>
      <c r="M61" s="1025"/>
      <c r="N61" s="1025"/>
      <c r="O61" s="1025"/>
      <c r="P61" s="1025"/>
      <c r="Q61" s="1025"/>
      <c r="R61" s="1025"/>
      <c r="S61" s="1025"/>
      <c r="T61" s="1025"/>
      <c r="U61" s="1026"/>
      <c r="V61" s="991"/>
      <c r="W61" s="991"/>
      <c r="X61" s="991"/>
      <c r="Y61" s="991"/>
      <c r="Z61" s="991"/>
      <c r="AA61" s="991"/>
      <c r="AB61" s="1209"/>
      <c r="AC61" s="1209"/>
      <c r="AD61" s="1209"/>
      <c r="AE61" s="1209"/>
      <c r="AF61" s="1210"/>
      <c r="AG61" s="1237"/>
      <c r="AH61" s="1060"/>
      <c r="AI61" s="1060"/>
      <c r="AJ61" s="1060"/>
      <c r="AK61" s="1238"/>
      <c r="AL61" s="1187"/>
      <c r="AM61" s="1188"/>
      <c r="AN61" s="1188"/>
      <c r="AO61" s="1188"/>
      <c r="AP61" s="1189"/>
      <c r="AQ61" s="1190"/>
      <c r="AR61" s="1191"/>
      <c r="AS61" s="1191"/>
      <c r="AT61" s="1191"/>
      <c r="AU61" s="1191"/>
      <c r="AV61" s="1191"/>
      <c r="AW61" s="1191"/>
      <c r="AX61" s="1191"/>
      <c r="AY61" s="1191"/>
      <c r="AZ61" s="1191"/>
      <c r="BA61" s="1191"/>
      <c r="BB61" s="1191"/>
      <c r="BC61" s="1192"/>
      <c r="BD61" s="2"/>
      <c r="BE61" s="1202"/>
      <c r="BF61" s="1202"/>
      <c r="BG61" s="1202"/>
      <c r="BH61" s="1202"/>
      <c r="BI61" s="1202"/>
      <c r="BJ61" s="1202"/>
      <c r="BK61" s="1202"/>
      <c r="BL61" s="1202"/>
      <c r="BM61" s="5"/>
      <c r="BN61" s="1024"/>
      <c r="BO61" s="1025"/>
      <c r="BP61" s="1025"/>
      <c r="BQ61" s="1026"/>
      <c r="BR61" s="2"/>
      <c r="BS61" s="1202"/>
      <c r="BT61" s="1202"/>
      <c r="BU61" s="1202"/>
      <c r="BV61" s="1202"/>
      <c r="BW61" s="1202"/>
      <c r="BX61" s="1202"/>
      <c r="BY61" s="1202"/>
      <c r="BZ61" s="1202"/>
      <c r="CA61" s="5"/>
      <c r="CB61" s="1222"/>
      <c r="CC61" s="1223"/>
      <c r="CD61" s="1223"/>
      <c r="CE61" s="1223"/>
      <c r="CF61" s="1223"/>
      <c r="CG61" s="1223"/>
      <c r="CH61" s="1223"/>
      <c r="CI61" s="1223"/>
      <c r="CJ61" s="1223"/>
      <c r="CK61" s="1223"/>
      <c r="CL61" s="1223"/>
      <c r="CM61" s="1223"/>
      <c r="CN61" s="1223"/>
      <c r="CO61" s="1223"/>
      <c r="CP61" s="1223"/>
      <c r="CQ61" s="1223"/>
      <c r="CR61" s="1223"/>
      <c r="CS61" s="1223"/>
      <c r="CT61" s="1223"/>
      <c r="CU61" s="1224"/>
      <c r="CV61" s="5"/>
      <c r="CY61" s="6">
        <f>CY59+1</f>
        <v>15</v>
      </c>
    </row>
    <row r="62" spans="1:103" ht="12" customHeight="1" thickBot="1" x14ac:dyDescent="0.25">
      <c r="A62" s="5"/>
      <c r="B62" s="1033" t="s">
        <v>322</v>
      </c>
      <c r="C62" s="999"/>
      <c r="D62" s="999"/>
      <c r="E62" s="999"/>
      <c r="F62" s="999"/>
      <c r="G62" s="999"/>
      <c r="H62" s="999"/>
      <c r="I62" s="999"/>
      <c r="J62" s="999" t="s">
        <v>111</v>
      </c>
      <c r="K62" s="999"/>
      <c r="L62" s="999"/>
      <c r="M62" s="999"/>
      <c r="N62" s="999"/>
      <c r="O62" s="999"/>
      <c r="P62" s="999"/>
      <c r="Q62" s="999"/>
      <c r="R62" s="999"/>
      <c r="S62" s="999"/>
      <c r="T62" s="999"/>
      <c r="U62" s="999"/>
      <c r="V62" s="999"/>
      <c r="W62" s="999"/>
      <c r="X62" s="999"/>
      <c r="Y62" s="999"/>
      <c r="Z62" s="999"/>
      <c r="AA62" s="999"/>
      <c r="AB62" s="999"/>
      <c r="AC62" s="999"/>
      <c r="AD62" s="999"/>
      <c r="AE62" s="999"/>
      <c r="AF62" s="999"/>
      <c r="AG62" s="999"/>
      <c r="AH62" s="999"/>
      <c r="AI62" s="999"/>
      <c r="AJ62" s="999"/>
      <c r="AK62" s="999"/>
      <c r="AL62" s="999"/>
      <c r="AM62" s="999"/>
      <c r="AN62" s="999"/>
      <c r="AO62" s="999"/>
      <c r="AP62" s="999"/>
      <c r="AQ62" s="999"/>
      <c r="AR62" s="999"/>
      <c r="AS62" s="999"/>
      <c r="AT62" s="999"/>
      <c r="AU62" s="999"/>
      <c r="AV62" s="999"/>
      <c r="AW62" s="999"/>
      <c r="AX62" s="999"/>
      <c r="AY62" s="999"/>
      <c r="AZ62" s="999"/>
      <c r="BA62" s="999"/>
      <c r="BB62" s="999"/>
      <c r="BC62" s="1000"/>
      <c r="BD62" s="2"/>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2"/>
      <c r="CF62" s="2"/>
      <c r="CG62" s="2"/>
      <c r="CH62" s="2"/>
      <c r="CI62" s="2"/>
      <c r="CJ62" s="2"/>
      <c r="CK62" s="2"/>
      <c r="CL62" s="2"/>
      <c r="CM62" s="2"/>
      <c r="CN62" s="2"/>
      <c r="CO62" s="2"/>
      <c r="CP62" s="2"/>
      <c r="CQ62" s="2"/>
      <c r="CR62" s="2"/>
      <c r="CS62" s="2"/>
      <c r="CT62" s="2"/>
      <c r="CU62" s="2"/>
      <c r="CV62" s="5"/>
    </row>
    <row r="63" spans="1:103" ht="12" customHeight="1" x14ac:dyDescent="0.2">
      <c r="A63" s="5"/>
      <c r="B63" s="1184" t="str">
        <f>IF(CharacterLevel="","",ArmorGroup)</f>
        <v/>
      </c>
      <c r="C63" s="1185"/>
      <c r="D63" s="1185"/>
      <c r="E63" s="1185"/>
      <c r="F63" s="1185"/>
      <c r="G63" s="1185"/>
      <c r="H63" s="1185"/>
      <c r="I63" s="1186"/>
      <c r="J63" s="1001" t="str">
        <f>IF(CharacterLevel="","",ArmorProps)</f>
        <v/>
      </c>
      <c r="K63" s="1002"/>
      <c r="L63" s="1002"/>
      <c r="M63" s="1002"/>
      <c r="N63" s="1002"/>
      <c r="O63" s="1002"/>
      <c r="P63" s="1002"/>
      <c r="Q63" s="1002"/>
      <c r="R63" s="1002"/>
      <c r="S63" s="1002"/>
      <c r="T63" s="1002"/>
      <c r="U63" s="1002"/>
      <c r="V63" s="1002"/>
      <c r="W63" s="1002"/>
      <c r="X63" s="1002"/>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2"/>
      <c r="AY63" s="1002"/>
      <c r="AZ63" s="1002"/>
      <c r="BA63" s="1002"/>
      <c r="BB63" s="1002"/>
      <c r="BC63" s="1003"/>
      <c r="BD63" s="2"/>
      <c r="BE63" s="998" t="s">
        <v>77</v>
      </c>
      <c r="BF63" s="998"/>
      <c r="BG63" s="998"/>
      <c r="BH63" s="998"/>
      <c r="BI63" s="998"/>
      <c r="BJ63" s="998"/>
      <c r="BK63" s="1145" t="str">
        <f ca="1">IF(CharacterLevel="","",ProfWeapons)</f>
        <v/>
      </c>
      <c r="BL63" s="1145"/>
      <c r="BM63" s="1145"/>
      <c r="BN63" s="1145"/>
      <c r="BO63" s="1145"/>
      <c r="BP63" s="1145"/>
      <c r="BQ63" s="1145"/>
      <c r="BR63" s="1145"/>
      <c r="BS63" s="1145"/>
      <c r="BT63" s="1145"/>
      <c r="BU63" s="1145"/>
      <c r="BV63" s="1145"/>
      <c r="BW63" s="1145"/>
      <c r="BX63" s="1145"/>
      <c r="BY63" s="1145"/>
      <c r="BZ63" s="1145"/>
      <c r="CA63" s="1145"/>
      <c r="CB63" s="1145"/>
      <c r="CC63" s="1145"/>
      <c r="CD63" s="1145"/>
      <c r="CE63" s="1145"/>
      <c r="CF63" s="1145"/>
      <c r="CG63" s="1145"/>
      <c r="CH63" s="1145"/>
      <c r="CI63" s="1145"/>
      <c r="CJ63" s="1145"/>
      <c r="CK63" s="1145"/>
      <c r="CL63" s="1145"/>
      <c r="CM63" s="1145"/>
      <c r="CN63" s="1145"/>
      <c r="CO63" s="1145"/>
      <c r="CP63" s="1145"/>
      <c r="CQ63" s="1145"/>
      <c r="CR63" s="1145"/>
      <c r="CS63" s="1145"/>
      <c r="CT63" s="1145"/>
      <c r="CU63" s="1145"/>
      <c r="CV63" s="5"/>
      <c r="CY63" s="6">
        <f>CY61+1</f>
        <v>16</v>
      </c>
    </row>
    <row r="64" spans="1:103" ht="12" customHeight="1" x14ac:dyDescent="0.2">
      <c r="A64" s="5"/>
      <c r="B64" s="1187"/>
      <c r="C64" s="1188"/>
      <c r="D64" s="1188"/>
      <c r="E64" s="1188"/>
      <c r="F64" s="1188"/>
      <c r="G64" s="1188"/>
      <c r="H64" s="1188"/>
      <c r="I64" s="1189"/>
      <c r="J64" s="1004"/>
      <c r="K64" s="1005"/>
      <c r="L64" s="1005"/>
      <c r="M64" s="1005"/>
      <c r="N64" s="1005"/>
      <c r="O64" s="1005"/>
      <c r="P64" s="1005"/>
      <c r="Q64" s="1005"/>
      <c r="R64" s="1005"/>
      <c r="S64" s="1005"/>
      <c r="T64" s="1005"/>
      <c r="U64" s="1005"/>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5"/>
      <c r="AV64" s="1005"/>
      <c r="AW64" s="1005"/>
      <c r="AX64" s="1005"/>
      <c r="AY64" s="1005"/>
      <c r="AZ64" s="1005"/>
      <c r="BA64" s="1005"/>
      <c r="BB64" s="1005"/>
      <c r="BC64" s="1006"/>
      <c r="BD64" s="2"/>
      <c r="BE64" s="998"/>
      <c r="BF64" s="998"/>
      <c r="BG64" s="998"/>
      <c r="BH64" s="998"/>
      <c r="BI64" s="998"/>
      <c r="BJ64" s="998"/>
      <c r="BK64" s="1145"/>
      <c r="BL64" s="1145"/>
      <c r="BM64" s="1145"/>
      <c r="BN64" s="1145"/>
      <c r="BO64" s="1145"/>
      <c r="BP64" s="1145"/>
      <c r="BQ64" s="1145"/>
      <c r="BR64" s="1145"/>
      <c r="BS64" s="1145"/>
      <c r="BT64" s="1145"/>
      <c r="BU64" s="1145"/>
      <c r="BV64" s="1145"/>
      <c r="BW64" s="1145"/>
      <c r="BX64" s="1145"/>
      <c r="BY64" s="1145"/>
      <c r="BZ64" s="1145"/>
      <c r="CA64" s="1145"/>
      <c r="CB64" s="1145"/>
      <c r="CC64" s="1145"/>
      <c r="CD64" s="1145"/>
      <c r="CE64" s="1145"/>
      <c r="CF64" s="1145"/>
      <c r="CG64" s="1145"/>
      <c r="CH64" s="1145"/>
      <c r="CI64" s="1145"/>
      <c r="CJ64" s="1145"/>
      <c r="CK64" s="1145"/>
      <c r="CL64" s="1145"/>
      <c r="CM64" s="1145"/>
      <c r="CN64" s="1145"/>
      <c r="CO64" s="1145"/>
      <c r="CP64" s="1145"/>
      <c r="CQ64" s="1145"/>
      <c r="CR64" s="1145"/>
      <c r="CS64" s="1145"/>
      <c r="CT64" s="1145"/>
      <c r="CU64" s="1145"/>
      <c r="CV64" s="5"/>
    </row>
    <row r="65" spans="1:103" ht="12" customHeight="1" thickBot="1" x14ac:dyDescent="0.25">
      <c r="A65" s="5"/>
      <c r="B65" s="1190"/>
      <c r="C65" s="1191"/>
      <c r="D65" s="1191"/>
      <c r="E65" s="1191"/>
      <c r="F65" s="1191"/>
      <c r="G65" s="1191"/>
      <c r="H65" s="1191"/>
      <c r="I65" s="1192"/>
      <c r="J65" s="1007"/>
      <c r="K65" s="1008"/>
      <c r="L65" s="1008"/>
      <c r="M65" s="1008"/>
      <c r="N65" s="1008"/>
      <c r="O65" s="1008"/>
      <c r="P65" s="1008"/>
      <c r="Q65" s="1008"/>
      <c r="R65" s="1008"/>
      <c r="S65" s="1008"/>
      <c r="T65" s="1008"/>
      <c r="U65" s="1008"/>
      <c r="V65" s="1008"/>
      <c r="W65" s="1008"/>
      <c r="X65" s="1008"/>
      <c r="Y65" s="1008"/>
      <c r="Z65" s="1008"/>
      <c r="AA65" s="1008"/>
      <c r="AB65" s="1008"/>
      <c r="AC65" s="1008"/>
      <c r="AD65" s="1008"/>
      <c r="AE65" s="1008"/>
      <c r="AF65" s="1008"/>
      <c r="AG65" s="1008"/>
      <c r="AH65" s="1008"/>
      <c r="AI65" s="1008"/>
      <c r="AJ65" s="1008"/>
      <c r="AK65" s="1008"/>
      <c r="AL65" s="1008"/>
      <c r="AM65" s="1008"/>
      <c r="AN65" s="1008"/>
      <c r="AO65" s="1008"/>
      <c r="AP65" s="1008"/>
      <c r="AQ65" s="1008"/>
      <c r="AR65" s="1008"/>
      <c r="AS65" s="1008"/>
      <c r="AT65" s="1008"/>
      <c r="AU65" s="1008"/>
      <c r="AV65" s="1008"/>
      <c r="AW65" s="1008"/>
      <c r="AX65" s="1008"/>
      <c r="AY65" s="1008"/>
      <c r="AZ65" s="1008"/>
      <c r="BA65" s="1008"/>
      <c r="BB65" s="1008"/>
      <c r="BC65" s="1009"/>
      <c r="BD65" s="2"/>
      <c r="BE65" s="998"/>
      <c r="BF65" s="998"/>
      <c r="BG65" s="998"/>
      <c r="BH65" s="998"/>
      <c r="BI65" s="998"/>
      <c r="BJ65" s="998"/>
      <c r="BK65" s="1145"/>
      <c r="BL65" s="1145"/>
      <c r="BM65" s="1145"/>
      <c r="BN65" s="1145"/>
      <c r="BO65" s="1145"/>
      <c r="BP65" s="1145"/>
      <c r="BQ65" s="1145"/>
      <c r="BR65" s="1145"/>
      <c r="BS65" s="1145"/>
      <c r="BT65" s="1145"/>
      <c r="BU65" s="1145"/>
      <c r="BV65" s="1145"/>
      <c r="BW65" s="1145"/>
      <c r="BX65" s="1145"/>
      <c r="BY65" s="1145"/>
      <c r="BZ65" s="1145"/>
      <c r="CA65" s="1145"/>
      <c r="CB65" s="1145"/>
      <c r="CC65" s="1145"/>
      <c r="CD65" s="1145"/>
      <c r="CE65" s="1145"/>
      <c r="CF65" s="1145"/>
      <c r="CG65" s="1145"/>
      <c r="CH65" s="1145"/>
      <c r="CI65" s="1145"/>
      <c r="CJ65" s="1145"/>
      <c r="CK65" s="1145"/>
      <c r="CL65" s="1145"/>
      <c r="CM65" s="1145"/>
      <c r="CN65" s="1145"/>
      <c r="CO65" s="1145"/>
      <c r="CP65" s="1145"/>
      <c r="CQ65" s="1145"/>
      <c r="CR65" s="1145"/>
      <c r="CS65" s="1145"/>
      <c r="CT65" s="1145"/>
      <c r="CU65" s="1145"/>
      <c r="CV65" s="5"/>
      <c r="CY65" s="6">
        <f>CY63+1</f>
        <v>17</v>
      </c>
    </row>
    <row r="66" spans="1:103" ht="12" customHeight="1" thickBo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2"/>
      <c r="AD66" s="5"/>
      <c r="AE66" s="5"/>
      <c r="AF66" s="5"/>
      <c r="AG66" s="5"/>
      <c r="AH66" s="5"/>
      <c r="AI66" s="5"/>
      <c r="AJ66" s="5"/>
      <c r="AK66" s="5"/>
      <c r="AL66" s="5"/>
      <c r="AM66" s="5"/>
      <c r="AN66" s="5"/>
      <c r="AO66" s="5"/>
      <c r="AP66" s="357"/>
      <c r="AQ66" s="357"/>
      <c r="AR66" s="357"/>
      <c r="AS66" s="357"/>
      <c r="AT66" s="5"/>
      <c r="AU66" s="222"/>
      <c r="AV66" s="222"/>
      <c r="AW66" s="222"/>
      <c r="AX66" s="222"/>
      <c r="AY66" s="5"/>
      <c r="AZ66" s="222"/>
      <c r="BA66" s="222"/>
      <c r="BB66" s="222"/>
      <c r="BC66" s="222"/>
      <c r="BD66" s="2"/>
      <c r="BE66" s="998"/>
      <c r="BF66" s="998"/>
      <c r="BG66" s="998"/>
      <c r="BH66" s="998"/>
      <c r="BI66" s="998"/>
      <c r="BJ66" s="998"/>
      <c r="BK66" s="1146"/>
      <c r="BL66" s="1146"/>
      <c r="BM66" s="1146"/>
      <c r="BN66" s="1146"/>
      <c r="BO66" s="1146"/>
      <c r="BP66" s="1146"/>
      <c r="BQ66" s="1146"/>
      <c r="BR66" s="1146"/>
      <c r="BS66" s="1146"/>
      <c r="BT66" s="1146"/>
      <c r="BU66" s="1146"/>
      <c r="BV66" s="1146"/>
      <c r="BW66" s="1146"/>
      <c r="BX66" s="1146"/>
      <c r="BY66" s="1146"/>
      <c r="BZ66" s="1146"/>
      <c r="CA66" s="1146"/>
      <c r="CB66" s="1146"/>
      <c r="CC66" s="1146"/>
      <c r="CD66" s="1146"/>
      <c r="CE66" s="1146"/>
      <c r="CF66" s="1146"/>
      <c r="CG66" s="1146"/>
      <c r="CH66" s="1146"/>
      <c r="CI66" s="1146"/>
      <c r="CJ66" s="1146"/>
      <c r="CK66" s="1146"/>
      <c r="CL66" s="1146"/>
      <c r="CM66" s="1146"/>
      <c r="CN66" s="1146"/>
      <c r="CO66" s="1146"/>
      <c r="CP66" s="1146"/>
      <c r="CQ66" s="1146"/>
      <c r="CR66" s="1146"/>
      <c r="CS66" s="1146"/>
      <c r="CT66" s="1146"/>
      <c r="CU66" s="1146"/>
      <c r="CV66" s="5"/>
    </row>
    <row r="67" spans="1:103" ht="12" customHeight="1" x14ac:dyDescent="0.3">
      <c r="A67" s="5"/>
      <c r="B67" s="1027" t="s">
        <v>246</v>
      </c>
      <c r="C67" s="1028"/>
      <c r="D67" s="1028"/>
      <c r="E67" s="1028"/>
      <c r="F67" s="1028"/>
      <c r="G67" s="1028"/>
      <c r="H67" s="1028"/>
      <c r="I67" s="1028"/>
      <c r="J67" s="1028"/>
      <c r="K67" s="1028"/>
      <c r="L67" s="1028"/>
      <c r="M67" s="1028"/>
      <c r="N67" s="1028"/>
      <c r="O67" s="1028"/>
      <c r="P67" s="1028"/>
      <c r="Q67" s="1028"/>
      <c r="R67" s="1028"/>
      <c r="S67" s="1028"/>
      <c r="T67" s="1028"/>
      <c r="U67" s="1029"/>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2"/>
      <c r="BE67" s="238"/>
      <c r="BF67" s="238"/>
      <c r="BG67" s="238"/>
      <c r="BH67" s="238"/>
      <c r="BI67" s="238"/>
      <c r="BJ67" s="238"/>
      <c r="BK67" s="56"/>
      <c r="BL67" s="56"/>
      <c r="BM67" s="56"/>
      <c r="BN67" s="56"/>
      <c r="BO67" s="56"/>
      <c r="BP67" s="56"/>
      <c r="BQ67" s="56"/>
      <c r="BR67" s="56"/>
      <c r="BS67" s="56"/>
      <c r="BT67" s="56"/>
      <c r="BU67" s="56"/>
      <c r="BV67" s="56"/>
      <c r="BW67" s="56"/>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5"/>
      <c r="CY67" s="6">
        <f>CY65+1</f>
        <v>18</v>
      </c>
    </row>
    <row r="68" spans="1:103" ht="12" customHeight="1" thickBot="1" x14ac:dyDescent="0.25">
      <c r="A68" s="5"/>
      <c r="B68" s="1030"/>
      <c r="C68" s="1031"/>
      <c r="D68" s="1031"/>
      <c r="E68" s="1031"/>
      <c r="F68" s="1031"/>
      <c r="G68" s="1031"/>
      <c r="H68" s="1031"/>
      <c r="I68" s="1031"/>
      <c r="J68" s="1031"/>
      <c r="K68" s="1031"/>
      <c r="L68" s="1031"/>
      <c r="M68" s="1031"/>
      <c r="N68" s="1031"/>
      <c r="O68" s="1031"/>
      <c r="P68" s="1031"/>
      <c r="Q68" s="1031"/>
      <c r="R68" s="1031"/>
      <c r="S68" s="1031"/>
      <c r="T68" s="1031"/>
      <c r="U68" s="1032"/>
      <c r="V68" s="1098" t="s">
        <v>78</v>
      </c>
      <c r="W68" s="1098"/>
      <c r="X68" s="1098"/>
      <c r="Y68" s="1098"/>
      <c r="Z68" s="1098"/>
      <c r="AA68" s="1098"/>
      <c r="AB68" s="1098" t="s">
        <v>12</v>
      </c>
      <c r="AC68" s="1098"/>
      <c r="AD68" s="1098"/>
      <c r="AE68" s="1098"/>
      <c r="AF68" s="1098"/>
      <c r="AG68" s="1098" t="s">
        <v>111</v>
      </c>
      <c r="AH68" s="1098"/>
      <c r="AI68" s="1098"/>
      <c r="AJ68" s="1098"/>
      <c r="AK68" s="1098"/>
      <c r="AL68" s="1098"/>
      <c r="AM68" s="1098"/>
      <c r="AN68" s="1098"/>
      <c r="AO68" s="1098"/>
      <c r="AP68" s="1098"/>
      <c r="AQ68" s="1098"/>
      <c r="AR68" s="1098"/>
      <c r="AS68" s="1098"/>
      <c r="AT68" s="1098"/>
      <c r="AU68" s="1098"/>
      <c r="AV68" s="1098"/>
      <c r="AW68" s="1098"/>
      <c r="AX68" s="1098"/>
      <c r="AY68" s="1098"/>
      <c r="AZ68" s="1098"/>
      <c r="BA68" s="1098"/>
      <c r="BB68" s="1098"/>
      <c r="BC68" s="1215"/>
      <c r="BD68" s="2"/>
      <c r="BE68" s="998" t="s">
        <v>78</v>
      </c>
      <c r="BF68" s="998"/>
      <c r="BG68" s="998"/>
      <c r="BH68" s="998"/>
      <c r="BI68" s="998"/>
      <c r="BJ68" s="998"/>
      <c r="BK68" s="1203" t="str">
        <f ca="1">IF(CharacterLevel="","",ProfArmor)</f>
        <v/>
      </c>
      <c r="BL68" s="1203"/>
      <c r="BM68" s="1203"/>
      <c r="BN68" s="1203"/>
      <c r="BO68" s="1203"/>
      <c r="BP68" s="1203"/>
      <c r="BQ68" s="1203"/>
      <c r="BR68" s="1203"/>
      <c r="BS68" s="1203"/>
      <c r="BT68" s="1203"/>
      <c r="BU68" s="1203"/>
      <c r="BV68" s="1203"/>
      <c r="BW68" s="1203"/>
      <c r="BX68" s="1203"/>
      <c r="BY68" s="1203"/>
      <c r="BZ68" s="1203"/>
      <c r="CA68" s="1203"/>
      <c r="CB68" s="1203"/>
      <c r="CC68" s="1203"/>
      <c r="CD68" s="1203"/>
      <c r="CE68" s="1203"/>
      <c r="CF68" s="1203"/>
      <c r="CG68" s="1203"/>
      <c r="CH68" s="1203"/>
      <c r="CI68" s="1203"/>
      <c r="CJ68" s="1203"/>
      <c r="CK68" s="1203"/>
      <c r="CL68" s="1203"/>
      <c r="CM68" s="1203"/>
      <c r="CN68" s="1203"/>
      <c r="CO68" s="1203"/>
      <c r="CP68" s="1203"/>
      <c r="CQ68" s="1203"/>
      <c r="CR68" s="1203"/>
      <c r="CS68" s="1203"/>
      <c r="CT68" s="1203"/>
      <c r="CU68" s="1203"/>
      <c r="CV68" s="5"/>
    </row>
    <row r="69" spans="1:103" ht="12" customHeight="1" thickBot="1" x14ac:dyDescent="0.25">
      <c r="A69" s="5"/>
      <c r="B69" s="1018" t="str">
        <f>IF(CharacterLevel="","",ShieldName)</f>
        <v/>
      </c>
      <c r="C69" s="1019"/>
      <c r="D69" s="1019"/>
      <c r="E69" s="1019"/>
      <c r="F69" s="1019"/>
      <c r="G69" s="1019"/>
      <c r="H69" s="1019"/>
      <c r="I69" s="1019"/>
      <c r="J69" s="1019"/>
      <c r="K69" s="1019"/>
      <c r="L69" s="1019"/>
      <c r="M69" s="1019"/>
      <c r="N69" s="1019"/>
      <c r="O69" s="1019"/>
      <c r="P69" s="1019"/>
      <c r="Q69" s="1019"/>
      <c r="R69" s="1019"/>
      <c r="S69" s="1019"/>
      <c r="T69" s="1019"/>
      <c r="U69" s="1020"/>
      <c r="V69" s="987" t="str">
        <f>IF(CharacterLevel="","",ShieldAC)</f>
        <v/>
      </c>
      <c r="W69" s="987"/>
      <c r="X69" s="987"/>
      <c r="Y69" s="987"/>
      <c r="Z69" s="987"/>
      <c r="AA69" s="987"/>
      <c r="AB69" s="1205" t="str">
        <f>IF(CharacterLevel="","",ShieldWeight)</f>
        <v/>
      </c>
      <c r="AC69" s="1206"/>
      <c r="AD69" s="1206"/>
      <c r="AE69" s="1206"/>
      <c r="AF69" s="1207"/>
      <c r="AG69" s="1239" t="str">
        <f>IF(CharacterLevel="","",ShieldProps)</f>
        <v/>
      </c>
      <c r="AH69" s="1240"/>
      <c r="AI69" s="1240"/>
      <c r="AJ69" s="1240"/>
      <c r="AK69" s="1240"/>
      <c r="AL69" s="1240"/>
      <c r="AM69" s="1240"/>
      <c r="AN69" s="1240"/>
      <c r="AO69" s="1240"/>
      <c r="AP69" s="1240"/>
      <c r="AQ69" s="1240"/>
      <c r="AR69" s="1240"/>
      <c r="AS69" s="1240"/>
      <c r="AT69" s="1240"/>
      <c r="AU69" s="1240"/>
      <c r="AV69" s="1240"/>
      <c r="AW69" s="1240"/>
      <c r="AX69" s="1240"/>
      <c r="AY69" s="1240"/>
      <c r="AZ69" s="1240"/>
      <c r="BA69" s="1240"/>
      <c r="BB69" s="1240"/>
      <c r="BC69" s="1241"/>
      <c r="BD69" s="2"/>
      <c r="BE69" s="998"/>
      <c r="BF69" s="998"/>
      <c r="BG69" s="998"/>
      <c r="BH69" s="998"/>
      <c r="BI69" s="998"/>
      <c r="BJ69" s="998"/>
      <c r="BK69" s="1203"/>
      <c r="BL69" s="1203"/>
      <c r="BM69" s="1203"/>
      <c r="BN69" s="1203"/>
      <c r="BO69" s="1203"/>
      <c r="BP69" s="1203"/>
      <c r="BQ69" s="1203"/>
      <c r="BR69" s="1203"/>
      <c r="BS69" s="1203"/>
      <c r="BT69" s="1203"/>
      <c r="BU69" s="1203"/>
      <c r="BV69" s="1203"/>
      <c r="BW69" s="1203"/>
      <c r="BX69" s="1203"/>
      <c r="BY69" s="1203"/>
      <c r="BZ69" s="1203"/>
      <c r="CA69" s="1203"/>
      <c r="CB69" s="1203"/>
      <c r="CC69" s="1203"/>
      <c r="CD69" s="1203"/>
      <c r="CE69" s="1203"/>
      <c r="CF69" s="1203"/>
      <c r="CG69" s="1203"/>
      <c r="CH69" s="1203"/>
      <c r="CI69" s="1203"/>
      <c r="CJ69" s="1203"/>
      <c r="CK69" s="1203"/>
      <c r="CL69" s="1203"/>
      <c r="CM69" s="1203"/>
      <c r="CN69" s="1203"/>
      <c r="CO69" s="1203"/>
      <c r="CP69" s="1203"/>
      <c r="CQ69" s="1203"/>
      <c r="CR69" s="1203"/>
      <c r="CS69" s="1203"/>
      <c r="CT69" s="1203"/>
      <c r="CU69" s="1203"/>
      <c r="CV69" s="5"/>
      <c r="CY69" s="6">
        <f>CY67+1</f>
        <v>19</v>
      </c>
    </row>
    <row r="70" spans="1:103" ht="12" customHeight="1" thickBot="1" x14ac:dyDescent="0.25">
      <c r="A70" s="5"/>
      <c r="B70" s="1021"/>
      <c r="C70" s="1022"/>
      <c r="D70" s="1022"/>
      <c r="E70" s="1022"/>
      <c r="F70" s="1022"/>
      <c r="G70" s="1022"/>
      <c r="H70" s="1022"/>
      <c r="I70" s="1022"/>
      <c r="J70" s="1022"/>
      <c r="K70" s="1022"/>
      <c r="L70" s="1022"/>
      <c r="M70" s="1022"/>
      <c r="N70" s="1022"/>
      <c r="O70" s="1022"/>
      <c r="P70" s="1022"/>
      <c r="Q70" s="1022"/>
      <c r="R70" s="1022"/>
      <c r="S70" s="1022"/>
      <c r="T70" s="1022"/>
      <c r="U70" s="1023"/>
      <c r="V70" s="987"/>
      <c r="W70" s="987"/>
      <c r="X70" s="987"/>
      <c r="Y70" s="987"/>
      <c r="Z70" s="987"/>
      <c r="AA70" s="987"/>
      <c r="AB70" s="1208"/>
      <c r="AC70" s="1209"/>
      <c r="AD70" s="1209"/>
      <c r="AE70" s="1209"/>
      <c r="AF70" s="1210"/>
      <c r="AG70" s="1242"/>
      <c r="AH70" s="1243"/>
      <c r="AI70" s="1243"/>
      <c r="AJ70" s="1243"/>
      <c r="AK70" s="1243"/>
      <c r="AL70" s="1243"/>
      <c r="AM70" s="1243"/>
      <c r="AN70" s="1243"/>
      <c r="AO70" s="1243"/>
      <c r="AP70" s="1243"/>
      <c r="AQ70" s="1243"/>
      <c r="AR70" s="1243"/>
      <c r="AS70" s="1243"/>
      <c r="AT70" s="1243"/>
      <c r="AU70" s="1243"/>
      <c r="AV70" s="1243"/>
      <c r="AW70" s="1243"/>
      <c r="AX70" s="1243"/>
      <c r="AY70" s="1243"/>
      <c r="AZ70" s="1243"/>
      <c r="BA70" s="1243"/>
      <c r="BB70" s="1243"/>
      <c r="BC70" s="1244"/>
      <c r="BD70" s="2"/>
      <c r="BE70" s="998"/>
      <c r="BF70" s="998"/>
      <c r="BG70" s="998"/>
      <c r="BH70" s="998"/>
      <c r="BI70" s="998"/>
      <c r="BJ70" s="998"/>
      <c r="BK70" s="1203"/>
      <c r="BL70" s="1203"/>
      <c r="BM70" s="1203"/>
      <c r="BN70" s="1203"/>
      <c r="BO70" s="1203"/>
      <c r="BP70" s="1203"/>
      <c r="BQ70" s="1203"/>
      <c r="BR70" s="1203"/>
      <c r="BS70" s="1203"/>
      <c r="BT70" s="1203"/>
      <c r="BU70" s="1203"/>
      <c r="BV70" s="1203"/>
      <c r="BW70" s="1203"/>
      <c r="BX70" s="1203"/>
      <c r="BY70" s="1203"/>
      <c r="BZ70" s="1203"/>
      <c r="CA70" s="1203"/>
      <c r="CB70" s="1203"/>
      <c r="CC70" s="1203"/>
      <c r="CD70" s="1203"/>
      <c r="CE70" s="1203"/>
      <c r="CF70" s="1203"/>
      <c r="CG70" s="1203"/>
      <c r="CH70" s="1203"/>
      <c r="CI70" s="1203"/>
      <c r="CJ70" s="1203"/>
      <c r="CK70" s="1203"/>
      <c r="CL70" s="1203"/>
      <c r="CM70" s="1203"/>
      <c r="CN70" s="1203"/>
      <c r="CO70" s="1203"/>
      <c r="CP70" s="1203"/>
      <c r="CQ70" s="1203"/>
      <c r="CR70" s="1203"/>
      <c r="CS70" s="1203"/>
      <c r="CT70" s="1203"/>
      <c r="CU70" s="1203"/>
      <c r="CV70" s="5"/>
    </row>
    <row r="71" spans="1:103" ht="12" customHeight="1" thickBot="1" x14ac:dyDescent="0.25">
      <c r="A71" s="5"/>
      <c r="B71" s="1024"/>
      <c r="C71" s="1025"/>
      <c r="D71" s="1025"/>
      <c r="E71" s="1025"/>
      <c r="F71" s="1025"/>
      <c r="G71" s="1025"/>
      <c r="H71" s="1025"/>
      <c r="I71" s="1025"/>
      <c r="J71" s="1025"/>
      <c r="K71" s="1025"/>
      <c r="L71" s="1025"/>
      <c r="M71" s="1025"/>
      <c r="N71" s="1025"/>
      <c r="O71" s="1025"/>
      <c r="P71" s="1025"/>
      <c r="Q71" s="1025"/>
      <c r="R71" s="1025"/>
      <c r="S71" s="1025"/>
      <c r="T71" s="1025"/>
      <c r="U71" s="1026"/>
      <c r="V71" s="987"/>
      <c r="W71" s="987"/>
      <c r="X71" s="987"/>
      <c r="Y71" s="987"/>
      <c r="Z71" s="987"/>
      <c r="AA71" s="987"/>
      <c r="AB71" s="1211"/>
      <c r="AC71" s="1212"/>
      <c r="AD71" s="1212"/>
      <c r="AE71" s="1212"/>
      <c r="AF71" s="1213"/>
      <c r="AG71" s="1245"/>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7"/>
      <c r="BD71" s="5"/>
      <c r="BE71" s="998"/>
      <c r="BF71" s="998"/>
      <c r="BG71" s="998"/>
      <c r="BH71" s="998"/>
      <c r="BI71" s="998"/>
      <c r="BJ71" s="998"/>
      <c r="BK71" s="1204"/>
      <c r="BL71" s="1204"/>
      <c r="BM71" s="1204"/>
      <c r="BN71" s="1204"/>
      <c r="BO71" s="1204"/>
      <c r="BP71" s="1204"/>
      <c r="BQ71" s="1204"/>
      <c r="BR71" s="1204"/>
      <c r="BS71" s="1204"/>
      <c r="BT71" s="1204"/>
      <c r="BU71" s="1204"/>
      <c r="BV71" s="1204"/>
      <c r="BW71" s="1204"/>
      <c r="BX71" s="1204"/>
      <c r="BY71" s="1204"/>
      <c r="BZ71" s="1204"/>
      <c r="CA71" s="1204"/>
      <c r="CB71" s="1204"/>
      <c r="CC71" s="1204"/>
      <c r="CD71" s="1204"/>
      <c r="CE71" s="1204"/>
      <c r="CF71" s="1204"/>
      <c r="CG71" s="1204"/>
      <c r="CH71" s="1204"/>
      <c r="CI71" s="1204"/>
      <c r="CJ71" s="1204"/>
      <c r="CK71" s="1204"/>
      <c r="CL71" s="1204"/>
      <c r="CM71" s="1204"/>
      <c r="CN71" s="1204"/>
      <c r="CO71" s="1204"/>
      <c r="CP71" s="1204"/>
      <c r="CQ71" s="1204"/>
      <c r="CR71" s="1204"/>
      <c r="CS71" s="1204"/>
      <c r="CT71" s="1204"/>
      <c r="CU71" s="1204"/>
      <c r="CV71" s="5"/>
      <c r="CY71" s="6">
        <f>CY69+1</f>
        <v>20</v>
      </c>
    </row>
    <row r="72" spans="1:103" ht="12"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2"/>
      <c r="AD72" s="5"/>
      <c r="AE72" s="5"/>
      <c r="AF72" s="5"/>
      <c r="AG72" s="5"/>
      <c r="AH72" s="5"/>
      <c r="AI72" s="5"/>
      <c r="AJ72" s="5"/>
      <c r="AK72" s="5"/>
      <c r="AL72" s="5"/>
      <c r="AM72" s="5"/>
      <c r="AN72" s="5"/>
      <c r="AO72" s="5"/>
      <c r="AP72" s="357"/>
      <c r="AQ72" s="357"/>
      <c r="AR72" s="357"/>
      <c r="AS72" s="357"/>
      <c r="AT72" s="5"/>
      <c r="AU72" s="222"/>
      <c r="AV72" s="222"/>
      <c r="AW72" s="222"/>
      <c r="AX72" s="222"/>
      <c r="AY72" s="5"/>
      <c r="AZ72" s="222"/>
      <c r="BA72" s="222"/>
      <c r="BB72" s="222"/>
      <c r="BC72" s="222"/>
      <c r="BD72" s="5"/>
      <c r="BE72" s="5"/>
      <c r="BF72" s="5"/>
      <c r="BG72" s="5"/>
      <c r="BH72" s="5"/>
      <c r="BI72" s="5"/>
      <c r="BJ72" s="5"/>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5"/>
    </row>
    <row r="73" spans="1:103" ht="12" customHeight="1" x14ac:dyDescent="0.2">
      <c r="A73" s="5"/>
      <c r="B73" s="1214" t="s">
        <v>811</v>
      </c>
      <c r="C73" s="1214"/>
      <c r="D73" s="1214"/>
      <c r="E73" s="1214"/>
      <c r="F73" s="1214"/>
      <c r="G73" s="1214"/>
      <c r="H73" s="1214"/>
      <c r="I73" s="1214"/>
      <c r="J73" s="1214"/>
      <c r="K73" s="1214"/>
      <c r="L73" s="1214"/>
      <c r="M73" s="1214"/>
      <c r="N73" s="1214"/>
      <c r="O73" s="1214"/>
      <c r="P73" s="1214"/>
      <c r="Q73" s="1214"/>
      <c r="R73" s="1214"/>
      <c r="S73" s="1214"/>
      <c r="T73" s="1214"/>
      <c r="U73" s="1214"/>
      <c r="V73" s="1214"/>
      <c r="W73" s="1214"/>
      <c r="X73" s="1214"/>
      <c r="Y73" s="1214"/>
      <c r="Z73" s="1214"/>
      <c r="AA73" s="1214"/>
      <c r="AB73" s="1214"/>
      <c r="AC73" s="1214"/>
      <c r="AD73" s="1214"/>
      <c r="AE73" s="1214"/>
      <c r="AF73" s="1214"/>
      <c r="AG73" s="1214"/>
      <c r="AH73" s="1214"/>
      <c r="AI73" s="1214"/>
      <c r="AJ73" s="1214"/>
      <c r="AK73" s="1214"/>
      <c r="AL73" s="1214"/>
      <c r="AM73" s="1214"/>
      <c r="AN73" s="1214"/>
      <c r="AO73" s="1214"/>
      <c r="AP73" s="1214"/>
      <c r="AQ73" s="1214"/>
      <c r="AR73" s="1214"/>
      <c r="AS73" s="1214"/>
      <c r="AT73" s="1214"/>
      <c r="AU73" s="1214"/>
      <c r="AV73" s="1214"/>
      <c r="AW73" s="1214"/>
      <c r="AX73" s="1214"/>
      <c r="AY73" s="1214"/>
      <c r="AZ73" s="1214"/>
      <c r="BA73" s="1214"/>
      <c r="BB73" s="1214"/>
      <c r="BC73" s="1214"/>
      <c r="BD73" s="5"/>
      <c r="BE73" s="998" t="s">
        <v>79</v>
      </c>
      <c r="BF73" s="998"/>
      <c r="BG73" s="998"/>
      <c r="BH73" s="998"/>
      <c r="BI73" s="998"/>
      <c r="BJ73" s="998"/>
      <c r="BK73" s="1203" t="str">
        <f>IF(CharacterLevel="","",ProfTools)</f>
        <v/>
      </c>
      <c r="BL73" s="1203"/>
      <c r="BM73" s="1203"/>
      <c r="BN73" s="1203"/>
      <c r="BO73" s="1203"/>
      <c r="BP73" s="1203"/>
      <c r="BQ73" s="1203"/>
      <c r="BR73" s="1203"/>
      <c r="BS73" s="1203"/>
      <c r="BT73" s="1203"/>
      <c r="BU73" s="1203"/>
      <c r="BV73" s="1203"/>
      <c r="BW73" s="1203"/>
      <c r="BX73" s="1203"/>
      <c r="BY73" s="1203"/>
      <c r="BZ73" s="1203"/>
      <c r="CA73" s="1203"/>
      <c r="CB73" s="1203"/>
      <c r="CC73" s="1203"/>
      <c r="CD73" s="1203"/>
      <c r="CE73" s="1203"/>
      <c r="CF73" s="1203"/>
      <c r="CG73" s="1203"/>
      <c r="CH73" s="1203"/>
      <c r="CI73" s="1203"/>
      <c r="CJ73" s="1203"/>
      <c r="CK73" s="1203"/>
      <c r="CL73" s="1203"/>
      <c r="CM73" s="1203"/>
      <c r="CN73" s="1203"/>
      <c r="CO73" s="1203"/>
      <c r="CP73" s="1203"/>
      <c r="CQ73" s="1203"/>
      <c r="CR73" s="1203"/>
      <c r="CS73" s="1203"/>
      <c r="CT73" s="1203"/>
      <c r="CU73" s="1203"/>
      <c r="CV73" s="5"/>
      <c r="CY73" s="6">
        <f>CY71+1</f>
        <v>21</v>
      </c>
    </row>
    <row r="74" spans="1:103" ht="12" customHeight="1" x14ac:dyDescent="0.2">
      <c r="A74" s="5"/>
      <c r="B74" s="1214"/>
      <c r="C74" s="1214"/>
      <c r="D74" s="1214"/>
      <c r="E74" s="1214"/>
      <c r="F74" s="1214"/>
      <c r="G74" s="1214"/>
      <c r="H74" s="1214"/>
      <c r="I74" s="1214"/>
      <c r="J74" s="1214"/>
      <c r="K74" s="1214"/>
      <c r="L74" s="1214"/>
      <c r="M74" s="1214"/>
      <c r="N74" s="1214"/>
      <c r="O74" s="1214"/>
      <c r="P74" s="1214"/>
      <c r="Q74" s="1214"/>
      <c r="R74" s="1214"/>
      <c r="S74" s="1214"/>
      <c r="T74" s="1214"/>
      <c r="U74" s="1214"/>
      <c r="V74" s="1214"/>
      <c r="W74" s="1214"/>
      <c r="X74" s="1214"/>
      <c r="Y74" s="1214"/>
      <c r="Z74" s="1214"/>
      <c r="AA74" s="1214"/>
      <c r="AB74" s="1214"/>
      <c r="AC74" s="1214"/>
      <c r="AD74" s="1214"/>
      <c r="AE74" s="1214"/>
      <c r="AF74" s="1214"/>
      <c r="AG74" s="1214"/>
      <c r="AH74" s="1214"/>
      <c r="AI74" s="1214"/>
      <c r="AJ74" s="1214"/>
      <c r="AK74" s="1214"/>
      <c r="AL74" s="1214"/>
      <c r="AM74" s="1214"/>
      <c r="AN74" s="1214"/>
      <c r="AO74" s="1214"/>
      <c r="AP74" s="1214"/>
      <c r="AQ74" s="1214"/>
      <c r="AR74" s="1214"/>
      <c r="AS74" s="1214"/>
      <c r="AT74" s="1214"/>
      <c r="AU74" s="1214"/>
      <c r="AV74" s="1214"/>
      <c r="AW74" s="1214"/>
      <c r="AX74" s="1214"/>
      <c r="AY74" s="1214"/>
      <c r="AZ74" s="1214"/>
      <c r="BA74" s="1214"/>
      <c r="BB74" s="1214"/>
      <c r="BC74" s="1214"/>
      <c r="BD74" s="5"/>
      <c r="BE74" s="998"/>
      <c r="BF74" s="998"/>
      <c r="BG74" s="998"/>
      <c r="BH74" s="998"/>
      <c r="BI74" s="998"/>
      <c r="BJ74" s="998"/>
      <c r="BK74" s="1203"/>
      <c r="BL74" s="1203"/>
      <c r="BM74" s="1203"/>
      <c r="BN74" s="1203"/>
      <c r="BO74" s="1203"/>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5"/>
    </row>
    <row r="75" spans="1:103" ht="12" customHeight="1" thickBo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2"/>
      <c r="AD75" s="5"/>
      <c r="AE75" s="5"/>
      <c r="AF75" s="5"/>
      <c r="AG75" s="5"/>
      <c r="AH75" s="5"/>
      <c r="AI75" s="5"/>
      <c r="AJ75" s="5"/>
      <c r="AK75" s="5"/>
      <c r="AL75" s="5"/>
      <c r="AM75" s="5"/>
      <c r="AN75" s="5"/>
      <c r="AO75" s="5"/>
      <c r="AP75" s="357"/>
      <c r="AQ75" s="357"/>
      <c r="AR75" s="357"/>
      <c r="AS75" s="357"/>
      <c r="AT75" s="5"/>
      <c r="AU75" s="222"/>
      <c r="AV75" s="222"/>
      <c r="AW75" s="222"/>
      <c r="AX75" s="222"/>
      <c r="AY75" s="5"/>
      <c r="AZ75" s="222"/>
      <c r="BA75" s="222"/>
      <c r="BB75" s="222"/>
      <c r="BC75" s="222"/>
      <c r="BD75" s="5"/>
      <c r="BE75" s="998"/>
      <c r="BF75" s="998"/>
      <c r="BG75" s="998"/>
      <c r="BH75" s="998"/>
      <c r="BI75" s="998"/>
      <c r="BJ75" s="998"/>
      <c r="BK75" s="1203"/>
      <c r="BL75" s="1203"/>
      <c r="BM75" s="1203"/>
      <c r="BN75" s="1203"/>
      <c r="BO75" s="1203"/>
      <c r="BP75" s="1203"/>
      <c r="BQ75" s="1203"/>
      <c r="BR75" s="1203"/>
      <c r="BS75" s="1203"/>
      <c r="BT75" s="1203"/>
      <c r="BU75" s="1203"/>
      <c r="BV75" s="1203"/>
      <c r="BW75" s="1203"/>
      <c r="BX75" s="1203"/>
      <c r="BY75" s="1203"/>
      <c r="BZ75" s="1203"/>
      <c r="CA75" s="1203"/>
      <c r="CB75" s="1203"/>
      <c r="CC75" s="1203"/>
      <c r="CD75" s="1203"/>
      <c r="CE75" s="1203"/>
      <c r="CF75" s="1203"/>
      <c r="CG75" s="1203"/>
      <c r="CH75" s="1203"/>
      <c r="CI75" s="1203"/>
      <c r="CJ75" s="1203"/>
      <c r="CK75" s="1203"/>
      <c r="CL75" s="1203"/>
      <c r="CM75" s="1203"/>
      <c r="CN75" s="1203"/>
      <c r="CO75" s="1203"/>
      <c r="CP75" s="1203"/>
      <c r="CQ75" s="1203"/>
      <c r="CR75" s="1203"/>
      <c r="CS75" s="1203"/>
      <c r="CT75" s="1203"/>
      <c r="CU75" s="1203"/>
      <c r="CV75" s="5"/>
      <c r="CY75" s="6">
        <f>CY73+1</f>
        <v>22</v>
      </c>
    </row>
    <row r="76" spans="1:103" ht="12" customHeight="1" x14ac:dyDescent="0.2">
      <c r="A76" s="5"/>
      <c r="B76" s="997" t="s">
        <v>182</v>
      </c>
      <c r="C76" s="997"/>
      <c r="D76" s="997"/>
      <c r="E76" s="997"/>
      <c r="F76" s="997"/>
      <c r="G76" s="997"/>
      <c r="H76" s="997"/>
      <c r="I76" s="997"/>
      <c r="J76" s="997"/>
      <c r="K76" s="5"/>
      <c r="L76" s="1225">
        <f>IF(CharacterLevel="","",10+Q76+V76)</f>
        <v>5</v>
      </c>
      <c r="M76" s="1226"/>
      <c r="N76" s="1226"/>
      <c r="O76" s="1227"/>
      <c r="P76" s="1096" t="s">
        <v>25</v>
      </c>
      <c r="Q76" s="1156">
        <f>IF(CharacterLevel="","",WISMod)</f>
        <v>-5</v>
      </c>
      <c r="R76" s="1157"/>
      <c r="S76" s="1157"/>
      <c r="T76" s="1158"/>
      <c r="U76" s="1096" t="s">
        <v>26</v>
      </c>
      <c r="V76" s="1156">
        <f>IF(CharacterLevel="","",CK41+IF(Tables!PC1&gt;0,5,0))</f>
        <v>0</v>
      </c>
      <c r="W76" s="1157"/>
      <c r="X76" s="1157"/>
      <c r="Y76" s="1158"/>
      <c r="Z76" s="5"/>
      <c r="AA76" s="997" t="s">
        <v>18</v>
      </c>
      <c r="AB76" s="997"/>
      <c r="AC76" s="997"/>
      <c r="AD76" s="997"/>
      <c r="AE76" s="997"/>
      <c r="AF76" s="997"/>
      <c r="AG76" s="997"/>
      <c r="AH76" s="997"/>
      <c r="AI76" s="5"/>
      <c r="AJ76" s="1193" t="str">
        <f>IF(OR(CharacterLevel="",Race="",Race=SelectText),"",Speed)</f>
        <v/>
      </c>
      <c r="AK76" s="1194"/>
      <c r="AL76" s="1194"/>
      <c r="AM76" s="1194"/>
      <c r="AN76" s="1195"/>
      <c r="AO76" s="5"/>
      <c r="AP76" s="997" t="s">
        <v>812</v>
      </c>
      <c r="AQ76" s="997"/>
      <c r="AR76" s="997"/>
      <c r="AS76" s="997"/>
      <c r="AT76" s="997"/>
      <c r="AU76" s="997"/>
      <c r="AV76" s="997"/>
      <c r="AW76" s="997"/>
      <c r="AX76" s="997"/>
      <c r="AY76" s="343"/>
      <c r="AZ76" s="1122"/>
      <c r="BA76" s="1123"/>
      <c r="BB76" s="1123"/>
      <c r="BC76" s="1124"/>
      <c r="BD76" s="5"/>
      <c r="BE76" s="998"/>
      <c r="BF76" s="998"/>
      <c r="BG76" s="998"/>
      <c r="BH76" s="998"/>
      <c r="BI76" s="998"/>
      <c r="BJ76" s="998"/>
      <c r="BK76" s="1204"/>
      <c r="BL76" s="1204"/>
      <c r="BM76" s="1204"/>
      <c r="BN76" s="1204"/>
      <c r="BO76" s="1204"/>
      <c r="BP76" s="1204"/>
      <c r="BQ76" s="1204"/>
      <c r="BR76" s="1204"/>
      <c r="BS76" s="1204"/>
      <c r="BT76" s="1204"/>
      <c r="BU76" s="1204"/>
      <c r="BV76" s="1204"/>
      <c r="BW76" s="1204"/>
      <c r="BX76" s="1204"/>
      <c r="BY76" s="1204"/>
      <c r="BZ76" s="1204"/>
      <c r="CA76" s="1204"/>
      <c r="CB76" s="1204"/>
      <c r="CC76" s="1204"/>
      <c r="CD76" s="1204"/>
      <c r="CE76" s="1204"/>
      <c r="CF76" s="1204"/>
      <c r="CG76" s="1204"/>
      <c r="CH76" s="1204"/>
      <c r="CI76" s="1204"/>
      <c r="CJ76" s="1204"/>
      <c r="CK76" s="1204"/>
      <c r="CL76" s="1204"/>
      <c r="CM76" s="1204"/>
      <c r="CN76" s="1204"/>
      <c r="CO76" s="1204"/>
      <c r="CP76" s="1204"/>
      <c r="CQ76" s="1204"/>
      <c r="CR76" s="1204"/>
      <c r="CS76" s="1204"/>
      <c r="CT76" s="1204"/>
      <c r="CU76" s="1204"/>
      <c r="CV76" s="5"/>
    </row>
    <row r="77" spans="1:103" ht="12" customHeight="1" x14ac:dyDescent="0.2">
      <c r="A77" s="5"/>
      <c r="B77" s="997"/>
      <c r="C77" s="997"/>
      <c r="D77" s="997"/>
      <c r="E77" s="997"/>
      <c r="F77" s="997"/>
      <c r="G77" s="997"/>
      <c r="H77" s="997"/>
      <c r="I77" s="997"/>
      <c r="J77" s="997"/>
      <c r="K77" s="5"/>
      <c r="L77" s="1228"/>
      <c r="M77" s="1229"/>
      <c r="N77" s="1229"/>
      <c r="O77" s="1230"/>
      <c r="P77" s="1096"/>
      <c r="Q77" s="1159"/>
      <c r="R77" s="1160"/>
      <c r="S77" s="1160"/>
      <c r="T77" s="1161"/>
      <c r="U77" s="1096"/>
      <c r="V77" s="1159"/>
      <c r="W77" s="1160"/>
      <c r="X77" s="1160"/>
      <c r="Y77" s="1161"/>
      <c r="Z77" s="5"/>
      <c r="AA77" s="997"/>
      <c r="AB77" s="997"/>
      <c r="AC77" s="997"/>
      <c r="AD77" s="997"/>
      <c r="AE77" s="997"/>
      <c r="AF77" s="997"/>
      <c r="AG77" s="997"/>
      <c r="AH77" s="997"/>
      <c r="AI77" s="5"/>
      <c r="AJ77" s="1196"/>
      <c r="AK77" s="1197"/>
      <c r="AL77" s="1197"/>
      <c r="AM77" s="1197"/>
      <c r="AN77" s="1198"/>
      <c r="AO77" s="5"/>
      <c r="AP77" s="997"/>
      <c r="AQ77" s="997"/>
      <c r="AR77" s="997"/>
      <c r="AS77" s="997"/>
      <c r="AT77" s="997"/>
      <c r="AU77" s="997"/>
      <c r="AV77" s="997"/>
      <c r="AW77" s="997"/>
      <c r="AX77" s="997"/>
      <c r="AY77" s="343"/>
      <c r="AZ77" s="1125"/>
      <c r="BA77" s="1126"/>
      <c r="BB77" s="1126"/>
      <c r="BC77" s="1127"/>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Y77" s="6">
        <f>CY75+1</f>
        <v>23</v>
      </c>
    </row>
    <row r="78" spans="1:103" ht="12" customHeight="1" thickBot="1" x14ac:dyDescent="0.25">
      <c r="A78" s="5"/>
      <c r="B78" s="1040" t="s">
        <v>843</v>
      </c>
      <c r="C78" s="1040"/>
      <c r="D78" s="1040"/>
      <c r="E78" s="1040"/>
      <c r="F78" s="1040"/>
      <c r="G78" s="1040"/>
      <c r="H78" s="1040"/>
      <c r="I78" s="1040"/>
      <c r="J78" s="1040"/>
      <c r="K78" s="5"/>
      <c r="L78" s="1231"/>
      <c r="M78" s="1232"/>
      <c r="N78" s="1232"/>
      <c r="O78" s="1233"/>
      <c r="P78" s="1096"/>
      <c r="Q78" s="1162"/>
      <c r="R78" s="1163"/>
      <c r="S78" s="1163"/>
      <c r="T78" s="1164"/>
      <c r="U78" s="1096"/>
      <c r="V78" s="1162"/>
      <c r="W78" s="1163"/>
      <c r="X78" s="1163"/>
      <c r="Y78" s="1164"/>
      <c r="Z78" s="5"/>
      <c r="AA78" s="1040" t="s">
        <v>813</v>
      </c>
      <c r="AB78" s="1040"/>
      <c r="AC78" s="1040"/>
      <c r="AD78" s="1040"/>
      <c r="AE78" s="1040"/>
      <c r="AF78" s="1040"/>
      <c r="AG78" s="1040"/>
      <c r="AH78" s="1040"/>
      <c r="AI78" s="5"/>
      <c r="AJ78" s="1199"/>
      <c r="AK78" s="1200"/>
      <c r="AL78" s="1200"/>
      <c r="AM78" s="1200"/>
      <c r="AN78" s="1201"/>
      <c r="AO78" s="5"/>
      <c r="AP78" s="997"/>
      <c r="AQ78" s="997"/>
      <c r="AR78" s="997"/>
      <c r="AS78" s="997"/>
      <c r="AT78" s="997"/>
      <c r="AU78" s="997"/>
      <c r="AV78" s="997"/>
      <c r="AW78" s="997"/>
      <c r="AX78" s="997"/>
      <c r="AY78" s="343"/>
      <c r="AZ78" s="1128"/>
      <c r="BA78" s="1129"/>
      <c r="BB78" s="1129"/>
      <c r="BC78" s="1130"/>
      <c r="BD78" s="5"/>
      <c r="BE78" s="997" t="s">
        <v>55</v>
      </c>
      <c r="BF78" s="997"/>
      <c r="BG78" s="997"/>
      <c r="BH78" s="997"/>
      <c r="BI78" s="997"/>
      <c r="BJ78" s="997"/>
      <c r="BK78" s="997"/>
      <c r="BL78" s="997"/>
      <c r="BM78" s="997"/>
      <c r="BN78" s="997"/>
      <c r="BO78" s="997"/>
      <c r="BP78" s="997"/>
      <c r="BQ78" s="997"/>
      <c r="BR78" s="997"/>
      <c r="BS78" s="997"/>
      <c r="BT78" s="997"/>
      <c r="BU78" s="997"/>
      <c r="BV78" s="997"/>
      <c r="BW78" s="997"/>
      <c r="BX78" s="997"/>
      <c r="BY78" s="997"/>
      <c r="BZ78" s="997"/>
      <c r="CA78" s="997"/>
      <c r="CB78" s="997"/>
      <c r="CC78" s="997"/>
      <c r="CD78" s="997"/>
      <c r="CE78" s="997"/>
      <c r="CF78" s="997"/>
      <c r="CG78" s="997"/>
      <c r="CH78" s="997"/>
      <c r="CI78" s="997"/>
      <c r="CJ78" s="997"/>
      <c r="CK78" s="997"/>
      <c r="CL78" s="997"/>
      <c r="CM78" s="997"/>
      <c r="CN78" s="997"/>
      <c r="CO78" s="997"/>
      <c r="CP78" s="997"/>
      <c r="CQ78" s="997"/>
      <c r="CR78" s="997"/>
      <c r="CS78" s="997"/>
      <c r="CT78" s="997"/>
      <c r="CU78" s="997"/>
      <c r="CV78" s="5"/>
    </row>
    <row r="79" spans="1:103" ht="12" customHeight="1" x14ac:dyDescent="0.2">
      <c r="A79" s="5"/>
      <c r="B79" s="1097" t="str">
        <f>IF(CharacterLevel="","",IF(Tables!PC1&gt;0,"OBSERVANT FEAT +5",""))</f>
        <v/>
      </c>
      <c r="C79" s="1097"/>
      <c r="D79" s="1097"/>
      <c r="E79" s="1097"/>
      <c r="F79" s="1097"/>
      <c r="G79" s="1097"/>
      <c r="H79" s="1097"/>
      <c r="I79" s="1097"/>
      <c r="J79" s="1097"/>
      <c r="K79" s="5"/>
      <c r="L79" s="1144" t="s">
        <v>17</v>
      </c>
      <c r="M79" s="1144"/>
      <c r="N79" s="1144"/>
      <c r="O79" s="1144"/>
      <c r="P79" s="5"/>
      <c r="Q79" s="1250" t="s">
        <v>1928</v>
      </c>
      <c r="R79" s="1250"/>
      <c r="S79" s="1250"/>
      <c r="T79" s="1250"/>
      <c r="U79" s="1097" t="s">
        <v>1929</v>
      </c>
      <c r="V79" s="1097"/>
      <c r="W79" s="1097"/>
      <c r="X79" s="1097"/>
      <c r="Y79" s="1097"/>
      <c r="Z79" s="1097"/>
      <c r="AA79" s="1097" t="str">
        <f>IF(CharacterLevel="","",IF(Tables!OZ1&gt;0,"MOBILE FEAT +10",""))</f>
        <v/>
      </c>
      <c r="AB79" s="1097"/>
      <c r="AC79" s="1097"/>
      <c r="AD79" s="1097"/>
      <c r="AE79" s="1097"/>
      <c r="AF79" s="1097"/>
      <c r="AG79" s="1097"/>
      <c r="AH79" s="1097"/>
      <c r="AI79" s="5"/>
      <c r="AJ79" s="5"/>
      <c r="AK79" s="5"/>
      <c r="AL79" s="5"/>
      <c r="AM79" s="5"/>
      <c r="AN79" s="5"/>
      <c r="AO79" s="5"/>
      <c r="AP79" s="227"/>
      <c r="AQ79" s="227"/>
      <c r="AR79" s="5"/>
      <c r="AS79" s="226"/>
      <c r="AT79" s="227"/>
      <c r="AU79" s="227"/>
      <c r="AV79" s="227"/>
      <c r="AW79" s="5"/>
      <c r="AX79" s="5"/>
      <c r="AY79" s="5"/>
      <c r="AZ79" s="5"/>
      <c r="BA79" s="5"/>
      <c r="BB79" s="5"/>
      <c r="BC79" s="5"/>
      <c r="BD79" s="5"/>
      <c r="BE79" s="997"/>
      <c r="BF79" s="997"/>
      <c r="BG79" s="997"/>
      <c r="BH79" s="997"/>
      <c r="BI79" s="997"/>
      <c r="BJ79" s="997"/>
      <c r="BK79" s="997"/>
      <c r="BL79" s="997"/>
      <c r="BM79" s="997"/>
      <c r="BN79" s="997"/>
      <c r="BO79" s="997"/>
      <c r="BP79" s="997"/>
      <c r="BQ79" s="997"/>
      <c r="BR79" s="997"/>
      <c r="BS79" s="997"/>
      <c r="BT79" s="997"/>
      <c r="BU79" s="997"/>
      <c r="BV79" s="997"/>
      <c r="BW79" s="997"/>
      <c r="BX79" s="997"/>
      <c r="BY79" s="997"/>
      <c r="BZ79" s="997"/>
      <c r="CA79" s="997"/>
      <c r="CB79" s="997"/>
      <c r="CC79" s="997"/>
      <c r="CD79" s="997"/>
      <c r="CE79" s="997"/>
      <c r="CF79" s="997"/>
      <c r="CG79" s="997"/>
      <c r="CH79" s="997"/>
      <c r="CI79" s="997"/>
      <c r="CJ79" s="997"/>
      <c r="CK79" s="997"/>
      <c r="CL79" s="997"/>
      <c r="CM79" s="997"/>
      <c r="CN79" s="997"/>
      <c r="CO79" s="997"/>
      <c r="CP79" s="997"/>
      <c r="CQ79" s="997"/>
      <c r="CR79" s="997"/>
      <c r="CS79" s="997"/>
      <c r="CT79" s="997"/>
      <c r="CU79" s="997"/>
      <c r="CV79" s="5"/>
      <c r="CY79" s="6">
        <f>CY77+1</f>
        <v>24</v>
      </c>
    </row>
    <row r="80" spans="1:103" ht="12" customHeight="1" x14ac:dyDescent="0.2">
      <c r="A80" s="5"/>
      <c r="B80" s="1097"/>
      <c r="C80" s="1097"/>
      <c r="D80" s="1097"/>
      <c r="E80" s="1097"/>
      <c r="F80" s="1097"/>
      <c r="G80" s="1097"/>
      <c r="H80" s="1097"/>
      <c r="I80" s="1097"/>
      <c r="J80" s="1097"/>
      <c r="K80" s="5"/>
      <c r="L80" s="1144"/>
      <c r="M80" s="1144"/>
      <c r="N80" s="1144"/>
      <c r="O80" s="1144"/>
      <c r="P80" s="5"/>
      <c r="Q80" s="1097"/>
      <c r="R80" s="1097"/>
      <c r="S80" s="1097"/>
      <c r="T80" s="1097"/>
      <c r="U80" s="1097"/>
      <c r="V80" s="1097"/>
      <c r="W80" s="1097"/>
      <c r="X80" s="1097"/>
      <c r="Y80" s="1097"/>
      <c r="Z80" s="1097"/>
      <c r="AA80" s="1097"/>
      <c r="AB80" s="1097"/>
      <c r="AC80" s="1097"/>
      <c r="AD80" s="1097"/>
      <c r="AE80" s="1097"/>
      <c r="AF80" s="1097"/>
      <c r="AG80" s="1097"/>
      <c r="AH80" s="1097"/>
      <c r="AI80" s="5"/>
      <c r="AJ80" s="5"/>
      <c r="AK80" s="5"/>
      <c r="AL80" s="5"/>
      <c r="AM80" s="5"/>
      <c r="AN80" s="5"/>
      <c r="AO80" s="5"/>
      <c r="AP80" s="227"/>
      <c r="AQ80" s="227"/>
      <c r="AR80" s="5"/>
      <c r="AS80" s="226"/>
      <c r="AT80" s="227"/>
      <c r="AU80" s="227"/>
      <c r="AV80" s="227"/>
      <c r="AW80" s="5"/>
      <c r="AX80" s="5"/>
      <c r="AY80" s="5"/>
      <c r="AZ80" s="5"/>
      <c r="BA80" s="5"/>
      <c r="BB80" s="5"/>
      <c r="BC80" s="5"/>
      <c r="BD80" s="5"/>
      <c r="BE80" s="9"/>
      <c r="BF80" s="9"/>
      <c r="BG80" s="9"/>
      <c r="BH80" s="9"/>
      <c r="BI80" s="9"/>
      <c r="BJ80" s="9"/>
      <c r="BK80" s="9"/>
      <c r="BL80" s="9"/>
      <c r="BM80" s="9"/>
      <c r="BN80" s="9"/>
      <c r="BO80" s="5"/>
      <c r="BP80" s="9"/>
      <c r="BQ80" s="9"/>
      <c r="BR80" s="9"/>
      <c r="BS80" s="9"/>
      <c r="BT80" s="9"/>
      <c r="BU80" s="9"/>
      <c r="BV80" s="9"/>
      <c r="BW80" s="9"/>
      <c r="BX80" s="9"/>
      <c r="BY80" s="9"/>
      <c r="BZ80" s="5"/>
      <c r="CA80" s="5"/>
      <c r="CB80" s="5"/>
      <c r="CC80" s="5"/>
      <c r="CD80" s="5"/>
      <c r="CE80" s="5"/>
      <c r="CF80" s="5"/>
      <c r="CG80" s="5"/>
      <c r="CH80" s="5"/>
      <c r="CI80" s="5"/>
      <c r="CJ80" s="5"/>
      <c r="CK80" s="5"/>
      <c r="CL80" s="5"/>
      <c r="CM80" s="5"/>
      <c r="CN80" s="5"/>
      <c r="CO80" s="5"/>
      <c r="CP80" s="5"/>
      <c r="CQ80" s="5"/>
      <c r="CR80" s="5"/>
      <c r="CS80" s="5"/>
      <c r="CT80" s="5"/>
      <c r="CU80" s="5"/>
      <c r="CV80" s="5"/>
    </row>
    <row r="81" spans="1:103" ht="12" customHeight="1" thickBo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344"/>
      <c r="AG81" s="344"/>
      <c r="AH81" s="344"/>
      <c r="AI81" s="344"/>
      <c r="AJ81" s="237"/>
      <c r="AK81" s="344"/>
      <c r="AL81" s="344"/>
      <c r="AM81" s="344"/>
      <c r="AN81" s="344"/>
      <c r="AO81" s="227"/>
      <c r="AP81" s="227"/>
      <c r="AQ81" s="227"/>
      <c r="AR81" s="5"/>
      <c r="AS81" s="226"/>
      <c r="AT81" s="227"/>
      <c r="AU81" s="227"/>
      <c r="AV81" s="227"/>
      <c r="AW81" s="5"/>
      <c r="AX81" s="5"/>
      <c r="AY81" s="5"/>
      <c r="AZ81" s="5"/>
      <c r="BA81" s="5"/>
      <c r="BB81" s="5"/>
      <c r="BC81" s="5"/>
      <c r="BD81" s="260"/>
      <c r="BE81" s="1012" t="str">
        <f>IF(OR(CharacterLevel="",Start!AX16=Tables!$JG$2),"",Start!AX16)</f>
        <v/>
      </c>
      <c r="BF81" s="1012"/>
      <c r="BG81" s="1012"/>
      <c r="BH81" s="1012"/>
      <c r="BI81" s="1012"/>
      <c r="BJ81" s="1012"/>
      <c r="BK81" s="1012"/>
      <c r="BL81" s="1012"/>
      <c r="BM81" s="1012"/>
      <c r="BN81" s="1012"/>
      <c r="BO81" s="238"/>
      <c r="BP81" s="1012" t="str">
        <f>IF(OR(CharacterLevel="",Start!AX20=Tables!$JG$2),"",Start!AX20)</f>
        <v/>
      </c>
      <c r="BQ81" s="1012"/>
      <c r="BR81" s="1012"/>
      <c r="BS81" s="1012"/>
      <c r="BT81" s="1012"/>
      <c r="BU81" s="1012"/>
      <c r="BV81" s="1012"/>
      <c r="BW81" s="1012"/>
      <c r="BX81" s="1012"/>
      <c r="BY81" s="1012"/>
      <c r="BZ81" s="5"/>
      <c r="CA81" s="1012" t="str">
        <f>IF(OR(CharacterLevel="",Start!AX24=Tables!$JG$2),"",Start!AX24)</f>
        <v/>
      </c>
      <c r="CB81" s="1012"/>
      <c r="CC81" s="1012"/>
      <c r="CD81" s="1012"/>
      <c r="CE81" s="1012"/>
      <c r="CF81" s="1012"/>
      <c r="CG81" s="1012"/>
      <c r="CH81" s="1012"/>
      <c r="CI81" s="1012"/>
      <c r="CJ81" s="1012"/>
      <c r="CK81" s="5"/>
      <c r="CL81" s="1012" t="str">
        <f>IF(OR(CharacterLevel="",Start!AX28=Tables!$JG$2),"",Start!AX28)</f>
        <v/>
      </c>
      <c r="CM81" s="1012"/>
      <c r="CN81" s="1012"/>
      <c r="CO81" s="1012"/>
      <c r="CP81" s="1012"/>
      <c r="CQ81" s="1012"/>
      <c r="CR81" s="1012"/>
      <c r="CS81" s="1012"/>
      <c r="CT81" s="1012"/>
      <c r="CU81" s="1012"/>
      <c r="CV81" s="5"/>
      <c r="CY81" s="6">
        <f>CY79+1</f>
        <v>25</v>
      </c>
    </row>
    <row r="82" spans="1:103" ht="12" customHeight="1" x14ac:dyDescent="0.3">
      <c r="A82" s="5"/>
      <c r="B82" s="997" t="s">
        <v>41</v>
      </c>
      <c r="C82" s="997"/>
      <c r="D82" s="997"/>
      <c r="E82" s="997"/>
      <c r="F82" s="997"/>
      <c r="G82" s="997"/>
      <c r="H82" s="997"/>
      <c r="I82" s="997"/>
      <c r="J82" s="997"/>
      <c r="K82" s="5"/>
      <c r="L82" s="1087">
        <f>IF(CharacterLevel="","",Q82+V82)</f>
        <v>-5</v>
      </c>
      <c r="M82" s="1088"/>
      <c r="N82" s="1088"/>
      <c r="O82" s="1089"/>
      <c r="P82" s="1096" t="s">
        <v>25</v>
      </c>
      <c r="Q82" s="1184">
        <f>IF(CharacterLevel="","",DEXMod)</f>
        <v>-5</v>
      </c>
      <c r="R82" s="1185"/>
      <c r="S82" s="1185"/>
      <c r="T82" s="1186"/>
      <c r="U82" s="1096" t="s">
        <v>26</v>
      </c>
      <c r="V82" s="1156">
        <f>IF(CharacterLevel="","",IF(Tables!ZT3="",0,5))</f>
        <v>0</v>
      </c>
      <c r="W82" s="1157"/>
      <c r="X82" s="1157"/>
      <c r="Y82" s="1158"/>
      <c r="Z82" s="5"/>
      <c r="AA82" s="997" t="s">
        <v>248</v>
      </c>
      <c r="AB82" s="997"/>
      <c r="AC82" s="997"/>
      <c r="AD82" s="997"/>
      <c r="AE82" s="997"/>
      <c r="AF82" s="997"/>
      <c r="AG82" s="997"/>
      <c r="AH82" s="997"/>
      <c r="AI82" s="997"/>
      <c r="AJ82" s="997"/>
      <c r="AK82" s="997"/>
      <c r="AL82" s="997"/>
      <c r="AM82" s="997"/>
      <c r="AN82" s="997"/>
      <c r="AO82" s="5"/>
      <c r="AP82" s="1131">
        <f ca="1">IF(CharacterLevel="","",AU82+AZ82)</f>
        <v>1</v>
      </c>
      <c r="AQ82" s="1132"/>
      <c r="AR82" s="1132"/>
      <c r="AS82" s="1133"/>
      <c r="AT82" s="1096" t="s">
        <v>25</v>
      </c>
      <c r="AU82" s="1156">
        <f>IF(CharacterLevel="","",1)</f>
        <v>1</v>
      </c>
      <c r="AV82" s="1157"/>
      <c r="AW82" s="1157"/>
      <c r="AX82" s="1158"/>
      <c r="AY82" s="1096" t="s">
        <v>26</v>
      </c>
      <c r="AZ82" s="1156">
        <f ca="1">IF(CharacterLevel="","",IF(FighterLevel&gt;=20,3,IF(FighterLevel&gt;=11,2,IF(OR(FighterLevel&gt;=5,BarbarianLevel&gt;=5,BardValorLevel&gt;=6,PaladinLevel&gt;=5,MonkLevel&gt;=5),1,0))))</f>
        <v>0</v>
      </c>
      <c r="BA82" s="1157"/>
      <c r="BB82" s="1157"/>
      <c r="BC82" s="1158"/>
      <c r="BD82" s="5"/>
      <c r="BE82" s="1120"/>
      <c r="BF82" s="1120"/>
      <c r="BG82" s="1120"/>
      <c r="BH82" s="1120"/>
      <c r="BI82" s="1120"/>
      <c r="BJ82" s="1120"/>
      <c r="BK82" s="1120"/>
      <c r="BL82" s="1120"/>
      <c r="BM82" s="1120"/>
      <c r="BN82" s="1120"/>
      <c r="BO82" s="238"/>
      <c r="BP82" s="1120"/>
      <c r="BQ82" s="1120"/>
      <c r="BR82" s="1120"/>
      <c r="BS82" s="1120"/>
      <c r="BT82" s="1120"/>
      <c r="BU82" s="1120"/>
      <c r="BV82" s="1120"/>
      <c r="BW82" s="1120"/>
      <c r="BX82" s="1120"/>
      <c r="BY82" s="1120"/>
      <c r="BZ82" s="5"/>
      <c r="CA82" s="1120"/>
      <c r="CB82" s="1120"/>
      <c r="CC82" s="1120"/>
      <c r="CD82" s="1120"/>
      <c r="CE82" s="1120"/>
      <c r="CF82" s="1120"/>
      <c r="CG82" s="1120"/>
      <c r="CH82" s="1120"/>
      <c r="CI82" s="1120"/>
      <c r="CJ82" s="1120"/>
      <c r="CK82" s="5"/>
      <c r="CL82" s="1120"/>
      <c r="CM82" s="1120"/>
      <c r="CN82" s="1120"/>
      <c r="CO82" s="1120"/>
      <c r="CP82" s="1120"/>
      <c r="CQ82" s="1120"/>
      <c r="CR82" s="1120"/>
      <c r="CS82" s="1120"/>
      <c r="CT82" s="1120"/>
      <c r="CU82" s="1120"/>
      <c r="CV82" s="5"/>
    </row>
    <row r="83" spans="1:103" ht="12" customHeight="1" x14ac:dyDescent="0.3">
      <c r="A83" s="5"/>
      <c r="B83" s="997"/>
      <c r="C83" s="997"/>
      <c r="D83" s="997"/>
      <c r="E83" s="997"/>
      <c r="F83" s="997"/>
      <c r="G83" s="997"/>
      <c r="H83" s="997"/>
      <c r="I83" s="997"/>
      <c r="J83" s="997"/>
      <c r="K83" s="5"/>
      <c r="L83" s="1090"/>
      <c r="M83" s="1091"/>
      <c r="N83" s="1091"/>
      <c r="O83" s="1092"/>
      <c r="P83" s="1096"/>
      <c r="Q83" s="1187"/>
      <c r="R83" s="1188"/>
      <c r="S83" s="1188"/>
      <c r="T83" s="1189"/>
      <c r="U83" s="1096"/>
      <c r="V83" s="1159"/>
      <c r="W83" s="1160"/>
      <c r="X83" s="1160"/>
      <c r="Y83" s="1161"/>
      <c r="Z83" s="5"/>
      <c r="AA83" s="997"/>
      <c r="AB83" s="997"/>
      <c r="AC83" s="997"/>
      <c r="AD83" s="997"/>
      <c r="AE83" s="997"/>
      <c r="AF83" s="997"/>
      <c r="AG83" s="997"/>
      <c r="AH83" s="997"/>
      <c r="AI83" s="997"/>
      <c r="AJ83" s="997"/>
      <c r="AK83" s="997"/>
      <c r="AL83" s="997"/>
      <c r="AM83" s="997"/>
      <c r="AN83" s="997"/>
      <c r="AO83" s="5"/>
      <c r="AP83" s="1134"/>
      <c r="AQ83" s="1135"/>
      <c r="AR83" s="1135"/>
      <c r="AS83" s="1136"/>
      <c r="AT83" s="1096"/>
      <c r="AU83" s="1159"/>
      <c r="AV83" s="1160"/>
      <c r="AW83" s="1160"/>
      <c r="AX83" s="1161"/>
      <c r="AY83" s="1096"/>
      <c r="AZ83" s="1159"/>
      <c r="BA83" s="1160"/>
      <c r="BB83" s="1160"/>
      <c r="BC83" s="1161"/>
      <c r="BD83" s="5"/>
      <c r="BE83" s="1012" t="str">
        <f>IF(OR(CharacterLevel="",Start!AX17=Tables!$JG$2),"",Start!AX17)</f>
        <v/>
      </c>
      <c r="BF83" s="1012"/>
      <c r="BG83" s="1012"/>
      <c r="BH83" s="1012"/>
      <c r="BI83" s="1012"/>
      <c r="BJ83" s="1012"/>
      <c r="BK83" s="1012"/>
      <c r="BL83" s="1012"/>
      <c r="BM83" s="1012"/>
      <c r="BN83" s="1012"/>
      <c r="BO83" s="238"/>
      <c r="BP83" s="1012" t="str">
        <f>IF(OR(CharacterLevel="",Start!AX21=Tables!$JG$2),"",Start!AX21)</f>
        <v/>
      </c>
      <c r="BQ83" s="1012"/>
      <c r="BR83" s="1012"/>
      <c r="BS83" s="1012"/>
      <c r="BT83" s="1012"/>
      <c r="BU83" s="1012"/>
      <c r="BV83" s="1012"/>
      <c r="BW83" s="1012"/>
      <c r="BX83" s="1012"/>
      <c r="BY83" s="1012"/>
      <c r="BZ83" s="5"/>
      <c r="CA83" s="1012" t="str">
        <f>IF(OR(CharacterLevel="",Start!AX25=Tables!$JG$2),"",Start!AX25)</f>
        <v/>
      </c>
      <c r="CB83" s="1012"/>
      <c r="CC83" s="1012"/>
      <c r="CD83" s="1012"/>
      <c r="CE83" s="1012"/>
      <c r="CF83" s="1012"/>
      <c r="CG83" s="1012"/>
      <c r="CH83" s="1012"/>
      <c r="CI83" s="1012"/>
      <c r="CJ83" s="1012"/>
      <c r="CK83" s="5"/>
      <c r="CL83" s="1012" t="str">
        <f>IF(OR(CharacterLevel="",Start!AX29=Tables!$JG$2),"",Start!AX29)</f>
        <v/>
      </c>
      <c r="CM83" s="1012"/>
      <c r="CN83" s="1012"/>
      <c r="CO83" s="1012"/>
      <c r="CP83" s="1012"/>
      <c r="CQ83" s="1012"/>
      <c r="CR83" s="1012"/>
      <c r="CS83" s="1012"/>
      <c r="CT83" s="1012"/>
      <c r="CU83" s="1012"/>
      <c r="CV83" s="5"/>
      <c r="CY83" s="6">
        <f>CY81+1</f>
        <v>26</v>
      </c>
    </row>
    <row r="84" spans="1:103" ht="12" customHeight="1" thickBot="1" x14ac:dyDescent="0.35">
      <c r="A84" s="5"/>
      <c r="B84" s="1040" t="s">
        <v>43</v>
      </c>
      <c r="C84" s="1040"/>
      <c r="D84" s="1040"/>
      <c r="E84" s="1040"/>
      <c r="F84" s="1040"/>
      <c r="G84" s="1040"/>
      <c r="H84" s="1040"/>
      <c r="I84" s="1040"/>
      <c r="J84" s="1040"/>
      <c r="K84" s="5"/>
      <c r="L84" s="1093"/>
      <c r="M84" s="1094"/>
      <c r="N84" s="1094"/>
      <c r="O84" s="1095"/>
      <c r="P84" s="1096"/>
      <c r="Q84" s="1190"/>
      <c r="R84" s="1191"/>
      <c r="S84" s="1191"/>
      <c r="T84" s="1192"/>
      <c r="U84" s="1096"/>
      <c r="V84" s="1162"/>
      <c r="W84" s="1163"/>
      <c r="X84" s="1163"/>
      <c r="Y84" s="1164"/>
      <c r="Z84" s="5"/>
      <c r="AA84" s="1040" t="s">
        <v>784</v>
      </c>
      <c r="AB84" s="1040"/>
      <c r="AC84" s="1040"/>
      <c r="AD84" s="1040"/>
      <c r="AE84" s="1040"/>
      <c r="AF84" s="1040"/>
      <c r="AG84" s="1040"/>
      <c r="AH84" s="1040"/>
      <c r="AI84" s="1040"/>
      <c r="AJ84" s="1040"/>
      <c r="AK84" s="1040"/>
      <c r="AL84" s="1040"/>
      <c r="AM84" s="1040"/>
      <c r="AN84" s="1040"/>
      <c r="AO84" s="5"/>
      <c r="AP84" s="1137"/>
      <c r="AQ84" s="1138"/>
      <c r="AR84" s="1138"/>
      <c r="AS84" s="1139"/>
      <c r="AT84" s="1096"/>
      <c r="AU84" s="1162"/>
      <c r="AV84" s="1163"/>
      <c r="AW84" s="1163"/>
      <c r="AX84" s="1164"/>
      <c r="AY84" s="1096"/>
      <c r="AZ84" s="1162"/>
      <c r="BA84" s="1163"/>
      <c r="BB84" s="1163"/>
      <c r="BC84" s="1164"/>
      <c r="BD84" s="5"/>
      <c r="BE84" s="1120"/>
      <c r="BF84" s="1120"/>
      <c r="BG84" s="1120"/>
      <c r="BH84" s="1120"/>
      <c r="BI84" s="1120"/>
      <c r="BJ84" s="1120"/>
      <c r="BK84" s="1120"/>
      <c r="BL84" s="1120"/>
      <c r="BM84" s="1120"/>
      <c r="BN84" s="1120"/>
      <c r="BO84" s="238"/>
      <c r="BP84" s="1120"/>
      <c r="BQ84" s="1120"/>
      <c r="BR84" s="1120"/>
      <c r="BS84" s="1120"/>
      <c r="BT84" s="1120"/>
      <c r="BU84" s="1120"/>
      <c r="BV84" s="1120"/>
      <c r="BW84" s="1120"/>
      <c r="BX84" s="1120"/>
      <c r="BY84" s="1120"/>
      <c r="BZ84" s="5"/>
      <c r="CA84" s="1120"/>
      <c r="CB84" s="1120"/>
      <c r="CC84" s="1120"/>
      <c r="CD84" s="1120"/>
      <c r="CE84" s="1120"/>
      <c r="CF84" s="1120"/>
      <c r="CG84" s="1120"/>
      <c r="CH84" s="1120"/>
      <c r="CI84" s="1120"/>
      <c r="CJ84" s="1120"/>
      <c r="CK84" s="5"/>
      <c r="CL84" s="1120"/>
      <c r="CM84" s="1120"/>
      <c r="CN84" s="1120"/>
      <c r="CO84" s="1120"/>
      <c r="CP84" s="1120"/>
      <c r="CQ84" s="1120"/>
      <c r="CR84" s="1120"/>
      <c r="CS84" s="1120"/>
      <c r="CT84" s="1120"/>
      <c r="CU84" s="1120"/>
      <c r="CV84" s="5"/>
    </row>
    <row r="85" spans="1:103" ht="12" customHeight="1" x14ac:dyDescent="0.3">
      <c r="A85" s="5"/>
      <c r="B85" s="783" t="str">
        <f>IF(CharacterLevel="","",IF(Tables!OB1&gt;0,"ALERT FEAT: +5
","")&amp;IF(BarbarianLevel&gt;=7,"FERAL INSTINCT: ADVANTAGE",""))</f>
        <v/>
      </c>
      <c r="C85" s="783"/>
      <c r="D85" s="783"/>
      <c r="E85" s="783"/>
      <c r="F85" s="783"/>
      <c r="G85" s="783"/>
      <c r="H85" s="783"/>
      <c r="I85" s="783"/>
      <c r="J85" s="783"/>
      <c r="K85" s="5"/>
      <c r="L85" s="1144" t="s">
        <v>17</v>
      </c>
      <c r="M85" s="1144"/>
      <c r="N85" s="1144"/>
      <c r="O85" s="1144"/>
      <c r="P85" s="1097" t="s">
        <v>1927</v>
      </c>
      <c r="Q85" s="1097"/>
      <c r="R85" s="1097"/>
      <c r="S85" s="1097"/>
      <c r="T85" s="1097"/>
      <c r="U85" s="1097"/>
      <c r="V85" s="1097" t="s">
        <v>373</v>
      </c>
      <c r="W85" s="1097"/>
      <c r="X85" s="1097"/>
      <c r="Y85" s="1097"/>
      <c r="Z85" s="263"/>
      <c r="AA85" s="263"/>
      <c r="AB85" s="263"/>
      <c r="AC85" s="263"/>
      <c r="AD85" s="263"/>
      <c r="AE85" s="263"/>
      <c r="AF85" s="263"/>
      <c r="AG85" s="263"/>
      <c r="AH85" s="263"/>
      <c r="AI85" s="263"/>
      <c r="AJ85" s="263"/>
      <c r="AK85" s="5"/>
      <c r="AL85" s="5"/>
      <c r="AM85" s="5"/>
      <c r="AN85" s="5"/>
      <c r="AO85" s="5"/>
      <c r="AP85" s="1144" t="s">
        <v>17</v>
      </c>
      <c r="AQ85" s="1144"/>
      <c r="AR85" s="1144"/>
      <c r="AS85" s="1144"/>
      <c r="AT85" s="1097" t="s">
        <v>782</v>
      </c>
      <c r="AU85" s="1097"/>
      <c r="AV85" s="1097"/>
      <c r="AW85" s="1097"/>
      <c r="AX85" s="1097"/>
      <c r="AY85" s="1097"/>
      <c r="AZ85" s="1097" t="s">
        <v>783</v>
      </c>
      <c r="BA85" s="1097"/>
      <c r="BB85" s="1097"/>
      <c r="BC85" s="1097"/>
      <c r="BD85" s="344"/>
      <c r="BE85" s="1012" t="str">
        <f>IF(OR(CharacterLevel="",Start!AX18=Tables!$JG$2),"",Start!AX18)</f>
        <v/>
      </c>
      <c r="BF85" s="1012"/>
      <c r="BG85" s="1012"/>
      <c r="BH85" s="1012"/>
      <c r="BI85" s="1012"/>
      <c r="BJ85" s="1012"/>
      <c r="BK85" s="1012"/>
      <c r="BL85" s="1012"/>
      <c r="BM85" s="1012"/>
      <c r="BN85" s="1012"/>
      <c r="BO85" s="238"/>
      <c r="BP85" s="1012" t="str">
        <f>IF(OR(CharacterLevel="",Start!AX22=Tables!$JG$2),"",Start!AX22)</f>
        <v/>
      </c>
      <c r="BQ85" s="1012"/>
      <c r="BR85" s="1012"/>
      <c r="BS85" s="1012"/>
      <c r="BT85" s="1012"/>
      <c r="BU85" s="1012"/>
      <c r="BV85" s="1012"/>
      <c r="BW85" s="1012"/>
      <c r="BX85" s="1012"/>
      <c r="BY85" s="1012"/>
      <c r="BZ85" s="5"/>
      <c r="CA85" s="1012" t="str">
        <f>IF(OR(CharacterLevel="",Start!AX26=Tables!$JG$2),"",Start!AX26)</f>
        <v/>
      </c>
      <c r="CB85" s="1012"/>
      <c r="CC85" s="1012"/>
      <c r="CD85" s="1012"/>
      <c r="CE85" s="1012"/>
      <c r="CF85" s="1012"/>
      <c r="CG85" s="1012"/>
      <c r="CH85" s="1012"/>
      <c r="CI85" s="1012"/>
      <c r="CJ85" s="1012"/>
      <c r="CK85" s="5"/>
      <c r="CL85" s="1012" t="str">
        <f>IF(OR(CharacterLevel="",Start!AX30=Tables!$JG$2),"",Start!AX30)</f>
        <v/>
      </c>
      <c r="CM85" s="1012"/>
      <c r="CN85" s="1012"/>
      <c r="CO85" s="1012"/>
      <c r="CP85" s="1012"/>
      <c r="CQ85" s="1012"/>
      <c r="CR85" s="1012"/>
      <c r="CS85" s="1012"/>
      <c r="CT85" s="1012"/>
      <c r="CU85" s="1012"/>
      <c r="CV85" s="5"/>
      <c r="CY85" s="6">
        <f>CY83+1</f>
        <v>27</v>
      </c>
    </row>
    <row r="86" spans="1:103" ht="12" customHeight="1" x14ac:dyDescent="0.3">
      <c r="A86" s="5"/>
      <c r="B86" s="783"/>
      <c r="C86" s="783"/>
      <c r="D86" s="783"/>
      <c r="E86" s="783"/>
      <c r="F86" s="783"/>
      <c r="G86" s="783"/>
      <c r="H86" s="783"/>
      <c r="I86" s="783"/>
      <c r="J86" s="783"/>
      <c r="K86" s="5"/>
      <c r="L86" s="1144"/>
      <c r="M86" s="1144"/>
      <c r="N86" s="1144"/>
      <c r="O86" s="1144"/>
      <c r="P86" s="1097"/>
      <c r="Q86" s="1097"/>
      <c r="R86" s="1097"/>
      <c r="S86" s="1097"/>
      <c r="T86" s="1097"/>
      <c r="U86" s="1097"/>
      <c r="V86" s="1097"/>
      <c r="W86" s="1097"/>
      <c r="X86" s="1097"/>
      <c r="Y86" s="1097"/>
      <c r="Z86" s="263"/>
      <c r="AA86" s="263"/>
      <c r="AB86" s="263"/>
      <c r="AC86" s="263"/>
      <c r="AD86" s="263"/>
      <c r="AE86" s="263"/>
      <c r="AF86" s="263"/>
      <c r="AG86" s="263"/>
      <c r="AH86" s="263"/>
      <c r="AI86" s="263"/>
      <c r="AJ86" s="263"/>
      <c r="AK86" s="5"/>
      <c r="AL86" s="5"/>
      <c r="AM86" s="5"/>
      <c r="AN86" s="5"/>
      <c r="AO86" s="5"/>
      <c r="AP86" s="1144"/>
      <c r="AQ86" s="1144"/>
      <c r="AR86" s="1144"/>
      <c r="AS86" s="1144"/>
      <c r="AT86" s="1097"/>
      <c r="AU86" s="1097"/>
      <c r="AV86" s="1097"/>
      <c r="AW86" s="1097"/>
      <c r="AX86" s="1097"/>
      <c r="AY86" s="1097"/>
      <c r="AZ86" s="1097"/>
      <c r="BA86" s="1097"/>
      <c r="BB86" s="1097"/>
      <c r="BC86" s="1097"/>
      <c r="BD86" s="344"/>
      <c r="BE86" s="1120"/>
      <c r="BF86" s="1120"/>
      <c r="BG86" s="1120"/>
      <c r="BH86" s="1120"/>
      <c r="BI86" s="1120"/>
      <c r="BJ86" s="1120"/>
      <c r="BK86" s="1120"/>
      <c r="BL86" s="1120"/>
      <c r="BM86" s="1120"/>
      <c r="BN86" s="1120"/>
      <c r="BO86" s="238"/>
      <c r="BP86" s="1120"/>
      <c r="BQ86" s="1120"/>
      <c r="BR86" s="1120"/>
      <c r="BS86" s="1120"/>
      <c r="BT86" s="1120"/>
      <c r="BU86" s="1120"/>
      <c r="BV86" s="1120"/>
      <c r="BW86" s="1120"/>
      <c r="BX86" s="1120"/>
      <c r="BY86" s="1120"/>
      <c r="BZ86" s="5"/>
      <c r="CA86" s="1120"/>
      <c r="CB86" s="1120"/>
      <c r="CC86" s="1120"/>
      <c r="CD86" s="1120"/>
      <c r="CE86" s="1120"/>
      <c r="CF86" s="1120"/>
      <c r="CG86" s="1120"/>
      <c r="CH86" s="1120"/>
      <c r="CI86" s="1120"/>
      <c r="CJ86" s="1120"/>
      <c r="CK86" s="5"/>
      <c r="CL86" s="1120"/>
      <c r="CM86" s="1120"/>
      <c r="CN86" s="1120"/>
      <c r="CO86" s="1120"/>
      <c r="CP86" s="1120"/>
      <c r="CQ86" s="1120"/>
      <c r="CR86" s="1120"/>
      <c r="CS86" s="1120"/>
      <c r="CT86" s="1120"/>
      <c r="CU86" s="1120"/>
      <c r="CV86" s="5"/>
    </row>
    <row r="87" spans="1:103" ht="12" customHeight="1" thickBo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2"/>
      <c r="AD87" s="5"/>
      <c r="AE87" s="5"/>
      <c r="AF87" s="5"/>
      <c r="AG87" s="5"/>
      <c r="AH87" s="5"/>
      <c r="AI87" s="5"/>
      <c r="AJ87" s="5"/>
      <c r="AK87" s="5"/>
      <c r="AL87" s="5"/>
      <c r="AM87" s="5"/>
      <c r="AN87" s="5"/>
      <c r="AO87" s="5"/>
      <c r="AP87" s="5"/>
      <c r="AQ87" s="5"/>
      <c r="AR87" s="5"/>
      <c r="AS87" s="5"/>
      <c r="AT87" s="5"/>
      <c r="AU87" s="5"/>
      <c r="AV87" s="5"/>
      <c r="AW87" s="222"/>
      <c r="AX87" s="222"/>
      <c r="AY87" s="5"/>
      <c r="AZ87" s="222"/>
      <c r="BA87" s="222"/>
      <c r="BB87" s="222"/>
      <c r="BC87" s="222"/>
      <c r="BD87" s="5"/>
      <c r="BE87" s="1012" t="str">
        <f>IF(OR(CharacterLevel="",Start!AX19=Tables!$JG$2),"",Start!AX19)</f>
        <v/>
      </c>
      <c r="BF87" s="1012"/>
      <c r="BG87" s="1012"/>
      <c r="BH87" s="1012"/>
      <c r="BI87" s="1012"/>
      <c r="BJ87" s="1012"/>
      <c r="BK87" s="1012"/>
      <c r="BL87" s="1012"/>
      <c r="BM87" s="1012"/>
      <c r="BN87" s="1012"/>
      <c r="BO87" s="238"/>
      <c r="BP87" s="1012" t="str">
        <f>IF(OR(CharacterLevel="",Start!AX23=Tables!$JG$2),"",Start!AX23)</f>
        <v/>
      </c>
      <c r="BQ87" s="1012"/>
      <c r="BR87" s="1012"/>
      <c r="BS87" s="1012"/>
      <c r="BT87" s="1012"/>
      <c r="BU87" s="1012"/>
      <c r="BV87" s="1012"/>
      <c r="BW87" s="1012"/>
      <c r="BX87" s="1012"/>
      <c r="BY87" s="1012"/>
      <c r="BZ87" s="5"/>
      <c r="CA87" s="1012" t="str">
        <f>IF(OR(CharacterLevel="",Start!AX27=Tables!$JG$2),"",Start!AX27)</f>
        <v/>
      </c>
      <c r="CB87" s="1012"/>
      <c r="CC87" s="1012"/>
      <c r="CD87" s="1012"/>
      <c r="CE87" s="1012"/>
      <c r="CF87" s="1012"/>
      <c r="CG87" s="1012"/>
      <c r="CH87" s="1012"/>
      <c r="CI87" s="1012"/>
      <c r="CJ87" s="1012"/>
      <c r="CK87" s="5"/>
      <c r="CL87" s="1012" t="str">
        <f>IF(OR(CharacterLevel="",Start!AX31=Tables!$JG$2),"",Start!AX31)</f>
        <v/>
      </c>
      <c r="CM87" s="1012"/>
      <c r="CN87" s="1012"/>
      <c r="CO87" s="1012"/>
      <c r="CP87" s="1012"/>
      <c r="CQ87" s="1012"/>
      <c r="CR87" s="1012"/>
      <c r="CS87" s="1012"/>
      <c r="CT87" s="1012"/>
      <c r="CU87" s="1012"/>
      <c r="CV87" s="5"/>
      <c r="CY87" s="6">
        <f>CY85+1</f>
        <v>28</v>
      </c>
    </row>
    <row r="88" spans="1:103" ht="12" customHeight="1" x14ac:dyDescent="0.3">
      <c r="A88" s="5"/>
      <c r="B88" s="1027" t="s">
        <v>81</v>
      </c>
      <c r="C88" s="1028"/>
      <c r="D88" s="1028"/>
      <c r="E88" s="1028"/>
      <c r="F88" s="1028"/>
      <c r="G88" s="1028"/>
      <c r="H88" s="1028"/>
      <c r="I88" s="1028"/>
      <c r="J88" s="1028"/>
      <c r="K88" s="1028"/>
      <c r="L88" s="1028"/>
      <c r="M88" s="1028"/>
      <c r="N88" s="1028"/>
      <c r="O88" s="1028"/>
      <c r="P88" s="1028"/>
      <c r="Q88" s="1028"/>
      <c r="R88" s="1028"/>
      <c r="S88" s="1028"/>
      <c r="T88" s="1028"/>
      <c r="U88" s="1029"/>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1120"/>
      <c r="BF88" s="1120"/>
      <c r="BG88" s="1120"/>
      <c r="BH88" s="1120"/>
      <c r="BI88" s="1120"/>
      <c r="BJ88" s="1120"/>
      <c r="BK88" s="1120"/>
      <c r="BL88" s="1120"/>
      <c r="BM88" s="1120"/>
      <c r="BN88" s="1120"/>
      <c r="BO88" s="238"/>
      <c r="BP88" s="1120"/>
      <c r="BQ88" s="1120"/>
      <c r="BR88" s="1120"/>
      <c r="BS88" s="1120"/>
      <c r="BT88" s="1120"/>
      <c r="BU88" s="1120"/>
      <c r="BV88" s="1120"/>
      <c r="BW88" s="1120"/>
      <c r="BX88" s="1120"/>
      <c r="BY88" s="1120"/>
      <c r="BZ88" s="5"/>
      <c r="CA88" s="1120"/>
      <c r="CB88" s="1120"/>
      <c r="CC88" s="1120"/>
      <c r="CD88" s="1120"/>
      <c r="CE88" s="1120"/>
      <c r="CF88" s="1120"/>
      <c r="CG88" s="1120"/>
      <c r="CH88" s="1120"/>
      <c r="CI88" s="1120"/>
      <c r="CJ88" s="1120"/>
      <c r="CK88" s="5"/>
      <c r="CL88" s="1120"/>
      <c r="CM88" s="1120"/>
      <c r="CN88" s="1120"/>
      <c r="CO88" s="1120"/>
      <c r="CP88" s="1120"/>
      <c r="CQ88" s="1120"/>
      <c r="CR88" s="1120"/>
      <c r="CS88" s="1120"/>
      <c r="CT88" s="1120"/>
      <c r="CU88" s="1120"/>
      <c r="CV88" s="5"/>
    </row>
    <row r="89" spans="1:103" ht="12" customHeight="1" thickBot="1" x14ac:dyDescent="0.35">
      <c r="A89" s="5"/>
      <c r="B89" s="1030"/>
      <c r="C89" s="1031"/>
      <c r="D89" s="1031"/>
      <c r="E89" s="1031"/>
      <c r="F89" s="1031"/>
      <c r="G89" s="1031"/>
      <c r="H89" s="1031"/>
      <c r="I89" s="1031"/>
      <c r="J89" s="1031"/>
      <c r="K89" s="1031"/>
      <c r="L89" s="1031"/>
      <c r="M89" s="1031"/>
      <c r="N89" s="1031"/>
      <c r="O89" s="1031"/>
      <c r="P89" s="1031"/>
      <c r="Q89" s="1031"/>
      <c r="R89" s="1031"/>
      <c r="S89" s="1031"/>
      <c r="T89" s="1031"/>
      <c r="U89" s="1032"/>
      <c r="V89" s="994" t="s">
        <v>180</v>
      </c>
      <c r="W89" s="988"/>
      <c r="X89" s="988"/>
      <c r="Y89" s="988"/>
      <c r="Z89" s="988"/>
      <c r="AA89" s="988"/>
      <c r="AB89" s="988" t="s">
        <v>47</v>
      </c>
      <c r="AC89" s="988"/>
      <c r="AD89" s="988"/>
      <c r="AE89" s="988"/>
      <c r="AF89" s="988"/>
      <c r="AG89" s="988"/>
      <c r="AH89" s="988"/>
      <c r="AI89" s="988"/>
      <c r="AJ89" s="988"/>
      <c r="AK89" s="988"/>
      <c r="AL89" s="988"/>
      <c r="AM89" s="988"/>
      <c r="AN89" s="988"/>
      <c r="AO89" s="988"/>
      <c r="AP89" s="988"/>
      <c r="AQ89" s="988" t="s">
        <v>9</v>
      </c>
      <c r="AR89" s="988"/>
      <c r="AS89" s="988"/>
      <c r="AT89" s="988"/>
      <c r="AU89" s="988"/>
      <c r="AV89" s="988"/>
      <c r="AW89" s="988"/>
      <c r="AX89" s="988"/>
      <c r="AY89" s="988"/>
      <c r="AZ89" s="988"/>
      <c r="BA89" s="988"/>
      <c r="BB89" s="988"/>
      <c r="BC89" s="989"/>
      <c r="BD89" s="5"/>
      <c r="BE89" s="356"/>
      <c r="BF89" s="356"/>
      <c r="BG89" s="356"/>
      <c r="BH89" s="356"/>
      <c r="BI89" s="356"/>
      <c r="BJ89" s="356"/>
      <c r="BK89" s="356"/>
      <c r="BL89" s="356"/>
      <c r="BM89" s="356"/>
      <c r="BN89" s="356"/>
      <c r="BO89" s="238"/>
      <c r="BP89" s="356"/>
      <c r="BQ89" s="356"/>
      <c r="BR89" s="356"/>
      <c r="BS89" s="356"/>
      <c r="BT89" s="356"/>
      <c r="BU89" s="356"/>
      <c r="BV89" s="356"/>
      <c r="BW89" s="356"/>
      <c r="BX89" s="356"/>
      <c r="BY89" s="356"/>
      <c r="BZ89" s="5"/>
      <c r="CA89" s="356"/>
      <c r="CB89" s="356"/>
      <c r="CC89" s="356"/>
      <c r="CD89" s="356"/>
      <c r="CE89" s="356"/>
      <c r="CF89" s="356"/>
      <c r="CG89" s="356"/>
      <c r="CH89" s="356"/>
      <c r="CI89" s="356"/>
      <c r="CJ89" s="356"/>
      <c r="CK89" s="5"/>
      <c r="CL89" s="356"/>
      <c r="CM89" s="356"/>
      <c r="CN89" s="356"/>
      <c r="CO89" s="356"/>
      <c r="CP89" s="356"/>
      <c r="CQ89" s="356"/>
      <c r="CR89" s="356"/>
      <c r="CS89" s="356"/>
      <c r="CT89" s="356"/>
      <c r="CU89" s="356"/>
      <c r="CV89" s="5"/>
      <c r="CY89" s="6">
        <f>CY87+1</f>
        <v>29</v>
      </c>
    </row>
    <row r="90" spans="1:103" ht="12" customHeight="1" thickBot="1" x14ac:dyDescent="0.35">
      <c r="A90" s="5"/>
      <c r="B90" s="1018" t="str">
        <f>IF(CharacterLevel="","",Attack1name)</f>
        <v/>
      </c>
      <c r="C90" s="1019"/>
      <c r="D90" s="1019"/>
      <c r="E90" s="1019"/>
      <c r="F90" s="1019"/>
      <c r="G90" s="1019"/>
      <c r="H90" s="1019"/>
      <c r="I90" s="1019"/>
      <c r="J90" s="1019"/>
      <c r="K90" s="1019"/>
      <c r="L90" s="1019"/>
      <c r="M90" s="1019"/>
      <c r="N90" s="1019"/>
      <c r="O90" s="1019"/>
      <c r="P90" s="1019"/>
      <c r="Q90" s="1019"/>
      <c r="R90" s="1019"/>
      <c r="S90" s="1019"/>
      <c r="T90" s="1019"/>
      <c r="U90" s="1020"/>
      <c r="V90" s="986" t="str">
        <f ca="1">IF(CharacterLevel="","",Attack1bonus)</f>
        <v/>
      </c>
      <c r="W90" s="987"/>
      <c r="X90" s="987"/>
      <c r="Y90" s="987"/>
      <c r="Z90" s="987"/>
      <c r="AA90" s="987"/>
      <c r="AB90" s="990" t="str">
        <f>IF(CharacterLevel="","",Attack1damage)</f>
        <v/>
      </c>
      <c r="AC90" s="990"/>
      <c r="AD90" s="990"/>
      <c r="AE90" s="990"/>
      <c r="AF90" s="990"/>
      <c r="AG90" s="990"/>
      <c r="AH90" s="990"/>
      <c r="AI90" s="990"/>
      <c r="AJ90" s="990"/>
      <c r="AK90" s="990"/>
      <c r="AL90" s="990"/>
      <c r="AM90" s="990"/>
      <c r="AN90" s="990"/>
      <c r="AO90" s="990"/>
      <c r="AP90" s="990"/>
      <c r="AQ90" s="990" t="str">
        <f>IF(CharacterLevel="","",Attack1type)</f>
        <v/>
      </c>
      <c r="AR90" s="990"/>
      <c r="AS90" s="990"/>
      <c r="AT90" s="990"/>
      <c r="AU90" s="990"/>
      <c r="AV90" s="990"/>
      <c r="AW90" s="990"/>
      <c r="AX90" s="990"/>
      <c r="AY90" s="990"/>
      <c r="AZ90" s="990"/>
      <c r="BA90" s="990"/>
      <c r="BB90" s="990"/>
      <c r="BC90" s="990"/>
      <c r="BD90" s="5"/>
      <c r="BE90" s="5"/>
      <c r="BF90" s="5"/>
      <c r="BG90" s="5"/>
      <c r="BH90" s="5"/>
      <c r="BI90" s="5"/>
      <c r="BJ90" s="5"/>
      <c r="BK90" s="5"/>
      <c r="BL90" s="5"/>
      <c r="BM90" s="5"/>
      <c r="BN90" s="5"/>
      <c r="BO90" s="238"/>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row>
    <row r="91" spans="1:103" ht="12" customHeight="1" thickBot="1" x14ac:dyDescent="0.25">
      <c r="A91" s="5"/>
      <c r="B91" s="1021"/>
      <c r="C91" s="1022"/>
      <c r="D91" s="1022"/>
      <c r="E91" s="1022"/>
      <c r="F91" s="1022"/>
      <c r="G91" s="1022"/>
      <c r="H91" s="1022"/>
      <c r="I91" s="1022"/>
      <c r="J91" s="1022"/>
      <c r="K91" s="1022"/>
      <c r="L91" s="1022"/>
      <c r="M91" s="1022"/>
      <c r="N91" s="1022"/>
      <c r="O91" s="1022"/>
      <c r="P91" s="1022"/>
      <c r="Q91" s="1022"/>
      <c r="R91" s="1022"/>
      <c r="S91" s="1022"/>
      <c r="T91" s="1022"/>
      <c r="U91" s="1023"/>
      <c r="V91" s="986"/>
      <c r="W91" s="987"/>
      <c r="X91" s="987"/>
      <c r="Y91" s="987"/>
      <c r="Z91" s="987"/>
      <c r="AA91" s="987"/>
      <c r="AB91" s="990"/>
      <c r="AC91" s="990"/>
      <c r="AD91" s="990"/>
      <c r="AE91" s="990"/>
      <c r="AF91" s="990"/>
      <c r="AG91" s="990"/>
      <c r="AH91" s="990"/>
      <c r="AI91" s="990"/>
      <c r="AJ91" s="990"/>
      <c r="AK91" s="990"/>
      <c r="AL91" s="990"/>
      <c r="AM91" s="990"/>
      <c r="AN91" s="990"/>
      <c r="AO91" s="990"/>
      <c r="AP91" s="990"/>
      <c r="AQ91" s="990"/>
      <c r="AR91" s="990"/>
      <c r="AS91" s="990"/>
      <c r="AT91" s="990"/>
      <c r="AU91" s="990"/>
      <c r="AV91" s="990"/>
      <c r="AW91" s="990"/>
      <c r="AX91" s="990"/>
      <c r="AY91" s="990"/>
      <c r="AZ91" s="990"/>
      <c r="BA91" s="990"/>
      <c r="BB91" s="990"/>
      <c r="BC91" s="990"/>
      <c r="BD91" s="5"/>
      <c r="BE91" s="1214" t="s">
        <v>735</v>
      </c>
      <c r="BF91" s="1214"/>
      <c r="BG91" s="1214"/>
      <c r="BH91" s="1214"/>
      <c r="BI91" s="1214"/>
      <c r="BJ91" s="1214"/>
      <c r="BK91" s="1214"/>
      <c r="BL91" s="1214"/>
      <c r="BM91" s="1214"/>
      <c r="BN91" s="1214"/>
      <c r="BO91" s="1214"/>
      <c r="BP91" s="1214"/>
      <c r="BQ91" s="1214"/>
      <c r="BR91" s="1214"/>
      <c r="BS91" s="1214"/>
      <c r="BT91" s="1214"/>
      <c r="BU91" s="1214"/>
      <c r="BV91" s="1214"/>
      <c r="BW91" s="1214"/>
      <c r="BX91" s="1214"/>
      <c r="BY91" s="1214"/>
      <c r="BZ91" s="1214"/>
      <c r="CA91" s="1214"/>
      <c r="CB91" s="1214"/>
      <c r="CC91" s="1214"/>
      <c r="CD91" s="1214"/>
      <c r="CE91" s="1214"/>
      <c r="CF91" s="1214"/>
      <c r="CG91" s="1214"/>
      <c r="CH91" s="1214"/>
      <c r="CI91" s="1214"/>
      <c r="CJ91" s="1214"/>
      <c r="CK91" s="1214"/>
      <c r="CL91" s="1214"/>
      <c r="CM91" s="1214"/>
      <c r="CN91" s="1214"/>
      <c r="CO91" s="1214"/>
      <c r="CP91" s="1214"/>
      <c r="CQ91" s="1214"/>
      <c r="CR91" s="1214"/>
      <c r="CS91" s="1214"/>
      <c r="CT91" s="1214"/>
      <c r="CU91" s="1214"/>
      <c r="CV91" s="5"/>
      <c r="CY91" s="6">
        <f>CY89+1</f>
        <v>30</v>
      </c>
    </row>
    <row r="92" spans="1:103" ht="12" customHeight="1" thickBot="1" x14ac:dyDescent="0.25">
      <c r="A92" s="5"/>
      <c r="B92" s="1024"/>
      <c r="C92" s="1025"/>
      <c r="D92" s="1025"/>
      <c r="E92" s="1025"/>
      <c r="F92" s="1025"/>
      <c r="G92" s="1025"/>
      <c r="H92" s="1025"/>
      <c r="I92" s="1025"/>
      <c r="J92" s="1025"/>
      <c r="K92" s="1025"/>
      <c r="L92" s="1025"/>
      <c r="M92" s="1025"/>
      <c r="N92" s="1025"/>
      <c r="O92" s="1025"/>
      <c r="P92" s="1025"/>
      <c r="Q92" s="1025"/>
      <c r="R92" s="1025"/>
      <c r="S92" s="1025"/>
      <c r="T92" s="1025"/>
      <c r="U92" s="1026"/>
      <c r="V92" s="986"/>
      <c r="W92" s="987"/>
      <c r="X92" s="987"/>
      <c r="Y92" s="987"/>
      <c r="Z92" s="987"/>
      <c r="AA92" s="987"/>
      <c r="AB92" s="991"/>
      <c r="AC92" s="991"/>
      <c r="AD92" s="991"/>
      <c r="AE92" s="991"/>
      <c r="AF92" s="991"/>
      <c r="AG92" s="991"/>
      <c r="AH92" s="991"/>
      <c r="AI92" s="991"/>
      <c r="AJ92" s="991"/>
      <c r="AK92" s="991"/>
      <c r="AL92" s="991"/>
      <c r="AM92" s="991"/>
      <c r="AN92" s="991"/>
      <c r="AO92" s="991"/>
      <c r="AP92" s="991"/>
      <c r="AQ92" s="991"/>
      <c r="AR92" s="991"/>
      <c r="AS92" s="991"/>
      <c r="AT92" s="991"/>
      <c r="AU92" s="991"/>
      <c r="AV92" s="991"/>
      <c r="AW92" s="991"/>
      <c r="AX92" s="991"/>
      <c r="AY92" s="991"/>
      <c r="AZ92" s="991"/>
      <c r="BA92" s="991"/>
      <c r="BB92" s="991"/>
      <c r="BC92" s="991"/>
      <c r="BD92" s="5"/>
      <c r="BE92" s="1214"/>
      <c r="BF92" s="1214"/>
      <c r="BG92" s="1214"/>
      <c r="BH92" s="1214"/>
      <c r="BI92" s="1214"/>
      <c r="BJ92" s="1214"/>
      <c r="BK92" s="1214"/>
      <c r="BL92" s="1214"/>
      <c r="BM92" s="1214"/>
      <c r="BN92" s="1214"/>
      <c r="BO92" s="1214"/>
      <c r="BP92" s="1214"/>
      <c r="BQ92" s="1214"/>
      <c r="BR92" s="1214"/>
      <c r="BS92" s="1214"/>
      <c r="BT92" s="1214"/>
      <c r="BU92" s="1214"/>
      <c r="BV92" s="1214"/>
      <c r="BW92" s="1214"/>
      <c r="BX92" s="1214"/>
      <c r="BY92" s="1214"/>
      <c r="BZ92" s="1214"/>
      <c r="CA92" s="1214"/>
      <c r="CB92" s="1214"/>
      <c r="CC92" s="1214"/>
      <c r="CD92" s="1214"/>
      <c r="CE92" s="1214"/>
      <c r="CF92" s="1214"/>
      <c r="CG92" s="1214"/>
      <c r="CH92" s="1214"/>
      <c r="CI92" s="1214"/>
      <c r="CJ92" s="1214"/>
      <c r="CK92" s="1214"/>
      <c r="CL92" s="1214"/>
      <c r="CM92" s="1214"/>
      <c r="CN92" s="1214"/>
      <c r="CO92" s="1214"/>
      <c r="CP92" s="1214"/>
      <c r="CQ92" s="1214"/>
      <c r="CR92" s="1214"/>
      <c r="CS92" s="1214"/>
      <c r="CT92" s="1214"/>
      <c r="CU92" s="1214"/>
      <c r="CV92" s="5"/>
    </row>
    <row r="93" spans="1:103" ht="12" customHeight="1" thickBot="1" x14ac:dyDescent="0.25">
      <c r="A93" s="5"/>
      <c r="B93" s="1033" t="s">
        <v>48</v>
      </c>
      <c r="C93" s="999"/>
      <c r="D93" s="999"/>
      <c r="E93" s="999"/>
      <c r="F93" s="999"/>
      <c r="G93" s="999"/>
      <c r="H93" s="999"/>
      <c r="I93" s="999"/>
      <c r="J93" s="999" t="s">
        <v>111</v>
      </c>
      <c r="K93" s="999"/>
      <c r="L93" s="999"/>
      <c r="M93" s="999"/>
      <c r="N93" s="999"/>
      <c r="O93" s="999"/>
      <c r="P93" s="999"/>
      <c r="Q93" s="999"/>
      <c r="R93" s="999"/>
      <c r="S93" s="999"/>
      <c r="T93" s="999"/>
      <c r="U93" s="999"/>
      <c r="V93" s="999"/>
      <c r="W93" s="999"/>
      <c r="X93" s="999"/>
      <c r="Y93" s="999"/>
      <c r="Z93" s="999"/>
      <c r="AA93" s="999"/>
      <c r="AB93" s="999"/>
      <c r="AC93" s="999"/>
      <c r="AD93" s="999"/>
      <c r="AE93" s="999"/>
      <c r="AF93" s="999"/>
      <c r="AG93" s="999"/>
      <c r="AH93" s="999"/>
      <c r="AI93" s="999"/>
      <c r="AJ93" s="999"/>
      <c r="AK93" s="999"/>
      <c r="AL93" s="999"/>
      <c r="AM93" s="999"/>
      <c r="AN93" s="999"/>
      <c r="AO93" s="999"/>
      <c r="AP93" s="999"/>
      <c r="AQ93" s="999"/>
      <c r="AR93" s="999"/>
      <c r="AS93" s="999"/>
      <c r="AT93" s="999"/>
      <c r="AU93" s="999"/>
      <c r="AV93" s="999"/>
      <c r="AW93" s="999"/>
      <c r="AX93" s="999"/>
      <c r="AY93" s="999"/>
      <c r="AZ93" s="999"/>
      <c r="BA93" s="999"/>
      <c r="BB93" s="999"/>
      <c r="BC93" s="1000"/>
      <c r="BD93" s="5"/>
      <c r="BE93" s="124"/>
      <c r="BF93" s="124"/>
      <c r="BG93" s="124"/>
      <c r="BH93" s="124"/>
      <c r="BI93" s="124"/>
      <c r="BJ93" s="124"/>
      <c r="BK93" s="124"/>
      <c r="BL93" s="124"/>
      <c r="BM93" s="124"/>
      <c r="BN93" s="124"/>
      <c r="BO93" s="124"/>
      <c r="BP93" s="124"/>
      <c r="BQ93" s="124"/>
      <c r="BR93" s="124"/>
      <c r="BS93" s="124"/>
      <c r="BT93" s="124"/>
      <c r="BU93" s="124"/>
      <c r="BV93" s="124"/>
      <c r="BW93" s="124"/>
      <c r="BX93" s="124"/>
      <c r="BY93" s="124"/>
      <c r="BZ93" s="124"/>
      <c r="CA93" s="124"/>
      <c r="CB93" s="124"/>
      <c r="CC93" s="124"/>
      <c r="CD93" s="124"/>
      <c r="CE93" s="124"/>
      <c r="CF93" s="124"/>
      <c r="CG93" s="124"/>
      <c r="CH93" s="124"/>
      <c r="CI93" s="124"/>
      <c r="CJ93" s="124"/>
      <c r="CK93" s="124"/>
      <c r="CL93" s="124"/>
      <c r="CM93" s="124"/>
      <c r="CN93" s="124"/>
      <c r="CO93" s="124"/>
      <c r="CP93" s="124"/>
      <c r="CQ93" s="124"/>
      <c r="CR93" s="124"/>
      <c r="CS93" s="124"/>
      <c r="CT93" s="124"/>
      <c r="CU93" s="124"/>
      <c r="CV93" s="5"/>
      <c r="CY93" s="6">
        <f>CY91+1</f>
        <v>31</v>
      </c>
    </row>
    <row r="94" spans="1:103" ht="12" customHeight="1" thickBot="1" x14ac:dyDescent="0.25">
      <c r="A94" s="5"/>
      <c r="B94" s="990" t="str">
        <f>IF(CharacterLevel="","",Attack1range)</f>
        <v/>
      </c>
      <c r="C94" s="990"/>
      <c r="D94" s="990"/>
      <c r="E94" s="990"/>
      <c r="F94" s="990"/>
      <c r="G94" s="990"/>
      <c r="H94" s="990"/>
      <c r="I94" s="990"/>
      <c r="J94" s="1001" t="str">
        <f>IF(CharacterLevel="","",Attack1props)</f>
        <v/>
      </c>
      <c r="K94" s="1002"/>
      <c r="L94" s="1002"/>
      <c r="M94" s="1002"/>
      <c r="N94" s="1002"/>
      <c r="O94" s="1002"/>
      <c r="P94" s="1002"/>
      <c r="Q94" s="1002"/>
      <c r="R94" s="1002"/>
      <c r="S94" s="1002"/>
      <c r="T94" s="1002"/>
      <c r="U94" s="1002"/>
      <c r="V94" s="1002"/>
      <c r="W94" s="1002"/>
      <c r="X94" s="1002"/>
      <c r="Y94" s="1002"/>
      <c r="Z94" s="1002"/>
      <c r="AA94" s="1002"/>
      <c r="AB94" s="1002"/>
      <c r="AC94" s="1002"/>
      <c r="AD94" s="1002"/>
      <c r="AE94" s="1002"/>
      <c r="AF94" s="1002"/>
      <c r="AG94" s="1002"/>
      <c r="AH94" s="1002"/>
      <c r="AI94" s="1002"/>
      <c r="AJ94" s="1002"/>
      <c r="AK94" s="1002"/>
      <c r="AL94" s="1002"/>
      <c r="AM94" s="1002"/>
      <c r="AN94" s="1002"/>
      <c r="AO94" s="1002"/>
      <c r="AP94" s="1002"/>
      <c r="AQ94" s="1002"/>
      <c r="AR94" s="1002"/>
      <c r="AS94" s="1002"/>
      <c r="AT94" s="1002"/>
      <c r="AU94" s="1002"/>
      <c r="AV94" s="1002"/>
      <c r="AW94" s="1002"/>
      <c r="AX94" s="1002"/>
      <c r="AY94" s="1002"/>
      <c r="AZ94" s="1002"/>
      <c r="BA94" s="1002"/>
      <c r="BB94" s="1002"/>
      <c r="BC94" s="1003"/>
      <c r="BD94" s="5"/>
      <c r="BE94" s="998" t="s">
        <v>376</v>
      </c>
      <c r="BF94" s="998"/>
      <c r="BG94" s="998"/>
      <c r="BH94" s="998"/>
      <c r="BI94" s="998"/>
      <c r="BJ94" s="998"/>
      <c r="BK94" s="998"/>
      <c r="BL94" s="998"/>
      <c r="BM94" s="998"/>
      <c r="BN94" s="998"/>
      <c r="BO94" s="998"/>
      <c r="BP94" s="998"/>
      <c r="BQ94" s="998"/>
      <c r="BR94" s="998"/>
      <c r="BS94" s="998"/>
      <c r="BT94" s="998"/>
      <c r="BU94" s="998"/>
      <c r="BV94" s="998"/>
      <c r="BW94" s="998"/>
      <c r="BX94" s="998"/>
      <c r="BY94" s="998"/>
      <c r="BZ94" s="124"/>
      <c r="CA94" s="998" t="s">
        <v>385</v>
      </c>
      <c r="CB94" s="998"/>
      <c r="CC94" s="998"/>
      <c r="CD94" s="998"/>
      <c r="CE94" s="998"/>
      <c r="CF94" s="998"/>
      <c r="CG94" s="998"/>
      <c r="CH94" s="998"/>
      <c r="CI94" s="998"/>
      <c r="CJ94" s="998"/>
      <c r="CK94" s="998"/>
      <c r="CL94" s="998"/>
      <c r="CM94" s="998"/>
      <c r="CN94" s="998"/>
      <c r="CO94" s="998"/>
      <c r="CP94" s="998"/>
      <c r="CQ94" s="998"/>
      <c r="CR94" s="998"/>
      <c r="CS94" s="998"/>
      <c r="CT94" s="998"/>
      <c r="CU94" s="998"/>
      <c r="CV94" s="5"/>
    </row>
    <row r="95" spans="1:103" ht="12" customHeight="1" thickBot="1" x14ac:dyDescent="0.25">
      <c r="A95" s="5"/>
      <c r="B95" s="990"/>
      <c r="C95" s="990"/>
      <c r="D95" s="990"/>
      <c r="E95" s="990"/>
      <c r="F95" s="990"/>
      <c r="G95" s="990"/>
      <c r="H95" s="990"/>
      <c r="I95" s="990"/>
      <c r="J95" s="1004"/>
      <c r="K95" s="1005"/>
      <c r="L95" s="1005"/>
      <c r="M95" s="1005"/>
      <c r="N95" s="1005"/>
      <c r="O95" s="1005"/>
      <c r="P95" s="1005"/>
      <c r="Q95" s="1005"/>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6"/>
      <c r="BD95" s="5"/>
      <c r="BE95" s="998"/>
      <c r="BF95" s="998"/>
      <c r="BG95" s="998"/>
      <c r="BH95" s="998"/>
      <c r="BI95" s="998"/>
      <c r="BJ95" s="998"/>
      <c r="BK95" s="998"/>
      <c r="BL95" s="998"/>
      <c r="BM95" s="998"/>
      <c r="BN95" s="998"/>
      <c r="BO95" s="998"/>
      <c r="BP95" s="998"/>
      <c r="BQ95" s="998"/>
      <c r="BR95" s="998"/>
      <c r="BS95" s="998"/>
      <c r="BT95" s="998"/>
      <c r="BU95" s="998"/>
      <c r="BV95" s="998"/>
      <c r="BW95" s="998"/>
      <c r="BX95" s="998"/>
      <c r="BY95" s="998"/>
      <c r="BZ95" s="124"/>
      <c r="CA95" s="998"/>
      <c r="CB95" s="998"/>
      <c r="CC95" s="998"/>
      <c r="CD95" s="998"/>
      <c r="CE95" s="998"/>
      <c r="CF95" s="998"/>
      <c r="CG95" s="998"/>
      <c r="CH95" s="998"/>
      <c r="CI95" s="998"/>
      <c r="CJ95" s="998"/>
      <c r="CK95" s="998"/>
      <c r="CL95" s="998"/>
      <c r="CM95" s="998"/>
      <c r="CN95" s="998"/>
      <c r="CO95" s="998"/>
      <c r="CP95" s="998"/>
      <c r="CQ95" s="998"/>
      <c r="CR95" s="998"/>
      <c r="CS95" s="998"/>
      <c r="CT95" s="998"/>
      <c r="CU95" s="998"/>
      <c r="CV95" s="5"/>
      <c r="CY95" s="6">
        <f>CY93+1</f>
        <v>32</v>
      </c>
    </row>
    <row r="96" spans="1:103" ht="12" customHeight="1" thickBot="1" x14ac:dyDescent="0.35">
      <c r="A96" s="5"/>
      <c r="B96" s="990"/>
      <c r="C96" s="990"/>
      <c r="D96" s="990"/>
      <c r="E96" s="990"/>
      <c r="F96" s="990"/>
      <c r="G96" s="990"/>
      <c r="H96" s="990"/>
      <c r="I96" s="990"/>
      <c r="J96" s="1007"/>
      <c r="K96" s="1008"/>
      <c r="L96" s="1008"/>
      <c r="M96" s="1008"/>
      <c r="N96" s="1008"/>
      <c r="O96" s="1008"/>
      <c r="P96" s="1008"/>
      <c r="Q96" s="1008"/>
      <c r="R96" s="1008"/>
      <c r="S96" s="1008"/>
      <c r="T96" s="1008"/>
      <c r="U96" s="1008"/>
      <c r="V96" s="1008"/>
      <c r="W96" s="1008"/>
      <c r="X96" s="1008"/>
      <c r="Y96" s="1008"/>
      <c r="Z96" s="1008"/>
      <c r="AA96" s="1008"/>
      <c r="AB96" s="1008"/>
      <c r="AC96" s="1008"/>
      <c r="AD96" s="1008"/>
      <c r="AE96" s="1008"/>
      <c r="AF96" s="1008"/>
      <c r="AG96" s="1008"/>
      <c r="AH96" s="1008"/>
      <c r="AI96" s="1008"/>
      <c r="AJ96" s="1008"/>
      <c r="AK96" s="1008"/>
      <c r="AL96" s="1008"/>
      <c r="AM96" s="1008"/>
      <c r="AN96" s="1008"/>
      <c r="AO96" s="1008"/>
      <c r="AP96" s="1008"/>
      <c r="AQ96" s="1008"/>
      <c r="AR96" s="1008"/>
      <c r="AS96" s="1008"/>
      <c r="AT96" s="1008"/>
      <c r="AU96" s="1008"/>
      <c r="AV96" s="1008"/>
      <c r="AW96" s="1008"/>
      <c r="AX96" s="1008"/>
      <c r="AY96" s="1008"/>
      <c r="AZ96" s="1008"/>
      <c r="BA96" s="1008"/>
      <c r="BB96" s="1008"/>
      <c r="BC96" s="1009"/>
      <c r="BD96" s="5"/>
      <c r="BE96" s="261" t="s">
        <v>377</v>
      </c>
      <c r="BF96" s="238"/>
      <c r="BG96" s="238"/>
      <c r="BH96" s="238"/>
      <c r="BI96" s="238"/>
      <c r="BJ96" s="238"/>
      <c r="BK96" s="238"/>
      <c r="BL96" s="124"/>
      <c r="BM96" s="124"/>
      <c r="BN96" s="124"/>
      <c r="BO96" s="124"/>
      <c r="BP96" s="124"/>
      <c r="BQ96" s="124"/>
      <c r="BR96" s="124"/>
      <c r="BS96" s="124"/>
      <c r="BT96" s="124"/>
      <c r="BU96" s="124"/>
      <c r="BV96" s="124"/>
      <c r="BW96" s="124"/>
      <c r="BX96" s="124"/>
      <c r="BY96" s="124"/>
      <c r="BZ96" s="124"/>
      <c r="CA96" s="261" t="s">
        <v>386</v>
      </c>
      <c r="CB96" s="238"/>
      <c r="CC96" s="238"/>
      <c r="CD96" s="238"/>
      <c r="CE96" s="238"/>
      <c r="CF96" s="238"/>
      <c r="CG96" s="238"/>
      <c r="CH96" s="124"/>
      <c r="CI96" s="124"/>
      <c r="CJ96" s="124"/>
      <c r="CK96" s="124"/>
      <c r="CL96" s="124"/>
      <c r="CM96" s="124"/>
      <c r="CN96" s="124"/>
      <c r="CO96" s="124"/>
      <c r="CP96" s="124"/>
      <c r="CQ96" s="124"/>
      <c r="CR96" s="124"/>
      <c r="CS96" s="124"/>
      <c r="CT96" s="124"/>
      <c r="CU96" s="124"/>
      <c r="CV96" s="5"/>
    </row>
    <row r="97" spans="1:103" ht="12" customHeight="1" x14ac:dyDescent="0.2">
      <c r="A97" s="5"/>
      <c r="B97" s="1248" t="s">
        <v>49</v>
      </c>
      <c r="C97" s="1248"/>
      <c r="D97" s="1248"/>
      <c r="E97" s="1248"/>
      <c r="F97" s="1248"/>
      <c r="G97" s="1248"/>
      <c r="H97" s="1248"/>
      <c r="I97" s="1119" t="str">
        <f>IF(CharacterLevel="","",Start!AV$139)</f>
        <v/>
      </c>
      <c r="J97" s="1119"/>
      <c r="K97" s="1119"/>
      <c r="L97" s="1119"/>
      <c r="M97" s="1119"/>
      <c r="N97" s="1119"/>
      <c r="O97" s="1119"/>
      <c r="P97" s="1119"/>
      <c r="Q97" s="1119"/>
      <c r="R97" s="1119"/>
      <c r="S97" s="1119"/>
      <c r="T97" s="11"/>
      <c r="U97" s="993" t="s">
        <v>50</v>
      </c>
      <c r="V97" s="992" t="s">
        <v>50</v>
      </c>
      <c r="W97" s="992" t="s">
        <v>50</v>
      </c>
      <c r="X97" s="992" t="s">
        <v>50</v>
      </c>
      <c r="Y97" s="992" t="s">
        <v>50</v>
      </c>
      <c r="Z97" s="11"/>
      <c r="AA97" s="993" t="s">
        <v>50</v>
      </c>
      <c r="AB97" s="992" t="s">
        <v>50</v>
      </c>
      <c r="AC97" s="992" t="s">
        <v>50</v>
      </c>
      <c r="AD97" s="992" t="s">
        <v>50</v>
      </c>
      <c r="AE97" s="992" t="s">
        <v>50</v>
      </c>
      <c r="AF97" s="9"/>
      <c r="AG97" s="993" t="s">
        <v>50</v>
      </c>
      <c r="AH97" s="992" t="s">
        <v>50</v>
      </c>
      <c r="AI97" s="992" t="s">
        <v>50</v>
      </c>
      <c r="AJ97" s="992" t="s">
        <v>50</v>
      </c>
      <c r="AK97" s="992" t="s">
        <v>50</v>
      </c>
      <c r="AL97" s="9"/>
      <c r="AM97" s="992" t="s">
        <v>50</v>
      </c>
      <c r="AN97" s="992" t="s">
        <v>50</v>
      </c>
      <c r="AO97" s="992" t="s">
        <v>50</v>
      </c>
      <c r="AP97" s="992" t="s">
        <v>50</v>
      </c>
      <c r="AQ97" s="992" t="s">
        <v>50</v>
      </c>
      <c r="AR97" s="9"/>
      <c r="AS97" s="992" t="s">
        <v>50</v>
      </c>
      <c r="AT97" s="992" t="s">
        <v>50</v>
      </c>
      <c r="AU97" s="992" t="s">
        <v>50</v>
      </c>
      <c r="AV97" s="992" t="s">
        <v>50</v>
      </c>
      <c r="AW97" s="992" t="s">
        <v>50</v>
      </c>
      <c r="AX97" s="9"/>
      <c r="AY97" s="992" t="s">
        <v>50</v>
      </c>
      <c r="AZ97" s="992" t="s">
        <v>50</v>
      </c>
      <c r="BA97" s="992" t="s">
        <v>50</v>
      </c>
      <c r="BB97" s="992" t="s">
        <v>50</v>
      </c>
      <c r="BC97" s="992" t="s">
        <v>50</v>
      </c>
      <c r="BD97" s="5"/>
      <c r="BE97" s="995" t="str">
        <f>IF(OR(Start!C139="",CharacterLevel=""),"",Start!C139)</f>
        <v/>
      </c>
      <c r="BF97" s="995"/>
      <c r="BG97" s="995"/>
      <c r="BH97" s="995"/>
      <c r="BI97" s="995"/>
      <c r="BJ97" s="995"/>
      <c r="BK97" s="995"/>
      <c r="BL97" s="995"/>
      <c r="BM97" s="995"/>
      <c r="BN97" s="995"/>
      <c r="BO97" s="995"/>
      <c r="BP97" s="995"/>
      <c r="BQ97" s="995"/>
      <c r="BR97" s="995"/>
      <c r="BS97" s="995"/>
      <c r="BT97" s="995"/>
      <c r="BU97" s="995"/>
      <c r="BV97" s="995"/>
      <c r="BW97" s="995"/>
      <c r="BX97" s="995"/>
      <c r="BY97" s="995"/>
      <c r="BZ97" s="5"/>
      <c r="CA97" s="995" t="str">
        <f>IF(OR(Start!C157="",CharacterLevel=""),"",Start!C157)</f>
        <v/>
      </c>
      <c r="CB97" s="995"/>
      <c r="CC97" s="995"/>
      <c r="CD97" s="995"/>
      <c r="CE97" s="995"/>
      <c r="CF97" s="995"/>
      <c r="CG97" s="995"/>
      <c r="CH97" s="995"/>
      <c r="CI97" s="995"/>
      <c r="CJ97" s="995"/>
      <c r="CK97" s="995"/>
      <c r="CL97" s="995"/>
      <c r="CM97" s="995"/>
      <c r="CN97" s="995"/>
      <c r="CO97" s="995"/>
      <c r="CP97" s="995"/>
      <c r="CQ97" s="995"/>
      <c r="CR97" s="995"/>
      <c r="CS97" s="995"/>
      <c r="CT97" s="995"/>
      <c r="CU97" s="995"/>
      <c r="CV97" s="5"/>
      <c r="CY97" s="6">
        <f>CY95+1</f>
        <v>33</v>
      </c>
    </row>
    <row r="98" spans="1:103" ht="12" customHeight="1" x14ac:dyDescent="0.2">
      <c r="A98" s="5"/>
      <c r="B98" s="1249"/>
      <c r="C98" s="1249"/>
      <c r="D98" s="1249"/>
      <c r="E98" s="1249"/>
      <c r="F98" s="1249"/>
      <c r="G98" s="1249"/>
      <c r="H98" s="1249"/>
      <c r="I98" s="1120"/>
      <c r="J98" s="1120"/>
      <c r="K98" s="1120"/>
      <c r="L98" s="1120"/>
      <c r="M98" s="1120"/>
      <c r="N98" s="1120"/>
      <c r="O98" s="1120"/>
      <c r="P98" s="1120"/>
      <c r="Q98" s="1120"/>
      <c r="R98" s="1120"/>
      <c r="S98" s="1120"/>
      <c r="T98" s="11"/>
      <c r="U98" s="992"/>
      <c r="V98" s="992"/>
      <c r="W98" s="992"/>
      <c r="X98" s="992"/>
      <c r="Y98" s="992"/>
      <c r="Z98" s="11"/>
      <c r="AA98" s="992"/>
      <c r="AB98" s="992"/>
      <c r="AC98" s="992"/>
      <c r="AD98" s="992"/>
      <c r="AE98" s="992"/>
      <c r="AF98" s="9"/>
      <c r="AG98" s="992"/>
      <c r="AH98" s="992"/>
      <c r="AI98" s="992"/>
      <c r="AJ98" s="992"/>
      <c r="AK98" s="992"/>
      <c r="AL98" s="9"/>
      <c r="AM98" s="992"/>
      <c r="AN98" s="992"/>
      <c r="AO98" s="992"/>
      <c r="AP98" s="992"/>
      <c r="AQ98" s="992"/>
      <c r="AR98" s="9"/>
      <c r="AS98" s="992"/>
      <c r="AT98" s="992"/>
      <c r="AU98" s="992"/>
      <c r="AV98" s="992"/>
      <c r="AW98" s="992"/>
      <c r="AX98" s="9"/>
      <c r="AY98" s="992"/>
      <c r="AZ98" s="992"/>
      <c r="BA98" s="992"/>
      <c r="BB98" s="992"/>
      <c r="BC98" s="992"/>
      <c r="BD98" s="5"/>
      <c r="BE98" s="995"/>
      <c r="BF98" s="995"/>
      <c r="BG98" s="995"/>
      <c r="BH98" s="995"/>
      <c r="BI98" s="995"/>
      <c r="BJ98" s="995"/>
      <c r="BK98" s="995"/>
      <c r="BL98" s="995"/>
      <c r="BM98" s="995"/>
      <c r="BN98" s="995"/>
      <c r="BO98" s="995"/>
      <c r="BP98" s="995"/>
      <c r="BQ98" s="995"/>
      <c r="BR98" s="995"/>
      <c r="BS98" s="995"/>
      <c r="BT98" s="995"/>
      <c r="BU98" s="995"/>
      <c r="BV98" s="995"/>
      <c r="BW98" s="995"/>
      <c r="BX98" s="995"/>
      <c r="BY98" s="995"/>
      <c r="BZ98" s="124"/>
      <c r="CA98" s="995"/>
      <c r="CB98" s="995"/>
      <c r="CC98" s="995"/>
      <c r="CD98" s="995"/>
      <c r="CE98" s="995"/>
      <c r="CF98" s="995"/>
      <c r="CG98" s="995"/>
      <c r="CH98" s="995"/>
      <c r="CI98" s="995"/>
      <c r="CJ98" s="995"/>
      <c r="CK98" s="995"/>
      <c r="CL98" s="995"/>
      <c r="CM98" s="995"/>
      <c r="CN98" s="995"/>
      <c r="CO98" s="995"/>
      <c r="CP98" s="995"/>
      <c r="CQ98" s="995"/>
      <c r="CR98" s="995"/>
      <c r="CS98" s="995"/>
      <c r="CT98" s="995"/>
      <c r="CU98" s="995"/>
      <c r="CV98" s="5"/>
    </row>
    <row r="99" spans="1:103" ht="12" customHeight="1" thickBo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996"/>
      <c r="BF99" s="996"/>
      <c r="BG99" s="996"/>
      <c r="BH99" s="996"/>
      <c r="BI99" s="996"/>
      <c r="BJ99" s="996"/>
      <c r="BK99" s="996"/>
      <c r="BL99" s="996"/>
      <c r="BM99" s="996"/>
      <c r="BN99" s="996"/>
      <c r="BO99" s="996"/>
      <c r="BP99" s="996"/>
      <c r="BQ99" s="996"/>
      <c r="BR99" s="996"/>
      <c r="BS99" s="996"/>
      <c r="BT99" s="996"/>
      <c r="BU99" s="996"/>
      <c r="BV99" s="996"/>
      <c r="BW99" s="996"/>
      <c r="BX99" s="996"/>
      <c r="BY99" s="996"/>
      <c r="BZ99" s="124"/>
      <c r="CA99" s="996"/>
      <c r="CB99" s="996"/>
      <c r="CC99" s="996"/>
      <c r="CD99" s="996"/>
      <c r="CE99" s="996"/>
      <c r="CF99" s="996"/>
      <c r="CG99" s="996"/>
      <c r="CH99" s="996"/>
      <c r="CI99" s="996"/>
      <c r="CJ99" s="996"/>
      <c r="CK99" s="996"/>
      <c r="CL99" s="996"/>
      <c r="CM99" s="996"/>
      <c r="CN99" s="996"/>
      <c r="CO99" s="996"/>
      <c r="CP99" s="996"/>
      <c r="CQ99" s="996"/>
      <c r="CR99" s="996"/>
      <c r="CS99" s="996"/>
      <c r="CT99" s="996"/>
      <c r="CU99" s="996"/>
      <c r="CV99" s="5"/>
      <c r="CY99" s="6">
        <f>CY97+1</f>
        <v>34</v>
      </c>
    </row>
    <row r="100" spans="1:103" ht="12" customHeight="1" x14ac:dyDescent="0.2">
      <c r="A100" s="5"/>
      <c r="B100" s="1027" t="s">
        <v>82</v>
      </c>
      <c r="C100" s="1028"/>
      <c r="D100" s="1028"/>
      <c r="E100" s="1028"/>
      <c r="F100" s="1028"/>
      <c r="G100" s="1028"/>
      <c r="H100" s="1028"/>
      <c r="I100" s="1028"/>
      <c r="J100" s="1028"/>
      <c r="K100" s="1028"/>
      <c r="L100" s="1028"/>
      <c r="M100" s="1028"/>
      <c r="N100" s="1028"/>
      <c r="O100" s="1028"/>
      <c r="P100" s="1028"/>
      <c r="Q100" s="1028"/>
      <c r="R100" s="1028"/>
      <c r="S100" s="1028"/>
      <c r="T100" s="1028"/>
      <c r="U100" s="1029"/>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5"/>
    </row>
    <row r="101" spans="1:103" ht="12" customHeight="1" thickBot="1" x14ac:dyDescent="0.25">
      <c r="A101" s="5"/>
      <c r="B101" s="1030"/>
      <c r="C101" s="1031"/>
      <c r="D101" s="1031"/>
      <c r="E101" s="1031"/>
      <c r="F101" s="1031"/>
      <c r="G101" s="1031"/>
      <c r="H101" s="1031"/>
      <c r="I101" s="1031"/>
      <c r="J101" s="1031"/>
      <c r="K101" s="1031"/>
      <c r="L101" s="1031"/>
      <c r="M101" s="1031"/>
      <c r="N101" s="1031"/>
      <c r="O101" s="1031"/>
      <c r="P101" s="1031"/>
      <c r="Q101" s="1031"/>
      <c r="R101" s="1031"/>
      <c r="S101" s="1031"/>
      <c r="T101" s="1031"/>
      <c r="U101" s="1032"/>
      <c r="V101" s="994" t="s">
        <v>180</v>
      </c>
      <c r="W101" s="988"/>
      <c r="X101" s="988"/>
      <c r="Y101" s="988"/>
      <c r="Z101" s="988"/>
      <c r="AA101" s="988"/>
      <c r="AB101" s="988" t="s">
        <v>47</v>
      </c>
      <c r="AC101" s="988"/>
      <c r="AD101" s="988"/>
      <c r="AE101" s="988"/>
      <c r="AF101" s="988"/>
      <c r="AG101" s="988"/>
      <c r="AH101" s="988"/>
      <c r="AI101" s="988"/>
      <c r="AJ101" s="988"/>
      <c r="AK101" s="988"/>
      <c r="AL101" s="988"/>
      <c r="AM101" s="988"/>
      <c r="AN101" s="988"/>
      <c r="AO101" s="988"/>
      <c r="AP101" s="988"/>
      <c r="AQ101" s="988" t="s">
        <v>9</v>
      </c>
      <c r="AR101" s="988"/>
      <c r="AS101" s="988"/>
      <c r="AT101" s="988"/>
      <c r="AU101" s="988"/>
      <c r="AV101" s="988"/>
      <c r="AW101" s="988"/>
      <c r="AX101" s="988"/>
      <c r="AY101" s="988"/>
      <c r="AZ101" s="988"/>
      <c r="BA101" s="988"/>
      <c r="BB101" s="988"/>
      <c r="BC101" s="989"/>
      <c r="BD101" s="5"/>
      <c r="BE101" s="998" t="s">
        <v>13</v>
      </c>
      <c r="BF101" s="998"/>
      <c r="BG101" s="998"/>
      <c r="BH101" s="998"/>
      <c r="BI101" s="998"/>
      <c r="BJ101" s="998"/>
      <c r="BK101" s="998"/>
      <c r="BL101" s="998"/>
      <c r="BM101" s="998"/>
      <c r="BN101" s="998"/>
      <c r="BO101" s="998"/>
      <c r="BP101" s="998"/>
      <c r="BQ101" s="998"/>
      <c r="BR101" s="998"/>
      <c r="BS101" s="998"/>
      <c r="BT101" s="998"/>
      <c r="BU101" s="998"/>
      <c r="BV101" s="998"/>
      <c r="BW101" s="998"/>
      <c r="BX101" s="998"/>
      <c r="BY101" s="998"/>
      <c r="BZ101" s="124"/>
      <c r="CA101" s="998" t="s">
        <v>387</v>
      </c>
      <c r="CB101" s="998"/>
      <c r="CC101" s="998"/>
      <c r="CD101" s="998"/>
      <c r="CE101" s="998"/>
      <c r="CF101" s="998"/>
      <c r="CG101" s="998"/>
      <c r="CH101" s="998"/>
      <c r="CI101" s="998"/>
      <c r="CJ101" s="998"/>
      <c r="CK101" s="998"/>
      <c r="CL101" s="998"/>
      <c r="CM101" s="998"/>
      <c r="CN101" s="998"/>
      <c r="CO101" s="998"/>
      <c r="CP101" s="998"/>
      <c r="CQ101" s="998"/>
      <c r="CR101" s="998"/>
      <c r="CS101" s="998"/>
      <c r="CT101" s="998"/>
      <c r="CU101" s="998"/>
      <c r="CV101" s="5"/>
      <c r="CY101" s="6">
        <f>CY99+1</f>
        <v>35</v>
      </c>
    </row>
    <row r="102" spans="1:103" ht="12" customHeight="1" thickBot="1" x14ac:dyDescent="0.25">
      <c r="A102" s="5"/>
      <c r="B102" s="1018" t="str">
        <f>IF(CharacterLevel="","",Attack2name)</f>
        <v/>
      </c>
      <c r="C102" s="1019"/>
      <c r="D102" s="1019"/>
      <c r="E102" s="1019"/>
      <c r="F102" s="1019"/>
      <c r="G102" s="1019"/>
      <c r="H102" s="1019"/>
      <c r="I102" s="1019"/>
      <c r="J102" s="1019"/>
      <c r="K102" s="1019"/>
      <c r="L102" s="1019"/>
      <c r="M102" s="1019"/>
      <c r="N102" s="1019"/>
      <c r="O102" s="1019"/>
      <c r="P102" s="1019"/>
      <c r="Q102" s="1019"/>
      <c r="R102" s="1019"/>
      <c r="S102" s="1019"/>
      <c r="T102" s="1019"/>
      <c r="U102" s="1020"/>
      <c r="V102" s="986" t="str">
        <f ca="1">IF(CharacterLevel="","",Attack2bonus)</f>
        <v/>
      </c>
      <c r="W102" s="987"/>
      <c r="X102" s="987"/>
      <c r="Y102" s="987"/>
      <c r="Z102" s="987"/>
      <c r="AA102" s="987"/>
      <c r="AB102" s="990" t="str">
        <f>IF(CharacterLevel="","",Attack2damage)</f>
        <v/>
      </c>
      <c r="AC102" s="990"/>
      <c r="AD102" s="990"/>
      <c r="AE102" s="990"/>
      <c r="AF102" s="990"/>
      <c r="AG102" s="990"/>
      <c r="AH102" s="990"/>
      <c r="AI102" s="990"/>
      <c r="AJ102" s="990"/>
      <c r="AK102" s="990"/>
      <c r="AL102" s="990"/>
      <c r="AM102" s="990"/>
      <c r="AN102" s="990"/>
      <c r="AO102" s="990"/>
      <c r="AP102" s="990"/>
      <c r="AQ102" s="990" t="str">
        <f>IF(CharacterLevel="","",Attack2type)</f>
        <v/>
      </c>
      <c r="AR102" s="990"/>
      <c r="AS102" s="990"/>
      <c r="AT102" s="990"/>
      <c r="AU102" s="990"/>
      <c r="AV102" s="990"/>
      <c r="AW102" s="990"/>
      <c r="AX102" s="990"/>
      <c r="AY102" s="990"/>
      <c r="AZ102" s="990"/>
      <c r="BA102" s="990"/>
      <c r="BB102" s="990"/>
      <c r="BC102" s="990"/>
      <c r="BD102" s="5"/>
      <c r="BE102" s="998"/>
      <c r="BF102" s="998"/>
      <c r="BG102" s="998"/>
      <c r="BH102" s="998"/>
      <c r="BI102" s="998"/>
      <c r="BJ102" s="998"/>
      <c r="BK102" s="998"/>
      <c r="BL102" s="998"/>
      <c r="BM102" s="998"/>
      <c r="BN102" s="998"/>
      <c r="BO102" s="998"/>
      <c r="BP102" s="998"/>
      <c r="BQ102" s="998"/>
      <c r="BR102" s="998"/>
      <c r="BS102" s="998"/>
      <c r="BT102" s="998"/>
      <c r="BU102" s="998"/>
      <c r="BV102" s="998"/>
      <c r="BW102" s="998"/>
      <c r="BX102" s="998"/>
      <c r="BY102" s="998"/>
      <c r="BZ102" s="124"/>
      <c r="CA102" s="998"/>
      <c r="CB102" s="998"/>
      <c r="CC102" s="998"/>
      <c r="CD102" s="998"/>
      <c r="CE102" s="998"/>
      <c r="CF102" s="998"/>
      <c r="CG102" s="998"/>
      <c r="CH102" s="998"/>
      <c r="CI102" s="998"/>
      <c r="CJ102" s="998"/>
      <c r="CK102" s="998"/>
      <c r="CL102" s="998"/>
      <c r="CM102" s="998"/>
      <c r="CN102" s="998"/>
      <c r="CO102" s="998"/>
      <c r="CP102" s="998"/>
      <c r="CQ102" s="998"/>
      <c r="CR102" s="998"/>
      <c r="CS102" s="998"/>
      <c r="CT102" s="998"/>
      <c r="CU102" s="998"/>
      <c r="CV102" s="5"/>
    </row>
    <row r="103" spans="1:103" ht="12" customHeight="1" thickBot="1" x14ac:dyDescent="0.35">
      <c r="A103" s="5"/>
      <c r="B103" s="1021"/>
      <c r="C103" s="1022"/>
      <c r="D103" s="1022"/>
      <c r="E103" s="1022"/>
      <c r="F103" s="1022"/>
      <c r="G103" s="1022"/>
      <c r="H103" s="1022"/>
      <c r="I103" s="1022"/>
      <c r="J103" s="1022"/>
      <c r="K103" s="1022"/>
      <c r="L103" s="1022"/>
      <c r="M103" s="1022"/>
      <c r="N103" s="1022"/>
      <c r="O103" s="1022"/>
      <c r="P103" s="1022"/>
      <c r="Q103" s="1022"/>
      <c r="R103" s="1022"/>
      <c r="S103" s="1022"/>
      <c r="T103" s="1022"/>
      <c r="U103" s="1023"/>
      <c r="V103" s="986"/>
      <c r="W103" s="987"/>
      <c r="X103" s="987"/>
      <c r="Y103" s="987"/>
      <c r="Z103" s="987"/>
      <c r="AA103" s="987"/>
      <c r="AB103" s="990"/>
      <c r="AC103" s="990"/>
      <c r="AD103" s="990"/>
      <c r="AE103" s="990"/>
      <c r="AF103" s="990"/>
      <c r="AG103" s="990"/>
      <c r="AH103" s="990"/>
      <c r="AI103" s="990"/>
      <c r="AJ103" s="990"/>
      <c r="AK103" s="990"/>
      <c r="AL103" s="990"/>
      <c r="AM103" s="990"/>
      <c r="AN103" s="990"/>
      <c r="AO103" s="990"/>
      <c r="AP103" s="990"/>
      <c r="AQ103" s="990"/>
      <c r="AR103" s="990"/>
      <c r="AS103" s="990"/>
      <c r="AT103" s="990"/>
      <c r="AU103" s="990"/>
      <c r="AV103" s="990"/>
      <c r="AW103" s="990"/>
      <c r="AX103" s="990"/>
      <c r="AY103" s="990"/>
      <c r="AZ103" s="990"/>
      <c r="BA103" s="990"/>
      <c r="BB103" s="990"/>
      <c r="BC103" s="990"/>
      <c r="BD103" s="5"/>
      <c r="BE103" s="261" t="s">
        <v>379</v>
      </c>
      <c r="BF103" s="238"/>
      <c r="BG103" s="238"/>
      <c r="BH103" s="238"/>
      <c r="BI103" s="238"/>
      <c r="BJ103" s="238"/>
      <c r="BK103" s="238"/>
      <c r="BL103" s="5"/>
      <c r="BM103" s="5"/>
      <c r="BN103" s="5"/>
      <c r="BO103" s="5"/>
      <c r="BP103" s="5"/>
      <c r="BQ103" s="5"/>
      <c r="BR103" s="5"/>
      <c r="BS103" s="5"/>
      <c r="BT103" s="5"/>
      <c r="BU103" s="5"/>
      <c r="BV103" s="5"/>
      <c r="BW103" s="5"/>
      <c r="BX103" s="5"/>
      <c r="BY103" s="5"/>
      <c r="BZ103" s="5"/>
      <c r="CA103" s="261" t="s">
        <v>388</v>
      </c>
      <c r="CB103" s="238"/>
      <c r="CC103" s="238"/>
      <c r="CD103" s="238"/>
      <c r="CE103" s="238"/>
      <c r="CF103" s="238"/>
      <c r="CG103" s="238"/>
      <c r="CH103" s="5"/>
      <c r="CI103" s="5"/>
      <c r="CJ103" s="5"/>
      <c r="CK103" s="5"/>
      <c r="CL103" s="5"/>
      <c r="CM103" s="5"/>
      <c r="CN103" s="5"/>
      <c r="CO103" s="5"/>
      <c r="CP103" s="5"/>
      <c r="CQ103" s="5"/>
      <c r="CR103" s="5"/>
      <c r="CS103" s="5"/>
      <c r="CT103" s="5"/>
      <c r="CU103" s="5"/>
      <c r="CV103" s="5"/>
      <c r="CY103" s="6">
        <f>CY101+1</f>
        <v>36</v>
      </c>
    </row>
    <row r="104" spans="1:103" ht="12" customHeight="1" thickBot="1" x14ac:dyDescent="0.25">
      <c r="A104" s="5"/>
      <c r="B104" s="1024"/>
      <c r="C104" s="1025"/>
      <c r="D104" s="1025"/>
      <c r="E104" s="1025"/>
      <c r="F104" s="1025"/>
      <c r="G104" s="1025"/>
      <c r="H104" s="1025"/>
      <c r="I104" s="1025"/>
      <c r="J104" s="1025"/>
      <c r="K104" s="1025"/>
      <c r="L104" s="1025"/>
      <c r="M104" s="1025"/>
      <c r="N104" s="1025"/>
      <c r="O104" s="1025"/>
      <c r="P104" s="1025"/>
      <c r="Q104" s="1025"/>
      <c r="R104" s="1025"/>
      <c r="S104" s="1025"/>
      <c r="T104" s="1025"/>
      <c r="U104" s="1026"/>
      <c r="V104" s="986"/>
      <c r="W104" s="987"/>
      <c r="X104" s="987"/>
      <c r="Y104" s="987"/>
      <c r="Z104" s="987"/>
      <c r="AA104" s="987"/>
      <c r="AB104" s="991"/>
      <c r="AC104" s="991"/>
      <c r="AD104" s="991"/>
      <c r="AE104" s="991"/>
      <c r="AF104" s="991"/>
      <c r="AG104" s="991"/>
      <c r="AH104" s="991"/>
      <c r="AI104" s="991"/>
      <c r="AJ104" s="991"/>
      <c r="AK104" s="991"/>
      <c r="AL104" s="991"/>
      <c r="AM104" s="991"/>
      <c r="AN104" s="991"/>
      <c r="AO104" s="991"/>
      <c r="AP104" s="991"/>
      <c r="AQ104" s="991"/>
      <c r="AR104" s="991"/>
      <c r="AS104" s="991"/>
      <c r="AT104" s="991"/>
      <c r="AU104" s="991"/>
      <c r="AV104" s="991"/>
      <c r="AW104" s="991"/>
      <c r="AX104" s="991"/>
      <c r="AY104" s="991"/>
      <c r="AZ104" s="991"/>
      <c r="BA104" s="991"/>
      <c r="BB104" s="991"/>
      <c r="BC104" s="991"/>
      <c r="BD104" s="5"/>
      <c r="BE104" s="995" t="str">
        <f>IF(OR(Start!C142="",CharacterLevel=""),"",Start!C142)</f>
        <v/>
      </c>
      <c r="BF104" s="995"/>
      <c r="BG104" s="995"/>
      <c r="BH104" s="995"/>
      <c r="BI104" s="995"/>
      <c r="BJ104" s="995"/>
      <c r="BK104" s="995"/>
      <c r="BL104" s="995"/>
      <c r="BM104" s="995"/>
      <c r="BN104" s="995"/>
      <c r="BO104" s="995"/>
      <c r="BP104" s="995"/>
      <c r="BQ104" s="995"/>
      <c r="BR104" s="995"/>
      <c r="BS104" s="995"/>
      <c r="BT104" s="995"/>
      <c r="BU104" s="995"/>
      <c r="BV104" s="995"/>
      <c r="BW104" s="995"/>
      <c r="BX104" s="995"/>
      <c r="BY104" s="995"/>
      <c r="BZ104" s="5"/>
      <c r="CA104" s="995" t="str">
        <f>IF(OR(Start!C160="",CharacterLevel=""),"",Start!C160)</f>
        <v/>
      </c>
      <c r="CB104" s="995"/>
      <c r="CC104" s="995"/>
      <c r="CD104" s="995"/>
      <c r="CE104" s="995"/>
      <c r="CF104" s="995"/>
      <c r="CG104" s="995"/>
      <c r="CH104" s="995"/>
      <c r="CI104" s="995"/>
      <c r="CJ104" s="995"/>
      <c r="CK104" s="995"/>
      <c r="CL104" s="995"/>
      <c r="CM104" s="995"/>
      <c r="CN104" s="995"/>
      <c r="CO104" s="995"/>
      <c r="CP104" s="995"/>
      <c r="CQ104" s="995"/>
      <c r="CR104" s="995"/>
      <c r="CS104" s="995"/>
      <c r="CT104" s="995"/>
      <c r="CU104" s="995"/>
      <c r="CV104" s="5"/>
    </row>
    <row r="105" spans="1:103" ht="12" customHeight="1" thickBot="1" x14ac:dyDescent="0.25">
      <c r="A105" s="5"/>
      <c r="B105" s="1033" t="s">
        <v>48</v>
      </c>
      <c r="C105" s="999"/>
      <c r="D105" s="999"/>
      <c r="E105" s="999"/>
      <c r="F105" s="999"/>
      <c r="G105" s="999"/>
      <c r="H105" s="999"/>
      <c r="I105" s="999"/>
      <c r="J105" s="999" t="s">
        <v>111</v>
      </c>
      <c r="K105" s="999"/>
      <c r="L105" s="999"/>
      <c r="M105" s="999"/>
      <c r="N105" s="999"/>
      <c r="O105" s="999"/>
      <c r="P105" s="999"/>
      <c r="Q105" s="999"/>
      <c r="R105" s="999"/>
      <c r="S105" s="999"/>
      <c r="T105" s="999"/>
      <c r="U105" s="999"/>
      <c r="V105" s="999"/>
      <c r="W105" s="999"/>
      <c r="X105" s="999"/>
      <c r="Y105" s="999"/>
      <c r="Z105" s="999"/>
      <c r="AA105" s="999"/>
      <c r="AB105" s="999"/>
      <c r="AC105" s="999"/>
      <c r="AD105" s="999"/>
      <c r="AE105" s="999"/>
      <c r="AF105" s="999"/>
      <c r="AG105" s="999"/>
      <c r="AH105" s="999"/>
      <c r="AI105" s="999"/>
      <c r="AJ105" s="999"/>
      <c r="AK105" s="999"/>
      <c r="AL105" s="999"/>
      <c r="AM105" s="999"/>
      <c r="AN105" s="999"/>
      <c r="AO105" s="999"/>
      <c r="AP105" s="999"/>
      <c r="AQ105" s="999"/>
      <c r="AR105" s="999"/>
      <c r="AS105" s="999"/>
      <c r="AT105" s="999"/>
      <c r="AU105" s="999"/>
      <c r="AV105" s="999"/>
      <c r="AW105" s="999"/>
      <c r="AX105" s="999"/>
      <c r="AY105" s="999"/>
      <c r="AZ105" s="999"/>
      <c r="BA105" s="999"/>
      <c r="BB105" s="999"/>
      <c r="BC105" s="1000"/>
      <c r="BD105" s="5"/>
      <c r="BE105" s="995"/>
      <c r="BF105" s="995"/>
      <c r="BG105" s="995"/>
      <c r="BH105" s="995"/>
      <c r="BI105" s="995"/>
      <c r="BJ105" s="995"/>
      <c r="BK105" s="995"/>
      <c r="BL105" s="995"/>
      <c r="BM105" s="995"/>
      <c r="BN105" s="995"/>
      <c r="BO105" s="995"/>
      <c r="BP105" s="995"/>
      <c r="BQ105" s="995"/>
      <c r="BR105" s="995"/>
      <c r="BS105" s="995"/>
      <c r="BT105" s="995"/>
      <c r="BU105" s="995"/>
      <c r="BV105" s="995"/>
      <c r="BW105" s="995"/>
      <c r="BX105" s="995"/>
      <c r="BY105" s="995"/>
      <c r="BZ105" s="124"/>
      <c r="CA105" s="995"/>
      <c r="CB105" s="995"/>
      <c r="CC105" s="995"/>
      <c r="CD105" s="995"/>
      <c r="CE105" s="995"/>
      <c r="CF105" s="995"/>
      <c r="CG105" s="995"/>
      <c r="CH105" s="995"/>
      <c r="CI105" s="995"/>
      <c r="CJ105" s="995"/>
      <c r="CK105" s="995"/>
      <c r="CL105" s="995"/>
      <c r="CM105" s="995"/>
      <c r="CN105" s="995"/>
      <c r="CO105" s="995"/>
      <c r="CP105" s="995"/>
      <c r="CQ105" s="995"/>
      <c r="CR105" s="995"/>
      <c r="CS105" s="995"/>
      <c r="CT105" s="995"/>
      <c r="CU105" s="995"/>
      <c r="CV105" s="5"/>
      <c r="CY105" s="6">
        <f>CY103+1</f>
        <v>37</v>
      </c>
    </row>
    <row r="106" spans="1:103" ht="12" customHeight="1" thickBot="1" x14ac:dyDescent="0.25">
      <c r="A106" s="5"/>
      <c r="B106" s="990" t="str">
        <f>IF(CharacterLevel="","",Attack2range)</f>
        <v/>
      </c>
      <c r="C106" s="990"/>
      <c r="D106" s="990"/>
      <c r="E106" s="990"/>
      <c r="F106" s="990"/>
      <c r="G106" s="990"/>
      <c r="H106" s="990"/>
      <c r="I106" s="990"/>
      <c r="J106" s="1001" t="str">
        <f>IF(CharacterLevel="","",Attack2props)</f>
        <v/>
      </c>
      <c r="K106" s="1002"/>
      <c r="L106" s="1002"/>
      <c r="M106" s="1002"/>
      <c r="N106" s="1002"/>
      <c r="O106" s="1002"/>
      <c r="P106" s="1002"/>
      <c r="Q106" s="1002"/>
      <c r="R106" s="1002"/>
      <c r="S106" s="1002"/>
      <c r="T106" s="1002"/>
      <c r="U106" s="1002"/>
      <c r="V106" s="1002"/>
      <c r="W106" s="1002"/>
      <c r="X106" s="1002"/>
      <c r="Y106" s="1002"/>
      <c r="Z106" s="1002"/>
      <c r="AA106" s="1002"/>
      <c r="AB106" s="1002"/>
      <c r="AC106" s="1002"/>
      <c r="AD106" s="1002"/>
      <c r="AE106" s="1002"/>
      <c r="AF106" s="1002"/>
      <c r="AG106" s="1002"/>
      <c r="AH106" s="1002"/>
      <c r="AI106" s="1002"/>
      <c r="AJ106" s="1002"/>
      <c r="AK106" s="1002"/>
      <c r="AL106" s="1002"/>
      <c r="AM106" s="1002"/>
      <c r="AN106" s="1002"/>
      <c r="AO106" s="1002"/>
      <c r="AP106" s="1002"/>
      <c r="AQ106" s="1002"/>
      <c r="AR106" s="1002"/>
      <c r="AS106" s="1002"/>
      <c r="AT106" s="1002"/>
      <c r="AU106" s="1002"/>
      <c r="AV106" s="1002"/>
      <c r="AW106" s="1002"/>
      <c r="AX106" s="1002"/>
      <c r="AY106" s="1002"/>
      <c r="AZ106" s="1002"/>
      <c r="BA106" s="1002"/>
      <c r="BB106" s="1002"/>
      <c r="BC106" s="1003"/>
      <c r="BD106" s="5"/>
      <c r="BE106" s="996"/>
      <c r="BF106" s="996"/>
      <c r="BG106" s="996"/>
      <c r="BH106" s="996"/>
      <c r="BI106" s="996"/>
      <c r="BJ106" s="996"/>
      <c r="BK106" s="996"/>
      <c r="BL106" s="996"/>
      <c r="BM106" s="996"/>
      <c r="BN106" s="996"/>
      <c r="BO106" s="996"/>
      <c r="BP106" s="996"/>
      <c r="BQ106" s="996"/>
      <c r="BR106" s="996"/>
      <c r="BS106" s="996"/>
      <c r="BT106" s="996"/>
      <c r="BU106" s="996"/>
      <c r="BV106" s="996"/>
      <c r="BW106" s="996"/>
      <c r="BX106" s="996"/>
      <c r="BY106" s="996"/>
      <c r="BZ106" s="124"/>
      <c r="CA106" s="996"/>
      <c r="CB106" s="996"/>
      <c r="CC106" s="996"/>
      <c r="CD106" s="996"/>
      <c r="CE106" s="996"/>
      <c r="CF106" s="996"/>
      <c r="CG106" s="996"/>
      <c r="CH106" s="996"/>
      <c r="CI106" s="996"/>
      <c r="CJ106" s="996"/>
      <c r="CK106" s="996"/>
      <c r="CL106" s="996"/>
      <c r="CM106" s="996"/>
      <c r="CN106" s="996"/>
      <c r="CO106" s="996"/>
      <c r="CP106" s="996"/>
      <c r="CQ106" s="996"/>
      <c r="CR106" s="996"/>
      <c r="CS106" s="996"/>
      <c r="CT106" s="996"/>
      <c r="CU106" s="996"/>
      <c r="CV106" s="5"/>
    </row>
    <row r="107" spans="1:103" ht="12" customHeight="1" thickBot="1" x14ac:dyDescent="0.25">
      <c r="A107" s="5"/>
      <c r="B107" s="990"/>
      <c r="C107" s="990"/>
      <c r="D107" s="990"/>
      <c r="E107" s="990"/>
      <c r="F107" s="990"/>
      <c r="G107" s="990"/>
      <c r="H107" s="990"/>
      <c r="I107" s="990"/>
      <c r="J107" s="1004"/>
      <c r="K107" s="1005"/>
      <c r="L107" s="1005"/>
      <c r="M107" s="1005"/>
      <c r="N107" s="1005"/>
      <c r="O107" s="1005"/>
      <c r="P107" s="1005"/>
      <c r="Q107" s="1005"/>
      <c r="R107" s="1005"/>
      <c r="S107" s="1005"/>
      <c r="T107" s="1005"/>
      <c r="U107" s="1005"/>
      <c r="V107" s="1005"/>
      <c r="W107" s="1005"/>
      <c r="X107" s="1005"/>
      <c r="Y107" s="1005"/>
      <c r="Z107" s="1005"/>
      <c r="AA107" s="1005"/>
      <c r="AB107" s="1005"/>
      <c r="AC107" s="1005"/>
      <c r="AD107" s="1005"/>
      <c r="AE107" s="1005"/>
      <c r="AF107" s="1005"/>
      <c r="AG107" s="1005"/>
      <c r="AH107" s="1005"/>
      <c r="AI107" s="1005"/>
      <c r="AJ107" s="1005"/>
      <c r="AK107" s="1005"/>
      <c r="AL107" s="1005"/>
      <c r="AM107" s="1005"/>
      <c r="AN107" s="1005"/>
      <c r="AO107" s="1005"/>
      <c r="AP107" s="1005"/>
      <c r="AQ107" s="1005"/>
      <c r="AR107" s="1005"/>
      <c r="AS107" s="1005"/>
      <c r="AT107" s="1005"/>
      <c r="AU107" s="1005"/>
      <c r="AV107" s="1005"/>
      <c r="AW107" s="1005"/>
      <c r="AX107" s="1005"/>
      <c r="AY107" s="1005"/>
      <c r="AZ107" s="1005"/>
      <c r="BA107" s="1005"/>
      <c r="BB107" s="1005"/>
      <c r="BC107" s="1006"/>
      <c r="BD107" s="5"/>
      <c r="BE107" s="5"/>
      <c r="BF107" s="5"/>
      <c r="BG107" s="5"/>
      <c r="BH107" s="5"/>
      <c r="BI107" s="5"/>
      <c r="BJ107" s="5"/>
      <c r="BK107" s="5"/>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5"/>
      <c r="CY107" s="6">
        <f>CY105+1</f>
        <v>38</v>
      </c>
    </row>
    <row r="108" spans="1:103" ht="12" customHeight="1" thickBot="1" x14ac:dyDescent="0.25">
      <c r="A108" s="5"/>
      <c r="B108" s="990"/>
      <c r="C108" s="990"/>
      <c r="D108" s="990"/>
      <c r="E108" s="990"/>
      <c r="F108" s="990"/>
      <c r="G108" s="990"/>
      <c r="H108" s="990"/>
      <c r="I108" s="990"/>
      <c r="J108" s="1007"/>
      <c r="K108" s="1008"/>
      <c r="L108" s="1008"/>
      <c r="M108" s="1008"/>
      <c r="N108" s="1008"/>
      <c r="O108" s="1008"/>
      <c r="P108" s="1008"/>
      <c r="Q108" s="1008"/>
      <c r="R108" s="1008"/>
      <c r="S108" s="1008"/>
      <c r="T108" s="1008"/>
      <c r="U108" s="1008"/>
      <c r="V108" s="1008"/>
      <c r="W108" s="1008"/>
      <c r="X108" s="1008"/>
      <c r="Y108" s="1008"/>
      <c r="Z108" s="1008"/>
      <c r="AA108" s="1008"/>
      <c r="AB108" s="1008"/>
      <c r="AC108" s="1008"/>
      <c r="AD108" s="1008"/>
      <c r="AE108" s="1008"/>
      <c r="AF108" s="1008"/>
      <c r="AG108" s="1008"/>
      <c r="AH108" s="1008"/>
      <c r="AI108" s="1008"/>
      <c r="AJ108" s="1008"/>
      <c r="AK108" s="1008"/>
      <c r="AL108" s="1008"/>
      <c r="AM108" s="1008"/>
      <c r="AN108" s="1008"/>
      <c r="AO108" s="1008"/>
      <c r="AP108" s="1008"/>
      <c r="AQ108" s="1008"/>
      <c r="AR108" s="1008"/>
      <c r="AS108" s="1008"/>
      <c r="AT108" s="1008"/>
      <c r="AU108" s="1008"/>
      <c r="AV108" s="1008"/>
      <c r="AW108" s="1008"/>
      <c r="AX108" s="1008"/>
      <c r="AY108" s="1008"/>
      <c r="AZ108" s="1008"/>
      <c r="BA108" s="1008"/>
      <c r="BB108" s="1008"/>
      <c r="BC108" s="1009"/>
      <c r="BD108" s="5"/>
      <c r="BE108" s="998" t="s">
        <v>378</v>
      </c>
      <c r="BF108" s="998"/>
      <c r="BG108" s="998"/>
      <c r="BH108" s="998"/>
      <c r="BI108" s="998"/>
      <c r="BJ108" s="998"/>
      <c r="BK108" s="998"/>
      <c r="BL108" s="998"/>
      <c r="BM108" s="998"/>
      <c r="BN108" s="998"/>
      <c r="BO108" s="998"/>
      <c r="BP108" s="998"/>
      <c r="BQ108" s="998"/>
      <c r="BR108" s="998"/>
      <c r="BS108" s="998"/>
      <c r="BT108" s="998"/>
      <c r="BU108" s="998"/>
      <c r="BV108" s="998"/>
      <c r="BW108" s="998"/>
      <c r="BX108" s="998"/>
      <c r="BY108" s="998"/>
      <c r="BZ108" s="124"/>
      <c r="CA108" s="998" t="s">
        <v>389</v>
      </c>
      <c r="CB108" s="998"/>
      <c r="CC108" s="998"/>
      <c r="CD108" s="998"/>
      <c r="CE108" s="998"/>
      <c r="CF108" s="998"/>
      <c r="CG108" s="998"/>
      <c r="CH108" s="998"/>
      <c r="CI108" s="998"/>
      <c r="CJ108" s="998"/>
      <c r="CK108" s="998"/>
      <c r="CL108" s="998"/>
      <c r="CM108" s="998"/>
      <c r="CN108" s="998"/>
      <c r="CO108" s="998"/>
      <c r="CP108" s="998"/>
      <c r="CQ108" s="998"/>
      <c r="CR108" s="998"/>
      <c r="CS108" s="998"/>
      <c r="CT108" s="998"/>
      <c r="CU108" s="998"/>
      <c r="CV108" s="5"/>
    </row>
    <row r="109" spans="1:103" ht="12" customHeight="1" x14ac:dyDescent="0.2">
      <c r="A109" s="5"/>
      <c r="B109" s="1117" t="s">
        <v>49</v>
      </c>
      <c r="C109" s="1117"/>
      <c r="D109" s="1117"/>
      <c r="E109" s="1117"/>
      <c r="F109" s="1117"/>
      <c r="G109" s="1117"/>
      <c r="H109" s="1117"/>
      <c r="I109" s="1119" t="str">
        <f>IF(CharacterLevel="","",Start!BD$139)</f>
        <v/>
      </c>
      <c r="J109" s="1119"/>
      <c r="K109" s="1119"/>
      <c r="L109" s="1119"/>
      <c r="M109" s="1119"/>
      <c r="N109" s="1119"/>
      <c r="O109" s="1119"/>
      <c r="P109" s="1119"/>
      <c r="Q109" s="1119"/>
      <c r="R109" s="1119"/>
      <c r="S109" s="1119"/>
      <c r="T109" s="11"/>
      <c r="U109" s="993" t="s">
        <v>50</v>
      </c>
      <c r="V109" s="992" t="s">
        <v>50</v>
      </c>
      <c r="W109" s="992" t="s">
        <v>50</v>
      </c>
      <c r="X109" s="992" t="s">
        <v>50</v>
      </c>
      <c r="Y109" s="992" t="s">
        <v>50</v>
      </c>
      <c r="Z109" s="11"/>
      <c r="AA109" s="993" t="s">
        <v>50</v>
      </c>
      <c r="AB109" s="992" t="s">
        <v>50</v>
      </c>
      <c r="AC109" s="992" t="s">
        <v>50</v>
      </c>
      <c r="AD109" s="992" t="s">
        <v>50</v>
      </c>
      <c r="AE109" s="992" t="s">
        <v>50</v>
      </c>
      <c r="AF109" s="11"/>
      <c r="AG109" s="992" t="s">
        <v>50</v>
      </c>
      <c r="AH109" s="992" t="s">
        <v>50</v>
      </c>
      <c r="AI109" s="992" t="s">
        <v>50</v>
      </c>
      <c r="AJ109" s="992" t="s">
        <v>50</v>
      </c>
      <c r="AK109" s="992" t="s">
        <v>50</v>
      </c>
      <c r="AL109" s="9"/>
      <c r="AM109" s="992" t="s">
        <v>50</v>
      </c>
      <c r="AN109" s="992" t="s">
        <v>50</v>
      </c>
      <c r="AO109" s="992" t="s">
        <v>50</v>
      </c>
      <c r="AP109" s="992" t="s">
        <v>50</v>
      </c>
      <c r="AQ109" s="992" t="s">
        <v>50</v>
      </c>
      <c r="AR109" s="9"/>
      <c r="AS109" s="992" t="s">
        <v>50</v>
      </c>
      <c r="AT109" s="992" t="s">
        <v>50</v>
      </c>
      <c r="AU109" s="992" t="s">
        <v>50</v>
      </c>
      <c r="AV109" s="992" t="s">
        <v>50</v>
      </c>
      <c r="AW109" s="992" t="s">
        <v>50</v>
      </c>
      <c r="AX109" s="9"/>
      <c r="AY109" s="992" t="s">
        <v>50</v>
      </c>
      <c r="AZ109" s="992" t="s">
        <v>50</v>
      </c>
      <c r="BA109" s="992" t="s">
        <v>50</v>
      </c>
      <c r="BB109" s="992" t="s">
        <v>50</v>
      </c>
      <c r="BC109" s="992" t="s">
        <v>50</v>
      </c>
      <c r="BD109" s="5"/>
      <c r="BE109" s="998"/>
      <c r="BF109" s="998"/>
      <c r="BG109" s="998"/>
      <c r="BH109" s="998"/>
      <c r="BI109" s="998"/>
      <c r="BJ109" s="998"/>
      <c r="BK109" s="998"/>
      <c r="BL109" s="998"/>
      <c r="BM109" s="998"/>
      <c r="BN109" s="998"/>
      <c r="BO109" s="998"/>
      <c r="BP109" s="998"/>
      <c r="BQ109" s="998"/>
      <c r="BR109" s="998"/>
      <c r="BS109" s="998"/>
      <c r="BT109" s="998"/>
      <c r="BU109" s="998"/>
      <c r="BV109" s="998"/>
      <c r="BW109" s="998"/>
      <c r="BX109" s="998"/>
      <c r="BY109" s="998"/>
      <c r="BZ109" s="124"/>
      <c r="CA109" s="998"/>
      <c r="CB109" s="998"/>
      <c r="CC109" s="998"/>
      <c r="CD109" s="998"/>
      <c r="CE109" s="998"/>
      <c r="CF109" s="998"/>
      <c r="CG109" s="998"/>
      <c r="CH109" s="998"/>
      <c r="CI109" s="998"/>
      <c r="CJ109" s="998"/>
      <c r="CK109" s="998"/>
      <c r="CL109" s="998"/>
      <c r="CM109" s="998"/>
      <c r="CN109" s="998"/>
      <c r="CO109" s="998"/>
      <c r="CP109" s="998"/>
      <c r="CQ109" s="998"/>
      <c r="CR109" s="998"/>
      <c r="CS109" s="998"/>
      <c r="CT109" s="998"/>
      <c r="CU109" s="998"/>
      <c r="CV109" s="5"/>
      <c r="CY109" s="6">
        <f>CY107+1</f>
        <v>39</v>
      </c>
    </row>
    <row r="110" spans="1:103" ht="12" customHeight="1" x14ac:dyDescent="0.3">
      <c r="A110" s="5"/>
      <c r="B110" s="1118"/>
      <c r="C110" s="1118"/>
      <c r="D110" s="1118"/>
      <c r="E110" s="1118"/>
      <c r="F110" s="1118"/>
      <c r="G110" s="1118"/>
      <c r="H110" s="1118"/>
      <c r="I110" s="1120"/>
      <c r="J110" s="1120"/>
      <c r="K110" s="1120"/>
      <c r="L110" s="1120"/>
      <c r="M110" s="1120"/>
      <c r="N110" s="1120"/>
      <c r="O110" s="1120"/>
      <c r="P110" s="1120"/>
      <c r="Q110" s="1120"/>
      <c r="R110" s="1120"/>
      <c r="S110" s="1120"/>
      <c r="T110" s="11"/>
      <c r="U110" s="992"/>
      <c r="V110" s="992"/>
      <c r="W110" s="992"/>
      <c r="X110" s="992"/>
      <c r="Y110" s="992"/>
      <c r="Z110" s="11"/>
      <c r="AA110" s="992"/>
      <c r="AB110" s="992"/>
      <c r="AC110" s="992"/>
      <c r="AD110" s="992"/>
      <c r="AE110" s="992"/>
      <c r="AF110" s="11"/>
      <c r="AG110" s="992"/>
      <c r="AH110" s="992"/>
      <c r="AI110" s="992"/>
      <c r="AJ110" s="992"/>
      <c r="AK110" s="992"/>
      <c r="AL110" s="9"/>
      <c r="AM110" s="992"/>
      <c r="AN110" s="992"/>
      <c r="AO110" s="992"/>
      <c r="AP110" s="992"/>
      <c r="AQ110" s="992"/>
      <c r="AR110" s="9"/>
      <c r="AS110" s="992"/>
      <c r="AT110" s="992"/>
      <c r="AU110" s="992"/>
      <c r="AV110" s="992"/>
      <c r="AW110" s="992"/>
      <c r="AX110" s="9"/>
      <c r="AY110" s="992"/>
      <c r="AZ110" s="992"/>
      <c r="BA110" s="992"/>
      <c r="BB110" s="992"/>
      <c r="BC110" s="992"/>
      <c r="BD110" s="5"/>
      <c r="BE110" s="261" t="s">
        <v>380</v>
      </c>
      <c r="BF110" s="239"/>
      <c r="BG110" s="239"/>
      <c r="BH110" s="239"/>
      <c r="BI110" s="239"/>
      <c r="BJ110" s="239"/>
      <c r="BK110" s="239"/>
      <c r="BL110" s="124"/>
      <c r="BM110" s="124"/>
      <c r="BN110" s="124"/>
      <c r="BO110" s="124"/>
      <c r="BP110" s="124"/>
      <c r="BQ110" s="124"/>
      <c r="BR110" s="124"/>
      <c r="BS110" s="124"/>
      <c r="BT110" s="124"/>
      <c r="BU110" s="124"/>
      <c r="BV110" s="124"/>
      <c r="BW110" s="124"/>
      <c r="BX110" s="124"/>
      <c r="BY110" s="124"/>
      <c r="BZ110" s="124"/>
      <c r="CA110" s="261" t="s">
        <v>390</v>
      </c>
      <c r="CB110" s="238"/>
      <c r="CC110" s="238"/>
      <c r="CD110" s="238"/>
      <c r="CE110" s="238"/>
      <c r="CF110" s="238"/>
      <c r="CG110" s="238"/>
      <c r="CH110" s="124"/>
      <c r="CI110" s="124"/>
      <c r="CJ110" s="124"/>
      <c r="CK110" s="124"/>
      <c r="CL110" s="124"/>
      <c r="CM110" s="124"/>
      <c r="CN110" s="124"/>
      <c r="CO110" s="124"/>
      <c r="CP110" s="124"/>
      <c r="CQ110" s="124"/>
      <c r="CR110" s="124"/>
      <c r="CS110" s="124"/>
      <c r="CT110" s="124"/>
      <c r="CU110" s="124"/>
      <c r="CV110" s="5"/>
    </row>
    <row r="111" spans="1:103" ht="12" customHeight="1" thickBo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995" t="str">
        <f>IF(OR(Start!C145="",CharacterLevel=""),"",Start!C145)</f>
        <v/>
      </c>
      <c r="BF111" s="995"/>
      <c r="BG111" s="995"/>
      <c r="BH111" s="995"/>
      <c r="BI111" s="995"/>
      <c r="BJ111" s="995"/>
      <c r="BK111" s="995"/>
      <c r="BL111" s="995"/>
      <c r="BM111" s="995"/>
      <c r="BN111" s="995"/>
      <c r="BO111" s="995"/>
      <c r="BP111" s="995"/>
      <c r="BQ111" s="995"/>
      <c r="BR111" s="995"/>
      <c r="BS111" s="995"/>
      <c r="BT111" s="995"/>
      <c r="BU111" s="995"/>
      <c r="BV111" s="995"/>
      <c r="BW111" s="995"/>
      <c r="BX111" s="995"/>
      <c r="BY111" s="995"/>
      <c r="BZ111" s="124"/>
      <c r="CA111" s="995" t="str">
        <f>IF(OR(Start!C163="",CharacterLevel=""),"",Start!C163)</f>
        <v/>
      </c>
      <c r="CB111" s="995"/>
      <c r="CC111" s="995"/>
      <c r="CD111" s="995"/>
      <c r="CE111" s="995"/>
      <c r="CF111" s="995"/>
      <c r="CG111" s="995"/>
      <c r="CH111" s="995"/>
      <c r="CI111" s="995"/>
      <c r="CJ111" s="995"/>
      <c r="CK111" s="995"/>
      <c r="CL111" s="995"/>
      <c r="CM111" s="995"/>
      <c r="CN111" s="995"/>
      <c r="CO111" s="995"/>
      <c r="CP111" s="995"/>
      <c r="CQ111" s="995"/>
      <c r="CR111" s="995"/>
      <c r="CS111" s="995"/>
      <c r="CT111" s="995"/>
      <c r="CU111" s="995"/>
      <c r="CV111" s="5"/>
      <c r="CY111" s="6">
        <f>CY109+1</f>
        <v>40</v>
      </c>
    </row>
    <row r="112" spans="1:103" ht="12" customHeight="1" x14ac:dyDescent="0.2">
      <c r="A112" s="5"/>
      <c r="B112" s="1027" t="s">
        <v>83</v>
      </c>
      <c r="C112" s="1028"/>
      <c r="D112" s="1028"/>
      <c r="E112" s="1028"/>
      <c r="F112" s="1028"/>
      <c r="G112" s="1028"/>
      <c r="H112" s="1028"/>
      <c r="I112" s="1028"/>
      <c r="J112" s="1028"/>
      <c r="K112" s="1028"/>
      <c r="L112" s="1028"/>
      <c r="M112" s="1028"/>
      <c r="N112" s="1028"/>
      <c r="O112" s="1028"/>
      <c r="P112" s="1028"/>
      <c r="Q112" s="1028"/>
      <c r="R112" s="1028"/>
      <c r="S112" s="1028"/>
      <c r="T112" s="1028"/>
      <c r="U112" s="1029"/>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995"/>
      <c r="BF112" s="995"/>
      <c r="BG112" s="995"/>
      <c r="BH112" s="995"/>
      <c r="BI112" s="995"/>
      <c r="BJ112" s="995"/>
      <c r="BK112" s="995"/>
      <c r="BL112" s="995"/>
      <c r="BM112" s="995"/>
      <c r="BN112" s="995"/>
      <c r="BO112" s="995"/>
      <c r="BP112" s="995"/>
      <c r="BQ112" s="995"/>
      <c r="BR112" s="995"/>
      <c r="BS112" s="995"/>
      <c r="BT112" s="995"/>
      <c r="BU112" s="995"/>
      <c r="BV112" s="995"/>
      <c r="BW112" s="995"/>
      <c r="BX112" s="995"/>
      <c r="BY112" s="995"/>
      <c r="BZ112" s="124"/>
      <c r="CA112" s="995"/>
      <c r="CB112" s="995"/>
      <c r="CC112" s="995"/>
      <c r="CD112" s="995"/>
      <c r="CE112" s="995"/>
      <c r="CF112" s="995"/>
      <c r="CG112" s="995"/>
      <c r="CH112" s="995"/>
      <c r="CI112" s="995"/>
      <c r="CJ112" s="995"/>
      <c r="CK112" s="995"/>
      <c r="CL112" s="995"/>
      <c r="CM112" s="995"/>
      <c r="CN112" s="995"/>
      <c r="CO112" s="995"/>
      <c r="CP112" s="995"/>
      <c r="CQ112" s="995"/>
      <c r="CR112" s="995"/>
      <c r="CS112" s="995"/>
      <c r="CT112" s="995"/>
      <c r="CU112" s="995"/>
      <c r="CV112" s="5"/>
    </row>
    <row r="113" spans="1:103" ht="12" customHeight="1" thickBot="1" x14ac:dyDescent="0.25">
      <c r="A113" s="5"/>
      <c r="B113" s="1030"/>
      <c r="C113" s="1031"/>
      <c r="D113" s="1031"/>
      <c r="E113" s="1031"/>
      <c r="F113" s="1031"/>
      <c r="G113" s="1031"/>
      <c r="H113" s="1031"/>
      <c r="I113" s="1031"/>
      <c r="J113" s="1031"/>
      <c r="K113" s="1031"/>
      <c r="L113" s="1031"/>
      <c r="M113" s="1031"/>
      <c r="N113" s="1031"/>
      <c r="O113" s="1031"/>
      <c r="P113" s="1031"/>
      <c r="Q113" s="1031"/>
      <c r="R113" s="1031"/>
      <c r="S113" s="1031"/>
      <c r="T113" s="1031"/>
      <c r="U113" s="1032"/>
      <c r="V113" s="994" t="s">
        <v>180</v>
      </c>
      <c r="W113" s="988"/>
      <c r="X113" s="988"/>
      <c r="Y113" s="988"/>
      <c r="Z113" s="988"/>
      <c r="AA113" s="988"/>
      <c r="AB113" s="988" t="s">
        <v>47</v>
      </c>
      <c r="AC113" s="988"/>
      <c r="AD113" s="988"/>
      <c r="AE113" s="988"/>
      <c r="AF113" s="988"/>
      <c r="AG113" s="988"/>
      <c r="AH113" s="988"/>
      <c r="AI113" s="988"/>
      <c r="AJ113" s="988"/>
      <c r="AK113" s="988"/>
      <c r="AL113" s="988"/>
      <c r="AM113" s="988"/>
      <c r="AN113" s="988"/>
      <c r="AO113" s="988"/>
      <c r="AP113" s="988"/>
      <c r="AQ113" s="988" t="s">
        <v>9</v>
      </c>
      <c r="AR113" s="988"/>
      <c r="AS113" s="988"/>
      <c r="AT113" s="988"/>
      <c r="AU113" s="988"/>
      <c r="AV113" s="988"/>
      <c r="AW113" s="988"/>
      <c r="AX113" s="988"/>
      <c r="AY113" s="988"/>
      <c r="AZ113" s="988"/>
      <c r="BA113" s="988"/>
      <c r="BB113" s="988"/>
      <c r="BC113" s="989"/>
      <c r="BD113" s="5"/>
      <c r="BE113" s="996"/>
      <c r="BF113" s="996"/>
      <c r="BG113" s="996"/>
      <c r="BH113" s="996"/>
      <c r="BI113" s="996"/>
      <c r="BJ113" s="996"/>
      <c r="BK113" s="996"/>
      <c r="BL113" s="996"/>
      <c r="BM113" s="996"/>
      <c r="BN113" s="996"/>
      <c r="BO113" s="996"/>
      <c r="BP113" s="996"/>
      <c r="BQ113" s="996"/>
      <c r="BR113" s="996"/>
      <c r="BS113" s="996"/>
      <c r="BT113" s="996"/>
      <c r="BU113" s="996"/>
      <c r="BV113" s="996"/>
      <c r="BW113" s="996"/>
      <c r="BX113" s="996"/>
      <c r="BY113" s="996"/>
      <c r="BZ113" s="124"/>
      <c r="CA113" s="996"/>
      <c r="CB113" s="996"/>
      <c r="CC113" s="996"/>
      <c r="CD113" s="996"/>
      <c r="CE113" s="996"/>
      <c r="CF113" s="996"/>
      <c r="CG113" s="996"/>
      <c r="CH113" s="996"/>
      <c r="CI113" s="996"/>
      <c r="CJ113" s="996"/>
      <c r="CK113" s="996"/>
      <c r="CL113" s="996"/>
      <c r="CM113" s="996"/>
      <c r="CN113" s="996"/>
      <c r="CO113" s="996"/>
      <c r="CP113" s="996"/>
      <c r="CQ113" s="996"/>
      <c r="CR113" s="996"/>
      <c r="CS113" s="996"/>
      <c r="CT113" s="996"/>
      <c r="CU113" s="996"/>
      <c r="CV113" s="5"/>
      <c r="CY113" s="6">
        <f>CY111+1</f>
        <v>41</v>
      </c>
    </row>
    <row r="114" spans="1:103" ht="12" customHeight="1" thickBot="1" x14ac:dyDescent="0.25">
      <c r="A114" s="5"/>
      <c r="B114" s="1018" t="str">
        <f>IF(CharacterLevel="","",Attack3name)</f>
        <v/>
      </c>
      <c r="C114" s="1019"/>
      <c r="D114" s="1019"/>
      <c r="E114" s="1019"/>
      <c r="F114" s="1019"/>
      <c r="G114" s="1019"/>
      <c r="H114" s="1019"/>
      <c r="I114" s="1019"/>
      <c r="J114" s="1019"/>
      <c r="K114" s="1019"/>
      <c r="L114" s="1019"/>
      <c r="M114" s="1019"/>
      <c r="N114" s="1019"/>
      <c r="O114" s="1019"/>
      <c r="P114" s="1019"/>
      <c r="Q114" s="1019"/>
      <c r="R114" s="1019"/>
      <c r="S114" s="1019"/>
      <c r="T114" s="1019"/>
      <c r="U114" s="1020"/>
      <c r="V114" s="986" t="str">
        <f ca="1">IF(CharacterLevel="","",Attack3bonus)</f>
        <v/>
      </c>
      <c r="W114" s="987"/>
      <c r="X114" s="987"/>
      <c r="Y114" s="987"/>
      <c r="Z114" s="987"/>
      <c r="AA114" s="987"/>
      <c r="AB114" s="990" t="str">
        <f>IF(CharacterLevel="","",Attack3damage)</f>
        <v/>
      </c>
      <c r="AC114" s="990"/>
      <c r="AD114" s="990"/>
      <c r="AE114" s="990"/>
      <c r="AF114" s="990"/>
      <c r="AG114" s="990"/>
      <c r="AH114" s="990"/>
      <c r="AI114" s="990"/>
      <c r="AJ114" s="990"/>
      <c r="AK114" s="990"/>
      <c r="AL114" s="990"/>
      <c r="AM114" s="990"/>
      <c r="AN114" s="990"/>
      <c r="AO114" s="990"/>
      <c r="AP114" s="990"/>
      <c r="AQ114" s="990" t="str">
        <f>IF(CharacterLevel="","",Attack3type)</f>
        <v/>
      </c>
      <c r="AR114" s="990"/>
      <c r="AS114" s="990"/>
      <c r="AT114" s="990"/>
      <c r="AU114" s="990"/>
      <c r="AV114" s="990"/>
      <c r="AW114" s="990"/>
      <c r="AX114" s="990"/>
      <c r="AY114" s="990"/>
      <c r="AZ114" s="990"/>
      <c r="BA114" s="990"/>
      <c r="BB114" s="990"/>
      <c r="BC114" s="990"/>
      <c r="BD114" s="5"/>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5"/>
    </row>
    <row r="115" spans="1:103" ht="12" customHeight="1" thickBot="1" x14ac:dyDescent="0.25">
      <c r="A115" s="5"/>
      <c r="B115" s="1021"/>
      <c r="C115" s="1022"/>
      <c r="D115" s="1022"/>
      <c r="E115" s="1022"/>
      <c r="F115" s="1022"/>
      <c r="G115" s="1022"/>
      <c r="H115" s="1022"/>
      <c r="I115" s="1022"/>
      <c r="J115" s="1022"/>
      <c r="K115" s="1022"/>
      <c r="L115" s="1022"/>
      <c r="M115" s="1022"/>
      <c r="N115" s="1022"/>
      <c r="O115" s="1022"/>
      <c r="P115" s="1022"/>
      <c r="Q115" s="1022"/>
      <c r="R115" s="1022"/>
      <c r="S115" s="1022"/>
      <c r="T115" s="1022"/>
      <c r="U115" s="1023"/>
      <c r="V115" s="986"/>
      <c r="W115" s="987"/>
      <c r="X115" s="987"/>
      <c r="Y115" s="987"/>
      <c r="Z115" s="987"/>
      <c r="AA115" s="987"/>
      <c r="AB115" s="990"/>
      <c r="AC115" s="990"/>
      <c r="AD115" s="990"/>
      <c r="AE115" s="990"/>
      <c r="AF115" s="990"/>
      <c r="AG115" s="990"/>
      <c r="AH115" s="990"/>
      <c r="AI115" s="990"/>
      <c r="AJ115" s="990"/>
      <c r="AK115" s="990"/>
      <c r="AL115" s="990"/>
      <c r="AM115" s="990"/>
      <c r="AN115" s="990"/>
      <c r="AO115" s="990"/>
      <c r="AP115" s="990"/>
      <c r="AQ115" s="990"/>
      <c r="AR115" s="990"/>
      <c r="AS115" s="990"/>
      <c r="AT115" s="990"/>
      <c r="AU115" s="990"/>
      <c r="AV115" s="990"/>
      <c r="AW115" s="990"/>
      <c r="AX115" s="990"/>
      <c r="AY115" s="990"/>
      <c r="AZ115" s="990"/>
      <c r="BA115" s="990"/>
      <c r="BB115" s="990"/>
      <c r="BC115" s="990"/>
      <c r="BD115" s="5"/>
      <c r="BE115" s="998" t="s">
        <v>381</v>
      </c>
      <c r="BF115" s="998"/>
      <c r="BG115" s="998"/>
      <c r="BH115" s="998"/>
      <c r="BI115" s="998"/>
      <c r="BJ115" s="998"/>
      <c r="BK115" s="998"/>
      <c r="BL115" s="998"/>
      <c r="BM115" s="998"/>
      <c r="BN115" s="998"/>
      <c r="BO115" s="998"/>
      <c r="BP115" s="998"/>
      <c r="BQ115" s="998"/>
      <c r="BR115" s="998"/>
      <c r="BS115" s="998"/>
      <c r="BT115" s="998"/>
      <c r="BU115" s="998"/>
      <c r="BV115" s="998"/>
      <c r="BW115" s="998"/>
      <c r="BX115" s="998"/>
      <c r="BY115" s="998"/>
      <c r="BZ115" s="124"/>
      <c r="CA115" s="998" t="s">
        <v>391</v>
      </c>
      <c r="CB115" s="998"/>
      <c r="CC115" s="998"/>
      <c r="CD115" s="998"/>
      <c r="CE115" s="998"/>
      <c r="CF115" s="998"/>
      <c r="CG115" s="998"/>
      <c r="CH115" s="998"/>
      <c r="CI115" s="998"/>
      <c r="CJ115" s="998"/>
      <c r="CK115" s="998"/>
      <c r="CL115" s="998"/>
      <c r="CM115" s="998"/>
      <c r="CN115" s="998"/>
      <c r="CO115" s="998"/>
      <c r="CP115" s="998"/>
      <c r="CQ115" s="998"/>
      <c r="CR115" s="998"/>
      <c r="CS115" s="998"/>
      <c r="CT115" s="998"/>
      <c r="CU115" s="998"/>
      <c r="CV115" s="5"/>
      <c r="CY115" s="6">
        <f>CY113+1</f>
        <v>42</v>
      </c>
    </row>
    <row r="116" spans="1:103" ht="12" customHeight="1" thickBot="1" x14ac:dyDescent="0.25">
      <c r="A116" s="5"/>
      <c r="B116" s="1024"/>
      <c r="C116" s="1025"/>
      <c r="D116" s="1025"/>
      <c r="E116" s="1025"/>
      <c r="F116" s="1025"/>
      <c r="G116" s="1025"/>
      <c r="H116" s="1025"/>
      <c r="I116" s="1025"/>
      <c r="J116" s="1025"/>
      <c r="K116" s="1025"/>
      <c r="L116" s="1025"/>
      <c r="M116" s="1025"/>
      <c r="N116" s="1025"/>
      <c r="O116" s="1025"/>
      <c r="P116" s="1025"/>
      <c r="Q116" s="1025"/>
      <c r="R116" s="1025"/>
      <c r="S116" s="1025"/>
      <c r="T116" s="1025"/>
      <c r="U116" s="1026"/>
      <c r="V116" s="986"/>
      <c r="W116" s="987"/>
      <c r="X116" s="987"/>
      <c r="Y116" s="987"/>
      <c r="Z116" s="987"/>
      <c r="AA116" s="987"/>
      <c r="AB116" s="991"/>
      <c r="AC116" s="991"/>
      <c r="AD116" s="991"/>
      <c r="AE116" s="991"/>
      <c r="AF116" s="991"/>
      <c r="AG116" s="991"/>
      <c r="AH116" s="991"/>
      <c r="AI116" s="991"/>
      <c r="AJ116" s="991"/>
      <c r="AK116" s="991"/>
      <c r="AL116" s="991"/>
      <c r="AM116" s="991"/>
      <c r="AN116" s="991"/>
      <c r="AO116" s="991"/>
      <c r="AP116" s="991"/>
      <c r="AQ116" s="991"/>
      <c r="AR116" s="991"/>
      <c r="AS116" s="991"/>
      <c r="AT116" s="991"/>
      <c r="AU116" s="991"/>
      <c r="AV116" s="991"/>
      <c r="AW116" s="991"/>
      <c r="AX116" s="991"/>
      <c r="AY116" s="991"/>
      <c r="AZ116" s="991"/>
      <c r="BA116" s="991"/>
      <c r="BB116" s="991"/>
      <c r="BC116" s="991"/>
      <c r="BD116" s="5"/>
      <c r="BE116" s="998"/>
      <c r="BF116" s="998"/>
      <c r="BG116" s="998"/>
      <c r="BH116" s="998"/>
      <c r="BI116" s="998"/>
      <c r="BJ116" s="998"/>
      <c r="BK116" s="998"/>
      <c r="BL116" s="998"/>
      <c r="BM116" s="998"/>
      <c r="BN116" s="998"/>
      <c r="BO116" s="998"/>
      <c r="BP116" s="998"/>
      <c r="BQ116" s="998"/>
      <c r="BR116" s="998"/>
      <c r="BS116" s="998"/>
      <c r="BT116" s="998"/>
      <c r="BU116" s="998"/>
      <c r="BV116" s="998"/>
      <c r="BW116" s="998"/>
      <c r="BX116" s="998"/>
      <c r="BY116" s="998"/>
      <c r="BZ116" s="124"/>
      <c r="CA116" s="998"/>
      <c r="CB116" s="998"/>
      <c r="CC116" s="998"/>
      <c r="CD116" s="998"/>
      <c r="CE116" s="998"/>
      <c r="CF116" s="998"/>
      <c r="CG116" s="998"/>
      <c r="CH116" s="998"/>
      <c r="CI116" s="998"/>
      <c r="CJ116" s="998"/>
      <c r="CK116" s="998"/>
      <c r="CL116" s="998"/>
      <c r="CM116" s="998"/>
      <c r="CN116" s="998"/>
      <c r="CO116" s="998"/>
      <c r="CP116" s="998"/>
      <c r="CQ116" s="998"/>
      <c r="CR116" s="998"/>
      <c r="CS116" s="998"/>
      <c r="CT116" s="998"/>
      <c r="CU116" s="998"/>
      <c r="CV116" s="5"/>
    </row>
    <row r="117" spans="1:103" ht="12" customHeight="1" thickBot="1" x14ac:dyDescent="0.35">
      <c r="A117" s="5"/>
      <c r="B117" s="1033" t="s">
        <v>48</v>
      </c>
      <c r="C117" s="999"/>
      <c r="D117" s="999"/>
      <c r="E117" s="999"/>
      <c r="F117" s="999"/>
      <c r="G117" s="999"/>
      <c r="H117" s="999"/>
      <c r="I117" s="999"/>
      <c r="J117" s="999" t="s">
        <v>111</v>
      </c>
      <c r="K117" s="999"/>
      <c r="L117" s="999"/>
      <c r="M117" s="999"/>
      <c r="N117" s="999"/>
      <c r="O117" s="999"/>
      <c r="P117" s="999"/>
      <c r="Q117" s="999"/>
      <c r="R117" s="999"/>
      <c r="S117" s="999"/>
      <c r="T117" s="999"/>
      <c r="U117" s="999"/>
      <c r="V117" s="999"/>
      <c r="W117" s="999"/>
      <c r="X117" s="999"/>
      <c r="Y117" s="999"/>
      <c r="Z117" s="999"/>
      <c r="AA117" s="999"/>
      <c r="AB117" s="999"/>
      <c r="AC117" s="999"/>
      <c r="AD117" s="999"/>
      <c r="AE117" s="999"/>
      <c r="AF117" s="999"/>
      <c r="AG117" s="999"/>
      <c r="AH117" s="999"/>
      <c r="AI117" s="999"/>
      <c r="AJ117" s="999"/>
      <c r="AK117" s="999"/>
      <c r="AL117" s="999"/>
      <c r="AM117" s="999"/>
      <c r="AN117" s="999"/>
      <c r="AO117" s="999"/>
      <c r="AP117" s="999"/>
      <c r="AQ117" s="999"/>
      <c r="AR117" s="999"/>
      <c r="AS117" s="999"/>
      <c r="AT117" s="999"/>
      <c r="AU117" s="999"/>
      <c r="AV117" s="999"/>
      <c r="AW117" s="999"/>
      <c r="AX117" s="999"/>
      <c r="AY117" s="999"/>
      <c r="AZ117" s="999"/>
      <c r="BA117" s="999"/>
      <c r="BB117" s="999"/>
      <c r="BC117" s="1000"/>
      <c r="BD117" s="5"/>
      <c r="BE117" s="261" t="s">
        <v>382</v>
      </c>
      <c r="BF117" s="238"/>
      <c r="BG117" s="238"/>
      <c r="BH117" s="238"/>
      <c r="BI117" s="238"/>
      <c r="BJ117" s="238"/>
      <c r="BK117" s="238"/>
      <c r="BL117" s="5"/>
      <c r="BM117" s="5"/>
      <c r="BN117" s="5"/>
      <c r="BO117" s="124"/>
      <c r="BP117" s="124"/>
      <c r="BQ117" s="124"/>
      <c r="BR117" s="124"/>
      <c r="BS117" s="124"/>
      <c r="BT117" s="124"/>
      <c r="BU117" s="124"/>
      <c r="BV117" s="124"/>
      <c r="BW117" s="124"/>
      <c r="BX117" s="124"/>
      <c r="BY117" s="124"/>
      <c r="BZ117" s="124"/>
      <c r="CA117" s="261" t="s">
        <v>392</v>
      </c>
      <c r="CB117" s="238"/>
      <c r="CC117" s="238"/>
      <c r="CD117" s="238"/>
      <c r="CE117" s="238"/>
      <c r="CF117" s="238"/>
      <c r="CG117" s="238"/>
      <c r="CH117" s="124"/>
      <c r="CI117" s="124"/>
      <c r="CJ117" s="124"/>
      <c r="CK117" s="124"/>
      <c r="CL117" s="124"/>
      <c r="CM117" s="124"/>
      <c r="CN117" s="124"/>
      <c r="CO117" s="124"/>
      <c r="CP117" s="124"/>
      <c r="CQ117" s="124"/>
      <c r="CR117" s="124"/>
      <c r="CS117" s="124"/>
      <c r="CT117" s="124"/>
      <c r="CU117" s="124"/>
      <c r="CV117" s="5"/>
      <c r="CY117" s="6">
        <f>CY115+1</f>
        <v>43</v>
      </c>
    </row>
    <row r="118" spans="1:103" ht="12" customHeight="1" thickBot="1" x14ac:dyDescent="0.25">
      <c r="A118" s="5"/>
      <c r="B118" s="990" t="str">
        <f>IF(CharacterLevel="","",Attack3range)</f>
        <v/>
      </c>
      <c r="C118" s="990"/>
      <c r="D118" s="990"/>
      <c r="E118" s="990"/>
      <c r="F118" s="990"/>
      <c r="G118" s="990"/>
      <c r="H118" s="990"/>
      <c r="I118" s="990"/>
      <c r="J118" s="1001" t="str">
        <f>IF(CharacterLevel="","",Attack3props)</f>
        <v/>
      </c>
      <c r="K118" s="1002"/>
      <c r="L118" s="1002"/>
      <c r="M118" s="1002"/>
      <c r="N118" s="1002"/>
      <c r="O118" s="1002"/>
      <c r="P118" s="1002"/>
      <c r="Q118" s="1002"/>
      <c r="R118" s="1002"/>
      <c r="S118" s="1002"/>
      <c r="T118" s="1002"/>
      <c r="U118" s="1002"/>
      <c r="V118" s="1002"/>
      <c r="W118" s="1002"/>
      <c r="X118" s="1002"/>
      <c r="Y118" s="1002"/>
      <c r="Z118" s="1002"/>
      <c r="AA118" s="1002"/>
      <c r="AB118" s="1002"/>
      <c r="AC118" s="1002"/>
      <c r="AD118" s="1002"/>
      <c r="AE118" s="1002"/>
      <c r="AF118" s="1002"/>
      <c r="AG118" s="1002"/>
      <c r="AH118" s="1002"/>
      <c r="AI118" s="1002"/>
      <c r="AJ118" s="1002"/>
      <c r="AK118" s="1002"/>
      <c r="AL118" s="1002"/>
      <c r="AM118" s="1002"/>
      <c r="AN118" s="1002"/>
      <c r="AO118" s="1002"/>
      <c r="AP118" s="1002"/>
      <c r="AQ118" s="1002"/>
      <c r="AR118" s="1002"/>
      <c r="AS118" s="1002"/>
      <c r="AT118" s="1002"/>
      <c r="AU118" s="1002"/>
      <c r="AV118" s="1002"/>
      <c r="AW118" s="1002"/>
      <c r="AX118" s="1002"/>
      <c r="AY118" s="1002"/>
      <c r="AZ118" s="1002"/>
      <c r="BA118" s="1002"/>
      <c r="BB118" s="1002"/>
      <c r="BC118" s="1003"/>
      <c r="BD118" s="5"/>
      <c r="BE118" s="995" t="str">
        <f>IF(OR(Start!C148="",CharacterLevel=""),"",Start!C148)</f>
        <v/>
      </c>
      <c r="BF118" s="995"/>
      <c r="BG118" s="995"/>
      <c r="BH118" s="995"/>
      <c r="BI118" s="995"/>
      <c r="BJ118" s="995"/>
      <c r="BK118" s="995"/>
      <c r="BL118" s="995"/>
      <c r="BM118" s="995"/>
      <c r="BN118" s="995"/>
      <c r="BO118" s="995"/>
      <c r="BP118" s="995"/>
      <c r="BQ118" s="995"/>
      <c r="BR118" s="995"/>
      <c r="BS118" s="995"/>
      <c r="BT118" s="995"/>
      <c r="BU118" s="995"/>
      <c r="BV118" s="995"/>
      <c r="BW118" s="995"/>
      <c r="BX118" s="995"/>
      <c r="BY118" s="995"/>
      <c r="BZ118" s="124"/>
      <c r="CA118" s="995" t="str">
        <f>IF(OR(Start!C166="",CharacterLevel=""),"",Start!C166)</f>
        <v/>
      </c>
      <c r="CB118" s="995"/>
      <c r="CC118" s="995"/>
      <c r="CD118" s="995"/>
      <c r="CE118" s="995"/>
      <c r="CF118" s="995"/>
      <c r="CG118" s="995"/>
      <c r="CH118" s="995"/>
      <c r="CI118" s="995"/>
      <c r="CJ118" s="995"/>
      <c r="CK118" s="995"/>
      <c r="CL118" s="995"/>
      <c r="CM118" s="995"/>
      <c r="CN118" s="995"/>
      <c r="CO118" s="995"/>
      <c r="CP118" s="995"/>
      <c r="CQ118" s="995"/>
      <c r="CR118" s="995"/>
      <c r="CS118" s="995"/>
      <c r="CT118" s="995"/>
      <c r="CU118" s="995"/>
      <c r="CV118" s="5"/>
    </row>
    <row r="119" spans="1:103" ht="12" customHeight="1" thickBot="1" x14ac:dyDescent="0.25">
      <c r="A119" s="5"/>
      <c r="B119" s="990"/>
      <c r="C119" s="990"/>
      <c r="D119" s="990"/>
      <c r="E119" s="990"/>
      <c r="F119" s="990"/>
      <c r="G119" s="990"/>
      <c r="H119" s="990"/>
      <c r="I119" s="990"/>
      <c r="J119" s="1004"/>
      <c r="K119" s="1005"/>
      <c r="L119" s="1005"/>
      <c r="M119" s="1005"/>
      <c r="N119" s="1005"/>
      <c r="O119" s="1005"/>
      <c r="P119" s="1005"/>
      <c r="Q119" s="1005"/>
      <c r="R119" s="1005"/>
      <c r="S119" s="1005"/>
      <c r="T119" s="1005"/>
      <c r="U119" s="1005"/>
      <c r="V119" s="1005"/>
      <c r="W119" s="1005"/>
      <c r="X119" s="1005"/>
      <c r="Y119" s="1005"/>
      <c r="Z119" s="1005"/>
      <c r="AA119" s="1005"/>
      <c r="AB119" s="1005"/>
      <c r="AC119" s="1005"/>
      <c r="AD119" s="1005"/>
      <c r="AE119" s="1005"/>
      <c r="AF119" s="1005"/>
      <c r="AG119" s="1005"/>
      <c r="AH119" s="1005"/>
      <c r="AI119" s="1005"/>
      <c r="AJ119" s="1005"/>
      <c r="AK119" s="1005"/>
      <c r="AL119" s="1005"/>
      <c r="AM119" s="1005"/>
      <c r="AN119" s="1005"/>
      <c r="AO119" s="1005"/>
      <c r="AP119" s="1005"/>
      <c r="AQ119" s="1005"/>
      <c r="AR119" s="1005"/>
      <c r="AS119" s="1005"/>
      <c r="AT119" s="1005"/>
      <c r="AU119" s="1005"/>
      <c r="AV119" s="1005"/>
      <c r="AW119" s="1005"/>
      <c r="AX119" s="1005"/>
      <c r="AY119" s="1005"/>
      <c r="AZ119" s="1005"/>
      <c r="BA119" s="1005"/>
      <c r="BB119" s="1005"/>
      <c r="BC119" s="1006"/>
      <c r="BD119" s="5"/>
      <c r="BE119" s="995"/>
      <c r="BF119" s="995"/>
      <c r="BG119" s="995"/>
      <c r="BH119" s="995"/>
      <c r="BI119" s="995"/>
      <c r="BJ119" s="995"/>
      <c r="BK119" s="995"/>
      <c r="BL119" s="995"/>
      <c r="BM119" s="995"/>
      <c r="BN119" s="995"/>
      <c r="BO119" s="995"/>
      <c r="BP119" s="995"/>
      <c r="BQ119" s="995"/>
      <c r="BR119" s="995"/>
      <c r="BS119" s="995"/>
      <c r="BT119" s="995"/>
      <c r="BU119" s="995"/>
      <c r="BV119" s="995"/>
      <c r="BW119" s="995"/>
      <c r="BX119" s="995"/>
      <c r="BY119" s="995"/>
      <c r="BZ119" s="124"/>
      <c r="CA119" s="995"/>
      <c r="CB119" s="995"/>
      <c r="CC119" s="995"/>
      <c r="CD119" s="995"/>
      <c r="CE119" s="995"/>
      <c r="CF119" s="995"/>
      <c r="CG119" s="995"/>
      <c r="CH119" s="995"/>
      <c r="CI119" s="995"/>
      <c r="CJ119" s="995"/>
      <c r="CK119" s="995"/>
      <c r="CL119" s="995"/>
      <c r="CM119" s="995"/>
      <c r="CN119" s="995"/>
      <c r="CO119" s="995"/>
      <c r="CP119" s="995"/>
      <c r="CQ119" s="995"/>
      <c r="CR119" s="995"/>
      <c r="CS119" s="995"/>
      <c r="CT119" s="995"/>
      <c r="CU119" s="995"/>
      <c r="CV119" s="5"/>
      <c r="CY119" s="6">
        <f>CY117+1</f>
        <v>44</v>
      </c>
    </row>
    <row r="120" spans="1:103" ht="12" customHeight="1" thickBot="1" x14ac:dyDescent="0.25">
      <c r="A120" s="5"/>
      <c r="B120" s="990"/>
      <c r="C120" s="990"/>
      <c r="D120" s="990"/>
      <c r="E120" s="990"/>
      <c r="F120" s="990"/>
      <c r="G120" s="990"/>
      <c r="H120" s="990"/>
      <c r="I120" s="990"/>
      <c r="J120" s="1007"/>
      <c r="K120" s="1008"/>
      <c r="L120" s="1008"/>
      <c r="M120" s="1008"/>
      <c r="N120" s="1008"/>
      <c r="O120" s="1008"/>
      <c r="P120" s="1008"/>
      <c r="Q120" s="1008"/>
      <c r="R120" s="1008"/>
      <c r="S120" s="1008"/>
      <c r="T120" s="1008"/>
      <c r="U120" s="1008"/>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8"/>
      <c r="AP120" s="1008"/>
      <c r="AQ120" s="1008"/>
      <c r="AR120" s="1008"/>
      <c r="AS120" s="1008"/>
      <c r="AT120" s="1008"/>
      <c r="AU120" s="1008"/>
      <c r="AV120" s="1008"/>
      <c r="AW120" s="1008"/>
      <c r="AX120" s="1008"/>
      <c r="AY120" s="1008"/>
      <c r="AZ120" s="1008"/>
      <c r="BA120" s="1008"/>
      <c r="BB120" s="1008"/>
      <c r="BC120" s="1009"/>
      <c r="BD120" s="54"/>
      <c r="BE120" s="996"/>
      <c r="BF120" s="996"/>
      <c r="BG120" s="996"/>
      <c r="BH120" s="996"/>
      <c r="BI120" s="996"/>
      <c r="BJ120" s="996"/>
      <c r="BK120" s="996"/>
      <c r="BL120" s="996"/>
      <c r="BM120" s="996"/>
      <c r="BN120" s="996"/>
      <c r="BO120" s="996"/>
      <c r="BP120" s="996"/>
      <c r="BQ120" s="996"/>
      <c r="BR120" s="996"/>
      <c r="BS120" s="996"/>
      <c r="BT120" s="996"/>
      <c r="BU120" s="996"/>
      <c r="BV120" s="996"/>
      <c r="BW120" s="996"/>
      <c r="BX120" s="996"/>
      <c r="BY120" s="996"/>
      <c r="BZ120" s="124"/>
      <c r="CA120" s="996"/>
      <c r="CB120" s="996"/>
      <c r="CC120" s="996"/>
      <c r="CD120" s="996"/>
      <c r="CE120" s="996"/>
      <c r="CF120" s="996"/>
      <c r="CG120" s="996"/>
      <c r="CH120" s="996"/>
      <c r="CI120" s="996"/>
      <c r="CJ120" s="996"/>
      <c r="CK120" s="996"/>
      <c r="CL120" s="996"/>
      <c r="CM120" s="996"/>
      <c r="CN120" s="996"/>
      <c r="CO120" s="996"/>
      <c r="CP120" s="996"/>
      <c r="CQ120" s="996"/>
      <c r="CR120" s="996"/>
      <c r="CS120" s="996"/>
      <c r="CT120" s="996"/>
      <c r="CU120" s="996"/>
      <c r="CV120" s="5"/>
    </row>
    <row r="121" spans="1:103" ht="12" customHeight="1" x14ac:dyDescent="0.2">
      <c r="A121" s="5"/>
      <c r="B121" s="1117" t="s">
        <v>49</v>
      </c>
      <c r="C121" s="1117"/>
      <c r="D121" s="1117"/>
      <c r="E121" s="1117"/>
      <c r="F121" s="1117"/>
      <c r="G121" s="1117"/>
      <c r="H121" s="1117"/>
      <c r="I121" s="1119" t="str">
        <f>IF(CharacterLevel="","",Start!BL$139)</f>
        <v/>
      </c>
      <c r="J121" s="1119"/>
      <c r="K121" s="1119"/>
      <c r="L121" s="1119"/>
      <c r="M121" s="1119"/>
      <c r="N121" s="1119"/>
      <c r="O121" s="1119"/>
      <c r="P121" s="1119"/>
      <c r="Q121" s="1119"/>
      <c r="R121" s="1119"/>
      <c r="S121" s="1119"/>
      <c r="T121" s="11"/>
      <c r="U121" s="993" t="s">
        <v>50</v>
      </c>
      <c r="V121" s="992" t="s">
        <v>50</v>
      </c>
      <c r="W121" s="992" t="s">
        <v>50</v>
      </c>
      <c r="X121" s="992" t="s">
        <v>50</v>
      </c>
      <c r="Y121" s="992" t="s">
        <v>50</v>
      </c>
      <c r="Z121" s="11"/>
      <c r="AA121" s="993" t="s">
        <v>50</v>
      </c>
      <c r="AB121" s="992" t="s">
        <v>50</v>
      </c>
      <c r="AC121" s="992" t="s">
        <v>50</v>
      </c>
      <c r="AD121" s="992" t="s">
        <v>50</v>
      </c>
      <c r="AE121" s="992" t="s">
        <v>50</v>
      </c>
      <c r="AF121" s="11"/>
      <c r="AG121" s="993" t="s">
        <v>50</v>
      </c>
      <c r="AH121" s="992" t="s">
        <v>50</v>
      </c>
      <c r="AI121" s="992" t="s">
        <v>50</v>
      </c>
      <c r="AJ121" s="992" t="s">
        <v>50</v>
      </c>
      <c r="AK121" s="992" t="s">
        <v>50</v>
      </c>
      <c r="AL121" s="9"/>
      <c r="AM121" s="992" t="s">
        <v>50</v>
      </c>
      <c r="AN121" s="992" t="s">
        <v>50</v>
      </c>
      <c r="AO121" s="992" t="s">
        <v>50</v>
      </c>
      <c r="AP121" s="992" t="s">
        <v>50</v>
      </c>
      <c r="AQ121" s="992" t="s">
        <v>50</v>
      </c>
      <c r="AR121" s="9"/>
      <c r="AS121" s="992" t="s">
        <v>50</v>
      </c>
      <c r="AT121" s="992" t="s">
        <v>50</v>
      </c>
      <c r="AU121" s="992" t="s">
        <v>50</v>
      </c>
      <c r="AV121" s="992" t="s">
        <v>50</v>
      </c>
      <c r="AW121" s="992" t="s">
        <v>50</v>
      </c>
      <c r="AX121" s="9"/>
      <c r="AY121" s="992" t="s">
        <v>50</v>
      </c>
      <c r="AZ121" s="992" t="s">
        <v>50</v>
      </c>
      <c r="BA121" s="992" t="s">
        <v>50</v>
      </c>
      <c r="BB121" s="992" t="s">
        <v>50</v>
      </c>
      <c r="BC121" s="992" t="s">
        <v>50</v>
      </c>
      <c r="BD121" s="54"/>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Y121" s="6">
        <f>CY119+1</f>
        <v>45</v>
      </c>
    </row>
    <row r="122" spans="1:103" ht="12" customHeight="1" x14ac:dyDescent="0.2">
      <c r="A122" s="5"/>
      <c r="B122" s="1118"/>
      <c r="C122" s="1118"/>
      <c r="D122" s="1118"/>
      <c r="E122" s="1118"/>
      <c r="F122" s="1118"/>
      <c r="G122" s="1118"/>
      <c r="H122" s="1118"/>
      <c r="I122" s="1120"/>
      <c r="J122" s="1120"/>
      <c r="K122" s="1120"/>
      <c r="L122" s="1120"/>
      <c r="M122" s="1120"/>
      <c r="N122" s="1120"/>
      <c r="O122" s="1120"/>
      <c r="P122" s="1120"/>
      <c r="Q122" s="1120"/>
      <c r="R122" s="1120"/>
      <c r="S122" s="1120"/>
      <c r="T122" s="11"/>
      <c r="U122" s="992"/>
      <c r="V122" s="992"/>
      <c r="W122" s="992"/>
      <c r="X122" s="992"/>
      <c r="Y122" s="992"/>
      <c r="Z122" s="11"/>
      <c r="AA122" s="992"/>
      <c r="AB122" s="992"/>
      <c r="AC122" s="992"/>
      <c r="AD122" s="992"/>
      <c r="AE122" s="992"/>
      <c r="AF122" s="11"/>
      <c r="AG122" s="992"/>
      <c r="AH122" s="992"/>
      <c r="AI122" s="992"/>
      <c r="AJ122" s="992"/>
      <c r="AK122" s="992"/>
      <c r="AL122" s="9"/>
      <c r="AM122" s="992"/>
      <c r="AN122" s="992"/>
      <c r="AO122" s="992"/>
      <c r="AP122" s="992"/>
      <c r="AQ122" s="992"/>
      <c r="AR122" s="9"/>
      <c r="AS122" s="992"/>
      <c r="AT122" s="992"/>
      <c r="AU122" s="992"/>
      <c r="AV122" s="992"/>
      <c r="AW122" s="992"/>
      <c r="AX122" s="9"/>
      <c r="AY122" s="992"/>
      <c r="AZ122" s="992"/>
      <c r="BA122" s="992"/>
      <c r="BB122" s="992"/>
      <c r="BC122" s="992"/>
      <c r="BD122" s="54"/>
      <c r="BE122" s="998" t="s">
        <v>807</v>
      </c>
      <c r="BF122" s="998"/>
      <c r="BG122" s="998"/>
      <c r="BH122" s="998"/>
      <c r="BI122" s="998"/>
      <c r="BJ122" s="998"/>
      <c r="BK122" s="998"/>
      <c r="BL122" s="998"/>
      <c r="BM122" s="998"/>
      <c r="BN122" s="998"/>
      <c r="BO122" s="998"/>
      <c r="BP122" s="998"/>
      <c r="BQ122" s="998"/>
      <c r="BR122" s="998"/>
      <c r="BS122" s="998"/>
      <c r="BT122" s="998"/>
      <c r="BU122" s="998"/>
      <c r="BV122" s="998"/>
      <c r="BW122" s="998"/>
      <c r="BX122" s="998"/>
      <c r="BY122" s="998"/>
      <c r="BZ122" s="124"/>
      <c r="CA122" s="998" t="s">
        <v>393</v>
      </c>
      <c r="CB122" s="998"/>
      <c r="CC122" s="998"/>
      <c r="CD122" s="998"/>
      <c r="CE122" s="998"/>
      <c r="CF122" s="998"/>
      <c r="CG122" s="998"/>
      <c r="CH122" s="998"/>
      <c r="CI122" s="998"/>
      <c r="CJ122" s="998"/>
      <c r="CK122" s="998"/>
      <c r="CL122" s="998"/>
      <c r="CM122" s="998"/>
      <c r="CN122" s="998"/>
      <c r="CO122" s="998"/>
      <c r="CP122" s="998"/>
      <c r="CQ122" s="998"/>
      <c r="CR122" s="998"/>
      <c r="CS122" s="998"/>
      <c r="CT122" s="998"/>
      <c r="CU122" s="998"/>
      <c r="CV122" s="5"/>
    </row>
    <row r="123" spans="1:103" ht="12" customHeight="1" thickBo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4"/>
      <c r="BE123" s="998"/>
      <c r="BF123" s="998"/>
      <c r="BG123" s="998"/>
      <c r="BH123" s="998"/>
      <c r="BI123" s="998"/>
      <c r="BJ123" s="998"/>
      <c r="BK123" s="998"/>
      <c r="BL123" s="998"/>
      <c r="BM123" s="998"/>
      <c r="BN123" s="998"/>
      <c r="BO123" s="998"/>
      <c r="BP123" s="998"/>
      <c r="BQ123" s="998"/>
      <c r="BR123" s="998"/>
      <c r="BS123" s="998"/>
      <c r="BT123" s="998"/>
      <c r="BU123" s="998"/>
      <c r="BV123" s="998"/>
      <c r="BW123" s="998"/>
      <c r="BX123" s="998"/>
      <c r="BY123" s="998"/>
      <c r="BZ123" s="124"/>
      <c r="CA123" s="998"/>
      <c r="CB123" s="998"/>
      <c r="CC123" s="998"/>
      <c r="CD123" s="998"/>
      <c r="CE123" s="998"/>
      <c r="CF123" s="998"/>
      <c r="CG123" s="998"/>
      <c r="CH123" s="998"/>
      <c r="CI123" s="998"/>
      <c r="CJ123" s="998"/>
      <c r="CK123" s="998"/>
      <c r="CL123" s="998"/>
      <c r="CM123" s="998"/>
      <c r="CN123" s="998"/>
      <c r="CO123" s="998"/>
      <c r="CP123" s="998"/>
      <c r="CQ123" s="998"/>
      <c r="CR123" s="998"/>
      <c r="CS123" s="998"/>
      <c r="CT123" s="998"/>
      <c r="CU123" s="998"/>
      <c r="CV123" s="5"/>
      <c r="CY123" s="6">
        <f>CY121+1</f>
        <v>46</v>
      </c>
    </row>
    <row r="124" spans="1:103" ht="12" customHeight="1" x14ac:dyDescent="0.3">
      <c r="A124" s="5"/>
      <c r="B124" s="1027" t="s">
        <v>84</v>
      </c>
      <c r="C124" s="1028"/>
      <c r="D124" s="1028"/>
      <c r="E124" s="1028"/>
      <c r="F124" s="1028"/>
      <c r="G124" s="1028"/>
      <c r="H124" s="1028"/>
      <c r="I124" s="1028"/>
      <c r="J124" s="1028"/>
      <c r="K124" s="1028"/>
      <c r="L124" s="1028"/>
      <c r="M124" s="1028"/>
      <c r="N124" s="1028"/>
      <c r="O124" s="1028"/>
      <c r="P124" s="1028"/>
      <c r="Q124" s="1028"/>
      <c r="R124" s="1028"/>
      <c r="S124" s="1028"/>
      <c r="T124" s="1028"/>
      <c r="U124" s="1029"/>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4"/>
      <c r="BE124" s="261" t="s">
        <v>384</v>
      </c>
      <c r="BF124" s="238"/>
      <c r="BG124" s="238"/>
      <c r="BH124" s="238"/>
      <c r="BI124" s="238"/>
      <c r="BJ124" s="238"/>
      <c r="BK124" s="238"/>
      <c r="BL124" s="5"/>
      <c r="BM124" s="5"/>
      <c r="BN124" s="5"/>
      <c r="BO124" s="124"/>
      <c r="BP124" s="124"/>
      <c r="BQ124" s="124"/>
      <c r="BR124" s="124"/>
      <c r="BS124" s="124"/>
      <c r="BT124" s="124"/>
      <c r="BU124" s="124"/>
      <c r="BV124" s="124"/>
      <c r="BW124" s="124"/>
      <c r="BX124" s="124"/>
      <c r="BY124" s="124"/>
      <c r="BZ124" s="124"/>
      <c r="CA124" s="261" t="s">
        <v>394</v>
      </c>
      <c r="CB124" s="238"/>
      <c r="CC124" s="238"/>
      <c r="CD124" s="238"/>
      <c r="CE124" s="238"/>
      <c r="CF124" s="238"/>
      <c r="CG124" s="238"/>
      <c r="CH124" s="124"/>
      <c r="CI124" s="124"/>
      <c r="CJ124" s="124"/>
      <c r="CK124" s="124"/>
      <c r="CL124" s="124"/>
      <c r="CM124" s="124"/>
      <c r="CN124" s="124"/>
      <c r="CO124" s="124"/>
      <c r="CP124" s="124"/>
      <c r="CQ124" s="124"/>
      <c r="CR124" s="124"/>
      <c r="CS124" s="124"/>
      <c r="CT124" s="124"/>
      <c r="CU124" s="124"/>
      <c r="CV124" s="5"/>
    </row>
    <row r="125" spans="1:103" ht="12" customHeight="1" thickBot="1" x14ac:dyDescent="0.25">
      <c r="A125" s="5"/>
      <c r="B125" s="1030"/>
      <c r="C125" s="1031"/>
      <c r="D125" s="1031"/>
      <c r="E125" s="1031"/>
      <c r="F125" s="1031"/>
      <c r="G125" s="1031"/>
      <c r="H125" s="1031"/>
      <c r="I125" s="1031"/>
      <c r="J125" s="1031"/>
      <c r="K125" s="1031"/>
      <c r="L125" s="1031"/>
      <c r="M125" s="1031"/>
      <c r="N125" s="1031"/>
      <c r="O125" s="1031"/>
      <c r="P125" s="1031"/>
      <c r="Q125" s="1031"/>
      <c r="R125" s="1031"/>
      <c r="S125" s="1031"/>
      <c r="T125" s="1031"/>
      <c r="U125" s="1032"/>
      <c r="V125" s="994" t="s">
        <v>180</v>
      </c>
      <c r="W125" s="988"/>
      <c r="X125" s="988"/>
      <c r="Y125" s="988"/>
      <c r="Z125" s="988"/>
      <c r="AA125" s="988"/>
      <c r="AB125" s="988" t="s">
        <v>47</v>
      </c>
      <c r="AC125" s="988"/>
      <c r="AD125" s="988"/>
      <c r="AE125" s="988"/>
      <c r="AF125" s="988"/>
      <c r="AG125" s="988"/>
      <c r="AH125" s="988"/>
      <c r="AI125" s="988"/>
      <c r="AJ125" s="988"/>
      <c r="AK125" s="988"/>
      <c r="AL125" s="988"/>
      <c r="AM125" s="988"/>
      <c r="AN125" s="988"/>
      <c r="AO125" s="988"/>
      <c r="AP125" s="988"/>
      <c r="AQ125" s="988" t="s">
        <v>9</v>
      </c>
      <c r="AR125" s="988"/>
      <c r="AS125" s="988"/>
      <c r="AT125" s="988"/>
      <c r="AU125" s="988"/>
      <c r="AV125" s="988"/>
      <c r="AW125" s="988"/>
      <c r="AX125" s="988"/>
      <c r="AY125" s="988"/>
      <c r="AZ125" s="988"/>
      <c r="BA125" s="988"/>
      <c r="BB125" s="988"/>
      <c r="BC125" s="989"/>
      <c r="BD125" s="54"/>
      <c r="BE125" s="995" t="str">
        <f>IF(OR(Start!C151="",CharacterLevel=""),"",Start!C151)</f>
        <v/>
      </c>
      <c r="BF125" s="995"/>
      <c r="BG125" s="995"/>
      <c r="BH125" s="995"/>
      <c r="BI125" s="995"/>
      <c r="BJ125" s="995"/>
      <c r="BK125" s="995"/>
      <c r="BL125" s="995"/>
      <c r="BM125" s="995"/>
      <c r="BN125" s="995"/>
      <c r="BO125" s="995"/>
      <c r="BP125" s="995"/>
      <c r="BQ125" s="995"/>
      <c r="BR125" s="995"/>
      <c r="BS125" s="995"/>
      <c r="BT125" s="995"/>
      <c r="BU125" s="995"/>
      <c r="BV125" s="995"/>
      <c r="BW125" s="995"/>
      <c r="BX125" s="995"/>
      <c r="BY125" s="995"/>
      <c r="BZ125" s="124"/>
      <c r="CA125" s="995" t="str">
        <f>IF(OR(Start!C169="",CharacterLevel=""),"",Start!C169)</f>
        <v/>
      </c>
      <c r="CB125" s="995"/>
      <c r="CC125" s="995"/>
      <c r="CD125" s="995"/>
      <c r="CE125" s="995"/>
      <c r="CF125" s="995"/>
      <c r="CG125" s="995"/>
      <c r="CH125" s="995"/>
      <c r="CI125" s="995"/>
      <c r="CJ125" s="995"/>
      <c r="CK125" s="995"/>
      <c r="CL125" s="995"/>
      <c r="CM125" s="995"/>
      <c r="CN125" s="995"/>
      <c r="CO125" s="995"/>
      <c r="CP125" s="995"/>
      <c r="CQ125" s="995"/>
      <c r="CR125" s="995"/>
      <c r="CS125" s="995"/>
      <c r="CT125" s="995"/>
      <c r="CU125" s="995"/>
      <c r="CV125" s="5"/>
      <c r="CY125" s="6">
        <f>CY123+1</f>
        <v>47</v>
      </c>
    </row>
    <row r="126" spans="1:103" ht="12" customHeight="1" thickBot="1" x14ac:dyDescent="0.25">
      <c r="A126" s="5"/>
      <c r="B126" s="1018" t="str">
        <f>IF(CharacterLevel="","",Attack4name)</f>
        <v/>
      </c>
      <c r="C126" s="1019"/>
      <c r="D126" s="1019"/>
      <c r="E126" s="1019"/>
      <c r="F126" s="1019"/>
      <c r="G126" s="1019"/>
      <c r="H126" s="1019"/>
      <c r="I126" s="1019"/>
      <c r="J126" s="1019"/>
      <c r="K126" s="1019"/>
      <c r="L126" s="1019"/>
      <c r="M126" s="1019"/>
      <c r="N126" s="1019"/>
      <c r="O126" s="1019"/>
      <c r="P126" s="1019"/>
      <c r="Q126" s="1019"/>
      <c r="R126" s="1019"/>
      <c r="S126" s="1019"/>
      <c r="T126" s="1019"/>
      <c r="U126" s="1020"/>
      <c r="V126" s="986" t="str">
        <f ca="1">IF(CharacterLevel="","",Attack4bonus)</f>
        <v/>
      </c>
      <c r="W126" s="987"/>
      <c r="X126" s="987"/>
      <c r="Y126" s="987"/>
      <c r="Z126" s="987"/>
      <c r="AA126" s="987"/>
      <c r="AB126" s="990" t="str">
        <f>IF(CharacterLevel="","",Attack4damage)</f>
        <v/>
      </c>
      <c r="AC126" s="990"/>
      <c r="AD126" s="990"/>
      <c r="AE126" s="990"/>
      <c r="AF126" s="990"/>
      <c r="AG126" s="990"/>
      <c r="AH126" s="990"/>
      <c r="AI126" s="990"/>
      <c r="AJ126" s="990"/>
      <c r="AK126" s="990"/>
      <c r="AL126" s="990"/>
      <c r="AM126" s="990"/>
      <c r="AN126" s="990"/>
      <c r="AO126" s="990"/>
      <c r="AP126" s="990"/>
      <c r="AQ126" s="990" t="str">
        <f>IF(CharacterLevel="","",Attack4type)</f>
        <v/>
      </c>
      <c r="AR126" s="990"/>
      <c r="AS126" s="990"/>
      <c r="AT126" s="990"/>
      <c r="AU126" s="990"/>
      <c r="AV126" s="990"/>
      <c r="AW126" s="990"/>
      <c r="AX126" s="990"/>
      <c r="AY126" s="990"/>
      <c r="AZ126" s="990"/>
      <c r="BA126" s="990"/>
      <c r="BB126" s="990"/>
      <c r="BC126" s="990"/>
      <c r="BD126" s="54"/>
      <c r="BE126" s="995"/>
      <c r="BF126" s="995"/>
      <c r="BG126" s="995"/>
      <c r="BH126" s="995"/>
      <c r="BI126" s="995"/>
      <c r="BJ126" s="995"/>
      <c r="BK126" s="995"/>
      <c r="BL126" s="995"/>
      <c r="BM126" s="995"/>
      <c r="BN126" s="995"/>
      <c r="BO126" s="995"/>
      <c r="BP126" s="995"/>
      <c r="BQ126" s="995"/>
      <c r="BR126" s="995"/>
      <c r="BS126" s="995"/>
      <c r="BT126" s="995"/>
      <c r="BU126" s="995"/>
      <c r="BV126" s="995"/>
      <c r="BW126" s="995"/>
      <c r="BX126" s="995"/>
      <c r="BY126" s="995"/>
      <c r="BZ126" s="124"/>
      <c r="CA126" s="995"/>
      <c r="CB126" s="995"/>
      <c r="CC126" s="995"/>
      <c r="CD126" s="995"/>
      <c r="CE126" s="995"/>
      <c r="CF126" s="995"/>
      <c r="CG126" s="995"/>
      <c r="CH126" s="995"/>
      <c r="CI126" s="995"/>
      <c r="CJ126" s="995"/>
      <c r="CK126" s="995"/>
      <c r="CL126" s="995"/>
      <c r="CM126" s="995"/>
      <c r="CN126" s="995"/>
      <c r="CO126" s="995"/>
      <c r="CP126" s="995"/>
      <c r="CQ126" s="995"/>
      <c r="CR126" s="995"/>
      <c r="CS126" s="995"/>
      <c r="CT126" s="995"/>
      <c r="CU126" s="995"/>
      <c r="CV126" s="5"/>
    </row>
    <row r="127" spans="1:103" ht="12" customHeight="1" thickBot="1" x14ac:dyDescent="0.25">
      <c r="A127" s="5"/>
      <c r="B127" s="1021"/>
      <c r="C127" s="1022"/>
      <c r="D127" s="1022"/>
      <c r="E127" s="1022"/>
      <c r="F127" s="1022"/>
      <c r="G127" s="1022"/>
      <c r="H127" s="1022"/>
      <c r="I127" s="1022"/>
      <c r="J127" s="1022"/>
      <c r="K127" s="1022"/>
      <c r="L127" s="1022"/>
      <c r="M127" s="1022"/>
      <c r="N127" s="1022"/>
      <c r="O127" s="1022"/>
      <c r="P127" s="1022"/>
      <c r="Q127" s="1022"/>
      <c r="R127" s="1022"/>
      <c r="S127" s="1022"/>
      <c r="T127" s="1022"/>
      <c r="U127" s="1023"/>
      <c r="V127" s="986"/>
      <c r="W127" s="987"/>
      <c r="X127" s="987"/>
      <c r="Y127" s="987"/>
      <c r="Z127" s="987"/>
      <c r="AA127" s="987"/>
      <c r="AB127" s="990"/>
      <c r="AC127" s="990"/>
      <c r="AD127" s="990"/>
      <c r="AE127" s="990"/>
      <c r="AF127" s="990"/>
      <c r="AG127" s="990"/>
      <c r="AH127" s="990"/>
      <c r="AI127" s="990"/>
      <c r="AJ127" s="990"/>
      <c r="AK127" s="990"/>
      <c r="AL127" s="990"/>
      <c r="AM127" s="990"/>
      <c r="AN127" s="990"/>
      <c r="AO127" s="990"/>
      <c r="AP127" s="990"/>
      <c r="AQ127" s="990"/>
      <c r="AR127" s="990"/>
      <c r="AS127" s="990"/>
      <c r="AT127" s="990"/>
      <c r="AU127" s="990"/>
      <c r="AV127" s="990"/>
      <c r="AW127" s="990"/>
      <c r="AX127" s="990"/>
      <c r="AY127" s="990"/>
      <c r="AZ127" s="990"/>
      <c r="BA127" s="990"/>
      <c r="BB127" s="990"/>
      <c r="BC127" s="990"/>
      <c r="BD127" s="54"/>
      <c r="BE127" s="996"/>
      <c r="BF127" s="996"/>
      <c r="BG127" s="996"/>
      <c r="BH127" s="996"/>
      <c r="BI127" s="996"/>
      <c r="BJ127" s="996"/>
      <c r="BK127" s="996"/>
      <c r="BL127" s="996"/>
      <c r="BM127" s="996"/>
      <c r="BN127" s="996"/>
      <c r="BO127" s="996"/>
      <c r="BP127" s="996"/>
      <c r="BQ127" s="996"/>
      <c r="BR127" s="996"/>
      <c r="BS127" s="996"/>
      <c r="BT127" s="996"/>
      <c r="BU127" s="996"/>
      <c r="BV127" s="996"/>
      <c r="BW127" s="996"/>
      <c r="BX127" s="996"/>
      <c r="BY127" s="996"/>
      <c r="BZ127" s="124"/>
      <c r="CA127" s="996"/>
      <c r="CB127" s="996"/>
      <c r="CC127" s="996"/>
      <c r="CD127" s="996"/>
      <c r="CE127" s="996"/>
      <c r="CF127" s="996"/>
      <c r="CG127" s="996"/>
      <c r="CH127" s="996"/>
      <c r="CI127" s="996"/>
      <c r="CJ127" s="996"/>
      <c r="CK127" s="996"/>
      <c r="CL127" s="996"/>
      <c r="CM127" s="996"/>
      <c r="CN127" s="996"/>
      <c r="CO127" s="996"/>
      <c r="CP127" s="996"/>
      <c r="CQ127" s="996"/>
      <c r="CR127" s="996"/>
      <c r="CS127" s="996"/>
      <c r="CT127" s="996"/>
      <c r="CU127" s="996"/>
      <c r="CV127" s="5"/>
      <c r="CY127" s="6">
        <f>CY125+1</f>
        <v>48</v>
      </c>
    </row>
    <row r="128" spans="1:103" ht="12" customHeight="1" thickBot="1" x14ac:dyDescent="0.25">
      <c r="A128" s="5"/>
      <c r="B128" s="1024"/>
      <c r="C128" s="1025"/>
      <c r="D128" s="1025"/>
      <c r="E128" s="1025"/>
      <c r="F128" s="1025"/>
      <c r="G128" s="1025"/>
      <c r="H128" s="1025"/>
      <c r="I128" s="1025"/>
      <c r="J128" s="1025"/>
      <c r="K128" s="1025"/>
      <c r="L128" s="1025"/>
      <c r="M128" s="1025"/>
      <c r="N128" s="1025"/>
      <c r="O128" s="1025"/>
      <c r="P128" s="1025"/>
      <c r="Q128" s="1025"/>
      <c r="R128" s="1025"/>
      <c r="S128" s="1025"/>
      <c r="T128" s="1025"/>
      <c r="U128" s="1026"/>
      <c r="V128" s="986"/>
      <c r="W128" s="987"/>
      <c r="X128" s="987"/>
      <c r="Y128" s="987"/>
      <c r="Z128" s="987"/>
      <c r="AA128" s="987"/>
      <c r="AB128" s="991"/>
      <c r="AC128" s="991"/>
      <c r="AD128" s="991"/>
      <c r="AE128" s="991"/>
      <c r="AF128" s="991"/>
      <c r="AG128" s="991"/>
      <c r="AH128" s="991"/>
      <c r="AI128" s="991"/>
      <c r="AJ128" s="991"/>
      <c r="AK128" s="991"/>
      <c r="AL128" s="991"/>
      <c r="AM128" s="991"/>
      <c r="AN128" s="991"/>
      <c r="AO128" s="991"/>
      <c r="AP128" s="991"/>
      <c r="AQ128" s="991"/>
      <c r="AR128" s="991"/>
      <c r="AS128" s="991"/>
      <c r="AT128" s="991"/>
      <c r="AU128" s="991"/>
      <c r="AV128" s="991"/>
      <c r="AW128" s="991"/>
      <c r="AX128" s="991"/>
      <c r="AY128" s="991"/>
      <c r="AZ128" s="991"/>
      <c r="BA128" s="991"/>
      <c r="BB128" s="991"/>
      <c r="BC128" s="991"/>
      <c r="BD128" s="5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24"/>
      <c r="CN128" s="124"/>
      <c r="CO128" s="124"/>
      <c r="CP128" s="124"/>
      <c r="CQ128" s="124"/>
      <c r="CR128" s="124"/>
      <c r="CS128" s="124"/>
      <c r="CT128" s="124"/>
      <c r="CU128" s="124"/>
      <c r="CV128" s="5"/>
    </row>
    <row r="129" spans="1:106" ht="12" customHeight="1" thickBot="1" x14ac:dyDescent="0.25">
      <c r="A129" s="5"/>
      <c r="B129" s="1033" t="s">
        <v>48</v>
      </c>
      <c r="C129" s="999"/>
      <c r="D129" s="999"/>
      <c r="E129" s="999"/>
      <c r="F129" s="999"/>
      <c r="G129" s="999"/>
      <c r="H129" s="999"/>
      <c r="I129" s="999"/>
      <c r="J129" s="999" t="s">
        <v>111</v>
      </c>
      <c r="K129" s="999"/>
      <c r="L129" s="999"/>
      <c r="M129" s="999"/>
      <c r="N129" s="999"/>
      <c r="O129" s="999"/>
      <c r="P129" s="999"/>
      <c r="Q129" s="999"/>
      <c r="R129" s="999"/>
      <c r="S129" s="999"/>
      <c r="T129" s="999"/>
      <c r="U129" s="999"/>
      <c r="V129" s="999"/>
      <c r="W129" s="999"/>
      <c r="X129" s="999"/>
      <c r="Y129" s="999"/>
      <c r="Z129" s="999"/>
      <c r="AA129" s="999"/>
      <c r="AB129" s="999"/>
      <c r="AC129" s="999"/>
      <c r="AD129" s="999"/>
      <c r="AE129" s="999"/>
      <c r="AF129" s="999"/>
      <c r="AG129" s="999"/>
      <c r="AH129" s="999"/>
      <c r="AI129" s="999"/>
      <c r="AJ129" s="999"/>
      <c r="AK129" s="999"/>
      <c r="AL129" s="999"/>
      <c r="AM129" s="999"/>
      <c r="AN129" s="999"/>
      <c r="AO129" s="999"/>
      <c r="AP129" s="999"/>
      <c r="AQ129" s="999"/>
      <c r="AR129" s="999"/>
      <c r="AS129" s="999"/>
      <c r="AT129" s="999"/>
      <c r="AU129" s="999"/>
      <c r="AV129" s="999"/>
      <c r="AW129" s="999"/>
      <c r="AX129" s="999"/>
      <c r="AY129" s="999"/>
      <c r="AZ129" s="999"/>
      <c r="BA129" s="999"/>
      <c r="BB129" s="999"/>
      <c r="BC129" s="1000"/>
      <c r="BD129" s="54"/>
      <c r="BE129" s="998" t="s">
        <v>807</v>
      </c>
      <c r="BF129" s="998"/>
      <c r="BG129" s="998"/>
      <c r="BH129" s="998"/>
      <c r="BI129" s="998"/>
      <c r="BJ129" s="998"/>
      <c r="BK129" s="998"/>
      <c r="BL129" s="998"/>
      <c r="BM129" s="998"/>
      <c r="BN129" s="998"/>
      <c r="BO129" s="998"/>
      <c r="BP129" s="998"/>
      <c r="BQ129" s="998"/>
      <c r="BR129" s="998"/>
      <c r="BS129" s="998"/>
      <c r="BT129" s="998"/>
      <c r="BU129" s="998"/>
      <c r="BV129" s="998"/>
      <c r="BW129" s="998"/>
      <c r="BX129" s="998"/>
      <c r="BY129" s="998"/>
      <c r="BZ129" s="124"/>
      <c r="CA129" s="998" t="s">
        <v>395</v>
      </c>
      <c r="CB129" s="998"/>
      <c r="CC129" s="998"/>
      <c r="CD129" s="998"/>
      <c r="CE129" s="998"/>
      <c r="CF129" s="998"/>
      <c r="CG129" s="998"/>
      <c r="CH129" s="998"/>
      <c r="CI129" s="998"/>
      <c r="CJ129" s="998"/>
      <c r="CK129" s="998"/>
      <c r="CL129" s="998"/>
      <c r="CM129" s="998"/>
      <c r="CN129" s="998"/>
      <c r="CO129" s="998"/>
      <c r="CP129" s="998"/>
      <c r="CQ129" s="998"/>
      <c r="CR129" s="998"/>
      <c r="CS129" s="998"/>
      <c r="CT129" s="998"/>
      <c r="CU129" s="998"/>
      <c r="CV129" s="5"/>
      <c r="CY129" s="6">
        <f>CY127+1</f>
        <v>49</v>
      </c>
      <c r="CZ129" s="53"/>
      <c r="DA129" s="53"/>
    </row>
    <row r="130" spans="1:106" ht="12" customHeight="1" thickBot="1" x14ac:dyDescent="0.25">
      <c r="A130" s="5"/>
      <c r="B130" s="990" t="str">
        <f>IF(CharacterLevel="","",Attack4range)</f>
        <v/>
      </c>
      <c r="C130" s="990"/>
      <c r="D130" s="990"/>
      <c r="E130" s="990"/>
      <c r="F130" s="990"/>
      <c r="G130" s="990"/>
      <c r="H130" s="990"/>
      <c r="I130" s="990"/>
      <c r="J130" s="1001" t="str">
        <f>IF(CharacterLevel="","",Attack4props)</f>
        <v/>
      </c>
      <c r="K130" s="1002"/>
      <c r="L130" s="1002"/>
      <c r="M130" s="1002"/>
      <c r="N130" s="1002"/>
      <c r="O130" s="1002"/>
      <c r="P130" s="1002"/>
      <c r="Q130" s="1002"/>
      <c r="R130" s="1002"/>
      <c r="S130" s="1002"/>
      <c r="T130" s="1002"/>
      <c r="U130" s="1002"/>
      <c r="V130" s="1002"/>
      <c r="W130" s="1002"/>
      <c r="X130" s="1002"/>
      <c r="Y130" s="1002"/>
      <c r="Z130" s="1002"/>
      <c r="AA130" s="1002"/>
      <c r="AB130" s="1002"/>
      <c r="AC130" s="1002"/>
      <c r="AD130" s="1002"/>
      <c r="AE130" s="1002"/>
      <c r="AF130" s="1002"/>
      <c r="AG130" s="1002"/>
      <c r="AH130" s="1002"/>
      <c r="AI130" s="1002"/>
      <c r="AJ130" s="1002"/>
      <c r="AK130" s="1002"/>
      <c r="AL130" s="1002"/>
      <c r="AM130" s="1002"/>
      <c r="AN130" s="1002"/>
      <c r="AO130" s="1002"/>
      <c r="AP130" s="1002"/>
      <c r="AQ130" s="1002"/>
      <c r="AR130" s="1002"/>
      <c r="AS130" s="1002"/>
      <c r="AT130" s="1002"/>
      <c r="AU130" s="1002"/>
      <c r="AV130" s="1002"/>
      <c r="AW130" s="1002"/>
      <c r="AX130" s="1002"/>
      <c r="AY130" s="1002"/>
      <c r="AZ130" s="1002"/>
      <c r="BA130" s="1002"/>
      <c r="BB130" s="1002"/>
      <c r="BC130" s="1003"/>
      <c r="BD130" s="54"/>
      <c r="BE130" s="998"/>
      <c r="BF130" s="998"/>
      <c r="BG130" s="998"/>
      <c r="BH130" s="998"/>
      <c r="BI130" s="998"/>
      <c r="BJ130" s="998"/>
      <c r="BK130" s="998"/>
      <c r="BL130" s="998"/>
      <c r="BM130" s="998"/>
      <c r="BN130" s="998"/>
      <c r="BO130" s="998"/>
      <c r="BP130" s="998"/>
      <c r="BQ130" s="998"/>
      <c r="BR130" s="998"/>
      <c r="BS130" s="998"/>
      <c r="BT130" s="998"/>
      <c r="BU130" s="998"/>
      <c r="BV130" s="998"/>
      <c r="BW130" s="998"/>
      <c r="BX130" s="998"/>
      <c r="BY130" s="998"/>
      <c r="BZ130" s="124"/>
      <c r="CA130" s="998"/>
      <c r="CB130" s="998"/>
      <c r="CC130" s="998"/>
      <c r="CD130" s="998"/>
      <c r="CE130" s="998"/>
      <c r="CF130" s="998"/>
      <c r="CG130" s="998"/>
      <c r="CH130" s="998"/>
      <c r="CI130" s="998"/>
      <c r="CJ130" s="998"/>
      <c r="CK130" s="998"/>
      <c r="CL130" s="998"/>
      <c r="CM130" s="998"/>
      <c r="CN130" s="998"/>
      <c r="CO130" s="998"/>
      <c r="CP130" s="998"/>
      <c r="CQ130" s="998"/>
      <c r="CR130" s="998"/>
      <c r="CS130" s="998"/>
      <c r="CT130" s="998"/>
      <c r="CU130" s="998"/>
      <c r="CV130" s="5"/>
      <c r="CZ130" s="53"/>
      <c r="DA130" s="53"/>
    </row>
    <row r="131" spans="1:106" ht="12" customHeight="1" thickBot="1" x14ac:dyDescent="0.35">
      <c r="A131" s="5"/>
      <c r="B131" s="990"/>
      <c r="C131" s="990"/>
      <c r="D131" s="990"/>
      <c r="E131" s="990"/>
      <c r="F131" s="990"/>
      <c r="G131" s="990"/>
      <c r="H131" s="990"/>
      <c r="I131" s="990"/>
      <c r="J131" s="1004"/>
      <c r="K131" s="1005"/>
      <c r="L131" s="1005"/>
      <c r="M131" s="1005"/>
      <c r="N131" s="1005"/>
      <c r="O131" s="1005"/>
      <c r="P131" s="1005"/>
      <c r="Q131" s="1005"/>
      <c r="R131" s="1005"/>
      <c r="S131" s="1005"/>
      <c r="T131" s="1005"/>
      <c r="U131" s="1005"/>
      <c r="V131" s="1005"/>
      <c r="W131" s="1005"/>
      <c r="X131" s="1005"/>
      <c r="Y131" s="1005"/>
      <c r="Z131" s="1005"/>
      <c r="AA131" s="1005"/>
      <c r="AB131" s="1005"/>
      <c r="AC131" s="1005"/>
      <c r="AD131" s="1005"/>
      <c r="AE131" s="1005"/>
      <c r="AF131" s="1005"/>
      <c r="AG131" s="1005"/>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6"/>
      <c r="BD131" s="54"/>
      <c r="BE131" s="261" t="s">
        <v>383</v>
      </c>
      <c r="BF131" s="238"/>
      <c r="BG131" s="238"/>
      <c r="BH131" s="238"/>
      <c r="BI131" s="238"/>
      <c r="BJ131" s="238"/>
      <c r="BK131" s="238"/>
      <c r="BL131" s="5"/>
      <c r="BM131" s="5"/>
      <c r="BN131" s="5"/>
      <c r="BO131" s="124"/>
      <c r="BP131" s="124"/>
      <c r="BQ131" s="124"/>
      <c r="BR131" s="124"/>
      <c r="BS131" s="124"/>
      <c r="BT131" s="124"/>
      <c r="BU131" s="124"/>
      <c r="BV131" s="124"/>
      <c r="BW131" s="124"/>
      <c r="BX131" s="124"/>
      <c r="BY131" s="124"/>
      <c r="BZ131" s="124"/>
      <c r="CA131" s="261" t="s">
        <v>396</v>
      </c>
      <c r="CB131" s="238"/>
      <c r="CC131" s="238"/>
      <c r="CD131" s="238"/>
      <c r="CE131" s="238"/>
      <c r="CF131" s="238"/>
      <c r="CG131" s="238"/>
      <c r="CH131" s="124"/>
      <c r="CI131" s="124"/>
      <c r="CJ131" s="124"/>
      <c r="CK131" s="124"/>
      <c r="CL131" s="124"/>
      <c r="CM131" s="124"/>
      <c r="CN131" s="124"/>
      <c r="CO131" s="124"/>
      <c r="CP131" s="124"/>
      <c r="CQ131" s="124"/>
      <c r="CR131" s="124"/>
      <c r="CS131" s="124"/>
      <c r="CT131" s="124"/>
      <c r="CU131" s="124"/>
      <c r="CV131" s="5"/>
      <c r="CY131" s="6">
        <f>CY129+1</f>
        <v>50</v>
      </c>
      <c r="CZ131" s="53"/>
      <c r="DA131" s="53"/>
    </row>
    <row r="132" spans="1:106" ht="12" customHeight="1" thickBot="1" x14ac:dyDescent="0.25">
      <c r="A132" s="5"/>
      <c r="B132" s="990"/>
      <c r="C132" s="990"/>
      <c r="D132" s="990"/>
      <c r="E132" s="990"/>
      <c r="F132" s="990"/>
      <c r="G132" s="990"/>
      <c r="H132" s="990"/>
      <c r="I132" s="990"/>
      <c r="J132" s="1007"/>
      <c r="K132" s="1008"/>
      <c r="L132" s="1008"/>
      <c r="M132" s="1008"/>
      <c r="N132" s="1008"/>
      <c r="O132" s="1008"/>
      <c r="P132" s="1008"/>
      <c r="Q132" s="1008"/>
      <c r="R132" s="1008"/>
      <c r="S132" s="1008"/>
      <c r="T132" s="1008"/>
      <c r="U132" s="1008"/>
      <c r="V132" s="1008"/>
      <c r="W132" s="1008"/>
      <c r="X132" s="1008"/>
      <c r="Y132" s="1008"/>
      <c r="Z132" s="1008"/>
      <c r="AA132" s="1008"/>
      <c r="AB132" s="1008"/>
      <c r="AC132" s="1008"/>
      <c r="AD132" s="1008"/>
      <c r="AE132" s="1008"/>
      <c r="AF132" s="1008"/>
      <c r="AG132" s="1008"/>
      <c r="AH132" s="1008"/>
      <c r="AI132" s="1008"/>
      <c r="AJ132" s="1008"/>
      <c r="AK132" s="1008"/>
      <c r="AL132" s="1008"/>
      <c r="AM132" s="1008"/>
      <c r="AN132" s="1008"/>
      <c r="AO132" s="1008"/>
      <c r="AP132" s="1008"/>
      <c r="AQ132" s="1008"/>
      <c r="AR132" s="1008"/>
      <c r="AS132" s="1008"/>
      <c r="AT132" s="1008"/>
      <c r="AU132" s="1008"/>
      <c r="AV132" s="1008"/>
      <c r="AW132" s="1008"/>
      <c r="AX132" s="1008"/>
      <c r="AY132" s="1008"/>
      <c r="AZ132" s="1008"/>
      <c r="BA132" s="1008"/>
      <c r="BB132" s="1008"/>
      <c r="BC132" s="1009"/>
      <c r="BD132" s="54"/>
      <c r="BE132" s="995" t="str">
        <f>IF(OR(Start!C154="",CharacterLevel=""),"",Start!C154)</f>
        <v/>
      </c>
      <c r="BF132" s="995"/>
      <c r="BG132" s="995"/>
      <c r="BH132" s="995"/>
      <c r="BI132" s="995"/>
      <c r="BJ132" s="995"/>
      <c r="BK132" s="995"/>
      <c r="BL132" s="995"/>
      <c r="BM132" s="995"/>
      <c r="BN132" s="995"/>
      <c r="BO132" s="995"/>
      <c r="BP132" s="995"/>
      <c r="BQ132" s="995"/>
      <c r="BR132" s="995"/>
      <c r="BS132" s="995"/>
      <c r="BT132" s="995"/>
      <c r="BU132" s="995"/>
      <c r="BV132" s="995"/>
      <c r="BW132" s="995"/>
      <c r="BX132" s="995"/>
      <c r="BY132" s="995"/>
      <c r="BZ132" s="124"/>
      <c r="CA132" s="995" t="str">
        <f>IF(OR(Start!C172="",CharacterLevel=""),"",Start!C172)</f>
        <v/>
      </c>
      <c r="CB132" s="995"/>
      <c r="CC132" s="995"/>
      <c r="CD132" s="995"/>
      <c r="CE132" s="995"/>
      <c r="CF132" s="995"/>
      <c r="CG132" s="995"/>
      <c r="CH132" s="995"/>
      <c r="CI132" s="995"/>
      <c r="CJ132" s="995"/>
      <c r="CK132" s="995"/>
      <c r="CL132" s="995"/>
      <c r="CM132" s="995"/>
      <c r="CN132" s="995"/>
      <c r="CO132" s="995"/>
      <c r="CP132" s="995"/>
      <c r="CQ132" s="995"/>
      <c r="CR132" s="995"/>
      <c r="CS132" s="995"/>
      <c r="CT132" s="995"/>
      <c r="CU132" s="995"/>
      <c r="CV132" s="5"/>
      <c r="CZ132" s="53"/>
      <c r="DA132" s="53"/>
    </row>
    <row r="133" spans="1:106" ht="12" customHeight="1" x14ac:dyDescent="0.2">
      <c r="A133" s="5"/>
      <c r="B133" s="1117" t="s">
        <v>49</v>
      </c>
      <c r="C133" s="1117"/>
      <c r="D133" s="1117"/>
      <c r="E133" s="1117"/>
      <c r="F133" s="1117"/>
      <c r="G133" s="1117"/>
      <c r="H133" s="1117"/>
      <c r="I133" s="1119" t="str">
        <f>IF(CharacterLevel="","",Start!BT$139)</f>
        <v/>
      </c>
      <c r="J133" s="1119"/>
      <c r="K133" s="1119"/>
      <c r="L133" s="1119"/>
      <c r="M133" s="1119"/>
      <c r="N133" s="1119"/>
      <c r="O133" s="1119"/>
      <c r="P133" s="1119"/>
      <c r="Q133" s="1119"/>
      <c r="R133" s="1119"/>
      <c r="S133" s="1119"/>
      <c r="T133" s="11"/>
      <c r="U133" s="993" t="s">
        <v>50</v>
      </c>
      <c r="V133" s="992" t="s">
        <v>50</v>
      </c>
      <c r="W133" s="992" t="s">
        <v>50</v>
      </c>
      <c r="X133" s="992" t="s">
        <v>50</v>
      </c>
      <c r="Y133" s="992" t="s">
        <v>50</v>
      </c>
      <c r="Z133" s="11"/>
      <c r="AA133" s="993" t="s">
        <v>50</v>
      </c>
      <c r="AB133" s="992" t="s">
        <v>50</v>
      </c>
      <c r="AC133" s="992" t="s">
        <v>50</v>
      </c>
      <c r="AD133" s="992" t="s">
        <v>50</v>
      </c>
      <c r="AE133" s="992" t="s">
        <v>50</v>
      </c>
      <c r="AF133" s="11"/>
      <c r="AG133" s="992" t="s">
        <v>50</v>
      </c>
      <c r="AH133" s="992" t="s">
        <v>50</v>
      </c>
      <c r="AI133" s="992" t="s">
        <v>50</v>
      </c>
      <c r="AJ133" s="992" t="s">
        <v>50</v>
      </c>
      <c r="AK133" s="992" t="s">
        <v>50</v>
      </c>
      <c r="AL133" s="9"/>
      <c r="AM133" s="992" t="s">
        <v>50</v>
      </c>
      <c r="AN133" s="992" t="s">
        <v>50</v>
      </c>
      <c r="AO133" s="992" t="s">
        <v>50</v>
      </c>
      <c r="AP133" s="992" t="s">
        <v>50</v>
      </c>
      <c r="AQ133" s="992" t="s">
        <v>50</v>
      </c>
      <c r="AR133" s="9"/>
      <c r="AS133" s="992" t="s">
        <v>50</v>
      </c>
      <c r="AT133" s="992" t="s">
        <v>50</v>
      </c>
      <c r="AU133" s="992" t="s">
        <v>50</v>
      </c>
      <c r="AV133" s="992" t="s">
        <v>50</v>
      </c>
      <c r="AW133" s="992" t="s">
        <v>50</v>
      </c>
      <c r="AX133" s="9"/>
      <c r="AY133" s="992" t="s">
        <v>50</v>
      </c>
      <c r="AZ133" s="992" t="s">
        <v>50</v>
      </c>
      <c r="BA133" s="992" t="s">
        <v>50</v>
      </c>
      <c r="BB133" s="992" t="s">
        <v>50</v>
      </c>
      <c r="BC133" s="992" t="s">
        <v>50</v>
      </c>
      <c r="BD133" s="54"/>
      <c r="BE133" s="995"/>
      <c r="BF133" s="995"/>
      <c r="BG133" s="995"/>
      <c r="BH133" s="995"/>
      <c r="BI133" s="995"/>
      <c r="BJ133" s="995"/>
      <c r="BK133" s="995"/>
      <c r="BL133" s="995"/>
      <c r="BM133" s="995"/>
      <c r="BN133" s="995"/>
      <c r="BO133" s="995"/>
      <c r="BP133" s="995"/>
      <c r="BQ133" s="995"/>
      <c r="BR133" s="995"/>
      <c r="BS133" s="995"/>
      <c r="BT133" s="995"/>
      <c r="BU133" s="995"/>
      <c r="BV133" s="995"/>
      <c r="BW133" s="995"/>
      <c r="BX133" s="995"/>
      <c r="BY133" s="995"/>
      <c r="BZ133" s="124"/>
      <c r="CA133" s="995"/>
      <c r="CB133" s="995"/>
      <c r="CC133" s="995"/>
      <c r="CD133" s="995"/>
      <c r="CE133" s="995"/>
      <c r="CF133" s="995"/>
      <c r="CG133" s="995"/>
      <c r="CH133" s="995"/>
      <c r="CI133" s="995"/>
      <c r="CJ133" s="995"/>
      <c r="CK133" s="995"/>
      <c r="CL133" s="995"/>
      <c r="CM133" s="995"/>
      <c r="CN133" s="995"/>
      <c r="CO133" s="995"/>
      <c r="CP133" s="995"/>
      <c r="CQ133" s="995"/>
      <c r="CR133" s="995"/>
      <c r="CS133" s="995"/>
      <c r="CT133" s="995"/>
      <c r="CU133" s="995"/>
      <c r="CV133" s="5"/>
      <c r="CY133" s="6">
        <f>CY131+1</f>
        <v>51</v>
      </c>
      <c r="CZ133" s="53"/>
      <c r="DA133" s="53"/>
    </row>
    <row r="134" spans="1:106" ht="12" customHeight="1" x14ac:dyDescent="0.2">
      <c r="A134" s="5"/>
      <c r="B134" s="1118"/>
      <c r="C134" s="1118"/>
      <c r="D134" s="1118"/>
      <c r="E134" s="1118"/>
      <c r="F134" s="1118"/>
      <c r="G134" s="1118"/>
      <c r="H134" s="1118"/>
      <c r="I134" s="1120"/>
      <c r="J134" s="1120"/>
      <c r="K134" s="1120"/>
      <c r="L134" s="1120"/>
      <c r="M134" s="1120"/>
      <c r="N134" s="1120"/>
      <c r="O134" s="1120"/>
      <c r="P134" s="1120"/>
      <c r="Q134" s="1120"/>
      <c r="R134" s="1120"/>
      <c r="S134" s="1120"/>
      <c r="T134" s="11"/>
      <c r="U134" s="992"/>
      <c r="V134" s="992"/>
      <c r="W134" s="992"/>
      <c r="X134" s="992"/>
      <c r="Y134" s="992"/>
      <c r="Z134" s="11"/>
      <c r="AA134" s="992"/>
      <c r="AB134" s="992"/>
      <c r="AC134" s="992"/>
      <c r="AD134" s="992"/>
      <c r="AE134" s="992"/>
      <c r="AF134" s="11"/>
      <c r="AG134" s="992"/>
      <c r="AH134" s="992"/>
      <c r="AI134" s="992"/>
      <c r="AJ134" s="992"/>
      <c r="AK134" s="992"/>
      <c r="AL134" s="9"/>
      <c r="AM134" s="992"/>
      <c r="AN134" s="992"/>
      <c r="AO134" s="992"/>
      <c r="AP134" s="992"/>
      <c r="AQ134" s="992"/>
      <c r="AR134" s="9"/>
      <c r="AS134" s="992"/>
      <c r="AT134" s="992"/>
      <c r="AU134" s="992"/>
      <c r="AV134" s="992"/>
      <c r="AW134" s="992"/>
      <c r="AX134" s="9"/>
      <c r="AY134" s="992"/>
      <c r="AZ134" s="992"/>
      <c r="BA134" s="992"/>
      <c r="BB134" s="992"/>
      <c r="BC134" s="992"/>
      <c r="BD134" s="54"/>
      <c r="BE134" s="996"/>
      <c r="BF134" s="996"/>
      <c r="BG134" s="996"/>
      <c r="BH134" s="996"/>
      <c r="BI134" s="996"/>
      <c r="BJ134" s="996"/>
      <c r="BK134" s="996"/>
      <c r="BL134" s="996"/>
      <c r="BM134" s="996"/>
      <c r="BN134" s="996"/>
      <c r="BO134" s="996"/>
      <c r="BP134" s="996"/>
      <c r="BQ134" s="996"/>
      <c r="BR134" s="996"/>
      <c r="BS134" s="996"/>
      <c r="BT134" s="996"/>
      <c r="BU134" s="996"/>
      <c r="BV134" s="996"/>
      <c r="BW134" s="996"/>
      <c r="BX134" s="996"/>
      <c r="BY134" s="996"/>
      <c r="BZ134" s="124"/>
      <c r="CA134" s="996"/>
      <c r="CB134" s="996"/>
      <c r="CC134" s="996"/>
      <c r="CD134" s="996"/>
      <c r="CE134" s="996"/>
      <c r="CF134" s="996"/>
      <c r="CG134" s="996"/>
      <c r="CH134" s="996"/>
      <c r="CI134" s="996"/>
      <c r="CJ134" s="996"/>
      <c r="CK134" s="996"/>
      <c r="CL134" s="996"/>
      <c r="CM134" s="996"/>
      <c r="CN134" s="996"/>
      <c r="CO134" s="996"/>
      <c r="CP134" s="996"/>
      <c r="CQ134" s="996"/>
      <c r="CR134" s="996"/>
      <c r="CS134" s="996"/>
      <c r="CT134" s="996"/>
      <c r="CU134" s="996"/>
      <c r="CV134" s="5"/>
      <c r="CZ134" s="53"/>
      <c r="DA134" s="53"/>
    </row>
    <row r="135" spans="1:106" ht="12" customHeight="1" thickBo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4"/>
      <c r="BE135" s="355"/>
      <c r="BF135" s="355"/>
      <c r="BG135" s="355"/>
      <c r="BH135" s="355"/>
      <c r="BI135" s="355"/>
      <c r="BJ135" s="355"/>
      <c r="BK135" s="355"/>
      <c r="BL135" s="355"/>
      <c r="BM135" s="355"/>
      <c r="BN135" s="355"/>
      <c r="BO135" s="355"/>
      <c r="BP135" s="355"/>
      <c r="BQ135" s="355"/>
      <c r="BR135" s="355"/>
      <c r="BS135" s="355"/>
      <c r="BT135" s="355"/>
      <c r="BU135" s="355"/>
      <c r="BV135" s="355"/>
      <c r="BW135" s="355"/>
      <c r="BX135" s="355"/>
      <c r="BY135" s="355"/>
      <c r="BZ135" s="124"/>
      <c r="CA135" s="355"/>
      <c r="CB135" s="355"/>
      <c r="CC135" s="355"/>
      <c r="CD135" s="355"/>
      <c r="CE135" s="355"/>
      <c r="CF135" s="355"/>
      <c r="CG135" s="355"/>
      <c r="CH135" s="355"/>
      <c r="CI135" s="355"/>
      <c r="CJ135" s="355"/>
      <c r="CK135" s="355"/>
      <c r="CL135" s="355"/>
      <c r="CM135" s="355"/>
      <c r="CN135" s="355"/>
      <c r="CO135" s="355"/>
      <c r="CP135" s="355"/>
      <c r="CQ135" s="355"/>
      <c r="CR135" s="355"/>
      <c r="CS135" s="355"/>
      <c r="CT135" s="355"/>
      <c r="CU135" s="355"/>
      <c r="CV135" s="5"/>
      <c r="CY135" s="6">
        <f>CY133+1</f>
        <v>52</v>
      </c>
      <c r="CZ135" s="53"/>
      <c r="DA135" s="53"/>
    </row>
    <row r="136" spans="1:106" ht="12" customHeight="1" x14ac:dyDescent="0.2">
      <c r="A136" s="5"/>
      <c r="B136" s="1027" t="s">
        <v>85</v>
      </c>
      <c r="C136" s="1028"/>
      <c r="D136" s="1028"/>
      <c r="E136" s="1028"/>
      <c r="F136" s="1028"/>
      <c r="G136" s="1028"/>
      <c r="H136" s="1028"/>
      <c r="I136" s="1028"/>
      <c r="J136" s="1028"/>
      <c r="K136" s="1028"/>
      <c r="L136" s="1028"/>
      <c r="M136" s="1028"/>
      <c r="N136" s="1028"/>
      <c r="O136" s="1028"/>
      <c r="P136" s="1028"/>
      <c r="Q136" s="1028"/>
      <c r="R136" s="1028"/>
      <c r="S136" s="1028"/>
      <c r="T136" s="1028"/>
      <c r="U136" s="1029"/>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24"/>
      <c r="CN136" s="124"/>
      <c r="CO136" s="124"/>
      <c r="CP136" s="124"/>
      <c r="CQ136" s="124"/>
      <c r="CR136" s="124"/>
      <c r="CS136" s="124"/>
      <c r="CT136" s="124"/>
      <c r="CU136" s="124"/>
      <c r="CV136" s="5"/>
      <c r="CZ136" s="53"/>
      <c r="DA136" s="53"/>
    </row>
    <row r="137" spans="1:106" ht="12" customHeight="1" thickBot="1" x14ac:dyDescent="0.25">
      <c r="A137" s="5"/>
      <c r="B137" s="1030"/>
      <c r="C137" s="1031"/>
      <c r="D137" s="1031"/>
      <c r="E137" s="1031"/>
      <c r="F137" s="1031"/>
      <c r="G137" s="1031"/>
      <c r="H137" s="1031"/>
      <c r="I137" s="1031"/>
      <c r="J137" s="1031"/>
      <c r="K137" s="1031"/>
      <c r="L137" s="1031"/>
      <c r="M137" s="1031"/>
      <c r="N137" s="1031"/>
      <c r="O137" s="1031"/>
      <c r="P137" s="1031"/>
      <c r="Q137" s="1031"/>
      <c r="R137" s="1031"/>
      <c r="S137" s="1031"/>
      <c r="T137" s="1031"/>
      <c r="U137" s="1032"/>
      <c r="V137" s="994" t="s">
        <v>180</v>
      </c>
      <c r="W137" s="988"/>
      <c r="X137" s="988"/>
      <c r="Y137" s="988"/>
      <c r="Z137" s="988"/>
      <c r="AA137" s="988"/>
      <c r="AB137" s="988" t="s">
        <v>47</v>
      </c>
      <c r="AC137" s="988"/>
      <c r="AD137" s="988"/>
      <c r="AE137" s="988"/>
      <c r="AF137" s="988"/>
      <c r="AG137" s="988"/>
      <c r="AH137" s="988"/>
      <c r="AI137" s="988"/>
      <c r="AJ137" s="988"/>
      <c r="AK137" s="988"/>
      <c r="AL137" s="988"/>
      <c r="AM137" s="988"/>
      <c r="AN137" s="988"/>
      <c r="AO137" s="988"/>
      <c r="AP137" s="988"/>
      <c r="AQ137" s="988" t="s">
        <v>9</v>
      </c>
      <c r="AR137" s="988"/>
      <c r="AS137" s="988"/>
      <c r="AT137" s="988"/>
      <c r="AU137" s="988"/>
      <c r="AV137" s="988"/>
      <c r="AW137" s="988"/>
      <c r="AX137" s="988"/>
      <c r="AY137" s="988"/>
      <c r="AZ137" s="988"/>
      <c r="BA137" s="988"/>
      <c r="BB137" s="988"/>
      <c r="BC137" s="989"/>
      <c r="BD137" s="5"/>
      <c r="BE137" s="997" t="s">
        <v>397</v>
      </c>
      <c r="BF137" s="997"/>
      <c r="BG137" s="997"/>
      <c r="BH137" s="997"/>
      <c r="BI137" s="997"/>
      <c r="BJ137" s="997"/>
      <c r="BK137" s="997"/>
      <c r="BL137" s="997"/>
      <c r="BM137" s="997"/>
      <c r="BN137" s="997"/>
      <c r="BO137" s="997"/>
      <c r="BP137" s="997"/>
      <c r="BQ137" s="997"/>
      <c r="BR137" s="997"/>
      <c r="BS137" s="997"/>
      <c r="BT137" s="997"/>
      <c r="BU137" s="997"/>
      <c r="BV137" s="997"/>
      <c r="BW137" s="997"/>
      <c r="BX137" s="997"/>
      <c r="BY137" s="997"/>
      <c r="BZ137" s="124"/>
      <c r="CA137" s="997" t="s">
        <v>253</v>
      </c>
      <c r="CB137" s="997"/>
      <c r="CC137" s="997"/>
      <c r="CD137" s="997"/>
      <c r="CE137" s="997"/>
      <c r="CF137" s="997"/>
      <c r="CG137" s="997"/>
      <c r="CH137" s="997"/>
      <c r="CI137" s="997"/>
      <c r="CJ137" s="997"/>
      <c r="CK137" s="997"/>
      <c r="CL137" s="997"/>
      <c r="CM137" s="997"/>
      <c r="CN137" s="997"/>
      <c r="CO137" s="997"/>
      <c r="CP137" s="997"/>
      <c r="CQ137" s="997"/>
      <c r="CR137" s="997"/>
      <c r="CS137" s="997"/>
      <c r="CT137" s="997"/>
      <c r="CU137" s="997"/>
      <c r="CV137" s="5"/>
      <c r="CY137" s="6">
        <f>CY135+1</f>
        <v>53</v>
      </c>
      <c r="CZ137" s="53"/>
      <c r="DA137" s="53"/>
    </row>
    <row r="138" spans="1:106" ht="12" customHeight="1" thickBot="1" x14ac:dyDescent="0.25">
      <c r="A138" s="5"/>
      <c r="B138" s="1018" t="str">
        <f>IF(CharacterLevel="","",Attack5name)</f>
        <v/>
      </c>
      <c r="C138" s="1019"/>
      <c r="D138" s="1019"/>
      <c r="E138" s="1019"/>
      <c r="F138" s="1019"/>
      <c r="G138" s="1019"/>
      <c r="H138" s="1019"/>
      <c r="I138" s="1019"/>
      <c r="J138" s="1019"/>
      <c r="K138" s="1019"/>
      <c r="L138" s="1019"/>
      <c r="M138" s="1019"/>
      <c r="N138" s="1019"/>
      <c r="O138" s="1019"/>
      <c r="P138" s="1019"/>
      <c r="Q138" s="1019"/>
      <c r="R138" s="1019"/>
      <c r="S138" s="1019"/>
      <c r="T138" s="1019"/>
      <c r="U138" s="1020"/>
      <c r="V138" s="986" t="str">
        <f ca="1">IF(CharacterLevel="","",Attack5bonus)</f>
        <v/>
      </c>
      <c r="W138" s="987"/>
      <c r="X138" s="987"/>
      <c r="Y138" s="987"/>
      <c r="Z138" s="987"/>
      <c r="AA138" s="987"/>
      <c r="AB138" s="990" t="str">
        <f>IF(CharacterLevel="","",Attack5damage)</f>
        <v/>
      </c>
      <c r="AC138" s="990"/>
      <c r="AD138" s="990"/>
      <c r="AE138" s="990"/>
      <c r="AF138" s="990"/>
      <c r="AG138" s="990"/>
      <c r="AH138" s="990"/>
      <c r="AI138" s="990"/>
      <c r="AJ138" s="990"/>
      <c r="AK138" s="990"/>
      <c r="AL138" s="990"/>
      <c r="AM138" s="990"/>
      <c r="AN138" s="990"/>
      <c r="AO138" s="990"/>
      <c r="AP138" s="990"/>
      <c r="AQ138" s="990" t="str">
        <f>IF(CharacterLevel="","",Attack5type)</f>
        <v/>
      </c>
      <c r="AR138" s="990"/>
      <c r="AS138" s="990"/>
      <c r="AT138" s="990"/>
      <c r="AU138" s="990"/>
      <c r="AV138" s="990"/>
      <c r="AW138" s="990"/>
      <c r="AX138" s="990"/>
      <c r="AY138" s="990"/>
      <c r="AZ138" s="990"/>
      <c r="BA138" s="990"/>
      <c r="BB138" s="990"/>
      <c r="BC138" s="990"/>
      <c r="BD138" s="5"/>
      <c r="BE138" s="997"/>
      <c r="BF138" s="997"/>
      <c r="BG138" s="997"/>
      <c r="BH138" s="997"/>
      <c r="BI138" s="997"/>
      <c r="BJ138" s="997"/>
      <c r="BK138" s="997"/>
      <c r="BL138" s="997"/>
      <c r="BM138" s="997"/>
      <c r="BN138" s="997"/>
      <c r="BO138" s="997"/>
      <c r="BP138" s="997"/>
      <c r="BQ138" s="997"/>
      <c r="BR138" s="997"/>
      <c r="BS138" s="997"/>
      <c r="BT138" s="997"/>
      <c r="BU138" s="997"/>
      <c r="BV138" s="997"/>
      <c r="BW138" s="997"/>
      <c r="BX138" s="997"/>
      <c r="BY138" s="997"/>
      <c r="BZ138" s="124"/>
      <c r="CA138" s="997"/>
      <c r="CB138" s="997"/>
      <c r="CC138" s="997"/>
      <c r="CD138" s="997"/>
      <c r="CE138" s="997"/>
      <c r="CF138" s="997"/>
      <c r="CG138" s="997"/>
      <c r="CH138" s="997"/>
      <c r="CI138" s="997"/>
      <c r="CJ138" s="997"/>
      <c r="CK138" s="997"/>
      <c r="CL138" s="997"/>
      <c r="CM138" s="997"/>
      <c r="CN138" s="997"/>
      <c r="CO138" s="997"/>
      <c r="CP138" s="997"/>
      <c r="CQ138" s="997"/>
      <c r="CR138" s="997"/>
      <c r="CS138" s="997"/>
      <c r="CT138" s="997"/>
      <c r="CU138" s="997"/>
      <c r="CV138" s="5"/>
      <c r="CZ138" s="53"/>
      <c r="DA138" s="53"/>
    </row>
    <row r="139" spans="1:106" ht="12" customHeight="1" thickBot="1" x14ac:dyDescent="0.25">
      <c r="A139" s="5"/>
      <c r="B139" s="1021"/>
      <c r="C139" s="1022"/>
      <c r="D139" s="1022"/>
      <c r="E139" s="1022"/>
      <c r="F139" s="1022"/>
      <c r="G139" s="1022"/>
      <c r="H139" s="1022"/>
      <c r="I139" s="1022"/>
      <c r="J139" s="1022"/>
      <c r="K139" s="1022"/>
      <c r="L139" s="1022"/>
      <c r="M139" s="1022"/>
      <c r="N139" s="1022"/>
      <c r="O139" s="1022"/>
      <c r="P139" s="1022"/>
      <c r="Q139" s="1022"/>
      <c r="R139" s="1022"/>
      <c r="S139" s="1022"/>
      <c r="T139" s="1022"/>
      <c r="U139" s="1023"/>
      <c r="V139" s="986"/>
      <c r="W139" s="987"/>
      <c r="X139" s="987"/>
      <c r="Y139" s="987"/>
      <c r="Z139" s="987"/>
      <c r="AA139" s="987"/>
      <c r="AB139" s="990"/>
      <c r="AC139" s="990"/>
      <c r="AD139" s="990"/>
      <c r="AE139" s="990"/>
      <c r="AF139" s="990"/>
      <c r="AG139" s="990"/>
      <c r="AH139" s="990"/>
      <c r="AI139" s="990"/>
      <c r="AJ139" s="990"/>
      <c r="AK139" s="990"/>
      <c r="AL139" s="990"/>
      <c r="AM139" s="990"/>
      <c r="AN139" s="990"/>
      <c r="AO139" s="990"/>
      <c r="AP139" s="990"/>
      <c r="AQ139" s="990"/>
      <c r="AR139" s="990"/>
      <c r="AS139" s="990"/>
      <c r="AT139" s="990"/>
      <c r="AU139" s="990"/>
      <c r="AV139" s="990"/>
      <c r="AW139" s="990"/>
      <c r="AX139" s="990"/>
      <c r="AY139" s="990"/>
      <c r="AZ139" s="990"/>
      <c r="BA139" s="990"/>
      <c r="BB139" s="990"/>
      <c r="BC139" s="990"/>
      <c r="BD139" s="5"/>
      <c r="BE139" s="370"/>
      <c r="BF139" s="370"/>
      <c r="BG139" s="370"/>
      <c r="BH139" s="370"/>
      <c r="BI139" s="370"/>
      <c r="BJ139" s="370"/>
      <c r="BK139" s="370"/>
      <c r="BL139" s="370"/>
      <c r="BM139" s="370"/>
      <c r="BN139" s="370"/>
      <c r="BO139" s="370"/>
      <c r="BP139" s="370"/>
      <c r="BQ139" s="370"/>
      <c r="BR139" s="370"/>
      <c r="BS139" s="370"/>
      <c r="BT139" s="370"/>
      <c r="BU139" s="370"/>
      <c r="BV139" s="370"/>
      <c r="BW139" s="370"/>
      <c r="BX139" s="370"/>
      <c r="BY139" s="370"/>
      <c r="BZ139" s="370"/>
      <c r="CA139" s="370"/>
      <c r="CB139" s="370"/>
      <c r="CC139" s="370"/>
      <c r="CD139" s="370"/>
      <c r="CE139" s="370"/>
      <c r="CF139" s="370"/>
      <c r="CG139" s="370"/>
      <c r="CH139" s="370"/>
      <c r="CI139" s="370"/>
      <c r="CJ139" s="370"/>
      <c r="CK139" s="370"/>
      <c r="CL139" s="370"/>
      <c r="CM139" s="370"/>
      <c r="CN139" s="370"/>
      <c r="CO139" s="370"/>
      <c r="CP139" s="370"/>
      <c r="CQ139" s="370"/>
      <c r="CR139" s="370"/>
      <c r="CS139" s="370"/>
      <c r="CT139" s="370"/>
      <c r="CU139" s="370"/>
      <c r="CV139" s="5"/>
      <c r="CY139" s="6">
        <f>CY137+1</f>
        <v>54</v>
      </c>
      <c r="CZ139" s="53"/>
      <c r="DA139" s="53"/>
    </row>
    <row r="140" spans="1:106" ht="12" customHeight="1" thickBot="1" x14ac:dyDescent="0.4">
      <c r="A140" s="5"/>
      <c r="B140" s="1024"/>
      <c r="C140" s="1025"/>
      <c r="D140" s="1025"/>
      <c r="E140" s="1025"/>
      <c r="F140" s="1025"/>
      <c r="G140" s="1025"/>
      <c r="H140" s="1025"/>
      <c r="I140" s="1025"/>
      <c r="J140" s="1025"/>
      <c r="K140" s="1025"/>
      <c r="L140" s="1025"/>
      <c r="M140" s="1025"/>
      <c r="N140" s="1025"/>
      <c r="O140" s="1025"/>
      <c r="P140" s="1025"/>
      <c r="Q140" s="1025"/>
      <c r="R140" s="1025"/>
      <c r="S140" s="1025"/>
      <c r="T140" s="1025"/>
      <c r="U140" s="1026"/>
      <c r="V140" s="986"/>
      <c r="W140" s="987"/>
      <c r="X140" s="987"/>
      <c r="Y140" s="987"/>
      <c r="Z140" s="987"/>
      <c r="AA140" s="987"/>
      <c r="AB140" s="991"/>
      <c r="AC140" s="991"/>
      <c r="AD140" s="991"/>
      <c r="AE140" s="991"/>
      <c r="AF140" s="991"/>
      <c r="AG140" s="991"/>
      <c r="AH140" s="991"/>
      <c r="AI140" s="991"/>
      <c r="AJ140" s="991"/>
      <c r="AK140" s="991"/>
      <c r="AL140" s="991"/>
      <c r="AM140" s="991"/>
      <c r="AN140" s="991"/>
      <c r="AO140" s="991"/>
      <c r="AP140" s="991"/>
      <c r="AQ140" s="991"/>
      <c r="AR140" s="991"/>
      <c r="AS140" s="991"/>
      <c r="AT140" s="991"/>
      <c r="AU140" s="991"/>
      <c r="AV140" s="991"/>
      <c r="AW140" s="991"/>
      <c r="AX140" s="991"/>
      <c r="AY140" s="991"/>
      <c r="AZ140" s="991"/>
      <c r="BA140" s="991"/>
      <c r="BB140" s="991"/>
      <c r="BC140" s="991"/>
      <c r="BD140" s="5"/>
      <c r="BE140" s="1015" t="s">
        <v>407</v>
      </c>
      <c r="BF140" s="1015"/>
      <c r="BG140" s="1015"/>
      <c r="BH140" s="1015"/>
      <c r="BI140" s="1015"/>
      <c r="BJ140" s="1015"/>
      <c r="BK140" s="1015"/>
      <c r="BL140" s="1015"/>
      <c r="BM140" s="1015"/>
      <c r="BN140" s="1015"/>
      <c r="BO140" s="1015"/>
      <c r="BP140" s="5"/>
      <c r="BQ140" s="241"/>
      <c r="BR140" s="241"/>
      <c r="BS140" s="241"/>
      <c r="BT140" s="241"/>
      <c r="BU140" s="241"/>
      <c r="BV140" s="241"/>
      <c r="BW140" s="241"/>
      <c r="BX140" s="241"/>
      <c r="BY140" s="241"/>
      <c r="BZ140" s="124"/>
      <c r="CA140" s="9"/>
      <c r="CB140" s="9"/>
      <c r="CC140" s="9"/>
      <c r="CD140" s="9"/>
      <c r="CE140" s="5"/>
      <c r="CF140" s="5"/>
      <c r="CG140" s="5"/>
      <c r="CH140" s="5"/>
      <c r="CI140" s="5"/>
      <c r="CJ140" s="5"/>
      <c r="CK140" s="5"/>
      <c r="CL140" s="5"/>
      <c r="CM140" s="5"/>
      <c r="CN140" s="5"/>
      <c r="CO140" s="5"/>
      <c r="CP140" s="5"/>
      <c r="CQ140" s="5"/>
      <c r="CR140" s="5"/>
      <c r="CS140" s="5"/>
      <c r="CT140" s="5"/>
      <c r="CU140" s="5"/>
      <c r="CV140" s="5"/>
      <c r="CZ140" s="53"/>
      <c r="DA140" s="53"/>
    </row>
    <row r="141" spans="1:106" ht="12" customHeight="1" thickBot="1" x14ac:dyDescent="0.25">
      <c r="A141" s="5"/>
      <c r="B141" s="1033" t="s">
        <v>48</v>
      </c>
      <c r="C141" s="999"/>
      <c r="D141" s="999"/>
      <c r="E141" s="999"/>
      <c r="F141" s="999"/>
      <c r="G141" s="999"/>
      <c r="H141" s="999"/>
      <c r="I141" s="999"/>
      <c r="J141" s="999" t="s">
        <v>111</v>
      </c>
      <c r="K141" s="999"/>
      <c r="L141" s="999"/>
      <c r="M141" s="999"/>
      <c r="N141" s="999"/>
      <c r="O141" s="999"/>
      <c r="P141" s="999"/>
      <c r="Q141" s="999"/>
      <c r="R141" s="999"/>
      <c r="S141" s="999"/>
      <c r="T141" s="999"/>
      <c r="U141" s="999"/>
      <c r="V141" s="999"/>
      <c r="W141" s="999"/>
      <c r="X141" s="999"/>
      <c r="Y141" s="999"/>
      <c r="Z141" s="999"/>
      <c r="AA141" s="999"/>
      <c r="AB141" s="999"/>
      <c r="AC141" s="999"/>
      <c r="AD141" s="999"/>
      <c r="AE141" s="999"/>
      <c r="AF141" s="999"/>
      <c r="AG141" s="999"/>
      <c r="AH141" s="999"/>
      <c r="AI141" s="999"/>
      <c r="AJ141" s="999"/>
      <c r="AK141" s="999"/>
      <c r="AL141" s="999"/>
      <c r="AM141" s="999"/>
      <c r="AN141" s="999"/>
      <c r="AO141" s="999"/>
      <c r="AP141" s="999"/>
      <c r="AQ141" s="999"/>
      <c r="AR141" s="999"/>
      <c r="AS141" s="999"/>
      <c r="AT141" s="999"/>
      <c r="AU141" s="999"/>
      <c r="AV141" s="999"/>
      <c r="AW141" s="999"/>
      <c r="AX141" s="999"/>
      <c r="AY141" s="999"/>
      <c r="AZ141" s="999"/>
      <c r="BA141" s="999"/>
      <c r="BB141" s="999"/>
      <c r="BC141" s="1000"/>
      <c r="BD141" s="5"/>
      <c r="BE141" s="1015"/>
      <c r="BF141" s="1015"/>
      <c r="BG141" s="1015"/>
      <c r="BH141" s="1015"/>
      <c r="BI141" s="1015"/>
      <c r="BJ141" s="1015"/>
      <c r="BK141" s="1015"/>
      <c r="BL141" s="1015"/>
      <c r="BM141" s="1015"/>
      <c r="BN141" s="1015"/>
      <c r="BO141" s="1015"/>
      <c r="BP141" s="1013" t="str">
        <f>IF(OR(CharacterLevel="",'Character Sheet II'!AU83=""),"",'Character Sheet II'!AU83&amp;" lbs")</f>
        <v/>
      </c>
      <c r="BQ141" s="1013"/>
      <c r="BR141" s="1013"/>
      <c r="BS141" s="1013"/>
      <c r="BT141" s="1013"/>
      <c r="BU141" s="1013"/>
      <c r="BV141" s="1013"/>
      <c r="BW141" s="1013"/>
      <c r="BX141" s="1013"/>
      <c r="BY141" s="1013"/>
      <c r="BZ141" s="124"/>
      <c r="CA141" s="995" t="s">
        <v>254</v>
      </c>
      <c r="CB141" s="995"/>
      <c r="CC141" s="995"/>
      <c r="CD141" s="995"/>
      <c r="CE141" s="995"/>
      <c r="CF141" s="995"/>
      <c r="CG141" s="995"/>
      <c r="CH141" s="995"/>
      <c r="CI141" s="995"/>
      <c r="CJ141" s="995"/>
      <c r="CK141" s="56"/>
      <c r="CL141" s="1010">
        <f>IF(OR(CharacterLevel="",Start!BC115=""),"",Start!BC115)</f>
        <v>923</v>
      </c>
      <c r="CM141" s="1010"/>
      <c r="CN141" s="1010"/>
      <c r="CO141" s="1010"/>
      <c r="CP141" s="1010"/>
      <c r="CQ141" s="1010"/>
      <c r="CR141" s="1010"/>
      <c r="CS141" s="1010"/>
      <c r="CT141" s="1010"/>
      <c r="CU141" s="137"/>
      <c r="CV141" s="5"/>
      <c r="CY141" s="6">
        <f>CY139+1</f>
        <v>55</v>
      </c>
      <c r="CZ141" s="53"/>
      <c r="DA141" s="53"/>
    </row>
    <row r="142" spans="1:106" ht="12" customHeight="1" thickBot="1" x14ac:dyDescent="0.25">
      <c r="A142" s="5"/>
      <c r="B142" s="990" t="str">
        <f>IF(CharacterLevel="","",Attack5range)</f>
        <v/>
      </c>
      <c r="C142" s="990"/>
      <c r="D142" s="990"/>
      <c r="E142" s="990"/>
      <c r="F142" s="990"/>
      <c r="G142" s="990"/>
      <c r="H142" s="990"/>
      <c r="I142" s="990"/>
      <c r="J142" s="1001" t="str">
        <f>IF(CharacterLevel="","",Attack5props)</f>
        <v/>
      </c>
      <c r="K142" s="1002"/>
      <c r="L142" s="1002"/>
      <c r="M142" s="1002"/>
      <c r="N142" s="1002"/>
      <c r="O142" s="1002"/>
      <c r="P142" s="1002"/>
      <c r="Q142" s="1002"/>
      <c r="R142" s="1002"/>
      <c r="S142" s="1002"/>
      <c r="T142" s="1002"/>
      <c r="U142" s="1002"/>
      <c r="V142" s="1002"/>
      <c r="W142" s="1002"/>
      <c r="X142" s="1002"/>
      <c r="Y142" s="1002"/>
      <c r="Z142" s="1002"/>
      <c r="AA142" s="1002"/>
      <c r="AB142" s="1002"/>
      <c r="AC142" s="1002"/>
      <c r="AD142" s="1002"/>
      <c r="AE142" s="1002"/>
      <c r="AF142" s="1002"/>
      <c r="AG142" s="1002"/>
      <c r="AH142" s="1002"/>
      <c r="AI142" s="1002"/>
      <c r="AJ142" s="1002"/>
      <c r="AK142" s="1002"/>
      <c r="AL142" s="1002"/>
      <c r="AM142" s="1002"/>
      <c r="AN142" s="1002"/>
      <c r="AO142" s="1002"/>
      <c r="AP142" s="1002"/>
      <c r="AQ142" s="1002"/>
      <c r="AR142" s="1002"/>
      <c r="AS142" s="1002"/>
      <c r="AT142" s="1002"/>
      <c r="AU142" s="1002"/>
      <c r="AV142" s="1002"/>
      <c r="AW142" s="1002"/>
      <c r="AX142" s="1002"/>
      <c r="AY142" s="1002"/>
      <c r="AZ142" s="1002"/>
      <c r="BA142" s="1002"/>
      <c r="BB142" s="1002"/>
      <c r="BC142" s="1003"/>
      <c r="BD142" s="5"/>
      <c r="BE142" s="1015"/>
      <c r="BF142" s="1015"/>
      <c r="BG142" s="1015"/>
      <c r="BH142" s="1015"/>
      <c r="BI142" s="1015"/>
      <c r="BJ142" s="1015"/>
      <c r="BK142" s="1015"/>
      <c r="BL142" s="1015"/>
      <c r="BM142" s="1015"/>
      <c r="BN142" s="1015"/>
      <c r="BO142" s="1015"/>
      <c r="BP142" s="1014"/>
      <c r="BQ142" s="1014"/>
      <c r="BR142" s="1014"/>
      <c r="BS142" s="1014"/>
      <c r="BT142" s="1014"/>
      <c r="BU142" s="1014"/>
      <c r="BV142" s="1014"/>
      <c r="BW142" s="1014"/>
      <c r="BX142" s="1014"/>
      <c r="BY142" s="1014"/>
      <c r="BZ142" s="124"/>
      <c r="CA142" s="995"/>
      <c r="CB142" s="995"/>
      <c r="CC142" s="995"/>
      <c r="CD142" s="995"/>
      <c r="CE142" s="995"/>
      <c r="CF142" s="995"/>
      <c r="CG142" s="995"/>
      <c r="CH142" s="995"/>
      <c r="CI142" s="995"/>
      <c r="CJ142" s="995"/>
      <c r="CK142" s="56"/>
      <c r="CL142" s="1011"/>
      <c r="CM142" s="1011"/>
      <c r="CN142" s="1011"/>
      <c r="CO142" s="1011"/>
      <c r="CP142" s="1011"/>
      <c r="CQ142" s="1011"/>
      <c r="CR142" s="1011"/>
      <c r="CS142" s="1011"/>
      <c r="CT142" s="1011"/>
      <c r="CU142" s="138"/>
      <c r="CV142" s="5"/>
      <c r="CZ142" s="53"/>
      <c r="DA142" s="53"/>
      <c r="DB142" s="53"/>
    </row>
    <row r="143" spans="1:106" ht="12" customHeight="1" thickBot="1" x14ac:dyDescent="0.4">
      <c r="A143" s="5"/>
      <c r="B143" s="990"/>
      <c r="C143" s="990"/>
      <c r="D143" s="990"/>
      <c r="E143" s="990"/>
      <c r="F143" s="990"/>
      <c r="G143" s="990"/>
      <c r="H143" s="990"/>
      <c r="I143" s="990"/>
      <c r="J143" s="1004"/>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c r="AJ143" s="1005"/>
      <c r="AK143" s="1005"/>
      <c r="AL143" s="1005"/>
      <c r="AM143" s="1005"/>
      <c r="AN143" s="1005"/>
      <c r="AO143" s="1005"/>
      <c r="AP143" s="1005"/>
      <c r="AQ143" s="1005"/>
      <c r="AR143" s="1005"/>
      <c r="AS143" s="1005"/>
      <c r="AT143" s="1005"/>
      <c r="AU143" s="1005"/>
      <c r="AV143" s="1005"/>
      <c r="AW143" s="1005"/>
      <c r="AX143" s="1005"/>
      <c r="AY143" s="1005"/>
      <c r="AZ143" s="1005"/>
      <c r="BA143" s="1005"/>
      <c r="BB143" s="1005"/>
      <c r="BC143" s="1006"/>
      <c r="BD143" s="5"/>
      <c r="BE143" s="262" t="str">
        <f>IF(CharacterLevel="","",IF('Character Sheet II'!AU83="","UNENCUMBERED",IF('Character Sheet II'!AU83&gt;STR*15,"YOU CANNOT CARRY THIS WEIGHT",IF('Character Sheet II'!AU83&gt;STR*10,"YOU ARE ENCUMBERED - SPEED IS NOW "&amp;Speed-20&amp;" FEET",IF('Character Sheet II'!AU83&gt;STR*5,"YOU ARE ENCUMBERED - SPEED IS NOW "&amp;Speed-10&amp;" FEET","UNENCUMBERED")))))</f>
        <v>UNENCUMBERED</v>
      </c>
      <c r="BF143" s="166"/>
      <c r="BG143" s="166"/>
      <c r="BH143" s="166"/>
      <c r="BI143" s="166"/>
      <c r="BJ143" s="166"/>
      <c r="BK143" s="166"/>
      <c r="BL143" s="166"/>
      <c r="BM143" s="166"/>
      <c r="BN143" s="166"/>
      <c r="BO143" s="166"/>
      <c r="BP143" s="243"/>
      <c r="BQ143" s="243"/>
      <c r="BR143" s="243"/>
      <c r="BS143" s="243"/>
      <c r="BT143" s="243"/>
      <c r="BU143" s="243"/>
      <c r="BV143" s="243"/>
      <c r="BW143" s="243"/>
      <c r="BX143" s="243"/>
      <c r="BY143" s="243"/>
      <c r="BZ143" s="124"/>
      <c r="CA143" s="261" t="s">
        <v>320</v>
      </c>
      <c r="CB143" s="5"/>
      <c r="CC143" s="5"/>
      <c r="CD143" s="5"/>
      <c r="CE143" s="5"/>
      <c r="CF143" s="5"/>
      <c r="CG143" s="5"/>
      <c r="CH143" s="5"/>
      <c r="CI143" s="5"/>
      <c r="CJ143" s="5"/>
      <c r="CK143" s="5"/>
      <c r="CL143" s="139"/>
      <c r="CM143" s="139"/>
      <c r="CN143" s="139"/>
      <c r="CO143" s="139"/>
      <c r="CP143" s="139"/>
      <c r="CQ143" s="139"/>
      <c r="CR143" s="139"/>
      <c r="CS143" s="139"/>
      <c r="CT143" s="139"/>
      <c r="CU143" s="5"/>
      <c r="CV143" s="5"/>
      <c r="CY143" s="6">
        <f>CY141+1</f>
        <v>56</v>
      </c>
      <c r="CZ143" s="53"/>
      <c r="DA143" s="53"/>
      <c r="DB143" s="53"/>
    </row>
    <row r="144" spans="1:106" ht="12" customHeight="1" thickBot="1" x14ac:dyDescent="0.4">
      <c r="A144" s="5"/>
      <c r="B144" s="990"/>
      <c r="C144" s="990"/>
      <c r="D144" s="990"/>
      <c r="E144" s="990"/>
      <c r="F144" s="990"/>
      <c r="G144" s="990"/>
      <c r="H144" s="990"/>
      <c r="I144" s="990"/>
      <c r="J144" s="1007"/>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1008"/>
      <c r="AR144" s="1008"/>
      <c r="AS144" s="1008"/>
      <c r="AT144" s="1008"/>
      <c r="AU144" s="1008"/>
      <c r="AV144" s="1008"/>
      <c r="AW144" s="1008"/>
      <c r="AX144" s="1008"/>
      <c r="AY144" s="1008"/>
      <c r="AZ144" s="1008"/>
      <c r="BA144" s="1008"/>
      <c r="BB144" s="1008"/>
      <c r="BC144" s="1009"/>
      <c r="BD144" s="5"/>
      <c r="BE144" s="262"/>
      <c r="BF144" s="166"/>
      <c r="BG144" s="166"/>
      <c r="BH144" s="166"/>
      <c r="BI144" s="166"/>
      <c r="BJ144" s="166"/>
      <c r="BK144" s="166"/>
      <c r="BL144" s="166"/>
      <c r="BM144" s="166"/>
      <c r="BN144" s="166"/>
      <c r="BO144" s="166"/>
      <c r="BP144" s="243"/>
      <c r="BQ144" s="243"/>
      <c r="BR144" s="243"/>
      <c r="BS144" s="243"/>
      <c r="BT144" s="243"/>
      <c r="BU144" s="243"/>
      <c r="BV144" s="243"/>
      <c r="BW144" s="243"/>
      <c r="BX144" s="243"/>
      <c r="BY144" s="243"/>
      <c r="BZ144" s="124"/>
      <c r="CA144" s="261"/>
      <c r="CB144" s="5"/>
      <c r="CC144" s="5"/>
      <c r="CD144" s="5"/>
      <c r="CE144" s="5"/>
      <c r="CF144" s="5"/>
      <c r="CG144" s="5"/>
      <c r="CH144" s="5"/>
      <c r="CI144" s="5"/>
      <c r="CJ144" s="5"/>
      <c r="CK144" s="5"/>
      <c r="CL144" s="139"/>
      <c r="CM144" s="139"/>
      <c r="CN144" s="139"/>
      <c r="CO144" s="139"/>
      <c r="CP144" s="139"/>
      <c r="CQ144" s="139"/>
      <c r="CR144" s="139"/>
      <c r="CS144" s="139"/>
      <c r="CT144" s="139"/>
      <c r="CU144" s="5"/>
      <c r="CV144" s="5"/>
      <c r="CZ144" s="53"/>
      <c r="DA144" s="53"/>
      <c r="DB144" s="53"/>
    </row>
    <row r="145" spans="1:106" ht="12" customHeight="1" x14ac:dyDescent="0.35">
      <c r="A145" s="5"/>
      <c r="B145" s="1117" t="s">
        <v>49</v>
      </c>
      <c r="C145" s="1117"/>
      <c r="D145" s="1117"/>
      <c r="E145" s="1117"/>
      <c r="F145" s="1117"/>
      <c r="G145" s="1117"/>
      <c r="H145" s="1117"/>
      <c r="I145" s="1119" t="str">
        <f>IF(CharacterLevel="","",Start!CB$139)</f>
        <v/>
      </c>
      <c r="J145" s="1119"/>
      <c r="K145" s="1119"/>
      <c r="L145" s="1119"/>
      <c r="M145" s="1119"/>
      <c r="N145" s="1119"/>
      <c r="O145" s="1119"/>
      <c r="P145" s="1119"/>
      <c r="Q145" s="1119"/>
      <c r="R145" s="1119"/>
      <c r="S145" s="1119"/>
      <c r="T145" s="11"/>
      <c r="U145" s="993" t="s">
        <v>50</v>
      </c>
      <c r="V145" s="992" t="s">
        <v>50</v>
      </c>
      <c r="W145" s="992" t="s">
        <v>50</v>
      </c>
      <c r="X145" s="992" t="s">
        <v>50</v>
      </c>
      <c r="Y145" s="992" t="s">
        <v>50</v>
      </c>
      <c r="Z145" s="11"/>
      <c r="AA145" s="993" t="s">
        <v>50</v>
      </c>
      <c r="AB145" s="992" t="s">
        <v>50</v>
      </c>
      <c r="AC145" s="992" t="s">
        <v>50</v>
      </c>
      <c r="AD145" s="992" t="s">
        <v>50</v>
      </c>
      <c r="AE145" s="992" t="s">
        <v>50</v>
      </c>
      <c r="AF145" s="11"/>
      <c r="AG145" s="992" t="s">
        <v>50</v>
      </c>
      <c r="AH145" s="992" t="s">
        <v>50</v>
      </c>
      <c r="AI145" s="992" t="s">
        <v>50</v>
      </c>
      <c r="AJ145" s="992" t="s">
        <v>50</v>
      </c>
      <c r="AK145" s="992" t="s">
        <v>50</v>
      </c>
      <c r="AL145" s="9"/>
      <c r="AM145" s="992" t="s">
        <v>50</v>
      </c>
      <c r="AN145" s="992" t="s">
        <v>50</v>
      </c>
      <c r="AO145" s="992" t="s">
        <v>50</v>
      </c>
      <c r="AP145" s="992" t="s">
        <v>50</v>
      </c>
      <c r="AQ145" s="992" t="s">
        <v>50</v>
      </c>
      <c r="AR145" s="9"/>
      <c r="AS145" s="992" t="s">
        <v>50</v>
      </c>
      <c r="AT145" s="992" t="s">
        <v>50</v>
      </c>
      <c r="AU145" s="992" t="s">
        <v>50</v>
      </c>
      <c r="AV145" s="992" t="s">
        <v>50</v>
      </c>
      <c r="AW145" s="992" t="s">
        <v>50</v>
      </c>
      <c r="AX145" s="9"/>
      <c r="AY145" s="992" t="s">
        <v>50</v>
      </c>
      <c r="AZ145" s="992" t="s">
        <v>50</v>
      </c>
      <c r="BA145" s="992" t="s">
        <v>50</v>
      </c>
      <c r="BB145" s="992" t="s">
        <v>50</v>
      </c>
      <c r="BC145" s="992" t="s">
        <v>50</v>
      </c>
      <c r="BD145" s="5"/>
      <c r="BE145" s="5" t="str">
        <f>IF(CharacterLevel="","",IF('Character Sheet II'!AU83="","",IF('Character Sheet II'!AU83&gt;STR*10,BE154,"")))</f>
        <v/>
      </c>
      <c r="BF145" s="359"/>
      <c r="BG145" s="359"/>
      <c r="BH145" s="359"/>
      <c r="BI145" s="359"/>
      <c r="BJ145" s="359"/>
      <c r="BK145" s="359"/>
      <c r="BL145" s="359"/>
      <c r="BM145" s="359"/>
      <c r="BN145" s="359"/>
      <c r="BO145" s="359"/>
      <c r="BP145" s="5"/>
      <c r="BQ145" s="241"/>
      <c r="BR145" s="241"/>
      <c r="BS145" s="241"/>
      <c r="BT145" s="241"/>
      <c r="BU145" s="241"/>
      <c r="BV145" s="241"/>
      <c r="BW145" s="241"/>
      <c r="BX145" s="241"/>
      <c r="BY145" s="241"/>
      <c r="BZ145" s="124"/>
      <c r="CA145" s="995" t="s">
        <v>255</v>
      </c>
      <c r="CB145" s="995"/>
      <c r="CC145" s="995"/>
      <c r="CD145" s="995"/>
      <c r="CE145" s="995"/>
      <c r="CF145" s="995"/>
      <c r="CG145" s="995"/>
      <c r="CH145" s="995"/>
      <c r="CI145" s="995"/>
      <c r="CJ145" s="995"/>
      <c r="CK145" s="56"/>
      <c r="CL145" s="1010">
        <f>IF(OR(CharacterLevel="",Start!BC116=""),"",Start!BC116)</f>
        <v>167</v>
      </c>
      <c r="CM145" s="1010"/>
      <c r="CN145" s="1010"/>
      <c r="CO145" s="1010"/>
      <c r="CP145" s="1010"/>
      <c r="CQ145" s="1010"/>
      <c r="CR145" s="1010"/>
      <c r="CS145" s="1010"/>
      <c r="CT145" s="1010"/>
      <c r="CU145" s="137"/>
      <c r="CV145" s="5"/>
      <c r="CY145" s="6">
        <f>CY143+1</f>
        <v>57</v>
      </c>
      <c r="CZ145" s="53"/>
      <c r="DA145" s="53"/>
      <c r="DB145" s="53"/>
    </row>
    <row r="146" spans="1:106" ht="12" customHeight="1" x14ac:dyDescent="0.2">
      <c r="A146" s="5"/>
      <c r="B146" s="1118"/>
      <c r="C146" s="1118"/>
      <c r="D146" s="1118"/>
      <c r="E146" s="1118"/>
      <c r="F146" s="1118"/>
      <c r="G146" s="1118"/>
      <c r="H146" s="1118"/>
      <c r="I146" s="1120"/>
      <c r="J146" s="1120"/>
      <c r="K146" s="1120"/>
      <c r="L146" s="1120"/>
      <c r="M146" s="1120"/>
      <c r="N146" s="1120"/>
      <c r="O146" s="1120"/>
      <c r="P146" s="1120"/>
      <c r="Q146" s="1120"/>
      <c r="R146" s="1120"/>
      <c r="S146" s="1120"/>
      <c r="T146" s="11"/>
      <c r="U146" s="992"/>
      <c r="V146" s="992"/>
      <c r="W146" s="992"/>
      <c r="X146" s="992"/>
      <c r="Y146" s="992"/>
      <c r="Z146" s="11"/>
      <c r="AA146" s="992"/>
      <c r="AB146" s="992"/>
      <c r="AC146" s="992"/>
      <c r="AD146" s="992"/>
      <c r="AE146" s="992"/>
      <c r="AF146" s="11"/>
      <c r="AG146" s="992"/>
      <c r="AH146" s="992"/>
      <c r="AI146" s="992"/>
      <c r="AJ146" s="992"/>
      <c r="AK146" s="992"/>
      <c r="AL146" s="9"/>
      <c r="AM146" s="992"/>
      <c r="AN146" s="992"/>
      <c r="AO146" s="992"/>
      <c r="AP146" s="992"/>
      <c r="AQ146" s="992"/>
      <c r="AR146" s="9"/>
      <c r="AS146" s="992"/>
      <c r="AT146" s="992"/>
      <c r="AU146" s="992"/>
      <c r="AV146" s="992"/>
      <c r="AW146" s="992"/>
      <c r="AX146" s="9"/>
      <c r="AY146" s="992"/>
      <c r="AZ146" s="992"/>
      <c r="BA146" s="992"/>
      <c r="BB146" s="992"/>
      <c r="BC146" s="992"/>
      <c r="BD146" s="5"/>
      <c r="BE146" s="1012" t="s">
        <v>399</v>
      </c>
      <c r="BF146" s="1012"/>
      <c r="BG146" s="1012"/>
      <c r="BH146" s="1012"/>
      <c r="BI146" s="1012"/>
      <c r="BJ146" s="1012"/>
      <c r="BK146" s="1012"/>
      <c r="BL146" s="1012"/>
      <c r="BM146" s="1012"/>
      <c r="BN146" s="1012"/>
      <c r="BO146" s="1012"/>
      <c r="BP146" s="1013" t="str">
        <f>IF(CharacterLevel="","",STR*5+1&amp;" - "&amp;STR*10&amp;" lbs")</f>
        <v>1 - 0 lbs</v>
      </c>
      <c r="BQ146" s="1013"/>
      <c r="BR146" s="1013"/>
      <c r="BS146" s="1013"/>
      <c r="BT146" s="1013"/>
      <c r="BU146" s="1013"/>
      <c r="BV146" s="1013"/>
      <c r="BW146" s="1013"/>
      <c r="BX146" s="1013"/>
      <c r="BY146" s="1013"/>
      <c r="BZ146" s="124"/>
      <c r="CA146" s="995"/>
      <c r="CB146" s="995"/>
      <c r="CC146" s="995"/>
      <c r="CD146" s="995"/>
      <c r="CE146" s="995"/>
      <c r="CF146" s="995"/>
      <c r="CG146" s="995"/>
      <c r="CH146" s="995"/>
      <c r="CI146" s="995"/>
      <c r="CJ146" s="995"/>
      <c r="CK146" s="56"/>
      <c r="CL146" s="1011"/>
      <c r="CM146" s="1011"/>
      <c r="CN146" s="1011"/>
      <c r="CO146" s="1011"/>
      <c r="CP146" s="1011"/>
      <c r="CQ146" s="1011"/>
      <c r="CR146" s="1011"/>
      <c r="CS146" s="1011"/>
      <c r="CT146" s="1011"/>
      <c r="CU146" s="138"/>
      <c r="CV146" s="5"/>
      <c r="CY146" s="53"/>
      <c r="CZ146" s="53"/>
      <c r="DA146" s="53"/>
      <c r="DB146" s="53"/>
    </row>
    <row r="147" spans="1:106" ht="12" customHeight="1" thickBot="1" x14ac:dyDescent="0.4">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1012"/>
      <c r="BF147" s="1012"/>
      <c r="BG147" s="1012"/>
      <c r="BH147" s="1012"/>
      <c r="BI147" s="1012"/>
      <c r="BJ147" s="1012"/>
      <c r="BK147" s="1012"/>
      <c r="BL147" s="1012"/>
      <c r="BM147" s="1012"/>
      <c r="BN147" s="1012"/>
      <c r="BO147" s="1012"/>
      <c r="BP147" s="1014"/>
      <c r="BQ147" s="1014"/>
      <c r="BR147" s="1014"/>
      <c r="BS147" s="1014"/>
      <c r="BT147" s="1014"/>
      <c r="BU147" s="1014"/>
      <c r="BV147" s="1014"/>
      <c r="BW147" s="1014"/>
      <c r="BX147" s="1014"/>
      <c r="BY147" s="1014"/>
      <c r="BZ147" s="124"/>
      <c r="CA147" s="261" t="s">
        <v>1050</v>
      </c>
      <c r="CB147" s="5"/>
      <c r="CC147" s="5"/>
      <c r="CD147" s="5"/>
      <c r="CE147" s="5"/>
      <c r="CF147" s="5"/>
      <c r="CG147" s="5"/>
      <c r="CH147" s="5"/>
      <c r="CI147" s="5"/>
      <c r="CJ147" s="5"/>
      <c r="CK147" s="5"/>
      <c r="CL147" s="139"/>
      <c r="CM147" s="139"/>
      <c r="CN147" s="139"/>
      <c r="CO147" s="139"/>
      <c r="CP147" s="139"/>
      <c r="CQ147" s="139"/>
      <c r="CR147" s="139"/>
      <c r="CS147" s="139"/>
      <c r="CT147" s="139"/>
      <c r="CU147" s="5"/>
      <c r="CV147" s="5"/>
      <c r="CY147" s="53"/>
      <c r="CZ147" s="53"/>
      <c r="DA147" s="53"/>
      <c r="DB147" s="53"/>
    </row>
    <row r="148" spans="1:106" ht="12" customHeight="1" x14ac:dyDescent="0.35">
      <c r="A148" s="5"/>
      <c r="B148" s="1027" t="s">
        <v>189</v>
      </c>
      <c r="C148" s="1028"/>
      <c r="D148" s="1028"/>
      <c r="E148" s="1028"/>
      <c r="F148" s="1028"/>
      <c r="G148" s="1028"/>
      <c r="H148" s="1028"/>
      <c r="I148" s="1028"/>
      <c r="J148" s="1028"/>
      <c r="K148" s="1028"/>
      <c r="L148" s="1028"/>
      <c r="M148" s="1028"/>
      <c r="N148" s="1028"/>
      <c r="O148" s="1028"/>
      <c r="P148" s="1028"/>
      <c r="Q148" s="1028"/>
      <c r="R148" s="1028"/>
      <c r="S148" s="1028"/>
      <c r="T148" s="1028"/>
      <c r="U148" s="1029"/>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261" t="s">
        <v>400</v>
      </c>
      <c r="BF148" s="11"/>
      <c r="BG148" s="11"/>
      <c r="BH148" s="11"/>
      <c r="BI148" s="11"/>
      <c r="BJ148" s="11"/>
      <c r="BK148" s="11"/>
      <c r="BL148" s="11"/>
      <c r="BM148" s="11"/>
      <c r="BN148" s="11"/>
      <c r="BO148" s="11"/>
      <c r="BP148" s="140"/>
      <c r="BQ148" s="140"/>
      <c r="BR148" s="140"/>
      <c r="BS148" s="140"/>
      <c r="BT148" s="140"/>
      <c r="BU148" s="140"/>
      <c r="BV148" s="140"/>
      <c r="BW148" s="140"/>
      <c r="BX148" s="140"/>
      <c r="BY148" s="140"/>
      <c r="BZ148" s="124"/>
      <c r="CA148" s="261"/>
      <c r="CB148" s="5"/>
      <c r="CC148" s="5"/>
      <c r="CD148" s="5"/>
      <c r="CE148" s="5"/>
      <c r="CF148" s="5"/>
      <c r="CG148" s="5"/>
      <c r="CH148" s="5"/>
      <c r="CI148" s="5"/>
      <c r="CJ148" s="5"/>
      <c r="CK148" s="5"/>
      <c r="CL148" s="139"/>
      <c r="CM148" s="139"/>
      <c r="CN148" s="139"/>
      <c r="CO148" s="139"/>
      <c r="CP148" s="139"/>
      <c r="CQ148" s="139"/>
      <c r="CR148" s="139"/>
      <c r="CS148" s="139"/>
      <c r="CT148" s="139"/>
      <c r="CU148" s="5"/>
      <c r="CV148" s="5"/>
      <c r="CW148" s="53"/>
      <c r="CX148" s="53"/>
      <c r="CY148" s="53"/>
      <c r="CZ148" s="53"/>
      <c r="DA148" s="53"/>
      <c r="DB148" s="53"/>
    </row>
    <row r="149" spans="1:106" ht="12" customHeight="1" thickBot="1" x14ac:dyDescent="0.4">
      <c r="A149" s="5"/>
      <c r="B149" s="1030"/>
      <c r="C149" s="1031"/>
      <c r="D149" s="1031"/>
      <c r="E149" s="1031"/>
      <c r="F149" s="1031"/>
      <c r="G149" s="1031"/>
      <c r="H149" s="1031"/>
      <c r="I149" s="1031"/>
      <c r="J149" s="1031"/>
      <c r="K149" s="1031"/>
      <c r="L149" s="1031"/>
      <c r="M149" s="1031"/>
      <c r="N149" s="1031"/>
      <c r="O149" s="1031"/>
      <c r="P149" s="1031"/>
      <c r="Q149" s="1031"/>
      <c r="R149" s="1031"/>
      <c r="S149" s="1031"/>
      <c r="T149" s="1031"/>
      <c r="U149" s="1032"/>
      <c r="V149" s="994" t="s">
        <v>180</v>
      </c>
      <c r="W149" s="988"/>
      <c r="X149" s="988"/>
      <c r="Y149" s="988"/>
      <c r="Z149" s="988"/>
      <c r="AA149" s="988"/>
      <c r="AB149" s="988" t="s">
        <v>47</v>
      </c>
      <c r="AC149" s="988"/>
      <c r="AD149" s="988"/>
      <c r="AE149" s="988"/>
      <c r="AF149" s="988"/>
      <c r="AG149" s="988"/>
      <c r="AH149" s="988"/>
      <c r="AI149" s="988"/>
      <c r="AJ149" s="988"/>
      <c r="AK149" s="988"/>
      <c r="AL149" s="988"/>
      <c r="AM149" s="988"/>
      <c r="AN149" s="988"/>
      <c r="AO149" s="988"/>
      <c r="AP149" s="988"/>
      <c r="AQ149" s="988" t="s">
        <v>9</v>
      </c>
      <c r="AR149" s="988"/>
      <c r="AS149" s="988"/>
      <c r="AT149" s="988"/>
      <c r="AU149" s="988"/>
      <c r="AV149" s="988"/>
      <c r="AW149" s="988"/>
      <c r="AX149" s="988"/>
      <c r="AY149" s="988"/>
      <c r="AZ149" s="988"/>
      <c r="BA149" s="988"/>
      <c r="BB149" s="988"/>
      <c r="BC149" s="989"/>
      <c r="BD149" s="5"/>
      <c r="BE149" s="261"/>
      <c r="BF149" s="11"/>
      <c r="BG149" s="11"/>
      <c r="BH149" s="11"/>
      <c r="BI149" s="11"/>
      <c r="BJ149" s="11"/>
      <c r="BK149" s="11"/>
      <c r="BL149" s="11"/>
      <c r="BM149" s="11"/>
      <c r="BN149" s="11"/>
      <c r="BO149" s="11"/>
      <c r="BP149" s="140"/>
      <c r="BQ149" s="140"/>
      <c r="BR149" s="140"/>
      <c r="BS149" s="140"/>
      <c r="BT149" s="140"/>
      <c r="BU149" s="140"/>
      <c r="BV149" s="140"/>
      <c r="BW149" s="140"/>
      <c r="BX149" s="140"/>
      <c r="BY149" s="140"/>
      <c r="BZ149" s="124"/>
      <c r="CA149" s="1012" t="s">
        <v>256</v>
      </c>
      <c r="CB149" s="1012"/>
      <c r="CC149" s="1012"/>
      <c r="CD149" s="1012"/>
      <c r="CE149" s="1012"/>
      <c r="CF149" s="1012"/>
      <c r="CG149" s="1012"/>
      <c r="CH149" s="1012"/>
      <c r="CI149" s="1012"/>
      <c r="CJ149" s="1012"/>
      <c r="CK149" s="56"/>
      <c r="CL149" s="1010">
        <f>IF(OR(CharacterLevel="",Start!BC117=""),"",Start!BC117)</f>
        <v>34</v>
      </c>
      <c r="CM149" s="1010"/>
      <c r="CN149" s="1010"/>
      <c r="CO149" s="1010"/>
      <c r="CP149" s="1010"/>
      <c r="CQ149" s="1010"/>
      <c r="CR149" s="1010"/>
      <c r="CS149" s="1010"/>
      <c r="CT149" s="1010"/>
      <c r="CU149" s="137"/>
      <c r="CV149" s="5"/>
      <c r="CW149" s="53"/>
      <c r="CX149" s="53"/>
      <c r="CY149" s="53"/>
      <c r="CZ149" s="53"/>
      <c r="DA149" s="53"/>
      <c r="DB149" s="53"/>
    </row>
    <row r="150" spans="1:106" ht="12" customHeight="1" thickBot="1" x14ac:dyDescent="0.4">
      <c r="A150" s="5"/>
      <c r="B150" s="1018" t="str">
        <f>IF(CharacterLevel="","",Attack6name)</f>
        <v/>
      </c>
      <c r="C150" s="1019"/>
      <c r="D150" s="1019"/>
      <c r="E150" s="1019"/>
      <c r="F150" s="1019"/>
      <c r="G150" s="1019"/>
      <c r="H150" s="1019"/>
      <c r="I150" s="1019"/>
      <c r="J150" s="1019"/>
      <c r="K150" s="1019"/>
      <c r="L150" s="1019"/>
      <c r="M150" s="1019"/>
      <c r="N150" s="1019"/>
      <c r="O150" s="1019"/>
      <c r="P150" s="1019"/>
      <c r="Q150" s="1019"/>
      <c r="R150" s="1019"/>
      <c r="S150" s="1019"/>
      <c r="T150" s="1019"/>
      <c r="U150" s="1020"/>
      <c r="V150" s="986" t="str">
        <f ca="1">IF(CharacterLevel="","",Attack6bonus)</f>
        <v/>
      </c>
      <c r="W150" s="987"/>
      <c r="X150" s="987"/>
      <c r="Y150" s="987"/>
      <c r="Z150" s="987"/>
      <c r="AA150" s="987"/>
      <c r="AB150" s="990" t="str">
        <f>IF(CharacterLevel="","",Attack6damage)</f>
        <v/>
      </c>
      <c r="AC150" s="990"/>
      <c r="AD150" s="990"/>
      <c r="AE150" s="990"/>
      <c r="AF150" s="990"/>
      <c r="AG150" s="990"/>
      <c r="AH150" s="990"/>
      <c r="AI150" s="990"/>
      <c r="AJ150" s="990"/>
      <c r="AK150" s="990"/>
      <c r="AL150" s="990"/>
      <c r="AM150" s="990"/>
      <c r="AN150" s="990"/>
      <c r="AO150" s="990"/>
      <c r="AP150" s="990"/>
      <c r="AQ150" s="990" t="str">
        <f>IF(CharacterLevel="","",Attack6type)</f>
        <v/>
      </c>
      <c r="AR150" s="990"/>
      <c r="AS150" s="990"/>
      <c r="AT150" s="990"/>
      <c r="AU150" s="990"/>
      <c r="AV150" s="990"/>
      <c r="AW150" s="990"/>
      <c r="AX150" s="990"/>
      <c r="AY150" s="990"/>
      <c r="AZ150" s="990"/>
      <c r="BA150" s="990"/>
      <c r="BB150" s="990"/>
      <c r="BC150" s="990"/>
      <c r="BD150" s="5"/>
      <c r="BE150" s="5"/>
      <c r="BF150" s="240"/>
      <c r="BG150" s="240"/>
      <c r="BH150" s="240"/>
      <c r="BI150" s="240"/>
      <c r="BJ150" s="240"/>
      <c r="BK150" s="240"/>
      <c r="BL150" s="240"/>
      <c r="BM150" s="240"/>
      <c r="BN150" s="240"/>
      <c r="BO150" s="240"/>
      <c r="BP150" s="5"/>
      <c r="BQ150" s="242"/>
      <c r="BR150" s="242"/>
      <c r="BS150" s="242"/>
      <c r="BT150" s="242"/>
      <c r="BU150" s="242"/>
      <c r="BV150" s="242"/>
      <c r="BW150" s="242"/>
      <c r="BX150" s="242"/>
      <c r="BY150" s="242"/>
      <c r="BZ150" s="124"/>
      <c r="CA150" s="1012"/>
      <c r="CB150" s="1012"/>
      <c r="CC150" s="1012"/>
      <c r="CD150" s="1012"/>
      <c r="CE150" s="1012"/>
      <c r="CF150" s="1012"/>
      <c r="CG150" s="1012"/>
      <c r="CH150" s="1012"/>
      <c r="CI150" s="1012"/>
      <c r="CJ150" s="1012"/>
      <c r="CK150" s="56"/>
      <c r="CL150" s="1011"/>
      <c r="CM150" s="1011"/>
      <c r="CN150" s="1011"/>
      <c r="CO150" s="1011"/>
      <c r="CP150" s="1011"/>
      <c r="CQ150" s="1011"/>
      <c r="CR150" s="1011"/>
      <c r="CS150" s="1011"/>
      <c r="CT150" s="1011"/>
      <c r="CU150" s="138"/>
      <c r="CV150" s="5"/>
      <c r="CW150" s="53"/>
      <c r="CX150" s="53"/>
      <c r="CY150" s="53"/>
      <c r="CZ150" s="53"/>
      <c r="DA150" s="53"/>
      <c r="DB150" s="53"/>
    </row>
    <row r="151" spans="1:106" ht="12" customHeight="1" thickBot="1" x14ac:dyDescent="0.4">
      <c r="A151" s="5"/>
      <c r="B151" s="1021"/>
      <c r="C151" s="1022"/>
      <c r="D151" s="1022"/>
      <c r="E151" s="1022"/>
      <c r="F151" s="1022"/>
      <c r="G151" s="1022"/>
      <c r="H151" s="1022"/>
      <c r="I151" s="1022"/>
      <c r="J151" s="1022"/>
      <c r="K151" s="1022"/>
      <c r="L151" s="1022"/>
      <c r="M151" s="1022"/>
      <c r="N151" s="1022"/>
      <c r="O151" s="1022"/>
      <c r="P151" s="1022"/>
      <c r="Q151" s="1022"/>
      <c r="R151" s="1022"/>
      <c r="S151" s="1022"/>
      <c r="T151" s="1022"/>
      <c r="U151" s="1023"/>
      <c r="V151" s="986"/>
      <c r="W151" s="987"/>
      <c r="X151" s="987"/>
      <c r="Y151" s="987"/>
      <c r="Z151" s="987"/>
      <c r="AA151" s="987"/>
      <c r="AB151" s="990"/>
      <c r="AC151" s="990"/>
      <c r="AD151" s="990"/>
      <c r="AE151" s="990"/>
      <c r="AF151" s="990"/>
      <c r="AG151" s="990"/>
      <c r="AH151" s="990"/>
      <c r="AI151" s="990"/>
      <c r="AJ151" s="990"/>
      <c r="AK151" s="990"/>
      <c r="AL151" s="990"/>
      <c r="AM151" s="990"/>
      <c r="AN151" s="990"/>
      <c r="AO151" s="990"/>
      <c r="AP151" s="990"/>
      <c r="AQ151" s="990"/>
      <c r="AR151" s="990"/>
      <c r="AS151" s="990"/>
      <c r="AT151" s="990"/>
      <c r="AU151" s="990"/>
      <c r="AV151" s="990"/>
      <c r="AW151" s="990"/>
      <c r="AX151" s="990"/>
      <c r="AY151" s="990"/>
      <c r="AZ151" s="990"/>
      <c r="BA151" s="990"/>
      <c r="BB151" s="990"/>
      <c r="BC151" s="990"/>
      <c r="BD151" s="5"/>
      <c r="BE151" s="1012" t="s">
        <v>399</v>
      </c>
      <c r="BF151" s="1012"/>
      <c r="BG151" s="1012"/>
      <c r="BH151" s="1012"/>
      <c r="BI151" s="1012"/>
      <c r="BJ151" s="1012"/>
      <c r="BK151" s="1012"/>
      <c r="BL151" s="1012"/>
      <c r="BM151" s="1012"/>
      <c r="BN151" s="1012"/>
      <c r="BO151" s="1012"/>
      <c r="BP151" s="1016" t="str">
        <f>IF(CharacterLevel="","",STR*10+1&amp;" - "&amp;STR*15&amp;" lbs")</f>
        <v>1 - 0 lbs</v>
      </c>
      <c r="BQ151" s="1016"/>
      <c r="BR151" s="1016"/>
      <c r="BS151" s="1016"/>
      <c r="BT151" s="1016"/>
      <c r="BU151" s="1016"/>
      <c r="BV151" s="1016"/>
      <c r="BW151" s="1016"/>
      <c r="BX151" s="1016"/>
      <c r="BY151" s="1016"/>
      <c r="BZ151" s="124"/>
      <c r="CA151" s="261" t="s">
        <v>1051</v>
      </c>
      <c r="CB151" s="5"/>
      <c r="CC151" s="5"/>
      <c r="CD151" s="5"/>
      <c r="CE151" s="5"/>
      <c r="CF151" s="5"/>
      <c r="CG151" s="5"/>
      <c r="CH151" s="5"/>
      <c r="CI151" s="5"/>
      <c r="CJ151" s="5"/>
      <c r="CK151" s="5"/>
      <c r="CL151" s="139"/>
      <c r="CM151" s="139"/>
      <c r="CN151" s="139"/>
      <c r="CO151" s="139"/>
      <c r="CP151" s="139"/>
      <c r="CQ151" s="139"/>
      <c r="CR151" s="139"/>
      <c r="CS151" s="139"/>
      <c r="CT151" s="139"/>
      <c r="CU151" s="5"/>
      <c r="CV151" s="5"/>
    </row>
    <row r="152" spans="1:106" ht="12" customHeight="1" thickBot="1" x14ac:dyDescent="0.4">
      <c r="A152" s="5"/>
      <c r="B152" s="1024"/>
      <c r="C152" s="1025"/>
      <c r="D152" s="1025"/>
      <c r="E152" s="1025"/>
      <c r="F152" s="1025"/>
      <c r="G152" s="1025"/>
      <c r="H152" s="1025"/>
      <c r="I152" s="1025"/>
      <c r="J152" s="1025"/>
      <c r="K152" s="1025"/>
      <c r="L152" s="1025"/>
      <c r="M152" s="1025"/>
      <c r="N152" s="1025"/>
      <c r="O152" s="1025"/>
      <c r="P152" s="1025"/>
      <c r="Q152" s="1025"/>
      <c r="R152" s="1025"/>
      <c r="S152" s="1025"/>
      <c r="T152" s="1025"/>
      <c r="U152" s="1026"/>
      <c r="V152" s="986"/>
      <c r="W152" s="987"/>
      <c r="X152" s="987"/>
      <c r="Y152" s="987"/>
      <c r="Z152" s="987"/>
      <c r="AA152" s="987"/>
      <c r="AB152" s="991"/>
      <c r="AC152" s="991"/>
      <c r="AD152" s="991"/>
      <c r="AE152" s="991"/>
      <c r="AF152" s="991"/>
      <c r="AG152" s="991"/>
      <c r="AH152" s="991"/>
      <c r="AI152" s="991"/>
      <c r="AJ152" s="991"/>
      <c r="AK152" s="991"/>
      <c r="AL152" s="991"/>
      <c r="AM152" s="991"/>
      <c r="AN152" s="991"/>
      <c r="AO152" s="991"/>
      <c r="AP152" s="991"/>
      <c r="AQ152" s="991"/>
      <c r="AR152" s="991"/>
      <c r="AS152" s="991"/>
      <c r="AT152" s="991"/>
      <c r="AU152" s="991"/>
      <c r="AV152" s="991"/>
      <c r="AW152" s="991"/>
      <c r="AX152" s="991"/>
      <c r="AY152" s="991"/>
      <c r="AZ152" s="991"/>
      <c r="BA152" s="991"/>
      <c r="BB152" s="991"/>
      <c r="BC152" s="991"/>
      <c r="BD152" s="5"/>
      <c r="BE152" s="1012"/>
      <c r="BF152" s="1012"/>
      <c r="BG152" s="1012"/>
      <c r="BH152" s="1012"/>
      <c r="BI152" s="1012"/>
      <c r="BJ152" s="1012"/>
      <c r="BK152" s="1012"/>
      <c r="BL152" s="1012"/>
      <c r="BM152" s="1012"/>
      <c r="BN152" s="1012"/>
      <c r="BO152" s="1012"/>
      <c r="BP152" s="1017"/>
      <c r="BQ152" s="1017"/>
      <c r="BR152" s="1017"/>
      <c r="BS152" s="1017"/>
      <c r="BT152" s="1017"/>
      <c r="BU152" s="1017"/>
      <c r="BV152" s="1017"/>
      <c r="BW152" s="1017"/>
      <c r="BX152" s="1017"/>
      <c r="BY152" s="1017"/>
      <c r="BZ152" s="124"/>
      <c r="CA152" s="261"/>
      <c r="CB152" s="5"/>
      <c r="CC152" s="5"/>
      <c r="CD152" s="5"/>
      <c r="CE152" s="5"/>
      <c r="CF152" s="5"/>
      <c r="CG152" s="5"/>
      <c r="CH152" s="5"/>
      <c r="CI152" s="5"/>
      <c r="CJ152" s="5"/>
      <c r="CK152" s="5"/>
      <c r="CL152" s="139"/>
      <c r="CM152" s="139"/>
      <c r="CN152" s="139"/>
      <c r="CO152" s="139"/>
      <c r="CP152" s="139"/>
      <c r="CQ152" s="139"/>
      <c r="CR152" s="139"/>
      <c r="CS152" s="139"/>
      <c r="CT152" s="139"/>
      <c r="CU152" s="5"/>
      <c r="CV152" s="5"/>
    </row>
    <row r="153" spans="1:106" ht="12" customHeight="1" thickBot="1" x14ac:dyDescent="0.4">
      <c r="A153" s="5"/>
      <c r="B153" s="1033" t="s">
        <v>48</v>
      </c>
      <c r="C153" s="999"/>
      <c r="D153" s="999"/>
      <c r="E153" s="999"/>
      <c r="F153" s="999"/>
      <c r="G153" s="999"/>
      <c r="H153" s="999"/>
      <c r="I153" s="999"/>
      <c r="J153" s="999" t="s">
        <v>111</v>
      </c>
      <c r="K153" s="999"/>
      <c r="L153" s="999"/>
      <c r="M153" s="999"/>
      <c r="N153" s="999"/>
      <c r="O153" s="999"/>
      <c r="P153" s="999"/>
      <c r="Q153" s="999"/>
      <c r="R153" s="999"/>
      <c r="S153" s="999"/>
      <c r="T153" s="999"/>
      <c r="U153" s="999"/>
      <c r="V153" s="999"/>
      <c r="W153" s="999"/>
      <c r="X153" s="999"/>
      <c r="Y153" s="999"/>
      <c r="Z153" s="999"/>
      <c r="AA153" s="999"/>
      <c r="AB153" s="999"/>
      <c r="AC153" s="999"/>
      <c r="AD153" s="999"/>
      <c r="AE153" s="999"/>
      <c r="AF153" s="999"/>
      <c r="AG153" s="999"/>
      <c r="AH153" s="999"/>
      <c r="AI153" s="999"/>
      <c r="AJ153" s="999"/>
      <c r="AK153" s="999"/>
      <c r="AL153" s="999"/>
      <c r="AM153" s="999"/>
      <c r="AN153" s="999"/>
      <c r="AO153" s="999"/>
      <c r="AP153" s="999"/>
      <c r="AQ153" s="999"/>
      <c r="AR153" s="999"/>
      <c r="AS153" s="999"/>
      <c r="AT153" s="999"/>
      <c r="AU153" s="999"/>
      <c r="AV153" s="999"/>
      <c r="AW153" s="999"/>
      <c r="AX153" s="999"/>
      <c r="AY153" s="999"/>
      <c r="AZ153" s="999"/>
      <c r="BA153" s="999"/>
      <c r="BB153" s="999"/>
      <c r="BC153" s="1000"/>
      <c r="BD153" s="5"/>
      <c r="BE153" s="261" t="s">
        <v>844</v>
      </c>
      <c r="BF153" s="11"/>
      <c r="BG153" s="11"/>
      <c r="BH153" s="11"/>
      <c r="BI153" s="11"/>
      <c r="BJ153" s="11"/>
      <c r="BK153" s="11"/>
      <c r="BL153" s="11"/>
      <c r="BM153" s="11"/>
      <c r="BN153" s="11"/>
      <c r="BO153" s="11"/>
      <c r="BP153" s="140"/>
      <c r="BQ153" s="140"/>
      <c r="BR153" s="140"/>
      <c r="BS153" s="140"/>
      <c r="BT153" s="140"/>
      <c r="BU153" s="140"/>
      <c r="BV153" s="140"/>
      <c r="BW153" s="140"/>
      <c r="BX153" s="140"/>
      <c r="BY153" s="140"/>
      <c r="BZ153" s="124"/>
      <c r="CA153" s="995" t="s">
        <v>257</v>
      </c>
      <c r="CB153" s="995"/>
      <c r="CC153" s="995"/>
      <c r="CD153" s="995"/>
      <c r="CE153" s="995"/>
      <c r="CF153" s="995"/>
      <c r="CG153" s="995"/>
      <c r="CH153" s="995"/>
      <c r="CI153" s="995"/>
      <c r="CJ153" s="995"/>
      <c r="CK153" s="56"/>
      <c r="CL153" s="1010">
        <f>IF(OR(CharacterLevel="",Start!BC118=""),"",Start!BC118)</f>
        <v>183</v>
      </c>
      <c r="CM153" s="1010"/>
      <c r="CN153" s="1010"/>
      <c r="CO153" s="1010"/>
      <c r="CP153" s="1010"/>
      <c r="CQ153" s="1010"/>
      <c r="CR153" s="1010"/>
      <c r="CS153" s="1010"/>
      <c r="CT153" s="1010"/>
      <c r="CU153" s="137"/>
      <c r="CV153" s="5"/>
    </row>
    <row r="154" spans="1:106" ht="12" customHeight="1" thickBot="1" x14ac:dyDescent="0.4">
      <c r="A154" s="5"/>
      <c r="B154" s="990" t="str">
        <f>IF(CharacterLevel="","",Attack6range)</f>
        <v/>
      </c>
      <c r="C154" s="990"/>
      <c r="D154" s="990"/>
      <c r="E154" s="990"/>
      <c r="F154" s="990"/>
      <c r="G154" s="990"/>
      <c r="H154" s="990"/>
      <c r="I154" s="990"/>
      <c r="J154" s="1001" t="str">
        <f>IF(CharacterLevel="","",Attack6props)</f>
        <v/>
      </c>
      <c r="K154" s="1002"/>
      <c r="L154" s="1002"/>
      <c r="M154" s="1002"/>
      <c r="N154" s="1002"/>
      <c r="O154" s="1002"/>
      <c r="P154" s="1002"/>
      <c r="Q154" s="1002"/>
      <c r="R154" s="1002"/>
      <c r="S154" s="1002"/>
      <c r="T154" s="1002"/>
      <c r="U154" s="1002"/>
      <c r="V154" s="1002"/>
      <c r="W154" s="1002"/>
      <c r="X154" s="1002"/>
      <c r="Y154" s="1002"/>
      <c r="Z154" s="1002"/>
      <c r="AA154" s="1002"/>
      <c r="AB154" s="1002"/>
      <c r="AC154" s="1002"/>
      <c r="AD154" s="1002"/>
      <c r="AE154" s="1002"/>
      <c r="AF154" s="1002"/>
      <c r="AG154" s="1002"/>
      <c r="AH154" s="1002"/>
      <c r="AI154" s="1002"/>
      <c r="AJ154" s="1002"/>
      <c r="AK154" s="1002"/>
      <c r="AL154" s="1002"/>
      <c r="AM154" s="1002"/>
      <c r="AN154" s="1002"/>
      <c r="AO154" s="1002"/>
      <c r="AP154" s="1002"/>
      <c r="AQ154" s="1002"/>
      <c r="AR154" s="1002"/>
      <c r="AS154" s="1002"/>
      <c r="AT154" s="1002"/>
      <c r="AU154" s="1002"/>
      <c r="AV154" s="1002"/>
      <c r="AW154" s="1002"/>
      <c r="AX154" s="1002"/>
      <c r="AY154" s="1002"/>
      <c r="AZ154" s="1002"/>
      <c r="BA154" s="1002"/>
      <c r="BB154" s="1002"/>
      <c r="BC154" s="1003"/>
      <c r="BD154" s="5"/>
      <c r="BE154" s="261" t="s">
        <v>845</v>
      </c>
      <c r="BF154" s="141"/>
      <c r="BG154" s="141"/>
      <c r="BH154" s="141"/>
      <c r="BI154" s="141"/>
      <c r="BJ154" s="141"/>
      <c r="BK154" s="5"/>
      <c r="BL154" s="141"/>
      <c r="BM154" s="141"/>
      <c r="BN154" s="141"/>
      <c r="BO154" s="141"/>
      <c r="BP154" s="5"/>
      <c r="BQ154" s="241"/>
      <c r="BR154" s="241"/>
      <c r="BS154" s="241"/>
      <c r="BT154" s="241"/>
      <c r="BU154" s="241"/>
      <c r="BV154" s="241"/>
      <c r="BW154" s="241"/>
      <c r="BX154" s="241"/>
      <c r="BY154" s="241"/>
      <c r="BZ154" s="124"/>
      <c r="CA154" s="995"/>
      <c r="CB154" s="995"/>
      <c r="CC154" s="995"/>
      <c r="CD154" s="995"/>
      <c r="CE154" s="995"/>
      <c r="CF154" s="995"/>
      <c r="CG154" s="995"/>
      <c r="CH154" s="995"/>
      <c r="CI154" s="995"/>
      <c r="CJ154" s="995"/>
      <c r="CK154" s="56"/>
      <c r="CL154" s="1011"/>
      <c r="CM154" s="1011"/>
      <c r="CN154" s="1011"/>
      <c r="CO154" s="1011"/>
      <c r="CP154" s="1011"/>
      <c r="CQ154" s="1011"/>
      <c r="CR154" s="1011"/>
      <c r="CS154" s="1011"/>
      <c r="CT154" s="1011"/>
      <c r="CU154" s="138"/>
      <c r="CV154" s="5"/>
    </row>
    <row r="155" spans="1:106" ht="12" customHeight="1" thickBot="1" x14ac:dyDescent="0.4">
      <c r="A155" s="5"/>
      <c r="B155" s="990"/>
      <c r="C155" s="990"/>
      <c r="D155" s="990"/>
      <c r="E155" s="990"/>
      <c r="F155" s="990"/>
      <c r="G155" s="990"/>
      <c r="H155" s="990"/>
      <c r="I155" s="990"/>
      <c r="J155" s="1004"/>
      <c r="K155" s="1005"/>
      <c r="L155" s="1005"/>
      <c r="M155" s="1005"/>
      <c r="N155" s="1005"/>
      <c r="O155" s="1005"/>
      <c r="P155" s="1005"/>
      <c r="Q155" s="1005"/>
      <c r="R155" s="1005"/>
      <c r="S155" s="1005"/>
      <c r="T155" s="1005"/>
      <c r="U155" s="1005"/>
      <c r="V155" s="1005"/>
      <c r="W155" s="1005"/>
      <c r="X155" s="1005"/>
      <c r="Y155" s="1005"/>
      <c r="Z155" s="1005"/>
      <c r="AA155" s="1005"/>
      <c r="AB155" s="1005"/>
      <c r="AC155" s="1005"/>
      <c r="AD155" s="1005"/>
      <c r="AE155" s="1005"/>
      <c r="AF155" s="1005"/>
      <c r="AG155" s="1005"/>
      <c r="AH155" s="1005"/>
      <c r="AI155" s="1005"/>
      <c r="AJ155" s="1005"/>
      <c r="AK155" s="1005"/>
      <c r="AL155" s="1005"/>
      <c r="AM155" s="1005"/>
      <c r="AN155" s="1005"/>
      <c r="AO155" s="1005"/>
      <c r="AP155" s="1005"/>
      <c r="AQ155" s="1005"/>
      <c r="AR155" s="1005"/>
      <c r="AS155" s="1005"/>
      <c r="AT155" s="1005"/>
      <c r="AU155" s="1005"/>
      <c r="AV155" s="1005"/>
      <c r="AW155" s="1005"/>
      <c r="AX155" s="1005"/>
      <c r="AY155" s="1005"/>
      <c r="AZ155" s="1005"/>
      <c r="BA155" s="1005"/>
      <c r="BB155" s="1005"/>
      <c r="BC155" s="1006"/>
      <c r="BD155" s="5"/>
      <c r="BE155" s="261"/>
      <c r="BF155" s="141"/>
      <c r="BG155" s="141"/>
      <c r="BH155" s="141"/>
      <c r="BI155" s="141"/>
      <c r="BJ155" s="141"/>
      <c r="BK155" s="5"/>
      <c r="BL155" s="141"/>
      <c r="BM155" s="141"/>
      <c r="BN155" s="141"/>
      <c r="BO155" s="141"/>
      <c r="BP155" s="5"/>
      <c r="BQ155" s="241"/>
      <c r="BR155" s="241"/>
      <c r="BS155" s="241"/>
      <c r="BT155" s="241"/>
      <c r="BU155" s="241"/>
      <c r="BV155" s="241"/>
      <c r="BW155" s="241"/>
      <c r="BX155" s="241"/>
      <c r="BY155" s="241"/>
      <c r="BZ155" s="124"/>
      <c r="CA155" s="261" t="s">
        <v>321</v>
      </c>
      <c r="CB155" s="5"/>
      <c r="CC155" s="5"/>
      <c r="CD155" s="5"/>
      <c r="CE155" s="5"/>
      <c r="CF155" s="5"/>
      <c r="CG155" s="5"/>
      <c r="CH155" s="5"/>
      <c r="CI155" s="5"/>
      <c r="CJ155" s="5"/>
      <c r="CK155" s="5"/>
      <c r="CL155" s="139"/>
      <c r="CM155" s="139"/>
      <c r="CN155" s="139"/>
      <c r="CO155" s="139"/>
      <c r="CP155" s="139"/>
      <c r="CQ155" s="139"/>
      <c r="CR155" s="139"/>
      <c r="CS155" s="139"/>
      <c r="CT155" s="139"/>
      <c r="CU155" s="5"/>
      <c r="CV155" s="5"/>
    </row>
    <row r="156" spans="1:106" ht="12" customHeight="1" thickBot="1" x14ac:dyDescent="0.4">
      <c r="A156" s="5"/>
      <c r="B156" s="990"/>
      <c r="C156" s="990"/>
      <c r="D156" s="990"/>
      <c r="E156" s="990"/>
      <c r="F156" s="990"/>
      <c r="G156" s="990"/>
      <c r="H156" s="990"/>
      <c r="I156" s="990"/>
      <c r="J156" s="1007"/>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1008"/>
      <c r="AR156" s="1008"/>
      <c r="AS156" s="1008"/>
      <c r="AT156" s="1008"/>
      <c r="AU156" s="1008"/>
      <c r="AV156" s="1008"/>
      <c r="AW156" s="1008"/>
      <c r="AX156" s="1008"/>
      <c r="AY156" s="1008"/>
      <c r="AZ156" s="1008"/>
      <c r="BA156" s="1008"/>
      <c r="BB156" s="1008"/>
      <c r="BC156" s="1009"/>
      <c r="BD156" s="5"/>
      <c r="BE156" s="1015" t="s">
        <v>398</v>
      </c>
      <c r="BF156" s="1015"/>
      <c r="BG156" s="1015"/>
      <c r="BH156" s="1015"/>
      <c r="BI156" s="1015"/>
      <c r="BJ156" s="1015"/>
      <c r="BK156" s="1015"/>
      <c r="BL156" s="1015"/>
      <c r="BM156" s="1015"/>
      <c r="BN156" s="1015"/>
      <c r="BO156" s="1015"/>
      <c r="BP156" s="1013" t="str">
        <f>IF(CharacterLevel="","","0 - "&amp;STR*30&amp;" lbs")</f>
        <v>0 - 0 lbs</v>
      </c>
      <c r="BQ156" s="1013"/>
      <c r="BR156" s="1013"/>
      <c r="BS156" s="1013"/>
      <c r="BT156" s="1013"/>
      <c r="BU156" s="1013"/>
      <c r="BV156" s="1013"/>
      <c r="BW156" s="1013"/>
      <c r="BX156" s="1013"/>
      <c r="BY156" s="1013"/>
      <c r="BZ156" s="124"/>
      <c r="CA156" s="261"/>
      <c r="CB156" s="5"/>
      <c r="CC156" s="5"/>
      <c r="CD156" s="5"/>
      <c r="CE156" s="5"/>
      <c r="CF156" s="5"/>
      <c r="CG156" s="5"/>
      <c r="CH156" s="5"/>
      <c r="CI156" s="5"/>
      <c r="CJ156" s="5"/>
      <c r="CK156" s="5"/>
      <c r="CL156" s="139"/>
      <c r="CM156" s="139"/>
      <c r="CN156" s="139"/>
      <c r="CO156" s="139"/>
      <c r="CP156" s="139"/>
      <c r="CQ156" s="139"/>
      <c r="CR156" s="139"/>
      <c r="CS156" s="139"/>
      <c r="CT156" s="139"/>
      <c r="CU156" s="5"/>
      <c r="CV156" s="5"/>
    </row>
    <row r="157" spans="1:106" ht="12" customHeight="1" x14ac:dyDescent="0.2">
      <c r="A157" s="5"/>
      <c r="B157" s="1117" t="s">
        <v>49</v>
      </c>
      <c r="C157" s="1117"/>
      <c r="D157" s="1117"/>
      <c r="E157" s="1117"/>
      <c r="F157" s="1117"/>
      <c r="G157" s="1117"/>
      <c r="H157" s="1117"/>
      <c r="I157" s="1119" t="str">
        <f>IF(CharacterLevel="","",Start!CJ$139)</f>
        <v/>
      </c>
      <c r="J157" s="1119"/>
      <c r="K157" s="1119"/>
      <c r="L157" s="1119"/>
      <c r="M157" s="1119"/>
      <c r="N157" s="1119"/>
      <c r="O157" s="1119"/>
      <c r="P157" s="1119"/>
      <c r="Q157" s="1119"/>
      <c r="R157" s="1119"/>
      <c r="S157" s="1119"/>
      <c r="T157" s="11"/>
      <c r="U157" s="993" t="s">
        <v>50</v>
      </c>
      <c r="V157" s="992" t="s">
        <v>50</v>
      </c>
      <c r="W157" s="992" t="s">
        <v>50</v>
      </c>
      <c r="X157" s="992" t="s">
        <v>50</v>
      </c>
      <c r="Y157" s="992" t="s">
        <v>50</v>
      </c>
      <c r="Z157" s="11"/>
      <c r="AA157" s="993" t="s">
        <v>50</v>
      </c>
      <c r="AB157" s="992" t="s">
        <v>50</v>
      </c>
      <c r="AC157" s="992" t="s">
        <v>50</v>
      </c>
      <c r="AD157" s="992" t="s">
        <v>50</v>
      </c>
      <c r="AE157" s="992" t="s">
        <v>50</v>
      </c>
      <c r="AF157" s="11"/>
      <c r="AG157" s="992" t="s">
        <v>50</v>
      </c>
      <c r="AH157" s="992" t="s">
        <v>50</v>
      </c>
      <c r="AI157" s="992" t="s">
        <v>50</v>
      </c>
      <c r="AJ157" s="992" t="s">
        <v>50</v>
      </c>
      <c r="AK157" s="992" t="s">
        <v>50</v>
      </c>
      <c r="AL157" s="9"/>
      <c r="AM157" s="992" t="s">
        <v>50</v>
      </c>
      <c r="AN157" s="992" t="s">
        <v>50</v>
      </c>
      <c r="AO157" s="992" t="s">
        <v>50</v>
      </c>
      <c r="AP157" s="992" t="s">
        <v>50</v>
      </c>
      <c r="AQ157" s="992" t="s">
        <v>50</v>
      </c>
      <c r="AR157" s="9"/>
      <c r="AS157" s="992" t="s">
        <v>50</v>
      </c>
      <c r="AT157" s="992" t="s">
        <v>50</v>
      </c>
      <c r="AU157" s="992" t="s">
        <v>50</v>
      </c>
      <c r="AV157" s="992" t="s">
        <v>50</v>
      </c>
      <c r="AW157" s="992" t="s">
        <v>50</v>
      </c>
      <c r="AX157" s="9"/>
      <c r="AY157" s="992" t="s">
        <v>50</v>
      </c>
      <c r="AZ157" s="992" t="s">
        <v>50</v>
      </c>
      <c r="BA157" s="992" t="s">
        <v>50</v>
      </c>
      <c r="BB157" s="992" t="s">
        <v>50</v>
      </c>
      <c r="BC157" s="992" t="s">
        <v>50</v>
      </c>
      <c r="BD157" s="5"/>
      <c r="BE157" s="1015"/>
      <c r="BF157" s="1015"/>
      <c r="BG157" s="1015"/>
      <c r="BH157" s="1015"/>
      <c r="BI157" s="1015"/>
      <c r="BJ157" s="1015"/>
      <c r="BK157" s="1015"/>
      <c r="BL157" s="1015"/>
      <c r="BM157" s="1015"/>
      <c r="BN157" s="1015"/>
      <c r="BO157" s="1015"/>
      <c r="BP157" s="1014"/>
      <c r="BQ157" s="1014"/>
      <c r="BR157" s="1014"/>
      <c r="BS157" s="1014"/>
      <c r="BT157" s="1014"/>
      <c r="BU157" s="1014"/>
      <c r="BV157" s="1014"/>
      <c r="BW157" s="1014"/>
      <c r="BX157" s="1014"/>
      <c r="BY157" s="1014"/>
      <c r="BZ157" s="124"/>
      <c r="CA157" s="995" t="s">
        <v>258</v>
      </c>
      <c r="CB157" s="995"/>
      <c r="CC157" s="995"/>
      <c r="CD157" s="995"/>
      <c r="CE157" s="995"/>
      <c r="CF157" s="995"/>
      <c r="CG157" s="995"/>
      <c r="CH157" s="995"/>
      <c r="CI157" s="995"/>
      <c r="CJ157" s="995"/>
      <c r="CK157" s="56"/>
      <c r="CL157" s="1010">
        <f>IF(OR(CharacterLevel="",Start!BC119=""),"",Start!BC119)</f>
        <v>145</v>
      </c>
      <c r="CM157" s="1010"/>
      <c r="CN157" s="1010"/>
      <c r="CO157" s="1010"/>
      <c r="CP157" s="1010"/>
      <c r="CQ157" s="1010"/>
      <c r="CR157" s="1010"/>
      <c r="CS157" s="1010"/>
      <c r="CT157" s="1010"/>
      <c r="CU157" s="137"/>
      <c r="CV157" s="5"/>
    </row>
    <row r="158" spans="1:106" ht="12" customHeight="1" x14ac:dyDescent="0.2">
      <c r="A158" s="5"/>
      <c r="B158" s="1118"/>
      <c r="C158" s="1118"/>
      <c r="D158" s="1118"/>
      <c r="E158" s="1118"/>
      <c r="F158" s="1118"/>
      <c r="G158" s="1118"/>
      <c r="H158" s="1118"/>
      <c r="I158" s="1120"/>
      <c r="J158" s="1120"/>
      <c r="K158" s="1120"/>
      <c r="L158" s="1120"/>
      <c r="M158" s="1120"/>
      <c r="N158" s="1120"/>
      <c r="O158" s="1120"/>
      <c r="P158" s="1120"/>
      <c r="Q158" s="1120"/>
      <c r="R158" s="1120"/>
      <c r="S158" s="1120"/>
      <c r="T158" s="11"/>
      <c r="U158" s="992"/>
      <c r="V158" s="992"/>
      <c r="W158" s="992"/>
      <c r="X158" s="992"/>
      <c r="Y158" s="992"/>
      <c r="Z158" s="11"/>
      <c r="AA158" s="992"/>
      <c r="AB158" s="992"/>
      <c r="AC158" s="992"/>
      <c r="AD158" s="992"/>
      <c r="AE158" s="992"/>
      <c r="AF158" s="11"/>
      <c r="AG158" s="992"/>
      <c r="AH158" s="992"/>
      <c r="AI158" s="992"/>
      <c r="AJ158" s="992"/>
      <c r="AK158" s="992"/>
      <c r="AL158" s="9"/>
      <c r="AM158" s="992"/>
      <c r="AN158" s="992"/>
      <c r="AO158" s="992"/>
      <c r="AP158" s="992"/>
      <c r="AQ158" s="992"/>
      <c r="AR158" s="9"/>
      <c r="AS158" s="992"/>
      <c r="AT158" s="992"/>
      <c r="AU158" s="992"/>
      <c r="AV158" s="992"/>
      <c r="AW158" s="992"/>
      <c r="AX158" s="9"/>
      <c r="AY158" s="992"/>
      <c r="AZ158" s="992"/>
      <c r="BA158" s="992"/>
      <c r="BB158" s="992"/>
      <c r="BC158" s="992"/>
      <c r="BD158" s="5"/>
      <c r="BE158" s="261" t="str">
        <f>IF(CharacterLevel="","IF PUSHING OR DRAGGING ABOVE 15 x STR LBS, SPEED DROPS TO 5 FEET","IF PUSHING OR DRAGGING ABOVE "&amp;STR*15&amp;" LBS, SPEED DROPS TO 5 FEET")</f>
        <v>IF PUSHING OR DRAGGING ABOVE 0 LBS, SPEED DROPS TO 5 FEET</v>
      </c>
      <c r="BF158" s="141"/>
      <c r="BG158" s="141"/>
      <c r="BH158" s="141"/>
      <c r="BI158" s="141"/>
      <c r="BJ158" s="141"/>
      <c r="BK158" s="141"/>
      <c r="BL158" s="141"/>
      <c r="BM158" s="141"/>
      <c r="BN158" s="141"/>
      <c r="BO158" s="141"/>
      <c r="BP158" s="124"/>
      <c r="BQ158" s="124"/>
      <c r="BR158" s="124"/>
      <c r="BS158" s="124"/>
      <c r="BT158" s="124"/>
      <c r="BU158" s="124"/>
      <c r="BV158" s="124"/>
      <c r="BW158" s="124"/>
      <c r="BX158" s="124"/>
      <c r="BY158" s="124"/>
      <c r="BZ158" s="124"/>
      <c r="CA158" s="995"/>
      <c r="CB158" s="995"/>
      <c r="CC158" s="995"/>
      <c r="CD158" s="995"/>
      <c r="CE158" s="995"/>
      <c r="CF158" s="995"/>
      <c r="CG158" s="995"/>
      <c r="CH158" s="995"/>
      <c r="CI158" s="995"/>
      <c r="CJ158" s="995"/>
      <c r="CK158" s="56"/>
      <c r="CL158" s="1011"/>
      <c r="CM158" s="1011"/>
      <c r="CN158" s="1011"/>
      <c r="CO158" s="1011"/>
      <c r="CP158" s="1011"/>
      <c r="CQ158" s="1011"/>
      <c r="CR158" s="1011"/>
      <c r="CS158" s="1011"/>
      <c r="CT158" s="1011"/>
      <c r="CU158" s="138"/>
      <c r="CV158" s="5"/>
    </row>
    <row r="159" spans="1:106" ht="12" customHeight="1" x14ac:dyDescent="0.2">
      <c r="A159" s="54"/>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row>
    <row r="160" spans="1:106" ht="12" customHeight="1" x14ac:dyDescent="0.2">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4"/>
    </row>
    <row r="161" spans="1:80" ht="12" customHeight="1" x14ac:dyDescent="0.2">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row>
    <row r="162" spans="1:80" ht="12" customHeight="1" x14ac:dyDescent="0.2">
      <c r="A162" s="53"/>
      <c r="B162" s="53"/>
      <c r="C162" s="53"/>
      <c r="D162" s="53"/>
      <c r="E162" s="53"/>
      <c r="F162" s="53"/>
      <c r="G162" s="53"/>
      <c r="H162" s="53"/>
      <c r="I162" s="53"/>
      <c r="J162" s="53"/>
      <c r="K162" s="53"/>
      <c r="L162" s="53"/>
      <c r="AE162" s="2"/>
    </row>
    <row r="163" spans="1:80" ht="12" customHeight="1" x14ac:dyDescent="0.2">
      <c r="A163" s="53"/>
      <c r="B163" s="53"/>
      <c r="C163" s="53"/>
      <c r="D163" s="53"/>
      <c r="E163" s="53"/>
      <c r="F163" s="53"/>
      <c r="G163" s="53"/>
      <c r="H163" s="53"/>
      <c r="I163" s="53"/>
    </row>
    <row r="164" spans="1:80" ht="12" customHeight="1" x14ac:dyDescent="0.2">
      <c r="A164" s="53"/>
      <c r="B164" s="53"/>
      <c r="C164" s="53"/>
      <c r="D164" s="53"/>
      <c r="E164" s="53"/>
      <c r="F164" s="53"/>
      <c r="BG164" s="244"/>
      <c r="BQ164" s="244"/>
      <c r="CB164" s="244"/>
    </row>
    <row r="165" spans="1:80" ht="12" customHeight="1" x14ac:dyDescent="0.2">
      <c r="A165" s="53"/>
      <c r="B165" s="53"/>
      <c r="C165" s="53"/>
      <c r="BG165" s="244"/>
      <c r="BQ165" s="244"/>
      <c r="CB165" s="244"/>
    </row>
    <row r="166" spans="1:80" ht="12" customHeight="1" x14ac:dyDescent="0.2">
      <c r="A166" s="53"/>
      <c r="B166" s="53"/>
      <c r="C166" s="53"/>
      <c r="BG166" s="225"/>
      <c r="BQ166" s="225"/>
      <c r="CB166" s="225"/>
    </row>
    <row r="167" spans="1:80" ht="12" customHeight="1" x14ac:dyDescent="0.2">
      <c r="A167" s="53"/>
      <c r="B167" s="53"/>
      <c r="C167" s="53"/>
    </row>
    <row r="168" spans="1:80" ht="12" customHeight="1" x14ac:dyDescent="0.2">
      <c r="A168" s="53"/>
      <c r="B168" s="53"/>
      <c r="C168" s="53"/>
      <c r="D168" s="53"/>
      <c r="E168" s="53"/>
      <c r="F168" s="53"/>
      <c r="G168" s="53"/>
      <c r="H168" s="53"/>
      <c r="I168" s="53"/>
      <c r="J168" s="53"/>
      <c r="K168" s="53"/>
      <c r="L168" s="53"/>
    </row>
    <row r="169" spans="1:80" ht="12" customHeight="1" x14ac:dyDescent="0.2">
      <c r="A169" s="53"/>
      <c r="B169" s="53"/>
      <c r="C169" s="53"/>
      <c r="D169" s="53"/>
      <c r="E169" s="53"/>
      <c r="F169" s="53"/>
      <c r="G169" s="53"/>
      <c r="H169" s="53"/>
      <c r="I169" s="53"/>
      <c r="J169" s="53"/>
      <c r="K169" s="53"/>
      <c r="L169" s="53"/>
    </row>
    <row r="170" spans="1:80" ht="12" customHeight="1" x14ac:dyDescent="0.2">
      <c r="A170" s="53"/>
      <c r="B170" s="53"/>
      <c r="C170" s="53"/>
      <c r="D170" s="53"/>
      <c r="E170" s="53"/>
      <c r="F170" s="53"/>
      <c r="G170" s="53"/>
      <c r="H170" s="53"/>
      <c r="I170" s="53"/>
      <c r="J170" s="53"/>
      <c r="K170" s="53"/>
      <c r="L170" s="53"/>
    </row>
    <row r="171" spans="1:80" ht="12" customHeight="1" x14ac:dyDescent="0.2">
      <c r="A171" s="53"/>
      <c r="B171" s="53"/>
      <c r="C171" s="53"/>
      <c r="D171" s="53"/>
      <c r="E171" s="53"/>
      <c r="F171" s="53"/>
      <c r="G171" s="53"/>
      <c r="H171" s="53"/>
      <c r="I171" s="53"/>
      <c r="J171" s="53"/>
      <c r="K171" s="53"/>
      <c r="L171" s="53"/>
    </row>
    <row r="172" spans="1:80" ht="12" customHeight="1" x14ac:dyDescent="0.2">
      <c r="A172" s="53"/>
      <c r="B172" s="53"/>
      <c r="C172" s="53"/>
      <c r="D172" s="53"/>
      <c r="E172" s="53"/>
      <c r="F172" s="53"/>
      <c r="G172" s="53"/>
      <c r="H172" s="53"/>
      <c r="I172" s="53"/>
      <c r="J172" s="53"/>
      <c r="K172" s="53"/>
      <c r="L172" s="53"/>
    </row>
    <row r="173" spans="1:80" ht="12" customHeight="1" x14ac:dyDescent="0.2">
      <c r="A173" s="53"/>
      <c r="B173" s="53"/>
      <c r="C173" s="53"/>
      <c r="D173" s="53"/>
      <c r="E173" s="53"/>
      <c r="F173" s="53"/>
      <c r="G173" s="53"/>
      <c r="H173" s="53"/>
      <c r="I173" s="53"/>
      <c r="J173" s="53"/>
      <c r="K173" s="53"/>
      <c r="L173" s="53"/>
    </row>
    <row r="174" spans="1:80" ht="12" customHeight="1" x14ac:dyDescent="0.2">
      <c r="A174" s="53"/>
      <c r="B174" s="53"/>
      <c r="C174" s="53"/>
      <c r="D174" s="53"/>
      <c r="E174" s="53"/>
      <c r="F174" s="53"/>
      <c r="G174" s="53"/>
      <c r="H174" s="53"/>
      <c r="I174" s="53"/>
      <c r="J174" s="53"/>
      <c r="K174" s="53"/>
      <c r="L174" s="53"/>
    </row>
    <row r="175" spans="1:80" ht="12" customHeight="1" x14ac:dyDescent="0.2">
      <c r="A175" s="53"/>
      <c r="B175" s="53"/>
      <c r="C175" s="53"/>
      <c r="D175" s="53"/>
      <c r="E175" s="53"/>
      <c r="F175" s="53"/>
      <c r="G175" s="53"/>
      <c r="H175" s="53"/>
      <c r="I175" s="53"/>
      <c r="J175" s="53"/>
      <c r="K175" s="53"/>
      <c r="L175" s="53"/>
    </row>
    <row r="176" spans="1:80" ht="12" customHeight="1" x14ac:dyDescent="0.2">
      <c r="A176" s="53"/>
      <c r="B176" s="53"/>
      <c r="C176" s="53"/>
      <c r="D176" s="53"/>
      <c r="E176" s="53"/>
      <c r="F176" s="53"/>
      <c r="G176" s="53"/>
      <c r="H176" s="53"/>
      <c r="I176" s="53"/>
      <c r="J176" s="53"/>
      <c r="K176" s="53"/>
      <c r="L176" s="53"/>
    </row>
    <row r="177" spans="1:99" ht="12" customHeight="1" x14ac:dyDescent="0.2">
      <c r="A177" s="53"/>
      <c r="B177" s="53"/>
      <c r="C177" s="53"/>
      <c r="D177" s="53"/>
      <c r="E177" s="53"/>
      <c r="F177" s="53"/>
      <c r="G177" s="53"/>
      <c r="H177" s="53"/>
      <c r="I177" s="53"/>
      <c r="J177" s="53"/>
      <c r="K177" s="53"/>
      <c r="L177" s="53"/>
    </row>
    <row r="178" spans="1:99" ht="12" customHeight="1" x14ac:dyDescent="0.2">
      <c r="A178" s="53"/>
      <c r="B178" s="53"/>
      <c r="C178" s="53"/>
      <c r="D178" s="53"/>
      <c r="E178" s="53"/>
      <c r="F178" s="53"/>
      <c r="G178" s="53"/>
      <c r="H178" s="53"/>
      <c r="I178" s="53"/>
      <c r="J178" s="53"/>
      <c r="K178" s="53"/>
      <c r="L178" s="53"/>
    </row>
    <row r="179" spans="1:99" ht="12" customHeight="1" x14ac:dyDescent="0.2">
      <c r="A179" s="53"/>
      <c r="B179" s="53"/>
      <c r="C179" s="53"/>
      <c r="D179" s="53"/>
      <c r="E179" s="53"/>
      <c r="F179" s="53"/>
      <c r="G179" s="53"/>
      <c r="H179" s="53"/>
      <c r="I179" s="53"/>
      <c r="J179" s="53"/>
      <c r="K179" s="53"/>
      <c r="L179" s="53"/>
    </row>
    <row r="180" spans="1:99" ht="12" customHeight="1" x14ac:dyDescent="0.2">
      <c r="A180" s="53"/>
      <c r="B180" s="53"/>
      <c r="C180" s="53"/>
      <c r="D180" s="53"/>
      <c r="E180" s="53"/>
      <c r="F180" s="53"/>
      <c r="G180" s="53"/>
      <c r="H180" s="53"/>
      <c r="I180" s="53"/>
      <c r="J180" s="53"/>
      <c r="K180" s="53"/>
      <c r="L180" s="53"/>
    </row>
    <row r="181" spans="1:99" ht="12" customHeight="1" x14ac:dyDescent="0.2">
      <c r="A181" s="53"/>
      <c r="B181" s="53"/>
      <c r="C181" s="53"/>
      <c r="D181" s="53"/>
      <c r="E181" s="53"/>
      <c r="F181" s="53"/>
      <c r="G181" s="53"/>
      <c r="H181" s="53"/>
      <c r="I181" s="53"/>
      <c r="J181" s="53"/>
      <c r="K181" s="53"/>
      <c r="L181" s="53"/>
    </row>
    <row r="182" spans="1:99" ht="12" customHeight="1" x14ac:dyDescent="0.2">
      <c r="A182" s="53"/>
      <c r="B182" s="53"/>
      <c r="C182" s="53"/>
      <c r="D182" s="53"/>
      <c r="E182" s="53"/>
      <c r="F182" s="53"/>
      <c r="G182" s="53"/>
      <c r="H182" s="53"/>
      <c r="I182" s="53"/>
      <c r="J182" s="53"/>
      <c r="K182" s="53"/>
      <c r="L182" s="53"/>
    </row>
    <row r="183" spans="1:99" ht="12" customHeight="1" x14ac:dyDescent="0.2">
      <c r="A183" s="53"/>
      <c r="B183" s="53"/>
      <c r="C183" s="53"/>
      <c r="D183" s="53"/>
      <c r="E183" s="53"/>
      <c r="F183" s="53"/>
      <c r="G183" s="53"/>
      <c r="H183" s="53"/>
      <c r="I183" s="53"/>
      <c r="J183" s="53"/>
      <c r="K183" s="53"/>
      <c r="L183" s="53"/>
    </row>
    <row r="184" spans="1:99" ht="12" customHeight="1" x14ac:dyDescent="0.2">
      <c r="A184" s="53"/>
      <c r="B184" s="53"/>
      <c r="C184" s="53"/>
      <c r="D184" s="53"/>
      <c r="E184" s="53"/>
      <c r="F184" s="53"/>
      <c r="G184" s="53"/>
      <c r="H184" s="53"/>
      <c r="I184" s="53"/>
      <c r="J184" s="53"/>
      <c r="K184" s="53"/>
      <c r="L184" s="53"/>
    </row>
    <row r="185" spans="1:99" ht="12" customHeight="1" x14ac:dyDescent="0.2">
      <c r="A185" s="53"/>
      <c r="B185" s="53"/>
      <c r="C185" s="53"/>
      <c r="D185" s="53"/>
      <c r="E185" s="53"/>
      <c r="F185" s="53"/>
      <c r="G185" s="53"/>
      <c r="H185" s="53"/>
      <c r="I185" s="53"/>
      <c r="J185" s="53"/>
      <c r="K185" s="53"/>
      <c r="L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53"/>
      <c r="CT185" s="53"/>
      <c r="CU185" s="53"/>
    </row>
    <row r="186" spans="1:99" ht="12" customHeight="1" x14ac:dyDescent="0.2">
      <c r="A186" s="53"/>
      <c r="B186" s="53"/>
      <c r="C186" s="53"/>
      <c r="D186" s="53"/>
      <c r="E186" s="53"/>
      <c r="F186" s="53"/>
      <c r="G186" s="53"/>
      <c r="H186" s="53"/>
      <c r="I186" s="53"/>
      <c r="J186" s="53"/>
      <c r="K186" s="53"/>
      <c r="L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row>
    <row r="187" spans="1:99" ht="12" customHeight="1" x14ac:dyDescent="0.2">
      <c r="A187" s="53"/>
      <c r="B187" s="53"/>
      <c r="C187" s="53"/>
      <c r="D187" s="53"/>
      <c r="E187" s="53"/>
      <c r="F187" s="53"/>
      <c r="G187" s="53"/>
      <c r="H187" s="53"/>
      <c r="I187" s="53"/>
      <c r="J187" s="53"/>
      <c r="K187" s="53"/>
      <c r="L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row>
    <row r="188" spans="1:99" ht="12" customHeight="1" x14ac:dyDescent="0.2">
      <c r="A188" s="53"/>
      <c r="B188" s="53"/>
      <c r="C188" s="53"/>
      <c r="D188" s="53"/>
      <c r="E188" s="53"/>
      <c r="F188" s="53"/>
      <c r="G188" s="53"/>
      <c r="H188" s="53"/>
      <c r="I188" s="53"/>
      <c r="J188" s="53"/>
      <c r="K188" s="53"/>
      <c r="L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row>
    <row r="189" spans="1:99" ht="12" customHeight="1" x14ac:dyDescent="0.2">
      <c r="A189" s="53"/>
      <c r="B189" s="53"/>
      <c r="C189" s="53"/>
      <c r="D189" s="53"/>
      <c r="E189" s="53"/>
      <c r="F189" s="53"/>
      <c r="G189" s="53"/>
      <c r="H189" s="53"/>
      <c r="I189" s="53"/>
      <c r="J189" s="53"/>
      <c r="K189" s="53"/>
      <c r="L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row>
    <row r="190" spans="1:99" ht="12" customHeight="1" x14ac:dyDescent="0.2">
      <c r="A190" s="53"/>
      <c r="B190" s="53"/>
      <c r="C190" s="53"/>
      <c r="D190" s="53"/>
      <c r="E190" s="53"/>
      <c r="F190" s="53"/>
      <c r="G190" s="53"/>
      <c r="H190" s="53"/>
      <c r="I190" s="53"/>
      <c r="J190" s="53"/>
      <c r="K190" s="53"/>
      <c r="L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row>
    <row r="191" spans="1:99" ht="12" customHeight="1" x14ac:dyDescent="0.2">
      <c r="A191" s="53"/>
      <c r="B191" s="53"/>
      <c r="C191" s="53"/>
      <c r="D191" s="53"/>
      <c r="E191" s="53"/>
      <c r="F191" s="53"/>
      <c r="G191" s="53"/>
      <c r="H191" s="53"/>
      <c r="I191" s="53"/>
      <c r="J191" s="53"/>
      <c r="K191" s="53"/>
      <c r="L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row>
    <row r="192" spans="1:99" ht="12" customHeight="1" x14ac:dyDescent="0.2">
      <c r="A192" s="53"/>
      <c r="B192" s="53"/>
      <c r="C192" s="53"/>
      <c r="D192" s="53"/>
      <c r="E192" s="53"/>
      <c r="F192" s="53"/>
      <c r="G192" s="53"/>
      <c r="H192" s="53"/>
      <c r="I192" s="53"/>
      <c r="J192" s="53"/>
      <c r="K192" s="53"/>
      <c r="L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row>
    <row r="193" spans="1:99" ht="12" customHeight="1" x14ac:dyDescent="0.2">
      <c r="A193" s="53"/>
      <c r="B193" s="53"/>
      <c r="C193" s="53"/>
      <c r="D193" s="53"/>
      <c r="E193" s="53"/>
      <c r="F193" s="53"/>
      <c r="G193" s="53"/>
      <c r="H193" s="53"/>
      <c r="I193" s="53"/>
      <c r="J193" s="53"/>
      <c r="K193" s="53"/>
      <c r="L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row>
    <row r="194" spans="1:99" ht="12" customHeight="1" x14ac:dyDescent="0.2">
      <c r="A194" s="53"/>
      <c r="B194" s="53"/>
      <c r="C194" s="53"/>
      <c r="D194" s="53"/>
      <c r="E194" s="53"/>
      <c r="F194" s="53"/>
      <c r="G194" s="53"/>
      <c r="H194" s="53"/>
      <c r="I194" s="53"/>
      <c r="J194" s="53"/>
      <c r="K194" s="53"/>
      <c r="L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row>
    <row r="195" spans="1:99" ht="12" customHeight="1" x14ac:dyDescent="0.2">
      <c r="A195" s="53"/>
      <c r="B195" s="53"/>
      <c r="C195" s="53"/>
      <c r="D195" s="53"/>
      <c r="E195" s="53"/>
      <c r="F195" s="53"/>
      <c r="G195" s="53"/>
      <c r="H195" s="53"/>
      <c r="I195" s="53"/>
      <c r="J195" s="53"/>
      <c r="K195" s="53"/>
      <c r="L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row>
    <row r="196" spans="1:99" ht="12" customHeight="1" x14ac:dyDescent="0.2">
      <c r="A196" s="53"/>
      <c r="B196" s="53"/>
      <c r="C196" s="53"/>
      <c r="D196" s="53"/>
      <c r="E196" s="53"/>
      <c r="F196" s="53"/>
      <c r="G196" s="53"/>
      <c r="H196" s="53"/>
      <c r="I196" s="53"/>
      <c r="J196" s="53"/>
      <c r="K196" s="53"/>
      <c r="L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row>
    <row r="197" spans="1:99" ht="12" customHeight="1" x14ac:dyDescent="0.2">
      <c r="A197" s="53"/>
      <c r="B197" s="53"/>
      <c r="C197" s="53"/>
      <c r="D197" s="53"/>
      <c r="E197" s="53"/>
      <c r="F197" s="53"/>
      <c r="G197" s="53"/>
      <c r="H197" s="53"/>
      <c r="I197" s="53"/>
      <c r="J197" s="53"/>
      <c r="K197" s="53"/>
      <c r="L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row>
    <row r="198" spans="1:99" ht="12" customHeight="1" x14ac:dyDescent="0.2">
      <c r="A198" s="53"/>
      <c r="B198" s="53"/>
      <c r="C198" s="53"/>
      <c r="D198" s="53"/>
      <c r="E198" s="53"/>
      <c r="F198" s="53"/>
      <c r="G198" s="53"/>
      <c r="H198" s="53"/>
      <c r="I198" s="53"/>
      <c r="J198" s="53"/>
      <c r="K198" s="53"/>
      <c r="L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row>
    <row r="199" spans="1:99" ht="12" customHeight="1" x14ac:dyDescent="0.2">
      <c r="A199" s="53"/>
      <c r="B199" s="53"/>
      <c r="C199" s="53"/>
      <c r="D199" s="53"/>
      <c r="E199" s="53"/>
      <c r="F199" s="53"/>
      <c r="G199" s="53"/>
      <c r="H199" s="53"/>
      <c r="I199" s="53"/>
      <c r="J199" s="53"/>
      <c r="K199" s="53"/>
      <c r="L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row>
    <row r="200" spans="1:99" ht="12" customHeight="1" x14ac:dyDescent="0.2">
      <c r="A200" s="53"/>
      <c r="B200" s="53"/>
      <c r="C200" s="53"/>
      <c r="D200" s="53"/>
      <c r="E200" s="53"/>
      <c r="F200" s="53"/>
      <c r="G200" s="53"/>
      <c r="H200" s="53"/>
      <c r="I200" s="53"/>
      <c r="J200" s="53"/>
      <c r="K200" s="53"/>
      <c r="L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row>
    <row r="201" spans="1:99" ht="12" customHeight="1" x14ac:dyDescent="0.2">
      <c r="A201" s="53"/>
      <c r="B201" s="53"/>
      <c r="C201" s="53"/>
      <c r="D201" s="53"/>
      <c r="E201" s="53"/>
      <c r="F201" s="53"/>
      <c r="G201" s="53"/>
      <c r="H201" s="53"/>
      <c r="I201" s="53"/>
      <c r="J201" s="53"/>
      <c r="K201" s="53"/>
      <c r="L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row>
    <row r="202" spans="1:99" ht="12" customHeight="1" x14ac:dyDescent="0.2">
      <c r="A202" s="53"/>
      <c r="B202" s="53"/>
      <c r="C202" s="53"/>
      <c r="D202" s="53"/>
      <c r="E202" s="53"/>
      <c r="F202" s="53"/>
      <c r="G202" s="53"/>
      <c r="H202" s="53"/>
      <c r="I202" s="53"/>
      <c r="J202" s="53"/>
      <c r="K202" s="53"/>
      <c r="L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row>
    <row r="203" spans="1:99" ht="12" customHeight="1" x14ac:dyDescent="0.2">
      <c r="A203" s="53"/>
      <c r="B203" s="53"/>
      <c r="C203" s="53"/>
      <c r="D203" s="53"/>
      <c r="E203" s="53"/>
      <c r="F203" s="53"/>
      <c r="G203" s="53"/>
      <c r="H203" s="53"/>
      <c r="I203" s="53"/>
      <c r="J203" s="53"/>
      <c r="K203" s="53"/>
      <c r="L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row>
    <row r="204" spans="1:99" ht="12" customHeight="1" x14ac:dyDescent="0.2">
      <c r="A204" s="53"/>
      <c r="B204" s="53"/>
      <c r="C204" s="53"/>
      <c r="D204" s="53"/>
      <c r="E204" s="53"/>
      <c r="F204" s="53"/>
      <c r="G204" s="53"/>
      <c r="H204" s="53"/>
      <c r="I204" s="53"/>
      <c r="J204" s="53"/>
      <c r="K204" s="53"/>
      <c r="L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row>
    <row r="205" spans="1:99" ht="12" customHeight="1" x14ac:dyDescent="0.2">
      <c r="A205" s="53"/>
      <c r="B205" s="53"/>
      <c r="C205" s="53"/>
      <c r="D205" s="53"/>
      <c r="E205" s="53"/>
      <c r="F205" s="53"/>
      <c r="G205" s="53"/>
      <c r="H205" s="53"/>
      <c r="I205" s="53"/>
      <c r="J205" s="53"/>
      <c r="K205" s="53"/>
      <c r="L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row>
    <row r="206" spans="1:99" ht="12" customHeight="1" x14ac:dyDescent="0.2">
      <c r="A206" s="53"/>
      <c r="B206" s="53"/>
      <c r="C206" s="53"/>
      <c r="D206" s="53"/>
      <c r="E206" s="53"/>
      <c r="F206" s="53"/>
      <c r="G206" s="53"/>
      <c r="H206" s="53"/>
      <c r="I206" s="53"/>
      <c r="J206" s="53"/>
      <c r="K206" s="53"/>
      <c r="L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row>
    <row r="207" spans="1:99" ht="12" customHeight="1" x14ac:dyDescent="0.2">
      <c r="A207" s="53"/>
      <c r="B207" s="53"/>
      <c r="C207" s="53"/>
      <c r="D207" s="53"/>
      <c r="E207" s="53"/>
      <c r="F207" s="53"/>
      <c r="G207" s="53"/>
      <c r="H207" s="53"/>
      <c r="I207" s="53"/>
      <c r="J207" s="53"/>
      <c r="K207" s="53"/>
      <c r="L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row>
    <row r="208" spans="1:99" ht="12" customHeight="1" x14ac:dyDescent="0.2">
      <c r="A208" s="53"/>
      <c r="B208" s="53"/>
      <c r="C208" s="53"/>
      <c r="D208" s="53"/>
      <c r="E208" s="53"/>
      <c r="F208" s="53"/>
      <c r="G208" s="53"/>
      <c r="H208" s="53"/>
      <c r="I208" s="53"/>
      <c r="J208" s="53"/>
      <c r="K208" s="53"/>
      <c r="L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row>
    <row r="209" spans="1:99" ht="12" customHeight="1" x14ac:dyDescent="0.2">
      <c r="A209" s="53"/>
      <c r="B209" s="53"/>
      <c r="C209" s="53"/>
      <c r="D209" s="53"/>
      <c r="E209" s="53"/>
      <c r="F209" s="53"/>
      <c r="G209" s="53"/>
      <c r="H209" s="53"/>
      <c r="I209" s="53"/>
      <c r="J209" s="53"/>
      <c r="K209" s="53"/>
      <c r="L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row>
    <row r="210" spans="1:99" ht="12" customHeight="1" x14ac:dyDescent="0.2">
      <c r="A210" s="53"/>
      <c r="B210" s="53"/>
      <c r="C210" s="53"/>
      <c r="D210" s="53"/>
      <c r="E210" s="53"/>
      <c r="F210" s="53"/>
      <c r="G210" s="53"/>
      <c r="H210" s="53"/>
      <c r="I210" s="53"/>
      <c r="J210" s="53"/>
      <c r="K210" s="53"/>
      <c r="L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row>
    <row r="211" spans="1:99" ht="12" customHeight="1" x14ac:dyDescent="0.2">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row>
    <row r="212" spans="1:99" ht="12" customHeight="1" x14ac:dyDescent="0.2">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row>
    <row r="213" spans="1:99" ht="12" customHeight="1" x14ac:dyDescent="0.2">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53"/>
      <c r="CS213" s="53"/>
      <c r="CT213" s="53"/>
      <c r="CU213" s="53"/>
    </row>
    <row r="214" spans="1:99" ht="12" customHeight="1"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row>
    <row r="215" spans="1:99" ht="12" customHeight="1" x14ac:dyDescent="0.2">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row>
    <row r="216" spans="1:99" ht="12" customHeight="1" x14ac:dyDescent="0.2">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row>
    <row r="217" spans="1:99" ht="12" customHeight="1" x14ac:dyDescent="0.2">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row>
    <row r="218" spans="1:99" ht="12" customHeight="1" x14ac:dyDescent="0.2">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row>
    <row r="219" spans="1:99" ht="12" customHeight="1" x14ac:dyDescent="0.2">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row>
    <row r="220" spans="1:99" ht="12" customHeight="1" x14ac:dyDescent="0.2">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row>
    <row r="221" spans="1:99" ht="12" customHeight="1" x14ac:dyDescent="0.2">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row>
    <row r="222" spans="1:99" ht="12" customHeight="1" x14ac:dyDescent="0.2">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row>
    <row r="223" spans="1:99" ht="12" customHeight="1" x14ac:dyDescent="0.2">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row>
    <row r="224" spans="1:99" ht="12" customHeight="1" x14ac:dyDescent="0.2">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row>
    <row r="225" spans="1:99" ht="12" customHeight="1" x14ac:dyDescent="0.2">
      <c r="A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row>
    <row r="226" spans="1:99" ht="12" customHeight="1" x14ac:dyDescent="0.2">
      <c r="A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row>
    <row r="227" spans="1:99" ht="12" customHeight="1" x14ac:dyDescent="0.2">
      <c r="A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row>
    <row r="228" spans="1:99" ht="12" customHeight="1" x14ac:dyDescent="0.2">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53"/>
      <c r="CS228" s="53"/>
      <c r="CT228" s="53"/>
      <c r="CU228" s="53"/>
    </row>
    <row r="229" spans="1:99" ht="12" customHeight="1" x14ac:dyDescent="0.2">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row>
    <row r="244" spans="1:1" ht="12" customHeight="1" x14ac:dyDescent="0.2">
      <c r="A244" s="10"/>
    </row>
  </sheetData>
  <sheetProtection password="DEEC" sheet="1" objects="1" scenarios="1" selectLockedCells="1"/>
  <sortState ref="BD18:BO57">
    <sortCondition ref="BD18"/>
  </sortState>
  <mergeCells count="713">
    <mergeCell ref="B2:AC3"/>
    <mergeCell ref="BC10:BM11"/>
    <mergeCell ref="BO10:BZ11"/>
    <mergeCell ref="CB10:CM11"/>
    <mergeCell ref="BS6:CM7"/>
    <mergeCell ref="BV2:CM3"/>
    <mergeCell ref="F10:T11"/>
    <mergeCell ref="AC10:AH11"/>
    <mergeCell ref="BE14:CU15"/>
    <mergeCell ref="AE2:AV3"/>
    <mergeCell ref="Z6:BA7"/>
    <mergeCell ref="BC6:BQ7"/>
    <mergeCell ref="AX2:BH3"/>
    <mergeCell ref="BJ2:BT3"/>
    <mergeCell ref="B6:X7"/>
    <mergeCell ref="AP10:AT11"/>
    <mergeCell ref="AJ10:AN11"/>
    <mergeCell ref="B10:D11"/>
    <mergeCell ref="AV10:BA11"/>
    <mergeCell ref="V10:AA11"/>
    <mergeCell ref="B14:AE15"/>
    <mergeCell ref="AG14:BC15"/>
    <mergeCell ref="B145:H146"/>
    <mergeCell ref="I145:S146"/>
    <mergeCell ref="B157:H158"/>
    <mergeCell ref="I157:S158"/>
    <mergeCell ref="J141:BC141"/>
    <mergeCell ref="J142:BC144"/>
    <mergeCell ref="J154:BC156"/>
    <mergeCell ref="J153:BC153"/>
    <mergeCell ref="AP76:AX78"/>
    <mergeCell ref="B82:J83"/>
    <mergeCell ref="B84:J84"/>
    <mergeCell ref="AA82:AN83"/>
    <mergeCell ref="AA84:AN84"/>
    <mergeCell ref="J105:BC105"/>
    <mergeCell ref="B109:H110"/>
    <mergeCell ref="I109:S110"/>
    <mergeCell ref="J118:BC120"/>
    <mergeCell ref="J117:BC117"/>
    <mergeCell ref="J93:BC93"/>
    <mergeCell ref="B97:H98"/>
    <mergeCell ref="I97:S98"/>
    <mergeCell ref="U76:U78"/>
    <mergeCell ref="V76:Y78"/>
    <mergeCell ref="Q79:T80"/>
    <mergeCell ref="AY35:BC37"/>
    <mergeCell ref="BY37:CC38"/>
    <mergeCell ref="CD41:CD42"/>
    <mergeCell ref="BY39:CC40"/>
    <mergeCell ref="BU41:BW42"/>
    <mergeCell ref="BQ39:BS40"/>
    <mergeCell ref="CD39:CD40"/>
    <mergeCell ref="BQ37:BS38"/>
    <mergeCell ref="BU37:BW38"/>
    <mergeCell ref="BY41:CC42"/>
    <mergeCell ref="BE39:BP40"/>
    <mergeCell ref="BE41:BK42"/>
    <mergeCell ref="CP43:CP44"/>
    <mergeCell ref="CQ43:CU44"/>
    <mergeCell ref="CJ43:CJ44"/>
    <mergeCell ref="CJ45:CJ46"/>
    <mergeCell ref="CK49:CO50"/>
    <mergeCell ref="CP49:CP50"/>
    <mergeCell ref="CQ49:CU50"/>
    <mergeCell ref="CJ49:CJ50"/>
    <mergeCell ref="AQ59:BC61"/>
    <mergeCell ref="AK49:AT49"/>
    <mergeCell ref="AW49:BC50"/>
    <mergeCell ref="AL59:AP61"/>
    <mergeCell ref="AL58:AP58"/>
    <mergeCell ref="CJ51:CJ52"/>
    <mergeCell ref="CK51:CO52"/>
    <mergeCell ref="CP51:CP52"/>
    <mergeCell ref="BE53:BP54"/>
    <mergeCell ref="CE53:CI54"/>
    <mergeCell ref="BQ49:BS50"/>
    <mergeCell ref="BU45:BW46"/>
    <mergeCell ref="BY43:CC44"/>
    <mergeCell ref="BY45:CC46"/>
    <mergeCell ref="BY49:CC50"/>
    <mergeCell ref="BU49:BW50"/>
    <mergeCell ref="B41:G41"/>
    <mergeCell ref="CQ47:CU48"/>
    <mergeCell ref="CE49:CI50"/>
    <mergeCell ref="CK53:CO54"/>
    <mergeCell ref="CP53:CP54"/>
    <mergeCell ref="CJ53:CJ54"/>
    <mergeCell ref="BQ43:BS44"/>
    <mergeCell ref="BE45:BP46"/>
    <mergeCell ref="BQ45:BS46"/>
    <mergeCell ref="BE43:BP44"/>
    <mergeCell ref="CE45:CI46"/>
    <mergeCell ref="CK45:CO46"/>
    <mergeCell ref="CP45:CP46"/>
    <mergeCell ref="CD51:CD52"/>
    <mergeCell ref="BE47:BP48"/>
    <mergeCell ref="CD47:CD48"/>
    <mergeCell ref="BY47:CC48"/>
    <mergeCell ref="CD45:CD46"/>
    <mergeCell ref="CD43:CD44"/>
    <mergeCell ref="BE49:BP50"/>
    <mergeCell ref="BE51:BP52"/>
    <mergeCell ref="BQ53:BS54"/>
    <mergeCell ref="CQ45:CU46"/>
    <mergeCell ref="CK43:CO44"/>
    <mergeCell ref="I31:M33"/>
    <mergeCell ref="I35:M37"/>
    <mergeCell ref="AS23:AW25"/>
    <mergeCell ref="AG23:AK25"/>
    <mergeCell ref="AM23:AQ25"/>
    <mergeCell ref="AS31:AW33"/>
    <mergeCell ref="AS27:AW29"/>
    <mergeCell ref="AM31:AQ33"/>
    <mergeCell ref="U39:Y41"/>
    <mergeCell ref="AG31:AK33"/>
    <mergeCell ref="AG35:AK37"/>
    <mergeCell ref="AA31:AE33"/>
    <mergeCell ref="U31:Y33"/>
    <mergeCell ref="AG27:AK29"/>
    <mergeCell ref="I39:M41"/>
    <mergeCell ref="AA23:AE25"/>
    <mergeCell ref="O39:S41"/>
    <mergeCell ref="AM39:AQ41"/>
    <mergeCell ref="AA39:AE41"/>
    <mergeCell ref="AG39:AK41"/>
    <mergeCell ref="AS35:AW37"/>
    <mergeCell ref="AM35:AQ37"/>
    <mergeCell ref="AS39:AW41"/>
    <mergeCell ref="L76:O78"/>
    <mergeCell ref="AB59:AF61"/>
    <mergeCell ref="AG58:AK58"/>
    <mergeCell ref="AG59:AK61"/>
    <mergeCell ref="AB89:AP89"/>
    <mergeCell ref="V58:AA58"/>
    <mergeCell ref="AG69:BC71"/>
    <mergeCell ref="U79:Z80"/>
    <mergeCell ref="AQ58:BC58"/>
    <mergeCell ref="AT82:AT84"/>
    <mergeCell ref="B59:U61"/>
    <mergeCell ref="B78:J78"/>
    <mergeCell ref="B67:U68"/>
    <mergeCell ref="B62:I62"/>
    <mergeCell ref="B57:U58"/>
    <mergeCell ref="B63:I65"/>
    <mergeCell ref="V59:AA61"/>
    <mergeCell ref="B69:U71"/>
    <mergeCell ref="Q76:T78"/>
    <mergeCell ref="L85:O86"/>
    <mergeCell ref="J62:BC62"/>
    <mergeCell ref="P85:U86"/>
    <mergeCell ref="AB58:AF58"/>
    <mergeCell ref="AV121:AV122"/>
    <mergeCell ref="AT85:AY86"/>
    <mergeCell ref="AN97:AN98"/>
    <mergeCell ref="AY109:AY110"/>
    <mergeCell ref="AT109:AT110"/>
    <mergeCell ref="AV97:AV98"/>
    <mergeCell ref="AB114:AP116"/>
    <mergeCell ref="AQ113:BC113"/>
    <mergeCell ref="AI121:AI122"/>
    <mergeCell ref="AP85:AS86"/>
    <mergeCell ref="AH97:AH98"/>
    <mergeCell ref="AH109:AH110"/>
    <mergeCell ref="BA121:BA122"/>
    <mergeCell ref="AD97:AD98"/>
    <mergeCell ref="BE63:BJ66"/>
    <mergeCell ref="BS59:BZ61"/>
    <mergeCell ref="CB59:CU61"/>
    <mergeCell ref="BY53:CC54"/>
    <mergeCell ref="BY51:CC52"/>
    <mergeCell ref="BE56:CU57"/>
    <mergeCell ref="BN59:BQ61"/>
    <mergeCell ref="CQ51:CU52"/>
    <mergeCell ref="CE51:CI52"/>
    <mergeCell ref="BU51:BW52"/>
    <mergeCell ref="CA129:CU130"/>
    <mergeCell ref="CA122:CU123"/>
    <mergeCell ref="CA115:CU116"/>
    <mergeCell ref="BE129:BY130"/>
    <mergeCell ref="BP81:BY82"/>
    <mergeCell ref="BP83:BY84"/>
    <mergeCell ref="BP85:BY86"/>
    <mergeCell ref="BP87:BY88"/>
    <mergeCell ref="CL87:CU88"/>
    <mergeCell ref="CL83:CU84"/>
    <mergeCell ref="CL85:CU86"/>
    <mergeCell ref="CL81:CU82"/>
    <mergeCell ref="BE118:BY120"/>
    <mergeCell ref="CA118:CU120"/>
    <mergeCell ref="BE111:BY113"/>
    <mergeCell ref="CA111:CU113"/>
    <mergeCell ref="CA85:CJ86"/>
    <mergeCell ref="CA87:CJ88"/>
    <mergeCell ref="BE101:BY102"/>
    <mergeCell ref="CA108:CU109"/>
    <mergeCell ref="CA83:CJ84"/>
    <mergeCell ref="CA81:CJ82"/>
    <mergeCell ref="CA94:CU95"/>
    <mergeCell ref="CA101:CU102"/>
    <mergeCell ref="BU27:BW28"/>
    <mergeCell ref="BQ33:BS34"/>
    <mergeCell ref="BU25:BW26"/>
    <mergeCell ref="BQ31:BS32"/>
    <mergeCell ref="BU29:BW30"/>
    <mergeCell ref="BU31:BW32"/>
    <mergeCell ref="BU33:BW34"/>
    <mergeCell ref="BU43:BW44"/>
    <mergeCell ref="BU39:BW40"/>
    <mergeCell ref="BQ41:BS42"/>
    <mergeCell ref="BQ47:BS48"/>
    <mergeCell ref="BE115:BY116"/>
    <mergeCell ref="BE122:BY123"/>
    <mergeCell ref="AC133:AC134"/>
    <mergeCell ref="AD133:AD134"/>
    <mergeCell ref="AN121:AN122"/>
    <mergeCell ref="AS133:AS134"/>
    <mergeCell ref="AT133:AT134"/>
    <mergeCell ref="BQ51:BS52"/>
    <mergeCell ref="AG68:BC68"/>
    <mergeCell ref="AA76:AH77"/>
    <mergeCell ref="BB121:BB122"/>
    <mergeCell ref="BC121:BC122"/>
    <mergeCell ref="BK73:CU76"/>
    <mergeCell ref="BE73:BJ76"/>
    <mergeCell ref="BE97:BY99"/>
    <mergeCell ref="AU97:AU98"/>
    <mergeCell ref="BE78:CU79"/>
    <mergeCell ref="AQ101:BC101"/>
    <mergeCell ref="CA104:CU106"/>
    <mergeCell ref="BE87:BN88"/>
    <mergeCell ref="BE91:CU92"/>
    <mergeCell ref="CA125:CU127"/>
    <mergeCell ref="BE94:BY95"/>
    <mergeCell ref="CA97:CU99"/>
    <mergeCell ref="BE104:BY106"/>
    <mergeCell ref="AB69:AF71"/>
    <mergeCell ref="B73:BC74"/>
    <mergeCell ref="AA78:AH78"/>
    <mergeCell ref="AP82:AS84"/>
    <mergeCell ref="AU82:AX84"/>
    <mergeCell ref="AG97:AG98"/>
    <mergeCell ref="J106:BC108"/>
    <mergeCell ref="AP97:AP98"/>
    <mergeCell ref="AM97:AM98"/>
    <mergeCell ref="AI97:AI98"/>
    <mergeCell ref="AO97:AO98"/>
    <mergeCell ref="AQ97:AQ98"/>
    <mergeCell ref="AZ82:BC84"/>
    <mergeCell ref="B102:U104"/>
    <mergeCell ref="Q82:T84"/>
    <mergeCell ref="U82:U84"/>
    <mergeCell ref="V82:Y84"/>
    <mergeCell ref="W97:W98"/>
    <mergeCell ref="X97:X98"/>
    <mergeCell ref="Y97:Y98"/>
    <mergeCell ref="B76:J77"/>
    <mergeCell ref="AZ85:BC86"/>
    <mergeCell ref="AK46:AT48"/>
    <mergeCell ref="AJ76:AN78"/>
    <mergeCell ref="V69:AA71"/>
    <mergeCell ref="V68:AA68"/>
    <mergeCell ref="N49:W49"/>
    <mergeCell ref="AF49:AI49"/>
    <mergeCell ref="BE23:BP24"/>
    <mergeCell ref="BE37:BP38"/>
    <mergeCell ref="AM27:AQ29"/>
    <mergeCell ref="U27:Y29"/>
    <mergeCell ref="AA35:AE37"/>
    <mergeCell ref="U23:Y25"/>
    <mergeCell ref="AY31:BC33"/>
    <mergeCell ref="BE59:BL61"/>
    <mergeCell ref="BK68:CU71"/>
    <mergeCell ref="W51:W53"/>
    <mergeCell ref="AC54:AF55"/>
    <mergeCell ref="AA27:AE29"/>
    <mergeCell ref="Y46:AD47"/>
    <mergeCell ref="O35:S37"/>
    <mergeCell ref="BU47:BW48"/>
    <mergeCell ref="S54:V55"/>
    <mergeCell ref="AY23:BC25"/>
    <mergeCell ref="CJ27:CJ28"/>
    <mergeCell ref="AM16:AQ18"/>
    <mergeCell ref="AM19:AQ21"/>
    <mergeCell ref="AS16:AW18"/>
    <mergeCell ref="O23:S25"/>
    <mergeCell ref="O27:S29"/>
    <mergeCell ref="O31:S33"/>
    <mergeCell ref="AG19:AK21"/>
    <mergeCell ref="N51:Q53"/>
    <mergeCell ref="R51:R53"/>
    <mergeCell ref="AG16:AK18"/>
    <mergeCell ref="U35:Y37"/>
    <mergeCell ref="AC51:AF53"/>
    <mergeCell ref="U19:Y21"/>
    <mergeCell ref="AI51:AR53"/>
    <mergeCell ref="AT51:BC53"/>
    <mergeCell ref="X51:AA53"/>
    <mergeCell ref="AB51:AB53"/>
    <mergeCell ref="S51:V53"/>
    <mergeCell ref="AY39:BC41"/>
    <mergeCell ref="B43:BC44"/>
    <mergeCell ref="AF46:AI48"/>
    <mergeCell ref="B39:G40"/>
    <mergeCell ref="B48:G48"/>
    <mergeCell ref="B37:G37"/>
    <mergeCell ref="I49:L49"/>
    <mergeCell ref="BE83:BN84"/>
    <mergeCell ref="BE68:BJ71"/>
    <mergeCell ref="P76:P78"/>
    <mergeCell ref="B85:J86"/>
    <mergeCell ref="BE85:BN86"/>
    <mergeCell ref="J63:BC65"/>
    <mergeCell ref="AY82:AY84"/>
    <mergeCell ref="AZ76:BC78"/>
    <mergeCell ref="I51:L53"/>
    <mergeCell ref="M51:M53"/>
    <mergeCell ref="AT54:BC55"/>
    <mergeCell ref="AI54:AR55"/>
    <mergeCell ref="W54:AB55"/>
    <mergeCell ref="I54:L55"/>
    <mergeCell ref="N54:Q55"/>
    <mergeCell ref="BE81:BN82"/>
    <mergeCell ref="B79:J80"/>
    <mergeCell ref="AA79:AH80"/>
    <mergeCell ref="L79:O80"/>
    <mergeCell ref="BK63:CU66"/>
    <mergeCell ref="CQ53:CU54"/>
    <mergeCell ref="BU53:BW54"/>
    <mergeCell ref="CD53:CD54"/>
    <mergeCell ref="B46:G47"/>
    <mergeCell ref="I46:L48"/>
    <mergeCell ref="Y48:AD48"/>
    <mergeCell ref="N46:W48"/>
    <mergeCell ref="B53:G53"/>
    <mergeCell ref="B130:I132"/>
    <mergeCell ref="B138:U140"/>
    <mergeCell ref="V138:AA140"/>
    <mergeCell ref="B129:I129"/>
    <mergeCell ref="B114:U116"/>
    <mergeCell ref="AB121:AB122"/>
    <mergeCell ref="AC121:AC122"/>
    <mergeCell ref="AD121:AD122"/>
    <mergeCell ref="B126:U128"/>
    <mergeCell ref="B121:H122"/>
    <mergeCell ref="B117:I117"/>
    <mergeCell ref="B133:H134"/>
    <mergeCell ref="I133:S134"/>
    <mergeCell ref="V137:AA137"/>
    <mergeCell ref="I121:S122"/>
    <mergeCell ref="AA121:AA122"/>
    <mergeCell ref="B118:I120"/>
    <mergeCell ref="U109:U110"/>
    <mergeCell ref="V114:AA116"/>
    <mergeCell ref="AT157:AT158"/>
    <mergeCell ref="AU157:AU158"/>
    <mergeCell ref="AZ145:AZ146"/>
    <mergeCell ref="AO145:AO146"/>
    <mergeCell ref="AP145:AP146"/>
    <mergeCell ref="AW145:AW146"/>
    <mergeCell ref="X157:X158"/>
    <mergeCell ref="AI109:AI110"/>
    <mergeCell ref="AJ109:AJ110"/>
    <mergeCell ref="AZ109:AZ110"/>
    <mergeCell ref="Y145:Y146"/>
    <mergeCell ref="AS157:AS158"/>
    <mergeCell ref="AM157:AM158"/>
    <mergeCell ref="AV145:AV146"/>
    <mergeCell ref="AE157:AE158"/>
    <mergeCell ref="AI145:AI146"/>
    <mergeCell ref="AB149:AP149"/>
    <mergeCell ref="AM145:AM146"/>
    <mergeCell ref="AN145:AN146"/>
    <mergeCell ref="AB113:AP113"/>
    <mergeCell ref="Y109:Y110"/>
    <mergeCell ref="AG121:AG122"/>
    <mergeCell ref="AH121:AH122"/>
    <mergeCell ref="AZ121:AZ122"/>
    <mergeCell ref="BA145:BA146"/>
    <mergeCell ref="AU145:AU146"/>
    <mergeCell ref="BA157:BA158"/>
    <mergeCell ref="BB157:BB158"/>
    <mergeCell ref="AI157:AI158"/>
    <mergeCell ref="AJ157:AJ158"/>
    <mergeCell ref="AB150:AP152"/>
    <mergeCell ref="AH145:AH146"/>
    <mergeCell ref="Y157:Y158"/>
    <mergeCell ref="AJ145:AJ146"/>
    <mergeCell ref="AK145:AK146"/>
    <mergeCell ref="AE145:AE146"/>
    <mergeCell ref="AG157:AG158"/>
    <mergeCell ref="AK157:AK158"/>
    <mergeCell ref="AA157:AA158"/>
    <mergeCell ref="AB157:AB158"/>
    <mergeCell ref="AC157:AC158"/>
    <mergeCell ref="AO157:AO158"/>
    <mergeCell ref="AP157:AP158"/>
    <mergeCell ref="AQ157:AQ158"/>
    <mergeCell ref="V149:AA149"/>
    <mergeCell ref="AN157:AN158"/>
    <mergeCell ref="AH157:AH158"/>
    <mergeCell ref="X145:X146"/>
    <mergeCell ref="B142:I144"/>
    <mergeCell ref="B141:I141"/>
    <mergeCell ref="Y133:Y134"/>
    <mergeCell ref="AB138:AP140"/>
    <mergeCell ref="AA133:AA134"/>
    <mergeCell ref="AE133:AE134"/>
    <mergeCell ref="AO109:AO110"/>
    <mergeCell ref="AP109:AP110"/>
    <mergeCell ref="AJ121:AJ122"/>
    <mergeCell ref="AK121:AK122"/>
    <mergeCell ref="AM121:AM122"/>
    <mergeCell ref="X121:X122"/>
    <mergeCell ref="Y121:Y122"/>
    <mergeCell ref="B136:U137"/>
    <mergeCell ref="AB137:AP137"/>
    <mergeCell ref="X133:X134"/>
    <mergeCell ref="U133:U134"/>
    <mergeCell ref="V133:V134"/>
    <mergeCell ref="W109:W110"/>
    <mergeCell ref="X109:X110"/>
    <mergeCell ref="U121:U122"/>
    <mergeCell ref="AG133:AG134"/>
    <mergeCell ref="B124:U125"/>
    <mergeCell ref="V125:AA125"/>
    <mergeCell ref="B93:I93"/>
    <mergeCell ref="B100:U101"/>
    <mergeCell ref="B94:I96"/>
    <mergeCell ref="V89:AA89"/>
    <mergeCell ref="B112:U113"/>
    <mergeCell ref="AB109:AB110"/>
    <mergeCell ref="AC109:AC110"/>
    <mergeCell ref="AD109:AD110"/>
    <mergeCell ref="J94:BC96"/>
    <mergeCell ref="B106:I108"/>
    <mergeCell ref="AG109:AG110"/>
    <mergeCell ref="B105:I105"/>
    <mergeCell ref="AA97:AA98"/>
    <mergeCell ref="AB97:AB98"/>
    <mergeCell ref="AC97:AC98"/>
    <mergeCell ref="V109:V110"/>
    <mergeCell ref="V97:V98"/>
    <mergeCell ref="AQ89:BC89"/>
    <mergeCell ref="AQ90:BC92"/>
    <mergeCell ref="V102:AA104"/>
    <mergeCell ref="V101:AA101"/>
    <mergeCell ref="U97:U98"/>
    <mergeCell ref="B90:U92"/>
    <mergeCell ref="B88:U89"/>
    <mergeCell ref="BE16:BP18"/>
    <mergeCell ref="AS19:AW21"/>
    <mergeCell ref="B19:G20"/>
    <mergeCell ref="BA97:BA98"/>
    <mergeCell ref="BB97:BB98"/>
    <mergeCell ref="BC97:BC98"/>
    <mergeCell ref="AS97:AS98"/>
    <mergeCell ref="AT97:AT98"/>
    <mergeCell ref="AM109:AM110"/>
    <mergeCell ref="AB101:AP101"/>
    <mergeCell ref="AE97:AE98"/>
    <mergeCell ref="AE109:AE110"/>
    <mergeCell ref="AN109:AN110"/>
    <mergeCell ref="BB109:BB110"/>
    <mergeCell ref="BC109:BC110"/>
    <mergeCell ref="AB102:AP104"/>
    <mergeCell ref="AW97:AW98"/>
    <mergeCell ref="BA109:BA110"/>
    <mergeCell ref="L82:O84"/>
    <mergeCell ref="P82:P84"/>
    <mergeCell ref="V85:Y86"/>
    <mergeCell ref="V90:AA92"/>
    <mergeCell ref="B51:G52"/>
    <mergeCell ref="AB68:AF68"/>
    <mergeCell ref="B25:G25"/>
    <mergeCell ref="CD37:CD38"/>
    <mergeCell ref="O19:S21"/>
    <mergeCell ref="CE37:CI38"/>
    <mergeCell ref="I16:M18"/>
    <mergeCell ref="CD35:CD36"/>
    <mergeCell ref="BY35:CC36"/>
    <mergeCell ref="CD31:CD32"/>
    <mergeCell ref="CD33:CD34"/>
    <mergeCell ref="BY21:CC22"/>
    <mergeCell ref="BY23:CC24"/>
    <mergeCell ref="BE27:BP28"/>
    <mergeCell ref="BU35:BW36"/>
    <mergeCell ref="BE35:BP36"/>
    <mergeCell ref="AY27:BC29"/>
    <mergeCell ref="BY33:CC34"/>
    <mergeCell ref="BY25:CC26"/>
    <mergeCell ref="BY29:CC30"/>
    <mergeCell ref="BY31:CC32"/>
    <mergeCell ref="BY19:CC20"/>
    <mergeCell ref="B21:G21"/>
    <mergeCell ref="AA16:AE18"/>
    <mergeCell ref="AA19:AE21"/>
    <mergeCell ref="O16:S18"/>
    <mergeCell ref="B31:G32"/>
    <mergeCell ref="I23:M25"/>
    <mergeCell ref="U16:Y18"/>
    <mergeCell ref="B27:G28"/>
    <mergeCell ref="B33:G33"/>
    <mergeCell ref="I27:M29"/>
    <mergeCell ref="B35:G36"/>
    <mergeCell ref="CD27:CD28"/>
    <mergeCell ref="BE33:BP34"/>
    <mergeCell ref="BY27:CC28"/>
    <mergeCell ref="BE29:BP30"/>
    <mergeCell ref="BQ29:BS30"/>
    <mergeCell ref="AY16:BC18"/>
    <mergeCell ref="AY19:BC21"/>
    <mergeCell ref="I19:M21"/>
    <mergeCell ref="BE31:BP32"/>
    <mergeCell ref="B23:G24"/>
    <mergeCell ref="BE21:BP22"/>
    <mergeCell ref="BQ21:BS22"/>
    <mergeCell ref="B16:G18"/>
    <mergeCell ref="BQ16:BS18"/>
    <mergeCell ref="BQ19:BS20"/>
    <mergeCell ref="BE19:BP20"/>
    <mergeCell ref="BU23:BW24"/>
    <mergeCell ref="CD21:CD22"/>
    <mergeCell ref="CQ23:CU24"/>
    <mergeCell ref="BU19:BW20"/>
    <mergeCell ref="BT16:BX18"/>
    <mergeCell ref="CP21:CP22"/>
    <mergeCell ref="CP23:CP24"/>
    <mergeCell ref="CK23:CO24"/>
    <mergeCell ref="BY16:CC18"/>
    <mergeCell ref="CE16:CI18"/>
    <mergeCell ref="CD19:CD20"/>
    <mergeCell ref="CD23:CD24"/>
    <mergeCell ref="BU21:BW22"/>
    <mergeCell ref="CK16:CO18"/>
    <mergeCell ref="CE19:CI20"/>
    <mergeCell ref="CJ21:CJ22"/>
    <mergeCell ref="CJ23:CJ24"/>
    <mergeCell ref="CE23:CI24"/>
    <mergeCell ref="CE21:CI22"/>
    <mergeCell ref="CP19:CP20"/>
    <mergeCell ref="CE27:CI28"/>
    <mergeCell ref="CE25:CI26"/>
    <mergeCell ref="CQ37:CU38"/>
    <mergeCell ref="CQ31:CU32"/>
    <mergeCell ref="CQ35:CU36"/>
    <mergeCell ref="CQ16:CU18"/>
    <mergeCell ref="CK19:CO20"/>
    <mergeCell ref="CJ19:CJ20"/>
    <mergeCell ref="CP37:CP38"/>
    <mergeCell ref="CE33:CI34"/>
    <mergeCell ref="CE31:CI32"/>
    <mergeCell ref="CK27:CO28"/>
    <mergeCell ref="CP27:CP28"/>
    <mergeCell ref="CQ19:CU20"/>
    <mergeCell ref="CK21:CO22"/>
    <mergeCell ref="CQ21:CU22"/>
    <mergeCell ref="CE47:CI48"/>
    <mergeCell ref="CJ25:CJ26"/>
    <mergeCell ref="BQ27:BS28"/>
    <mergeCell ref="CK31:CO32"/>
    <mergeCell ref="CP31:CP32"/>
    <mergeCell ref="CQ25:CU26"/>
    <mergeCell ref="CQ33:CU34"/>
    <mergeCell ref="CQ29:CU30"/>
    <mergeCell ref="CQ27:CU28"/>
    <mergeCell ref="CJ37:CJ38"/>
    <mergeCell ref="CQ41:CU42"/>
    <mergeCell ref="CQ39:CU40"/>
    <mergeCell ref="CJ31:CJ32"/>
    <mergeCell ref="BQ35:BS36"/>
    <mergeCell ref="CP29:CP30"/>
    <mergeCell ref="CJ29:CJ30"/>
    <mergeCell ref="CK29:CO30"/>
    <mergeCell ref="CJ35:CJ36"/>
    <mergeCell ref="CJ33:CJ34"/>
    <mergeCell ref="CD25:CD26"/>
    <mergeCell ref="CK37:CO38"/>
    <mergeCell ref="CE29:CI30"/>
    <mergeCell ref="CK25:CO26"/>
    <mergeCell ref="CP25:CP26"/>
    <mergeCell ref="BQ23:BS24"/>
    <mergeCell ref="BE25:BP26"/>
    <mergeCell ref="BQ25:BS26"/>
    <mergeCell ref="CD29:CD30"/>
    <mergeCell ref="CD49:CD50"/>
    <mergeCell ref="CJ47:CJ48"/>
    <mergeCell ref="CK47:CO48"/>
    <mergeCell ref="CP47:CP48"/>
    <mergeCell ref="B29:G29"/>
    <mergeCell ref="CK39:CO40"/>
    <mergeCell ref="CK41:CO42"/>
    <mergeCell ref="CP41:CP42"/>
    <mergeCell ref="CE43:CI44"/>
    <mergeCell ref="CE41:CI42"/>
    <mergeCell ref="CJ41:CJ42"/>
    <mergeCell ref="CJ39:CJ40"/>
    <mergeCell ref="CE39:CI40"/>
    <mergeCell ref="CP39:CP40"/>
    <mergeCell ref="CK35:CO36"/>
    <mergeCell ref="CP35:CP36"/>
    <mergeCell ref="CK33:CO34"/>
    <mergeCell ref="CP33:CP34"/>
    <mergeCell ref="BL41:BP42"/>
    <mergeCell ref="CE35:CI36"/>
    <mergeCell ref="CA141:CJ142"/>
    <mergeCell ref="CL141:CT142"/>
    <mergeCell ref="BE140:BO142"/>
    <mergeCell ref="BP141:BY142"/>
    <mergeCell ref="U157:U158"/>
    <mergeCell ref="V157:V158"/>
    <mergeCell ref="W157:W158"/>
    <mergeCell ref="B150:U152"/>
    <mergeCell ref="V150:AA152"/>
    <mergeCell ref="AG145:AG146"/>
    <mergeCell ref="AQ145:AQ146"/>
    <mergeCell ref="AS145:AS146"/>
    <mergeCell ref="AT145:AT146"/>
    <mergeCell ref="AD145:AD146"/>
    <mergeCell ref="B154:I156"/>
    <mergeCell ref="U145:U146"/>
    <mergeCell ref="B148:U149"/>
    <mergeCell ref="B153:I153"/>
    <mergeCell ref="AD157:AD158"/>
    <mergeCell ref="V145:V146"/>
    <mergeCell ref="W145:W146"/>
    <mergeCell ref="AA145:AA146"/>
    <mergeCell ref="AB145:AB146"/>
    <mergeCell ref="AC145:AC146"/>
    <mergeCell ref="CL157:CT158"/>
    <mergeCell ref="CA157:CJ158"/>
    <mergeCell ref="CL153:CT154"/>
    <mergeCell ref="CA153:CJ154"/>
    <mergeCell ref="CL145:CT146"/>
    <mergeCell ref="CL149:CT150"/>
    <mergeCell ref="CA145:CJ146"/>
    <mergeCell ref="CA149:CJ150"/>
    <mergeCell ref="BC157:BC158"/>
    <mergeCell ref="BP156:BY157"/>
    <mergeCell ref="BE156:BO157"/>
    <mergeCell ref="BC145:BC146"/>
    <mergeCell ref="AQ150:BC152"/>
    <mergeCell ref="BE151:BO152"/>
    <mergeCell ref="BP151:BY152"/>
    <mergeCell ref="BP146:BY147"/>
    <mergeCell ref="BB145:BB146"/>
    <mergeCell ref="BE146:BO147"/>
    <mergeCell ref="AQ149:BC149"/>
    <mergeCell ref="AY145:AY146"/>
    <mergeCell ref="AZ157:AZ158"/>
    <mergeCell ref="AV157:AV158"/>
    <mergeCell ref="AY157:AY158"/>
    <mergeCell ref="AW157:AW158"/>
    <mergeCell ref="AH133:AH134"/>
    <mergeCell ref="AY133:AY134"/>
    <mergeCell ref="AP133:AP134"/>
    <mergeCell ref="AU133:AU134"/>
    <mergeCell ref="AV133:AV134"/>
    <mergeCell ref="AO133:AO134"/>
    <mergeCell ref="AQ133:AQ134"/>
    <mergeCell ref="AQ137:BC137"/>
    <mergeCell ref="AZ133:AZ134"/>
    <mergeCell ref="BA133:BA134"/>
    <mergeCell ref="AW133:AW134"/>
    <mergeCell ref="BC133:BC134"/>
    <mergeCell ref="AQ138:BC140"/>
    <mergeCell ref="AW121:AW122"/>
    <mergeCell ref="AK109:AK110"/>
    <mergeCell ref="CA132:CU134"/>
    <mergeCell ref="CA137:CU138"/>
    <mergeCell ref="BE108:BY109"/>
    <mergeCell ref="BE125:BY127"/>
    <mergeCell ref="BE132:BY134"/>
    <mergeCell ref="J129:BC129"/>
    <mergeCell ref="J130:BC132"/>
    <mergeCell ref="W133:W134"/>
    <mergeCell ref="AB133:AB134"/>
    <mergeCell ref="AO121:AO122"/>
    <mergeCell ref="AM133:AM134"/>
    <mergeCell ref="AN133:AN134"/>
    <mergeCell ref="AB125:AP125"/>
    <mergeCell ref="BE137:BY138"/>
    <mergeCell ref="BB133:BB134"/>
    <mergeCell ref="AI133:AI134"/>
    <mergeCell ref="AJ133:AJ134"/>
    <mergeCell ref="AK133:AK134"/>
    <mergeCell ref="AE121:AE122"/>
    <mergeCell ref="AS121:AS122"/>
    <mergeCell ref="AT121:AT122"/>
    <mergeCell ref="V126:AA128"/>
    <mergeCell ref="AQ125:BC125"/>
    <mergeCell ref="AB126:AP128"/>
    <mergeCell ref="AQ126:BC128"/>
    <mergeCell ref="AB90:AP92"/>
    <mergeCell ref="V121:V122"/>
    <mergeCell ref="W121:W122"/>
    <mergeCell ref="AQ102:BC104"/>
    <mergeCell ref="AZ97:AZ98"/>
    <mergeCell ref="AS109:AS110"/>
    <mergeCell ref="AU109:AU110"/>
    <mergeCell ref="AW109:AW110"/>
    <mergeCell ref="AQ109:AQ110"/>
    <mergeCell ref="AV109:AV110"/>
    <mergeCell ref="AJ97:AJ98"/>
    <mergeCell ref="AK97:AK98"/>
    <mergeCell ref="AY97:AY98"/>
    <mergeCell ref="AQ114:BC116"/>
    <mergeCell ref="AQ121:AQ122"/>
    <mergeCell ref="AY121:AY122"/>
    <mergeCell ref="AA109:AA110"/>
    <mergeCell ref="V113:AA113"/>
    <mergeCell ref="AP121:AP122"/>
    <mergeCell ref="AU121:AU122"/>
  </mergeCells>
  <conditionalFormatting sqref="I19:M21">
    <cfRule type="expression" dxfId="28" priority="82">
      <formula>IF($U19="",FALSE,IF($U19&lt;$N19,TRUE,FALSE))</formula>
    </cfRule>
    <cfRule type="expression" dxfId="27" priority="83">
      <formula>IF($U19="",FALSE,IF($U19&gt;$N19,TRUE,FALSE))</formula>
    </cfRule>
  </conditionalFormatting>
  <conditionalFormatting sqref="I23:M25">
    <cfRule type="expression" dxfId="26" priority="80">
      <formula>IF($U23="",FALSE,IF($U23&lt;$N23,TRUE,FALSE))</formula>
    </cfRule>
    <cfRule type="expression" dxfId="25" priority="81">
      <formula>IF($U23="",FALSE,IF($U23&gt;$N23,TRUE,FALSE))</formula>
    </cfRule>
  </conditionalFormatting>
  <conditionalFormatting sqref="I27:M29">
    <cfRule type="expression" dxfId="24" priority="78">
      <formula>IF($U27="",FALSE,IF($U27&lt;$N27,TRUE,FALSE))</formula>
    </cfRule>
    <cfRule type="expression" dxfId="23" priority="79">
      <formula>IF($U27="",FALSE,IF($U27&gt;$N27,TRUE,FALSE))</formula>
    </cfRule>
  </conditionalFormatting>
  <conditionalFormatting sqref="I31:M33">
    <cfRule type="expression" dxfId="22" priority="76">
      <formula>IF($U31="",FALSE,IF($U31&lt;$N31,TRUE,FALSE))</formula>
    </cfRule>
    <cfRule type="expression" dxfId="21" priority="77">
      <formula>IF($U31="",FALSE,IF($U31&gt;$N31,TRUE,FALSE))</formula>
    </cfRule>
  </conditionalFormatting>
  <conditionalFormatting sqref="I35:M37">
    <cfRule type="expression" dxfId="20" priority="74">
      <formula>IF($U35="",FALSE,IF($U35&lt;$N35,TRUE,FALSE))</formula>
    </cfRule>
    <cfRule type="expression" dxfId="19" priority="75">
      <formula>IF($U35="",FALSE,IF($U35&gt;$N35,TRUE,FALSE))</formula>
    </cfRule>
  </conditionalFormatting>
  <conditionalFormatting sqref="I39:M41">
    <cfRule type="expression" dxfId="18" priority="72">
      <formula>IF($U39="",FALSE,IF($U39&lt;$N39,TRUE,FALSE))</formula>
    </cfRule>
    <cfRule type="expression" dxfId="17" priority="73">
      <formula>IF($U39="",FALSE,IF($U39&gt;$N39,TRUE,FALSE))</formula>
    </cfRule>
  </conditionalFormatting>
  <conditionalFormatting sqref="N19">
    <cfRule type="expression" dxfId="16" priority="71">
      <formula>IF($U19="",TRUE,IF($U19=$N19,TRUE,FALSE))</formula>
    </cfRule>
  </conditionalFormatting>
  <conditionalFormatting sqref="N23">
    <cfRule type="expression" dxfId="15" priority="70">
      <formula>IF($U23="",TRUE,IF($U23=$N23,TRUE,FALSE))</formula>
    </cfRule>
  </conditionalFormatting>
  <conditionalFormatting sqref="N27">
    <cfRule type="expression" dxfId="14" priority="69">
      <formula>IF($U27="",TRUE,IF($U27=$N27,TRUE,FALSE))</formula>
    </cfRule>
  </conditionalFormatting>
  <conditionalFormatting sqref="N31">
    <cfRule type="expression" dxfId="13" priority="68">
      <formula>IF($U31="",TRUE,IF($U31=$N31,TRUE,FALSE))</formula>
    </cfRule>
  </conditionalFormatting>
  <conditionalFormatting sqref="N35">
    <cfRule type="expression" dxfId="12" priority="67">
      <formula>IF($U35="",TRUE,IF($U35=$N35,TRUE,FALSE))</formula>
    </cfRule>
  </conditionalFormatting>
  <conditionalFormatting sqref="N39">
    <cfRule type="expression" dxfId="11" priority="66">
      <formula>IF($U39="",TRUE,IF($U39=$N39,TRUE,FALSE))</formula>
    </cfRule>
  </conditionalFormatting>
  <dataValidations count="1">
    <dataValidation type="whole" errorStyle="information" allowBlank="1" showInputMessage="1" showErrorMessage="1" errorTitle="Out of Range" sqref="U39:Y41 U35:Y37 U31:Y33 U27:Y29 U23:Y25 U19:Y21">
      <formula1>1</formula1>
      <formula2>30</formula2>
    </dataValidation>
  </dataValidations>
  <printOptions horizontalCentered="1"/>
  <pageMargins left="0.15748031496062992" right="0.15748031496062992" top="0.15748031496062992" bottom="0.15748031496062992" header="0" footer="0"/>
  <pageSetup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740" id="{C385E89A-45C4-4432-BBB3-2DCFAD136B5F}">
            <xm:f>IF(Start!$AZ$4,TRUE,FALSE)</xm:f>
            <x14:dxf>
              <font>
                <color theme="0"/>
              </font>
              <fill>
                <patternFill>
                  <bgColor theme="8"/>
                </patternFill>
              </fill>
            </x14:dxf>
          </x14:cfRule>
          <xm:sqref>B14:AE15 B19:G21 B23:G25 B27:G29 B31:G33 B35:G37 B39:G41 BE91</xm:sqref>
        </x14:conditionalFormatting>
        <x14:conditionalFormatting xmlns:xm="http://schemas.microsoft.com/office/excel/2006/main">
          <x14:cfRule type="expression" priority="1748" id="{D459340C-99DE-4016-91DA-5FDD8876FBA9}">
            <xm:f>IF(Start!$AZ$4,TRUE,FALSE)</xm:f>
            <x14:dxf>
              <font>
                <color theme="0"/>
              </font>
              <fill>
                <patternFill>
                  <bgColor theme="7"/>
                </patternFill>
              </fill>
            </x14:dxf>
          </x14:cfRule>
          <xm:sqref>AG14:BC15 CA137 BE137</xm:sqref>
        </x14:conditionalFormatting>
        <x14:conditionalFormatting xmlns:xm="http://schemas.microsoft.com/office/excel/2006/main">
          <x14:cfRule type="expression" priority="1751" id="{9FD88F1A-6AD7-49A7-91B9-8BB1E54EBA42}">
            <xm:f>IF(Start!$AZ$4,TRUE,FALSE)</xm:f>
            <x14:dxf>
              <font>
                <color theme="0"/>
              </font>
              <fill>
                <patternFill>
                  <bgColor theme="5"/>
                </patternFill>
              </fill>
            </x14:dxf>
          </x14:cfRule>
          <xm:sqref>BE14:CU15 BE56 BE59 BS59 BE78</xm:sqref>
        </x14:conditionalFormatting>
        <x14:conditionalFormatting xmlns:xm="http://schemas.microsoft.com/office/excel/2006/main">
          <x14:cfRule type="expression" priority="1756" id="{ABD7525C-33E0-4336-ADC9-BD0D07AA655F}">
            <xm:f>IF(Start!$AZ$4,TRUE,FALSE)</xm:f>
            <x14:dxf>
              <font>
                <color theme="0"/>
              </font>
              <fill>
                <patternFill>
                  <bgColor theme="9"/>
                </patternFill>
              </fill>
            </x14:dxf>
          </x14:cfRule>
          <xm:sqref>B51:G53 B43 B46:G48 Y46:AD48</xm:sqref>
        </x14:conditionalFormatting>
        <x14:conditionalFormatting xmlns:xm="http://schemas.microsoft.com/office/excel/2006/main">
          <x14:cfRule type="expression" priority="1760" id="{14434626-3B66-466C-A4FC-99FA89AE2B8D}">
            <xm:f>IF(Start!$AZ$4,TRUE,FALSE)</xm:f>
            <x14:dxf>
              <font>
                <color theme="0"/>
              </font>
              <fill>
                <patternFill>
                  <bgColor rgb="FF7030A0"/>
                </patternFill>
              </fill>
            </x14:dxf>
          </x14:cfRule>
          <xm:sqref>AP76 AA78 AA76 B73 B78 B76 AA84 AA82 B82 B84</xm:sqref>
        </x14:conditionalFormatting>
        <x14:conditionalFormatting xmlns:xm="http://schemas.microsoft.com/office/excel/2006/main">
          <x14:cfRule type="expression" priority="1770" id="{0B718C76-B671-43D4-B062-D3085E03594A}">
            <xm:f>IF(Start!$AZ$4,TRUE,FALSE)</xm:f>
            <x14:dxf>
              <font>
                <b/>
                <i val="0"/>
                <color theme="0"/>
              </font>
              <fill>
                <patternFill>
                  <bgColor theme="9"/>
                </patternFill>
              </fill>
            </x14:dxf>
          </x14:cfRule>
          <xm:sqref>B57:U58 V58:BC58 B62:BC62 B67:U68 V68:BC68</xm:sqref>
        </x14:conditionalFormatting>
        <x14:conditionalFormatting xmlns:xm="http://schemas.microsoft.com/office/excel/2006/main">
          <x14:cfRule type="expression" priority="1775" id="{575E9259-6F45-4576-A4B1-90BEC99BFAD6}">
            <xm:f>IF(Start!$AZ$4,TRUE,FALSE)</xm:f>
            <x14:dxf>
              <border>
                <left style="thin">
                  <color theme="9"/>
                </left>
                <right style="thin">
                  <color theme="9"/>
                </right>
                <top style="thin">
                  <color theme="9"/>
                </top>
                <bottom style="thin">
                  <color theme="9"/>
                </bottom>
                <vertical/>
                <horizontal/>
              </border>
            </x14:dxf>
          </x14:cfRule>
          <xm:sqref>B57:U58 B59:BC65 B69:BC71 B67:U68 V58:BC58 V68:BC68</xm:sqref>
        </x14:conditionalFormatting>
        <x14:conditionalFormatting xmlns:xm="http://schemas.microsoft.com/office/excel/2006/main">
          <x14:cfRule type="expression" priority="1781" id="{8C319940-363A-462F-B4C1-F878CADB4791}">
            <xm:f>IF(Start!$AZ$4,TRUE,FALSE)</xm:f>
            <x14:dxf>
              <border>
                <left style="thin">
                  <color rgb="FFC00000"/>
                </left>
                <right style="thin">
                  <color rgb="FFC00000"/>
                </right>
                <top style="thin">
                  <color rgb="FFC00000"/>
                </top>
                <bottom style="thin">
                  <color rgb="FFC00000"/>
                </bottom>
                <vertical/>
                <horizontal/>
              </border>
            </x14:dxf>
          </x14:cfRule>
          <xm:sqref>B88:U89 V89:BC89 B90:BC96 B100:U101 V101:BC101 B102:BC108 B112:U113 V113:BC113 B114:BC120 B124:U125 V125:BC125 B126:BC132 B136:U137 V137:BC137 B138:BC144 B148:U149 V149:BC149 B150:BC156</xm:sqref>
        </x14:conditionalFormatting>
        <x14:conditionalFormatting xmlns:xm="http://schemas.microsoft.com/office/excel/2006/main">
          <x14:cfRule type="expression" priority="1799" id="{7F505EA2-347E-4BEF-BF18-2A8440152B8A}">
            <xm:f>IF(Start!$AZ$4,TRUE,FALSE)</xm:f>
            <x14:dxf>
              <font>
                <b/>
                <i val="0"/>
                <color theme="0"/>
              </font>
              <fill>
                <patternFill>
                  <bgColor rgb="FFC00000"/>
                </patternFill>
              </fill>
            </x14:dxf>
          </x14:cfRule>
          <xm:sqref>V89 B93 B88 AB89 AQ89 J93 V101 B105 B100 AB101 AQ101 J105 V113 B117 B112 AB113 AQ113 J117 V125 B129 B124 AB125 AQ125 J129 V137 B141 B136 AB137 AQ137 J141 V149 B153 B148 AB149 AQ149 J153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L245"/>
  <sheetViews>
    <sheetView showGridLines="0" showRowColHeaders="0" showOutlineSymbols="0" topLeftCell="A142" zoomScaleNormal="100" zoomScaleSheetLayoutView="69" workbookViewId="0">
      <selection activeCell="B115" sqref="B115:AA126"/>
    </sheetView>
  </sheetViews>
  <sheetFormatPr defaultColWidth="0" defaultRowHeight="12" customHeight="1" x14ac:dyDescent="0.2"/>
  <cols>
    <col min="1" max="1" width="1" style="6" customWidth="1"/>
    <col min="2" max="99" width="2.5703125" style="6" customWidth="1"/>
    <col min="100" max="100" width="1" style="6" customWidth="1"/>
    <col min="101" max="101" width="2.5703125" style="6" customWidth="1"/>
    <col min="102" max="16384" width="2.5703125" style="6" hidden="1"/>
  </cols>
  <sheetData>
    <row r="1" spans="1:100" s="1" customFormat="1" ht="5.25" customHeight="1" thickBot="1" x14ac:dyDescent="0.25">
      <c r="A1" s="2"/>
      <c r="B1" s="36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362"/>
      <c r="BN1" s="362"/>
      <c r="BO1" s="362"/>
      <c r="BP1" s="362"/>
      <c r="BQ1" s="362"/>
      <c r="BR1" s="362"/>
      <c r="BS1" s="362"/>
      <c r="BT1" s="362"/>
      <c r="BU1" s="362"/>
      <c r="BV1" s="362"/>
      <c r="BW1" s="362"/>
      <c r="BX1" s="362"/>
      <c r="BY1" s="362"/>
      <c r="BZ1" s="2"/>
      <c r="CA1" s="362"/>
      <c r="CB1" s="2"/>
      <c r="CC1" s="2"/>
      <c r="CD1" s="2"/>
      <c r="CE1" s="2"/>
      <c r="CF1" s="2"/>
      <c r="CG1" s="2"/>
      <c r="CH1" s="2"/>
      <c r="CI1" s="2"/>
      <c r="CJ1" s="2"/>
      <c r="CK1" s="2"/>
      <c r="CL1" s="2"/>
      <c r="CM1" s="2"/>
      <c r="CN1" s="2"/>
      <c r="CO1" s="2"/>
      <c r="CP1" s="362"/>
      <c r="CQ1" s="362"/>
      <c r="CR1" s="362"/>
      <c r="CS1" s="362"/>
      <c r="CT1" s="362"/>
      <c r="CU1" s="362"/>
      <c r="CV1" s="362"/>
    </row>
    <row r="2" spans="1:100" s="1" customFormat="1" ht="12" customHeight="1" x14ac:dyDescent="0.2">
      <c r="A2" s="2"/>
      <c r="B2" s="1302" t="s">
        <v>52</v>
      </c>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3"/>
      <c r="AM2" s="1303"/>
      <c r="AN2" s="1303"/>
      <c r="AO2" s="1303"/>
      <c r="AP2" s="1303"/>
      <c r="AQ2" s="1303"/>
      <c r="AR2" s="1303"/>
      <c r="AS2" s="1303"/>
      <c r="AT2" s="1303"/>
      <c r="AU2" s="1303"/>
      <c r="AV2" s="1303"/>
      <c r="AW2" s="1303"/>
      <c r="AX2" s="1303"/>
      <c r="AY2" s="1303"/>
      <c r="AZ2" s="1303"/>
      <c r="BA2" s="1303"/>
      <c r="BB2" s="1304"/>
      <c r="BC2" s="2"/>
      <c r="BD2" s="1274" t="s">
        <v>405</v>
      </c>
      <c r="BE2" s="1275"/>
      <c r="BF2" s="1275"/>
      <c r="BG2" s="1275"/>
      <c r="BH2" s="1275"/>
      <c r="BI2" s="1275"/>
      <c r="BJ2" s="1275"/>
      <c r="BK2" s="1275"/>
      <c r="BL2" s="1275"/>
      <c r="BM2" s="1275"/>
      <c r="BN2" s="1275"/>
      <c r="BO2" s="1275"/>
      <c r="BP2" s="1275"/>
      <c r="BQ2" s="1275"/>
      <c r="BR2" s="1275"/>
      <c r="BS2" s="1275"/>
      <c r="BT2" s="1275"/>
      <c r="BU2" s="1275"/>
      <c r="BV2" s="1275"/>
      <c r="BW2" s="1275"/>
      <c r="BX2" s="1275"/>
      <c r="BY2" s="1275"/>
      <c r="BZ2" s="1275"/>
      <c r="CA2" s="1275"/>
      <c r="CB2" s="1275"/>
      <c r="CC2" s="1275"/>
      <c r="CD2" s="1275"/>
      <c r="CE2" s="1275"/>
      <c r="CF2" s="1275"/>
      <c r="CG2" s="1275"/>
      <c r="CH2" s="1275"/>
      <c r="CI2" s="1275"/>
      <c r="CJ2" s="1275"/>
      <c r="CK2" s="1275"/>
      <c r="CL2" s="1275"/>
      <c r="CM2" s="1275"/>
      <c r="CN2" s="1275"/>
      <c r="CO2" s="1275"/>
      <c r="CP2" s="1275"/>
      <c r="CQ2" s="1275"/>
      <c r="CR2" s="1275"/>
      <c r="CS2" s="1275"/>
      <c r="CT2" s="1275"/>
      <c r="CU2" s="1276"/>
      <c r="CV2" s="362"/>
    </row>
    <row r="3" spans="1:100" s="1" customFormat="1" ht="12" customHeight="1" thickBot="1" x14ac:dyDescent="0.25">
      <c r="A3" s="2"/>
      <c r="B3" s="1305"/>
      <c r="C3" s="1278"/>
      <c r="D3" s="1278"/>
      <c r="E3" s="1278"/>
      <c r="F3" s="1278"/>
      <c r="G3" s="1278"/>
      <c r="H3" s="1278"/>
      <c r="I3" s="1278"/>
      <c r="J3" s="1278"/>
      <c r="K3" s="1278"/>
      <c r="L3" s="1278"/>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306"/>
      <c r="BC3" s="2"/>
      <c r="BD3" s="1300"/>
      <c r="BE3" s="997"/>
      <c r="BF3" s="997"/>
      <c r="BG3" s="997"/>
      <c r="BH3" s="997"/>
      <c r="BI3" s="997"/>
      <c r="BJ3" s="997"/>
      <c r="BK3" s="997"/>
      <c r="BL3" s="997"/>
      <c r="BM3" s="997"/>
      <c r="BN3" s="997"/>
      <c r="BO3" s="997"/>
      <c r="BP3" s="997"/>
      <c r="BQ3" s="997"/>
      <c r="BR3" s="997"/>
      <c r="BS3" s="997"/>
      <c r="BT3" s="997"/>
      <c r="BU3" s="997"/>
      <c r="BV3" s="997"/>
      <c r="BW3" s="997"/>
      <c r="BX3" s="997"/>
      <c r="BY3" s="997"/>
      <c r="BZ3" s="997"/>
      <c r="CA3" s="997"/>
      <c r="CB3" s="997"/>
      <c r="CC3" s="997"/>
      <c r="CD3" s="997"/>
      <c r="CE3" s="997"/>
      <c r="CF3" s="997"/>
      <c r="CG3" s="997"/>
      <c r="CH3" s="997"/>
      <c r="CI3" s="997"/>
      <c r="CJ3" s="997"/>
      <c r="CK3" s="997"/>
      <c r="CL3" s="997"/>
      <c r="CM3" s="997"/>
      <c r="CN3" s="997"/>
      <c r="CO3" s="997"/>
      <c r="CP3" s="997"/>
      <c r="CQ3" s="997"/>
      <c r="CR3" s="997"/>
      <c r="CS3" s="997"/>
      <c r="CT3" s="997"/>
      <c r="CU3" s="1301"/>
      <c r="CV3" s="362"/>
    </row>
    <row r="4" spans="1:100" s="1" customFormat="1" ht="12" customHeight="1" x14ac:dyDescent="0.2">
      <c r="A4" s="2"/>
      <c r="B4" s="1307" t="s">
        <v>401</v>
      </c>
      <c r="C4" s="1307"/>
      <c r="D4" s="1307"/>
      <c r="E4" s="1307"/>
      <c r="F4" s="1307"/>
      <c r="G4" s="1307"/>
      <c r="H4" s="1307"/>
      <c r="I4" s="1307"/>
      <c r="J4" s="1307"/>
      <c r="K4" s="1307"/>
      <c r="L4" s="1307"/>
      <c r="M4" s="1307"/>
      <c r="N4" s="1307"/>
      <c r="O4" s="1307"/>
      <c r="P4" s="1307"/>
      <c r="Q4" s="1307"/>
      <c r="R4" s="1307"/>
      <c r="S4" s="1307"/>
      <c r="T4" s="1307"/>
      <c r="U4" s="1307"/>
      <c r="V4" s="1307"/>
      <c r="W4" s="1307"/>
      <c r="X4" s="1307"/>
      <c r="Y4" s="1307"/>
      <c r="Z4" s="1307"/>
      <c r="AA4" s="1307"/>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69"/>
      <c r="BA4" s="469"/>
      <c r="BB4" s="469"/>
      <c r="BC4" s="2"/>
      <c r="BD4" s="485"/>
      <c r="BE4" s="1280" t="str">
        <f>IF(CharacterLevel="","",Start!BK2)</f>
        <v xml:space="preserve">RACE: Select…
BACKGROUND: Select…
• Feature: 
• Skills: none
• Tools: none
• Languages: none
</v>
      </c>
      <c r="BF4" s="1280"/>
      <c r="BG4" s="1280"/>
      <c r="BH4" s="1280"/>
      <c r="BI4" s="1280"/>
      <c r="BJ4" s="1280"/>
      <c r="BK4" s="1280"/>
      <c r="BL4" s="1280"/>
      <c r="BM4" s="1280"/>
      <c r="BN4" s="1280"/>
      <c r="BO4" s="1280"/>
      <c r="BP4" s="1280"/>
      <c r="BQ4" s="1280"/>
      <c r="BR4" s="1280"/>
      <c r="BS4" s="1280"/>
      <c r="BT4" s="1280"/>
      <c r="BU4" s="1280"/>
      <c r="BV4" s="1280"/>
      <c r="BW4" s="1280"/>
      <c r="BX4" s="1280"/>
      <c r="BY4" s="1280"/>
      <c r="BZ4" s="1280"/>
      <c r="CA4" s="1280"/>
      <c r="CB4" s="1280"/>
      <c r="CC4" s="1280"/>
      <c r="CD4" s="1280"/>
      <c r="CE4" s="1280"/>
      <c r="CF4" s="1280"/>
      <c r="CG4" s="1280"/>
      <c r="CH4" s="1280"/>
      <c r="CI4" s="1280"/>
      <c r="CJ4" s="1280"/>
      <c r="CK4" s="1280"/>
      <c r="CL4" s="1280"/>
      <c r="CM4" s="1280"/>
      <c r="CN4" s="1280"/>
      <c r="CO4" s="1280"/>
      <c r="CP4" s="1280"/>
      <c r="CQ4" s="1280"/>
      <c r="CR4" s="1280"/>
      <c r="CS4" s="1280"/>
      <c r="CT4" s="1280"/>
      <c r="CU4" s="1281"/>
      <c r="CV4" s="362"/>
    </row>
    <row r="5" spans="1:100" s="1" customFormat="1" ht="12" customHeight="1" x14ac:dyDescent="0.2">
      <c r="A5" s="2"/>
      <c r="B5" s="1298"/>
      <c r="C5" s="1298"/>
      <c r="D5" s="1298"/>
      <c r="E5" s="1298"/>
      <c r="F5" s="1298"/>
      <c r="G5" s="1298"/>
      <c r="H5" s="1298"/>
      <c r="I5" s="1298"/>
      <c r="J5" s="1298"/>
      <c r="K5" s="1298"/>
      <c r="L5" s="1298"/>
      <c r="M5" s="1298"/>
      <c r="N5" s="1298"/>
      <c r="O5" s="1298"/>
      <c r="P5" s="1298"/>
      <c r="Q5" s="1298"/>
      <c r="R5" s="1298"/>
      <c r="S5" s="1298"/>
      <c r="T5" s="1298"/>
      <c r="U5" s="1298"/>
      <c r="V5" s="1298"/>
      <c r="W5" s="1298"/>
      <c r="X5" s="1298"/>
      <c r="Y5" s="1298"/>
      <c r="Z5" s="1298"/>
      <c r="AA5" s="1298"/>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62"/>
      <c r="BD5" s="486"/>
      <c r="BE5" s="1282"/>
      <c r="BF5" s="1282"/>
      <c r="BG5" s="1282"/>
      <c r="BH5" s="1282"/>
      <c r="BI5" s="1282"/>
      <c r="BJ5" s="1282"/>
      <c r="BK5" s="1282"/>
      <c r="BL5" s="1282"/>
      <c r="BM5" s="1282"/>
      <c r="BN5" s="1282"/>
      <c r="BO5" s="1282"/>
      <c r="BP5" s="1282"/>
      <c r="BQ5" s="1282"/>
      <c r="BR5" s="1282"/>
      <c r="BS5" s="1282"/>
      <c r="BT5" s="1282"/>
      <c r="BU5" s="1282"/>
      <c r="BV5" s="1282"/>
      <c r="BW5" s="1282"/>
      <c r="BX5" s="1282"/>
      <c r="BY5" s="1282"/>
      <c r="BZ5" s="1282"/>
      <c r="CA5" s="1282"/>
      <c r="CB5" s="1282"/>
      <c r="CC5" s="1282"/>
      <c r="CD5" s="1282"/>
      <c r="CE5" s="1282"/>
      <c r="CF5" s="1282"/>
      <c r="CG5" s="1282"/>
      <c r="CH5" s="1282"/>
      <c r="CI5" s="1282"/>
      <c r="CJ5" s="1282"/>
      <c r="CK5" s="1282"/>
      <c r="CL5" s="1282"/>
      <c r="CM5" s="1282"/>
      <c r="CN5" s="1282"/>
      <c r="CO5" s="1282"/>
      <c r="CP5" s="1282"/>
      <c r="CQ5" s="1282"/>
      <c r="CR5" s="1282"/>
      <c r="CS5" s="1282"/>
      <c r="CT5" s="1282"/>
      <c r="CU5" s="1283"/>
      <c r="CV5" s="362"/>
    </row>
    <row r="6" spans="1:100" s="1" customFormat="1" ht="12" customHeight="1" x14ac:dyDescent="0.25">
      <c r="A6" s="2"/>
      <c r="B6" s="1286" t="s">
        <v>53</v>
      </c>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97" t="s">
        <v>785</v>
      </c>
      <c r="AD6" s="1297"/>
      <c r="AE6" s="1297"/>
      <c r="AF6" s="364"/>
      <c r="AG6" s="1286" t="s">
        <v>402</v>
      </c>
      <c r="AH6" s="1286"/>
      <c r="AI6" s="1286"/>
      <c r="AJ6" s="1286"/>
      <c r="AK6" s="1286"/>
      <c r="AL6" s="1286"/>
      <c r="AM6" s="1286"/>
      <c r="AN6" s="1286"/>
      <c r="AO6" s="1286"/>
      <c r="AP6" s="1286"/>
      <c r="AQ6" s="1286"/>
      <c r="AR6" s="1286"/>
      <c r="AS6" s="1286"/>
      <c r="AT6" s="1286"/>
      <c r="AU6" s="1287" t="s">
        <v>12</v>
      </c>
      <c r="AV6" s="1287"/>
      <c r="AW6" s="1287"/>
      <c r="AX6" s="1287"/>
      <c r="AY6" s="1287"/>
      <c r="AZ6" s="1287"/>
      <c r="BA6" s="1287"/>
      <c r="BB6" s="1287"/>
      <c r="BC6" s="162"/>
      <c r="BD6" s="486"/>
      <c r="BE6" s="1282"/>
      <c r="BF6" s="1282"/>
      <c r="BG6" s="1282"/>
      <c r="BH6" s="1282"/>
      <c r="BI6" s="1282"/>
      <c r="BJ6" s="1282"/>
      <c r="BK6" s="1282"/>
      <c r="BL6" s="1282"/>
      <c r="BM6" s="1282"/>
      <c r="BN6" s="1282"/>
      <c r="BO6" s="1282"/>
      <c r="BP6" s="1282"/>
      <c r="BQ6" s="1282"/>
      <c r="BR6" s="1282"/>
      <c r="BS6" s="1282"/>
      <c r="BT6" s="1282"/>
      <c r="BU6" s="1282"/>
      <c r="BV6" s="1282"/>
      <c r="BW6" s="1282"/>
      <c r="BX6" s="1282"/>
      <c r="BY6" s="1282"/>
      <c r="BZ6" s="1282"/>
      <c r="CA6" s="1282"/>
      <c r="CB6" s="1282"/>
      <c r="CC6" s="1282"/>
      <c r="CD6" s="1282"/>
      <c r="CE6" s="1282"/>
      <c r="CF6" s="1282"/>
      <c r="CG6" s="1282"/>
      <c r="CH6" s="1282"/>
      <c r="CI6" s="1282"/>
      <c r="CJ6" s="1282"/>
      <c r="CK6" s="1282"/>
      <c r="CL6" s="1282"/>
      <c r="CM6" s="1282"/>
      <c r="CN6" s="1282"/>
      <c r="CO6" s="1282"/>
      <c r="CP6" s="1282"/>
      <c r="CQ6" s="1282"/>
      <c r="CR6" s="1282"/>
      <c r="CS6" s="1282"/>
      <c r="CT6" s="1282"/>
      <c r="CU6" s="1283"/>
      <c r="CV6" s="362"/>
    </row>
    <row r="7" spans="1:100" s="1" customFormat="1" ht="12" customHeight="1" x14ac:dyDescent="0.25">
      <c r="A7" s="2"/>
      <c r="B7" s="1286"/>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6"/>
      <c r="AC7" s="1297"/>
      <c r="AD7" s="1297"/>
      <c r="AE7" s="1297"/>
      <c r="AF7" s="364"/>
      <c r="AG7" s="1286"/>
      <c r="AH7" s="1286"/>
      <c r="AI7" s="1286"/>
      <c r="AJ7" s="1286"/>
      <c r="AK7" s="1286"/>
      <c r="AL7" s="1286"/>
      <c r="AM7" s="1286"/>
      <c r="AN7" s="1286"/>
      <c r="AO7" s="1286"/>
      <c r="AP7" s="1286"/>
      <c r="AQ7" s="1286"/>
      <c r="AR7" s="1286"/>
      <c r="AS7" s="1286"/>
      <c r="AT7" s="1286"/>
      <c r="AU7" s="1287"/>
      <c r="AV7" s="1287"/>
      <c r="AW7" s="1287"/>
      <c r="AX7" s="1287"/>
      <c r="AY7" s="1287"/>
      <c r="AZ7" s="1287"/>
      <c r="BA7" s="1287"/>
      <c r="BB7" s="1287"/>
      <c r="BC7" s="2"/>
      <c r="BD7" s="486"/>
      <c r="BE7" s="1282"/>
      <c r="BF7" s="1282"/>
      <c r="BG7" s="1282"/>
      <c r="BH7" s="1282"/>
      <c r="BI7" s="1282"/>
      <c r="BJ7" s="1282"/>
      <c r="BK7" s="1282"/>
      <c r="BL7" s="1282"/>
      <c r="BM7" s="1282"/>
      <c r="BN7" s="1282"/>
      <c r="BO7" s="1282"/>
      <c r="BP7" s="1282"/>
      <c r="BQ7" s="1282"/>
      <c r="BR7" s="1282"/>
      <c r="BS7" s="1282"/>
      <c r="BT7" s="1282"/>
      <c r="BU7" s="1282"/>
      <c r="BV7" s="1282"/>
      <c r="BW7" s="1282"/>
      <c r="BX7" s="1282"/>
      <c r="BY7" s="1282"/>
      <c r="BZ7" s="1282"/>
      <c r="CA7" s="1282"/>
      <c r="CB7" s="1282"/>
      <c r="CC7" s="1282"/>
      <c r="CD7" s="1282"/>
      <c r="CE7" s="1282"/>
      <c r="CF7" s="1282"/>
      <c r="CG7" s="1282"/>
      <c r="CH7" s="1282"/>
      <c r="CI7" s="1282"/>
      <c r="CJ7" s="1282"/>
      <c r="CK7" s="1282"/>
      <c r="CL7" s="1282"/>
      <c r="CM7" s="1282"/>
      <c r="CN7" s="1282"/>
      <c r="CO7" s="1282"/>
      <c r="CP7" s="1282"/>
      <c r="CQ7" s="1282"/>
      <c r="CR7" s="1282"/>
      <c r="CS7" s="1282"/>
      <c r="CT7" s="1282"/>
      <c r="CU7" s="1283"/>
      <c r="CV7" s="362"/>
    </row>
    <row r="8" spans="1:100" s="1" customFormat="1" ht="12" customHeight="1" x14ac:dyDescent="0.25">
      <c r="A8" s="2"/>
      <c r="B8" s="1268"/>
      <c r="C8" s="1268"/>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7"/>
      <c r="AC8" s="1270"/>
      <c r="AD8" s="1270"/>
      <c r="AE8" s="1270"/>
      <c r="AF8" s="1267"/>
      <c r="AG8" s="1268"/>
      <c r="AH8" s="1268"/>
      <c r="AI8" s="1268"/>
      <c r="AJ8" s="1268"/>
      <c r="AK8" s="1268"/>
      <c r="AL8" s="1268"/>
      <c r="AM8" s="1268"/>
      <c r="AN8" s="1268"/>
      <c r="AO8" s="1268"/>
      <c r="AP8" s="1268"/>
      <c r="AQ8" s="1268"/>
      <c r="AR8" s="1268"/>
      <c r="AS8" s="1268"/>
      <c r="AT8" s="751"/>
      <c r="AU8" s="1272"/>
      <c r="AV8" s="1272"/>
      <c r="AW8" s="1272"/>
      <c r="AX8" s="1272"/>
      <c r="AY8" s="1272"/>
      <c r="AZ8" s="1272"/>
      <c r="BA8" s="1272"/>
      <c r="BB8" s="1272"/>
      <c r="BC8" s="162"/>
      <c r="BD8" s="486"/>
      <c r="BE8" s="1282"/>
      <c r="BF8" s="1282"/>
      <c r="BG8" s="1282"/>
      <c r="BH8" s="1282"/>
      <c r="BI8" s="1282"/>
      <c r="BJ8" s="1282"/>
      <c r="BK8" s="1282"/>
      <c r="BL8" s="1282"/>
      <c r="BM8" s="1282"/>
      <c r="BN8" s="1282"/>
      <c r="BO8" s="1282"/>
      <c r="BP8" s="1282"/>
      <c r="BQ8" s="1282"/>
      <c r="BR8" s="1282"/>
      <c r="BS8" s="1282"/>
      <c r="BT8" s="1282"/>
      <c r="BU8" s="1282"/>
      <c r="BV8" s="1282"/>
      <c r="BW8" s="1282"/>
      <c r="BX8" s="1282"/>
      <c r="BY8" s="1282"/>
      <c r="BZ8" s="1282"/>
      <c r="CA8" s="1282"/>
      <c r="CB8" s="1282"/>
      <c r="CC8" s="1282"/>
      <c r="CD8" s="1282"/>
      <c r="CE8" s="1282"/>
      <c r="CF8" s="1282"/>
      <c r="CG8" s="1282"/>
      <c r="CH8" s="1282"/>
      <c r="CI8" s="1282"/>
      <c r="CJ8" s="1282"/>
      <c r="CK8" s="1282"/>
      <c r="CL8" s="1282"/>
      <c r="CM8" s="1282"/>
      <c r="CN8" s="1282"/>
      <c r="CO8" s="1282"/>
      <c r="CP8" s="1282"/>
      <c r="CQ8" s="1282"/>
      <c r="CR8" s="1282"/>
      <c r="CS8" s="1282"/>
      <c r="CT8" s="1282"/>
      <c r="CU8" s="1283"/>
      <c r="CV8" s="362"/>
    </row>
    <row r="9" spans="1:100" s="1" customFormat="1" ht="12" customHeight="1" x14ac:dyDescent="0.25">
      <c r="A9" s="2"/>
      <c r="B9" s="1269"/>
      <c r="C9" s="126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7"/>
      <c r="AC9" s="1271"/>
      <c r="AD9" s="1271"/>
      <c r="AE9" s="1271"/>
      <c r="AF9" s="1267"/>
      <c r="AG9" s="1269"/>
      <c r="AH9" s="1269"/>
      <c r="AI9" s="1269"/>
      <c r="AJ9" s="1269"/>
      <c r="AK9" s="1269"/>
      <c r="AL9" s="1269"/>
      <c r="AM9" s="1269"/>
      <c r="AN9" s="1269"/>
      <c r="AO9" s="1269"/>
      <c r="AP9" s="1269"/>
      <c r="AQ9" s="1269"/>
      <c r="AR9" s="1269"/>
      <c r="AS9" s="1269"/>
      <c r="AT9" s="751"/>
      <c r="AU9" s="1273"/>
      <c r="AV9" s="1273"/>
      <c r="AW9" s="1273"/>
      <c r="AX9" s="1273"/>
      <c r="AY9" s="1273"/>
      <c r="AZ9" s="1273"/>
      <c r="BA9" s="1273"/>
      <c r="BB9" s="1273"/>
      <c r="BC9" s="162"/>
      <c r="BD9" s="486"/>
      <c r="BE9" s="1282"/>
      <c r="BF9" s="1282"/>
      <c r="BG9" s="1282"/>
      <c r="BH9" s="1282"/>
      <c r="BI9" s="1282"/>
      <c r="BJ9" s="1282"/>
      <c r="BK9" s="1282"/>
      <c r="BL9" s="1282"/>
      <c r="BM9" s="1282"/>
      <c r="BN9" s="1282"/>
      <c r="BO9" s="1282"/>
      <c r="BP9" s="1282"/>
      <c r="BQ9" s="1282"/>
      <c r="BR9" s="1282"/>
      <c r="BS9" s="1282"/>
      <c r="BT9" s="1282"/>
      <c r="BU9" s="1282"/>
      <c r="BV9" s="1282"/>
      <c r="BW9" s="1282"/>
      <c r="BX9" s="1282"/>
      <c r="BY9" s="1282"/>
      <c r="BZ9" s="1282"/>
      <c r="CA9" s="1282"/>
      <c r="CB9" s="1282"/>
      <c r="CC9" s="1282"/>
      <c r="CD9" s="1282"/>
      <c r="CE9" s="1282"/>
      <c r="CF9" s="1282"/>
      <c r="CG9" s="1282"/>
      <c r="CH9" s="1282"/>
      <c r="CI9" s="1282"/>
      <c r="CJ9" s="1282"/>
      <c r="CK9" s="1282"/>
      <c r="CL9" s="1282"/>
      <c r="CM9" s="1282"/>
      <c r="CN9" s="1282"/>
      <c r="CO9" s="1282"/>
      <c r="CP9" s="1282"/>
      <c r="CQ9" s="1282"/>
      <c r="CR9" s="1282"/>
      <c r="CS9" s="1282"/>
      <c r="CT9" s="1282"/>
      <c r="CU9" s="1283"/>
      <c r="CV9" s="362"/>
    </row>
    <row r="10" spans="1:100" s="1" customFormat="1" ht="12" customHeight="1" x14ac:dyDescent="0.2">
      <c r="A10" s="2"/>
      <c r="B10" s="1268"/>
      <c r="C10" s="1268"/>
      <c r="D10" s="1268"/>
      <c r="E10" s="1268"/>
      <c r="F10" s="1268"/>
      <c r="G10" s="1268"/>
      <c r="H10" s="1268"/>
      <c r="I10" s="1268"/>
      <c r="J10" s="1268"/>
      <c r="K10" s="1268"/>
      <c r="L10" s="1268"/>
      <c r="M10" s="1268"/>
      <c r="N10" s="1268"/>
      <c r="O10" s="1268"/>
      <c r="P10" s="1268"/>
      <c r="Q10" s="1268"/>
      <c r="R10" s="1268"/>
      <c r="S10" s="1268"/>
      <c r="T10" s="1268"/>
      <c r="U10" s="1268"/>
      <c r="V10" s="1268"/>
      <c r="W10" s="1268"/>
      <c r="X10" s="1268"/>
      <c r="Y10" s="1268"/>
      <c r="Z10" s="1268"/>
      <c r="AA10" s="1268"/>
      <c r="AB10" s="1267"/>
      <c r="AC10" s="1270"/>
      <c r="AD10" s="1270"/>
      <c r="AE10" s="1270"/>
      <c r="AF10" s="1267"/>
      <c r="AG10" s="1268"/>
      <c r="AH10" s="1268"/>
      <c r="AI10" s="1268"/>
      <c r="AJ10" s="1268"/>
      <c r="AK10" s="1268"/>
      <c r="AL10" s="1268"/>
      <c r="AM10" s="1268"/>
      <c r="AN10" s="1268"/>
      <c r="AO10" s="1268"/>
      <c r="AP10" s="1268"/>
      <c r="AQ10" s="1268"/>
      <c r="AR10" s="1268"/>
      <c r="AS10" s="1268"/>
      <c r="AT10" s="1267"/>
      <c r="AU10" s="1272"/>
      <c r="AV10" s="1272"/>
      <c r="AW10" s="1272"/>
      <c r="AX10" s="1272"/>
      <c r="AY10" s="1272"/>
      <c r="AZ10" s="1272"/>
      <c r="BA10" s="1272"/>
      <c r="BB10" s="1272"/>
      <c r="BC10" s="2"/>
      <c r="BD10" s="486"/>
      <c r="BE10" s="1282"/>
      <c r="BF10" s="1282"/>
      <c r="BG10" s="1282"/>
      <c r="BH10" s="1282"/>
      <c r="BI10" s="1282"/>
      <c r="BJ10" s="1282"/>
      <c r="BK10" s="1282"/>
      <c r="BL10" s="1282"/>
      <c r="BM10" s="1282"/>
      <c r="BN10" s="1282"/>
      <c r="BO10" s="1282"/>
      <c r="BP10" s="1282"/>
      <c r="BQ10" s="1282"/>
      <c r="BR10" s="1282"/>
      <c r="BS10" s="1282"/>
      <c r="BT10" s="1282"/>
      <c r="BU10" s="1282"/>
      <c r="BV10" s="1282"/>
      <c r="BW10" s="1282"/>
      <c r="BX10" s="1282"/>
      <c r="BY10" s="1282"/>
      <c r="BZ10" s="1282"/>
      <c r="CA10" s="1282"/>
      <c r="CB10" s="1282"/>
      <c r="CC10" s="1282"/>
      <c r="CD10" s="1282"/>
      <c r="CE10" s="1282"/>
      <c r="CF10" s="1282"/>
      <c r="CG10" s="1282"/>
      <c r="CH10" s="1282"/>
      <c r="CI10" s="1282"/>
      <c r="CJ10" s="1282"/>
      <c r="CK10" s="1282"/>
      <c r="CL10" s="1282"/>
      <c r="CM10" s="1282"/>
      <c r="CN10" s="1282"/>
      <c r="CO10" s="1282"/>
      <c r="CP10" s="1282"/>
      <c r="CQ10" s="1282"/>
      <c r="CR10" s="1282"/>
      <c r="CS10" s="1282"/>
      <c r="CT10" s="1282"/>
      <c r="CU10" s="1283"/>
      <c r="CV10" s="3"/>
    </row>
    <row r="11" spans="1:100" s="1" customFormat="1" ht="12" customHeight="1" x14ac:dyDescent="0.2">
      <c r="A11" s="2"/>
      <c r="B11" s="1269"/>
      <c r="C11" s="1269"/>
      <c r="D11" s="1269"/>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7"/>
      <c r="AC11" s="1271"/>
      <c r="AD11" s="1271"/>
      <c r="AE11" s="1271"/>
      <c r="AF11" s="1267"/>
      <c r="AG11" s="1269"/>
      <c r="AH11" s="1269"/>
      <c r="AI11" s="1269"/>
      <c r="AJ11" s="1269"/>
      <c r="AK11" s="1269"/>
      <c r="AL11" s="1269"/>
      <c r="AM11" s="1269"/>
      <c r="AN11" s="1269"/>
      <c r="AO11" s="1269"/>
      <c r="AP11" s="1269"/>
      <c r="AQ11" s="1269"/>
      <c r="AR11" s="1269"/>
      <c r="AS11" s="1269"/>
      <c r="AT11" s="1267"/>
      <c r="AU11" s="1273"/>
      <c r="AV11" s="1273"/>
      <c r="AW11" s="1273"/>
      <c r="AX11" s="1273"/>
      <c r="AY11" s="1273"/>
      <c r="AZ11" s="1273"/>
      <c r="BA11" s="1273"/>
      <c r="BB11" s="1273"/>
      <c r="BC11" s="2"/>
      <c r="BD11" s="486"/>
      <c r="BE11" s="1282"/>
      <c r="BF11" s="1282"/>
      <c r="BG11" s="1282"/>
      <c r="BH11" s="1282"/>
      <c r="BI11" s="1282"/>
      <c r="BJ11" s="1282"/>
      <c r="BK11" s="1282"/>
      <c r="BL11" s="1282"/>
      <c r="BM11" s="1282"/>
      <c r="BN11" s="1282"/>
      <c r="BO11" s="1282"/>
      <c r="BP11" s="1282"/>
      <c r="BQ11" s="1282"/>
      <c r="BR11" s="1282"/>
      <c r="BS11" s="1282"/>
      <c r="BT11" s="1282"/>
      <c r="BU11" s="1282"/>
      <c r="BV11" s="1282"/>
      <c r="BW11" s="1282"/>
      <c r="BX11" s="1282"/>
      <c r="BY11" s="1282"/>
      <c r="BZ11" s="1282"/>
      <c r="CA11" s="1282"/>
      <c r="CB11" s="1282"/>
      <c r="CC11" s="1282"/>
      <c r="CD11" s="1282"/>
      <c r="CE11" s="1282"/>
      <c r="CF11" s="1282"/>
      <c r="CG11" s="1282"/>
      <c r="CH11" s="1282"/>
      <c r="CI11" s="1282"/>
      <c r="CJ11" s="1282"/>
      <c r="CK11" s="1282"/>
      <c r="CL11" s="1282"/>
      <c r="CM11" s="1282"/>
      <c r="CN11" s="1282"/>
      <c r="CO11" s="1282"/>
      <c r="CP11" s="1282"/>
      <c r="CQ11" s="1282"/>
      <c r="CR11" s="1282"/>
      <c r="CS11" s="1282"/>
      <c r="CT11" s="1282"/>
      <c r="CU11" s="1283"/>
      <c r="CV11" s="171"/>
    </row>
    <row r="12" spans="1:100" s="1" customFormat="1" ht="12" customHeight="1" x14ac:dyDescent="0.2">
      <c r="A12" s="2"/>
      <c r="B12" s="1268"/>
      <c r="C12" s="1268"/>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7"/>
      <c r="AC12" s="1270"/>
      <c r="AD12" s="1270"/>
      <c r="AE12" s="1270"/>
      <c r="AF12" s="1267"/>
      <c r="AG12" s="1268"/>
      <c r="AH12" s="1268"/>
      <c r="AI12" s="1268"/>
      <c r="AJ12" s="1268"/>
      <c r="AK12" s="1268"/>
      <c r="AL12" s="1268"/>
      <c r="AM12" s="1268"/>
      <c r="AN12" s="1268"/>
      <c r="AO12" s="1268"/>
      <c r="AP12" s="1268"/>
      <c r="AQ12" s="1268"/>
      <c r="AR12" s="1268"/>
      <c r="AS12" s="1268"/>
      <c r="AT12" s="1267"/>
      <c r="AU12" s="1272"/>
      <c r="AV12" s="1272"/>
      <c r="AW12" s="1272"/>
      <c r="AX12" s="1272"/>
      <c r="AY12" s="1272"/>
      <c r="AZ12" s="1272"/>
      <c r="BA12" s="1272"/>
      <c r="BB12" s="1272"/>
      <c r="BC12" s="2"/>
      <c r="BD12" s="486"/>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3"/>
      <c r="CV12" s="171"/>
    </row>
    <row r="13" spans="1:100" s="1" customFormat="1" ht="12" customHeight="1" x14ac:dyDescent="0.2">
      <c r="A13" s="2"/>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7"/>
      <c r="AC13" s="1271"/>
      <c r="AD13" s="1271"/>
      <c r="AE13" s="1271"/>
      <c r="AF13" s="1267"/>
      <c r="AG13" s="1269"/>
      <c r="AH13" s="1269"/>
      <c r="AI13" s="1269"/>
      <c r="AJ13" s="1269"/>
      <c r="AK13" s="1269"/>
      <c r="AL13" s="1269"/>
      <c r="AM13" s="1269"/>
      <c r="AN13" s="1269"/>
      <c r="AO13" s="1269"/>
      <c r="AP13" s="1269"/>
      <c r="AQ13" s="1269"/>
      <c r="AR13" s="1269"/>
      <c r="AS13" s="1269"/>
      <c r="AT13" s="1267"/>
      <c r="AU13" s="1273"/>
      <c r="AV13" s="1273"/>
      <c r="AW13" s="1273"/>
      <c r="AX13" s="1273"/>
      <c r="AY13" s="1273"/>
      <c r="AZ13" s="1273"/>
      <c r="BA13" s="1273"/>
      <c r="BB13" s="1273"/>
      <c r="BC13" s="2"/>
      <c r="BD13" s="486"/>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3"/>
      <c r="CV13" s="2"/>
    </row>
    <row r="14" spans="1:100" ht="12" customHeight="1" x14ac:dyDescent="0.2">
      <c r="A14" s="5"/>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7"/>
      <c r="AC14" s="1270"/>
      <c r="AD14" s="1270"/>
      <c r="AE14" s="1270"/>
      <c r="AF14" s="1267"/>
      <c r="AG14" s="1268"/>
      <c r="AH14" s="1268"/>
      <c r="AI14" s="1268"/>
      <c r="AJ14" s="1268"/>
      <c r="AK14" s="1268"/>
      <c r="AL14" s="1268"/>
      <c r="AM14" s="1268"/>
      <c r="AN14" s="1268"/>
      <c r="AO14" s="1268"/>
      <c r="AP14" s="1268"/>
      <c r="AQ14" s="1268"/>
      <c r="AR14" s="1268"/>
      <c r="AS14" s="1268"/>
      <c r="AT14" s="1267"/>
      <c r="AU14" s="1272"/>
      <c r="AV14" s="1272"/>
      <c r="AW14" s="1272"/>
      <c r="AX14" s="1272"/>
      <c r="AY14" s="1272"/>
      <c r="AZ14" s="1272"/>
      <c r="BA14" s="1272"/>
      <c r="BB14" s="1272"/>
      <c r="BC14" s="2"/>
      <c r="BD14" s="486"/>
      <c r="BE14" s="1282"/>
      <c r="BF14" s="1282"/>
      <c r="BG14" s="1282"/>
      <c r="BH14" s="1282"/>
      <c r="BI14" s="1282"/>
      <c r="BJ14" s="1282"/>
      <c r="BK14" s="1282"/>
      <c r="BL14" s="1282"/>
      <c r="BM14" s="1282"/>
      <c r="BN14" s="1282"/>
      <c r="BO14" s="1282"/>
      <c r="BP14" s="1282"/>
      <c r="BQ14" s="1282"/>
      <c r="BR14" s="1282"/>
      <c r="BS14" s="1282"/>
      <c r="BT14" s="1282"/>
      <c r="BU14" s="1282"/>
      <c r="BV14" s="1282"/>
      <c r="BW14" s="1282"/>
      <c r="BX14" s="1282"/>
      <c r="BY14" s="1282"/>
      <c r="BZ14" s="1282"/>
      <c r="CA14" s="1282"/>
      <c r="CB14" s="1282"/>
      <c r="CC14" s="1282"/>
      <c r="CD14" s="1282"/>
      <c r="CE14" s="1282"/>
      <c r="CF14" s="1282"/>
      <c r="CG14" s="1282"/>
      <c r="CH14" s="1282"/>
      <c r="CI14" s="1282"/>
      <c r="CJ14" s="1282"/>
      <c r="CK14" s="1282"/>
      <c r="CL14" s="1282"/>
      <c r="CM14" s="1282"/>
      <c r="CN14" s="1282"/>
      <c r="CO14" s="1282"/>
      <c r="CP14" s="1282"/>
      <c r="CQ14" s="1282"/>
      <c r="CR14" s="1282"/>
      <c r="CS14" s="1282"/>
      <c r="CT14" s="1282"/>
      <c r="CU14" s="1283"/>
      <c r="CV14" s="5"/>
    </row>
    <row r="15" spans="1:100" ht="12" customHeight="1" x14ac:dyDescent="0.2">
      <c r="A15" s="5"/>
      <c r="B15" s="1269"/>
      <c r="C15" s="1269"/>
      <c r="D15" s="126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7"/>
      <c r="AC15" s="1271"/>
      <c r="AD15" s="1271"/>
      <c r="AE15" s="1271"/>
      <c r="AF15" s="1267"/>
      <c r="AG15" s="1269"/>
      <c r="AH15" s="1269"/>
      <c r="AI15" s="1269"/>
      <c r="AJ15" s="1269"/>
      <c r="AK15" s="1269"/>
      <c r="AL15" s="1269"/>
      <c r="AM15" s="1269"/>
      <c r="AN15" s="1269"/>
      <c r="AO15" s="1269"/>
      <c r="AP15" s="1269"/>
      <c r="AQ15" s="1269"/>
      <c r="AR15" s="1269"/>
      <c r="AS15" s="1269"/>
      <c r="AT15" s="1267"/>
      <c r="AU15" s="1273"/>
      <c r="AV15" s="1273"/>
      <c r="AW15" s="1273"/>
      <c r="AX15" s="1273"/>
      <c r="AY15" s="1273"/>
      <c r="AZ15" s="1273"/>
      <c r="BA15" s="1273"/>
      <c r="BB15" s="1273"/>
      <c r="BC15" s="4"/>
      <c r="BD15" s="486"/>
      <c r="BE15" s="1282"/>
      <c r="BF15" s="1282"/>
      <c r="BG15" s="1282"/>
      <c r="BH15" s="1282"/>
      <c r="BI15" s="1282"/>
      <c r="BJ15" s="1282"/>
      <c r="BK15" s="1282"/>
      <c r="BL15" s="1282"/>
      <c r="BM15" s="1282"/>
      <c r="BN15" s="1282"/>
      <c r="BO15" s="1282"/>
      <c r="BP15" s="1282"/>
      <c r="BQ15" s="1282"/>
      <c r="BR15" s="1282"/>
      <c r="BS15" s="1282"/>
      <c r="BT15" s="1282"/>
      <c r="BU15" s="1282"/>
      <c r="BV15" s="1282"/>
      <c r="BW15" s="1282"/>
      <c r="BX15" s="1282"/>
      <c r="BY15" s="1282"/>
      <c r="BZ15" s="1282"/>
      <c r="CA15" s="1282"/>
      <c r="CB15" s="1282"/>
      <c r="CC15" s="1282"/>
      <c r="CD15" s="1282"/>
      <c r="CE15" s="1282"/>
      <c r="CF15" s="1282"/>
      <c r="CG15" s="1282"/>
      <c r="CH15" s="1282"/>
      <c r="CI15" s="1282"/>
      <c r="CJ15" s="1282"/>
      <c r="CK15" s="1282"/>
      <c r="CL15" s="1282"/>
      <c r="CM15" s="1282"/>
      <c r="CN15" s="1282"/>
      <c r="CO15" s="1282"/>
      <c r="CP15" s="1282"/>
      <c r="CQ15" s="1282"/>
      <c r="CR15" s="1282"/>
      <c r="CS15" s="1282"/>
      <c r="CT15" s="1282"/>
      <c r="CU15" s="1283"/>
      <c r="CV15" s="5"/>
    </row>
    <row r="16" spans="1:100" ht="12" customHeight="1" x14ac:dyDescent="0.2">
      <c r="A16" s="5"/>
      <c r="B16" s="1268"/>
      <c r="C16" s="1268"/>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7"/>
      <c r="AC16" s="1270"/>
      <c r="AD16" s="1270"/>
      <c r="AE16" s="1270"/>
      <c r="AF16" s="1267"/>
      <c r="AG16" s="1268"/>
      <c r="AH16" s="1268"/>
      <c r="AI16" s="1268"/>
      <c r="AJ16" s="1268"/>
      <c r="AK16" s="1268"/>
      <c r="AL16" s="1268"/>
      <c r="AM16" s="1268"/>
      <c r="AN16" s="1268"/>
      <c r="AO16" s="1268"/>
      <c r="AP16" s="1268"/>
      <c r="AQ16" s="1268"/>
      <c r="AR16" s="1268"/>
      <c r="AS16" s="1268"/>
      <c r="AT16" s="1267"/>
      <c r="AU16" s="1272"/>
      <c r="AV16" s="1272"/>
      <c r="AW16" s="1272"/>
      <c r="AX16" s="1272"/>
      <c r="AY16" s="1272"/>
      <c r="AZ16" s="1272"/>
      <c r="BA16" s="1272"/>
      <c r="BB16" s="1272"/>
      <c r="BC16" s="4"/>
      <c r="BD16" s="486"/>
      <c r="BE16" s="1282"/>
      <c r="BF16" s="1282"/>
      <c r="BG16" s="1282"/>
      <c r="BH16" s="1282"/>
      <c r="BI16" s="1282"/>
      <c r="BJ16" s="1282"/>
      <c r="BK16" s="1282"/>
      <c r="BL16" s="1282"/>
      <c r="BM16" s="1282"/>
      <c r="BN16" s="1282"/>
      <c r="BO16" s="1282"/>
      <c r="BP16" s="1282"/>
      <c r="BQ16" s="1282"/>
      <c r="BR16" s="1282"/>
      <c r="BS16" s="1282"/>
      <c r="BT16" s="1282"/>
      <c r="BU16" s="1282"/>
      <c r="BV16" s="1282"/>
      <c r="BW16" s="1282"/>
      <c r="BX16" s="1282"/>
      <c r="BY16" s="1282"/>
      <c r="BZ16" s="1282"/>
      <c r="CA16" s="1282"/>
      <c r="CB16" s="1282"/>
      <c r="CC16" s="1282"/>
      <c r="CD16" s="1282"/>
      <c r="CE16" s="1282"/>
      <c r="CF16" s="1282"/>
      <c r="CG16" s="1282"/>
      <c r="CH16" s="1282"/>
      <c r="CI16" s="1282"/>
      <c r="CJ16" s="1282"/>
      <c r="CK16" s="1282"/>
      <c r="CL16" s="1282"/>
      <c r="CM16" s="1282"/>
      <c r="CN16" s="1282"/>
      <c r="CO16" s="1282"/>
      <c r="CP16" s="1282"/>
      <c r="CQ16" s="1282"/>
      <c r="CR16" s="1282"/>
      <c r="CS16" s="1282"/>
      <c r="CT16" s="1282"/>
      <c r="CU16" s="1283"/>
      <c r="CV16" s="5"/>
    </row>
    <row r="17" spans="1:116" ht="12" customHeight="1" x14ac:dyDescent="0.2">
      <c r="A17" s="5"/>
      <c r="B17" s="1269"/>
      <c r="C17" s="1269"/>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7"/>
      <c r="AC17" s="1271"/>
      <c r="AD17" s="1271"/>
      <c r="AE17" s="1271"/>
      <c r="AF17" s="1267"/>
      <c r="AG17" s="1269"/>
      <c r="AH17" s="1269"/>
      <c r="AI17" s="1269"/>
      <c r="AJ17" s="1269"/>
      <c r="AK17" s="1269"/>
      <c r="AL17" s="1269"/>
      <c r="AM17" s="1269"/>
      <c r="AN17" s="1269"/>
      <c r="AO17" s="1269"/>
      <c r="AP17" s="1269"/>
      <c r="AQ17" s="1269"/>
      <c r="AR17" s="1269"/>
      <c r="AS17" s="1269"/>
      <c r="AT17" s="1267"/>
      <c r="AU17" s="1273"/>
      <c r="AV17" s="1273"/>
      <c r="AW17" s="1273"/>
      <c r="AX17" s="1273"/>
      <c r="AY17" s="1273"/>
      <c r="AZ17" s="1273"/>
      <c r="BA17" s="1273"/>
      <c r="BB17" s="1273"/>
      <c r="BC17" s="2"/>
      <c r="BD17" s="486"/>
      <c r="BE17" s="1282"/>
      <c r="BF17" s="1282"/>
      <c r="BG17" s="1282"/>
      <c r="BH17" s="1282"/>
      <c r="BI17" s="1282"/>
      <c r="BJ17" s="1282"/>
      <c r="BK17" s="1282"/>
      <c r="BL17" s="1282"/>
      <c r="BM17" s="1282"/>
      <c r="BN17" s="1282"/>
      <c r="BO17" s="1282"/>
      <c r="BP17" s="1282"/>
      <c r="BQ17" s="1282"/>
      <c r="BR17" s="1282"/>
      <c r="BS17" s="1282"/>
      <c r="BT17" s="1282"/>
      <c r="BU17" s="1282"/>
      <c r="BV17" s="1282"/>
      <c r="BW17" s="1282"/>
      <c r="BX17" s="1282"/>
      <c r="BY17" s="1282"/>
      <c r="BZ17" s="1282"/>
      <c r="CA17" s="1282"/>
      <c r="CB17" s="1282"/>
      <c r="CC17" s="1282"/>
      <c r="CD17" s="1282"/>
      <c r="CE17" s="1282"/>
      <c r="CF17" s="1282"/>
      <c r="CG17" s="1282"/>
      <c r="CH17" s="1282"/>
      <c r="CI17" s="1282"/>
      <c r="CJ17" s="1282"/>
      <c r="CK17" s="1282"/>
      <c r="CL17" s="1282"/>
      <c r="CM17" s="1282"/>
      <c r="CN17" s="1282"/>
      <c r="CO17" s="1282"/>
      <c r="CP17" s="1282"/>
      <c r="CQ17" s="1282"/>
      <c r="CR17" s="1282"/>
      <c r="CS17" s="1282"/>
      <c r="CT17" s="1282"/>
      <c r="CU17" s="1283"/>
      <c r="CV17" s="5"/>
    </row>
    <row r="18" spans="1:116" ht="12" customHeight="1" x14ac:dyDescent="0.2">
      <c r="A18" s="5"/>
      <c r="B18" s="1268"/>
      <c r="C18" s="1268"/>
      <c r="D18" s="1268"/>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7"/>
      <c r="AC18" s="1270"/>
      <c r="AD18" s="1270"/>
      <c r="AE18" s="1270"/>
      <c r="AF18" s="1267"/>
      <c r="AG18" s="1268"/>
      <c r="AH18" s="1268"/>
      <c r="AI18" s="1268"/>
      <c r="AJ18" s="1268"/>
      <c r="AK18" s="1268"/>
      <c r="AL18" s="1268"/>
      <c r="AM18" s="1268"/>
      <c r="AN18" s="1268"/>
      <c r="AO18" s="1268"/>
      <c r="AP18" s="1268"/>
      <c r="AQ18" s="1268"/>
      <c r="AR18" s="1268"/>
      <c r="AS18" s="1268"/>
      <c r="AT18" s="1267"/>
      <c r="AU18" s="1272"/>
      <c r="AV18" s="1272"/>
      <c r="AW18" s="1272"/>
      <c r="AX18" s="1272"/>
      <c r="AY18" s="1272"/>
      <c r="AZ18" s="1272"/>
      <c r="BA18" s="1272"/>
      <c r="BB18" s="1272"/>
      <c r="BC18" s="2"/>
      <c r="BD18" s="486"/>
      <c r="BE18" s="1282"/>
      <c r="BF18" s="1282"/>
      <c r="BG18" s="1282"/>
      <c r="BH18" s="1282"/>
      <c r="BI18" s="1282"/>
      <c r="BJ18" s="1282"/>
      <c r="BK18" s="1282"/>
      <c r="BL18" s="1282"/>
      <c r="BM18" s="1282"/>
      <c r="BN18" s="1282"/>
      <c r="BO18" s="1282"/>
      <c r="BP18" s="1282"/>
      <c r="BQ18" s="1282"/>
      <c r="BR18" s="1282"/>
      <c r="BS18" s="1282"/>
      <c r="BT18" s="1282"/>
      <c r="BU18" s="1282"/>
      <c r="BV18" s="1282"/>
      <c r="BW18" s="1282"/>
      <c r="BX18" s="1282"/>
      <c r="BY18" s="1282"/>
      <c r="BZ18" s="1282"/>
      <c r="CA18" s="1282"/>
      <c r="CB18" s="1282"/>
      <c r="CC18" s="1282"/>
      <c r="CD18" s="1282"/>
      <c r="CE18" s="1282"/>
      <c r="CF18" s="1282"/>
      <c r="CG18" s="1282"/>
      <c r="CH18" s="1282"/>
      <c r="CI18" s="1282"/>
      <c r="CJ18" s="1282"/>
      <c r="CK18" s="1282"/>
      <c r="CL18" s="1282"/>
      <c r="CM18" s="1282"/>
      <c r="CN18" s="1282"/>
      <c r="CO18" s="1282"/>
      <c r="CP18" s="1282"/>
      <c r="CQ18" s="1282"/>
      <c r="CR18" s="1282"/>
      <c r="CS18" s="1282"/>
      <c r="CT18" s="1282"/>
      <c r="CU18" s="1283"/>
      <c r="CV18" s="5"/>
      <c r="DE18" s="8" t="e">
        <f>#REF!</f>
        <v>#REF!</v>
      </c>
      <c r="DF18" s="8" t="e">
        <f>#REF!</f>
        <v>#REF!</v>
      </c>
      <c r="DG18" s="8" t="e">
        <f>#REF!</f>
        <v>#REF!</v>
      </c>
      <c r="DH18" s="8" t="e">
        <f>#REF!</f>
        <v>#REF!</v>
      </c>
      <c r="DI18" s="8" t="e">
        <f>NaturalArmor</f>
        <v>#NAME?</v>
      </c>
      <c r="DJ18" s="8" t="e">
        <f>VALUE(#REF!)</f>
        <v>#REF!</v>
      </c>
      <c r="DK18" s="8" t="e">
        <f>VALUE(ACMisc)</f>
        <v>#NAME?</v>
      </c>
    </row>
    <row r="19" spans="1:116" ht="12" customHeight="1" x14ac:dyDescent="0.2">
      <c r="A19" s="5"/>
      <c r="B19" s="1269"/>
      <c r="C19" s="126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7"/>
      <c r="AC19" s="1271"/>
      <c r="AD19" s="1271"/>
      <c r="AE19" s="1271"/>
      <c r="AF19" s="1267"/>
      <c r="AG19" s="1269"/>
      <c r="AH19" s="1269"/>
      <c r="AI19" s="1269"/>
      <c r="AJ19" s="1269"/>
      <c r="AK19" s="1269"/>
      <c r="AL19" s="1269"/>
      <c r="AM19" s="1269"/>
      <c r="AN19" s="1269"/>
      <c r="AO19" s="1269"/>
      <c r="AP19" s="1269"/>
      <c r="AQ19" s="1269"/>
      <c r="AR19" s="1269"/>
      <c r="AS19" s="1269"/>
      <c r="AT19" s="1267"/>
      <c r="AU19" s="1273"/>
      <c r="AV19" s="1273"/>
      <c r="AW19" s="1273"/>
      <c r="AX19" s="1273"/>
      <c r="AY19" s="1273"/>
      <c r="AZ19" s="1273"/>
      <c r="BA19" s="1273"/>
      <c r="BB19" s="1273"/>
      <c r="BC19" s="2"/>
      <c r="BD19" s="486"/>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3"/>
      <c r="CV19" s="5"/>
      <c r="DE19" s="6" t="e">
        <f>IF(DE18,TEXT(DE18,"+0;-0")&amp;" armor","")</f>
        <v>#REF!</v>
      </c>
      <c r="DF19" s="6" t="e">
        <f>IF(DF18,TEXT(DF18,"+0;-0")&amp;" shield","")</f>
        <v>#REF!</v>
      </c>
      <c r="DG19" s="6" t="e">
        <f>IF(DG18,TEXT(DG18,"+0;-0")&amp;" dex","")</f>
        <v>#REF!</v>
      </c>
      <c r="DH19" s="6" t="e">
        <f>IF(DH18,TEXT(DH18,"+0;-0")&amp;" size","")</f>
        <v>#REF!</v>
      </c>
      <c r="DI19" s="6" t="e">
        <f>IF(DI18,TEXT(DI18,"+0;-0")&amp;" natural","")</f>
        <v>#NAME?</v>
      </c>
      <c r="DJ19" s="6" t="e">
        <f>IF(DJ18,TEXT(DJ18,"+0;-0")&amp;" deflection","")</f>
        <v>#REF!</v>
      </c>
      <c r="DK19" s="6" t="e">
        <f>IF(DK18,TEXT(DK18,"+0;-0")&amp;" misc","")</f>
        <v>#NAME?</v>
      </c>
    </row>
    <row r="20" spans="1:116" ht="12" customHeight="1" x14ac:dyDescent="0.2">
      <c r="A20" s="5"/>
      <c r="B20" s="1268"/>
      <c r="C20" s="1268"/>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7"/>
      <c r="AC20" s="1270"/>
      <c r="AD20" s="1270"/>
      <c r="AE20" s="1270"/>
      <c r="AF20" s="1267"/>
      <c r="AG20" s="1268"/>
      <c r="AH20" s="1268"/>
      <c r="AI20" s="1268"/>
      <c r="AJ20" s="1268"/>
      <c r="AK20" s="1268"/>
      <c r="AL20" s="1268"/>
      <c r="AM20" s="1268"/>
      <c r="AN20" s="1268"/>
      <c r="AO20" s="1268"/>
      <c r="AP20" s="1268"/>
      <c r="AQ20" s="1268"/>
      <c r="AR20" s="1268"/>
      <c r="AS20" s="1268"/>
      <c r="AT20" s="1267"/>
      <c r="AU20" s="1272"/>
      <c r="AV20" s="1272"/>
      <c r="AW20" s="1272"/>
      <c r="AX20" s="1272"/>
      <c r="AY20" s="1272"/>
      <c r="AZ20" s="1272"/>
      <c r="BA20" s="1272"/>
      <c r="BB20" s="1272"/>
      <c r="BC20" s="2"/>
      <c r="BD20" s="486"/>
      <c r="BE20" s="1282"/>
      <c r="BF20" s="1282"/>
      <c r="BG20" s="1282"/>
      <c r="BH20" s="1282"/>
      <c r="BI20" s="1282"/>
      <c r="BJ20" s="1282"/>
      <c r="BK20" s="1282"/>
      <c r="BL20" s="1282"/>
      <c r="BM20" s="1282"/>
      <c r="BN20" s="1282"/>
      <c r="BO20" s="1282"/>
      <c r="BP20" s="1282"/>
      <c r="BQ20" s="1282"/>
      <c r="BR20" s="1282"/>
      <c r="BS20" s="1282"/>
      <c r="BT20" s="1282"/>
      <c r="BU20" s="1282"/>
      <c r="BV20" s="1282"/>
      <c r="BW20" s="1282"/>
      <c r="BX20" s="1282"/>
      <c r="BY20" s="1282"/>
      <c r="BZ20" s="1282"/>
      <c r="CA20" s="1282"/>
      <c r="CB20" s="1282"/>
      <c r="CC20" s="1282"/>
      <c r="CD20" s="1282"/>
      <c r="CE20" s="1282"/>
      <c r="CF20" s="1282"/>
      <c r="CG20" s="1282"/>
      <c r="CH20" s="1282"/>
      <c r="CI20" s="1282"/>
      <c r="CJ20" s="1282"/>
      <c r="CK20" s="1282"/>
      <c r="CL20" s="1282"/>
      <c r="CM20" s="1282"/>
      <c r="CN20" s="1282"/>
      <c r="CO20" s="1282"/>
      <c r="CP20" s="1282"/>
      <c r="CQ20" s="1282"/>
      <c r="CR20" s="1282"/>
      <c r="CS20" s="1282"/>
      <c r="CT20" s="1282"/>
      <c r="CU20" s="1283"/>
      <c r="CV20" s="5"/>
      <c r="DE20" s="6" t="e">
        <f>DE19</f>
        <v>#REF!</v>
      </c>
      <c r="DF20" s="6" t="e">
        <f t="shared" ref="DF20:DK20" si="0">IF(AND(DE20&lt;&gt;"",DF19&lt;&gt;""),DE20&amp;", "&amp;DF19,DE20&amp;DF19)</f>
        <v>#REF!</v>
      </c>
      <c r="DG20" s="6" t="e">
        <f t="shared" si="0"/>
        <v>#REF!</v>
      </c>
      <c r="DH20" s="6" t="e">
        <f t="shared" si="0"/>
        <v>#REF!</v>
      </c>
      <c r="DI20" s="6" t="e">
        <f t="shared" si="0"/>
        <v>#REF!</v>
      </c>
      <c r="DJ20" s="6" t="e">
        <f t="shared" si="0"/>
        <v>#REF!</v>
      </c>
      <c r="DK20" s="6" t="e">
        <f t="shared" si="0"/>
        <v>#REF!</v>
      </c>
      <c r="DL20" s="6" t="e">
        <f>IF(DK20&lt;&gt;"","("&amp;DK20&amp;"), ","")&amp;"touch "&amp;TouchAC&amp;", flat-footed "&amp;FlatFootedAC</f>
        <v>#REF!</v>
      </c>
    </row>
    <row r="21" spans="1:116" ht="12" customHeight="1" x14ac:dyDescent="0.2">
      <c r="A21" s="5"/>
      <c r="B21" s="1269"/>
      <c r="C21" s="126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7"/>
      <c r="AC21" s="1271"/>
      <c r="AD21" s="1271"/>
      <c r="AE21" s="1271"/>
      <c r="AF21" s="1267"/>
      <c r="AG21" s="1269"/>
      <c r="AH21" s="1269"/>
      <c r="AI21" s="1269"/>
      <c r="AJ21" s="1269"/>
      <c r="AK21" s="1269"/>
      <c r="AL21" s="1269"/>
      <c r="AM21" s="1269"/>
      <c r="AN21" s="1269"/>
      <c r="AO21" s="1269"/>
      <c r="AP21" s="1269"/>
      <c r="AQ21" s="1269"/>
      <c r="AR21" s="1269"/>
      <c r="AS21" s="1269"/>
      <c r="AT21" s="1267"/>
      <c r="AU21" s="1273"/>
      <c r="AV21" s="1273"/>
      <c r="AW21" s="1273"/>
      <c r="AX21" s="1273"/>
      <c r="AY21" s="1273"/>
      <c r="AZ21" s="1273"/>
      <c r="BA21" s="1273"/>
      <c r="BB21" s="1273"/>
      <c r="BC21" s="2"/>
      <c r="BD21" s="486"/>
      <c r="BE21" s="1282"/>
      <c r="BF21" s="1282"/>
      <c r="BG21" s="1282"/>
      <c r="BH21" s="1282"/>
      <c r="BI21" s="1282"/>
      <c r="BJ21" s="1282"/>
      <c r="BK21" s="1282"/>
      <c r="BL21" s="1282"/>
      <c r="BM21" s="1282"/>
      <c r="BN21" s="1282"/>
      <c r="BO21" s="1282"/>
      <c r="BP21" s="1282"/>
      <c r="BQ21" s="1282"/>
      <c r="BR21" s="1282"/>
      <c r="BS21" s="1282"/>
      <c r="BT21" s="1282"/>
      <c r="BU21" s="1282"/>
      <c r="BV21" s="1282"/>
      <c r="BW21" s="1282"/>
      <c r="BX21" s="1282"/>
      <c r="BY21" s="1282"/>
      <c r="BZ21" s="1282"/>
      <c r="CA21" s="1282"/>
      <c r="CB21" s="1282"/>
      <c r="CC21" s="1282"/>
      <c r="CD21" s="1282"/>
      <c r="CE21" s="1282"/>
      <c r="CF21" s="1282"/>
      <c r="CG21" s="1282"/>
      <c r="CH21" s="1282"/>
      <c r="CI21" s="1282"/>
      <c r="CJ21" s="1282"/>
      <c r="CK21" s="1282"/>
      <c r="CL21" s="1282"/>
      <c r="CM21" s="1282"/>
      <c r="CN21" s="1282"/>
      <c r="CO21" s="1282"/>
      <c r="CP21" s="1282"/>
      <c r="CQ21" s="1282"/>
      <c r="CR21" s="1282"/>
      <c r="CS21" s="1282"/>
      <c r="CT21" s="1282"/>
      <c r="CU21" s="1283"/>
      <c r="CV21" s="5"/>
    </row>
    <row r="22" spans="1:116" ht="12" customHeight="1" x14ac:dyDescent="0.2">
      <c r="A22" s="5"/>
      <c r="B22" s="1268"/>
      <c r="C22" s="1268"/>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7"/>
      <c r="AC22" s="1270"/>
      <c r="AD22" s="1270"/>
      <c r="AE22" s="1270"/>
      <c r="AF22" s="1267"/>
      <c r="AG22" s="1268"/>
      <c r="AH22" s="1268"/>
      <c r="AI22" s="1268"/>
      <c r="AJ22" s="1268"/>
      <c r="AK22" s="1268"/>
      <c r="AL22" s="1268"/>
      <c r="AM22" s="1268"/>
      <c r="AN22" s="1268"/>
      <c r="AO22" s="1268"/>
      <c r="AP22" s="1268"/>
      <c r="AQ22" s="1268"/>
      <c r="AR22" s="1268"/>
      <c r="AS22" s="1268"/>
      <c r="AT22" s="1267"/>
      <c r="AU22" s="1272"/>
      <c r="AV22" s="1272"/>
      <c r="AW22" s="1272"/>
      <c r="AX22" s="1272"/>
      <c r="AY22" s="1272"/>
      <c r="AZ22" s="1272"/>
      <c r="BA22" s="1272"/>
      <c r="BB22" s="1272"/>
      <c r="BC22" s="2"/>
      <c r="BD22" s="486"/>
      <c r="BE22" s="1282"/>
      <c r="BF22" s="1282"/>
      <c r="BG22" s="1282"/>
      <c r="BH22" s="1282"/>
      <c r="BI22" s="1282"/>
      <c r="BJ22" s="1282"/>
      <c r="BK22" s="1282"/>
      <c r="BL22" s="1282"/>
      <c r="BM22" s="1282"/>
      <c r="BN22" s="1282"/>
      <c r="BO22" s="1282"/>
      <c r="BP22" s="1282"/>
      <c r="BQ22" s="1282"/>
      <c r="BR22" s="1282"/>
      <c r="BS22" s="1282"/>
      <c r="BT22" s="1282"/>
      <c r="BU22" s="1282"/>
      <c r="BV22" s="1282"/>
      <c r="BW22" s="1282"/>
      <c r="BX22" s="1282"/>
      <c r="BY22" s="1282"/>
      <c r="BZ22" s="1282"/>
      <c r="CA22" s="1282"/>
      <c r="CB22" s="1282"/>
      <c r="CC22" s="1282"/>
      <c r="CD22" s="1282"/>
      <c r="CE22" s="1282"/>
      <c r="CF22" s="1282"/>
      <c r="CG22" s="1282"/>
      <c r="CH22" s="1282"/>
      <c r="CI22" s="1282"/>
      <c r="CJ22" s="1282"/>
      <c r="CK22" s="1282"/>
      <c r="CL22" s="1282"/>
      <c r="CM22" s="1282"/>
      <c r="CN22" s="1282"/>
      <c r="CO22" s="1282"/>
      <c r="CP22" s="1282"/>
      <c r="CQ22" s="1282"/>
      <c r="CR22" s="1282"/>
      <c r="CS22" s="1282"/>
      <c r="CT22" s="1282"/>
      <c r="CU22" s="1283"/>
      <c r="CV22" s="5"/>
    </row>
    <row r="23" spans="1:116" ht="12" customHeight="1" x14ac:dyDescent="0.2">
      <c r="A23" s="5"/>
      <c r="B23" s="1269"/>
      <c r="C23" s="126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7"/>
      <c r="AC23" s="1271"/>
      <c r="AD23" s="1271"/>
      <c r="AE23" s="1271"/>
      <c r="AF23" s="1267"/>
      <c r="AG23" s="1269"/>
      <c r="AH23" s="1269"/>
      <c r="AI23" s="1269"/>
      <c r="AJ23" s="1269"/>
      <c r="AK23" s="1269"/>
      <c r="AL23" s="1269"/>
      <c r="AM23" s="1269"/>
      <c r="AN23" s="1269"/>
      <c r="AO23" s="1269"/>
      <c r="AP23" s="1269"/>
      <c r="AQ23" s="1269"/>
      <c r="AR23" s="1269"/>
      <c r="AS23" s="1269"/>
      <c r="AT23" s="1267"/>
      <c r="AU23" s="1273"/>
      <c r="AV23" s="1273"/>
      <c r="AW23" s="1273"/>
      <c r="AX23" s="1273"/>
      <c r="AY23" s="1273"/>
      <c r="AZ23" s="1273"/>
      <c r="BA23" s="1273"/>
      <c r="BB23" s="1273"/>
      <c r="BC23" s="2"/>
      <c r="BD23" s="486"/>
      <c r="BE23" s="1282"/>
      <c r="BF23" s="1282"/>
      <c r="BG23" s="1282"/>
      <c r="BH23" s="1282"/>
      <c r="BI23" s="1282"/>
      <c r="BJ23" s="1282"/>
      <c r="BK23" s="1282"/>
      <c r="BL23" s="1282"/>
      <c r="BM23" s="1282"/>
      <c r="BN23" s="1282"/>
      <c r="BO23" s="1282"/>
      <c r="BP23" s="1282"/>
      <c r="BQ23" s="1282"/>
      <c r="BR23" s="1282"/>
      <c r="BS23" s="1282"/>
      <c r="BT23" s="1282"/>
      <c r="BU23" s="1282"/>
      <c r="BV23" s="1282"/>
      <c r="BW23" s="1282"/>
      <c r="BX23" s="1282"/>
      <c r="BY23" s="1282"/>
      <c r="BZ23" s="1282"/>
      <c r="CA23" s="1282"/>
      <c r="CB23" s="1282"/>
      <c r="CC23" s="1282"/>
      <c r="CD23" s="1282"/>
      <c r="CE23" s="1282"/>
      <c r="CF23" s="1282"/>
      <c r="CG23" s="1282"/>
      <c r="CH23" s="1282"/>
      <c r="CI23" s="1282"/>
      <c r="CJ23" s="1282"/>
      <c r="CK23" s="1282"/>
      <c r="CL23" s="1282"/>
      <c r="CM23" s="1282"/>
      <c r="CN23" s="1282"/>
      <c r="CO23" s="1282"/>
      <c r="CP23" s="1282"/>
      <c r="CQ23" s="1282"/>
      <c r="CR23" s="1282"/>
      <c r="CS23" s="1282"/>
      <c r="CT23" s="1282"/>
      <c r="CU23" s="1283"/>
      <c r="CV23" s="5"/>
    </row>
    <row r="24" spans="1:116" ht="12" customHeight="1" x14ac:dyDescent="0.2">
      <c r="A24" s="5"/>
      <c r="B24" s="1268"/>
      <c r="C24" s="1268"/>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7"/>
      <c r="AC24" s="1270"/>
      <c r="AD24" s="1270"/>
      <c r="AE24" s="1270"/>
      <c r="AF24" s="1267"/>
      <c r="AG24" s="1268"/>
      <c r="AH24" s="1268"/>
      <c r="AI24" s="1268"/>
      <c r="AJ24" s="1268"/>
      <c r="AK24" s="1268"/>
      <c r="AL24" s="1268"/>
      <c r="AM24" s="1268"/>
      <c r="AN24" s="1268"/>
      <c r="AO24" s="1268"/>
      <c r="AP24" s="1268"/>
      <c r="AQ24" s="1268"/>
      <c r="AR24" s="1268"/>
      <c r="AS24" s="1268"/>
      <c r="AT24" s="1267"/>
      <c r="AU24" s="1272"/>
      <c r="AV24" s="1272"/>
      <c r="AW24" s="1272"/>
      <c r="AX24" s="1272"/>
      <c r="AY24" s="1272"/>
      <c r="AZ24" s="1272"/>
      <c r="BA24" s="1272"/>
      <c r="BB24" s="1272"/>
      <c r="BC24" s="2"/>
      <c r="BD24" s="486"/>
      <c r="BE24" s="1282"/>
      <c r="BF24" s="1282"/>
      <c r="BG24" s="1282"/>
      <c r="BH24" s="1282"/>
      <c r="BI24" s="1282"/>
      <c r="BJ24" s="1282"/>
      <c r="BK24" s="1282"/>
      <c r="BL24" s="1282"/>
      <c r="BM24" s="1282"/>
      <c r="BN24" s="1282"/>
      <c r="BO24" s="1282"/>
      <c r="BP24" s="1282"/>
      <c r="BQ24" s="1282"/>
      <c r="BR24" s="1282"/>
      <c r="BS24" s="1282"/>
      <c r="BT24" s="1282"/>
      <c r="BU24" s="1282"/>
      <c r="BV24" s="1282"/>
      <c r="BW24" s="1282"/>
      <c r="BX24" s="1282"/>
      <c r="BY24" s="1282"/>
      <c r="BZ24" s="1282"/>
      <c r="CA24" s="1282"/>
      <c r="CB24" s="1282"/>
      <c r="CC24" s="1282"/>
      <c r="CD24" s="1282"/>
      <c r="CE24" s="1282"/>
      <c r="CF24" s="1282"/>
      <c r="CG24" s="1282"/>
      <c r="CH24" s="1282"/>
      <c r="CI24" s="1282"/>
      <c r="CJ24" s="1282"/>
      <c r="CK24" s="1282"/>
      <c r="CL24" s="1282"/>
      <c r="CM24" s="1282"/>
      <c r="CN24" s="1282"/>
      <c r="CO24" s="1282"/>
      <c r="CP24" s="1282"/>
      <c r="CQ24" s="1282"/>
      <c r="CR24" s="1282"/>
      <c r="CS24" s="1282"/>
      <c r="CT24" s="1282"/>
      <c r="CU24" s="1283"/>
      <c r="CV24" s="5"/>
    </row>
    <row r="25" spans="1:116" ht="12" customHeight="1" x14ac:dyDescent="0.2">
      <c r="A25" s="5"/>
      <c r="B25" s="1269"/>
      <c r="C25" s="126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7"/>
      <c r="AC25" s="1271"/>
      <c r="AD25" s="1271"/>
      <c r="AE25" s="1271"/>
      <c r="AF25" s="1267"/>
      <c r="AG25" s="1269"/>
      <c r="AH25" s="1269"/>
      <c r="AI25" s="1269"/>
      <c r="AJ25" s="1269"/>
      <c r="AK25" s="1269"/>
      <c r="AL25" s="1269"/>
      <c r="AM25" s="1269"/>
      <c r="AN25" s="1269"/>
      <c r="AO25" s="1269"/>
      <c r="AP25" s="1269"/>
      <c r="AQ25" s="1269"/>
      <c r="AR25" s="1269"/>
      <c r="AS25" s="1269"/>
      <c r="AT25" s="1267"/>
      <c r="AU25" s="1273"/>
      <c r="AV25" s="1273"/>
      <c r="AW25" s="1273"/>
      <c r="AX25" s="1273"/>
      <c r="AY25" s="1273"/>
      <c r="AZ25" s="1273"/>
      <c r="BA25" s="1273"/>
      <c r="BB25" s="1273"/>
      <c r="BC25" s="2"/>
      <c r="BD25" s="486"/>
      <c r="BE25" s="1282"/>
      <c r="BF25" s="1282"/>
      <c r="BG25" s="1282"/>
      <c r="BH25" s="1282"/>
      <c r="BI25" s="1282"/>
      <c r="BJ25" s="1282"/>
      <c r="BK25" s="1282"/>
      <c r="BL25" s="1282"/>
      <c r="BM25" s="1282"/>
      <c r="BN25" s="1282"/>
      <c r="BO25" s="1282"/>
      <c r="BP25" s="1282"/>
      <c r="BQ25" s="1282"/>
      <c r="BR25" s="1282"/>
      <c r="BS25" s="1282"/>
      <c r="BT25" s="1282"/>
      <c r="BU25" s="1282"/>
      <c r="BV25" s="1282"/>
      <c r="BW25" s="1282"/>
      <c r="BX25" s="1282"/>
      <c r="BY25" s="1282"/>
      <c r="BZ25" s="1282"/>
      <c r="CA25" s="1282"/>
      <c r="CB25" s="1282"/>
      <c r="CC25" s="1282"/>
      <c r="CD25" s="1282"/>
      <c r="CE25" s="1282"/>
      <c r="CF25" s="1282"/>
      <c r="CG25" s="1282"/>
      <c r="CH25" s="1282"/>
      <c r="CI25" s="1282"/>
      <c r="CJ25" s="1282"/>
      <c r="CK25" s="1282"/>
      <c r="CL25" s="1282"/>
      <c r="CM25" s="1282"/>
      <c r="CN25" s="1282"/>
      <c r="CO25" s="1282"/>
      <c r="CP25" s="1282"/>
      <c r="CQ25" s="1282"/>
      <c r="CR25" s="1282"/>
      <c r="CS25" s="1282"/>
      <c r="CT25" s="1282"/>
      <c r="CU25" s="1283"/>
      <c r="CV25" s="5"/>
    </row>
    <row r="26" spans="1:116" ht="12" customHeight="1" x14ac:dyDescent="0.2">
      <c r="A26" s="5"/>
      <c r="B26" s="1268"/>
      <c r="C26" s="1268"/>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7"/>
      <c r="AC26" s="1270"/>
      <c r="AD26" s="1270"/>
      <c r="AE26" s="1270"/>
      <c r="AF26" s="1267"/>
      <c r="AG26" s="1268"/>
      <c r="AH26" s="1268"/>
      <c r="AI26" s="1268"/>
      <c r="AJ26" s="1268"/>
      <c r="AK26" s="1268"/>
      <c r="AL26" s="1268"/>
      <c r="AM26" s="1268"/>
      <c r="AN26" s="1268"/>
      <c r="AO26" s="1268"/>
      <c r="AP26" s="1268"/>
      <c r="AQ26" s="1268"/>
      <c r="AR26" s="1268"/>
      <c r="AS26" s="1268"/>
      <c r="AT26" s="1267"/>
      <c r="AU26" s="1272"/>
      <c r="AV26" s="1272"/>
      <c r="AW26" s="1272"/>
      <c r="AX26" s="1272"/>
      <c r="AY26" s="1272"/>
      <c r="AZ26" s="1272"/>
      <c r="BA26" s="1272"/>
      <c r="BB26" s="1272"/>
      <c r="BC26" s="2"/>
      <c r="BD26" s="486"/>
      <c r="BE26" s="1282"/>
      <c r="BF26" s="1282"/>
      <c r="BG26" s="1282"/>
      <c r="BH26" s="1282"/>
      <c r="BI26" s="1282"/>
      <c r="BJ26" s="1282"/>
      <c r="BK26" s="1282"/>
      <c r="BL26" s="1282"/>
      <c r="BM26" s="1282"/>
      <c r="BN26" s="1282"/>
      <c r="BO26" s="1282"/>
      <c r="BP26" s="1282"/>
      <c r="BQ26" s="1282"/>
      <c r="BR26" s="1282"/>
      <c r="BS26" s="1282"/>
      <c r="BT26" s="1282"/>
      <c r="BU26" s="1282"/>
      <c r="BV26" s="1282"/>
      <c r="BW26" s="1282"/>
      <c r="BX26" s="1282"/>
      <c r="BY26" s="1282"/>
      <c r="BZ26" s="1282"/>
      <c r="CA26" s="1282"/>
      <c r="CB26" s="1282"/>
      <c r="CC26" s="1282"/>
      <c r="CD26" s="1282"/>
      <c r="CE26" s="1282"/>
      <c r="CF26" s="1282"/>
      <c r="CG26" s="1282"/>
      <c r="CH26" s="1282"/>
      <c r="CI26" s="1282"/>
      <c r="CJ26" s="1282"/>
      <c r="CK26" s="1282"/>
      <c r="CL26" s="1282"/>
      <c r="CM26" s="1282"/>
      <c r="CN26" s="1282"/>
      <c r="CO26" s="1282"/>
      <c r="CP26" s="1282"/>
      <c r="CQ26" s="1282"/>
      <c r="CR26" s="1282"/>
      <c r="CS26" s="1282"/>
      <c r="CT26" s="1282"/>
      <c r="CU26" s="1283"/>
      <c r="CV26" s="5"/>
    </row>
    <row r="27" spans="1:116" ht="12" customHeight="1" x14ac:dyDescent="0.2">
      <c r="A27" s="5"/>
      <c r="B27" s="1269"/>
      <c r="C27" s="126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7"/>
      <c r="AC27" s="1271"/>
      <c r="AD27" s="1271"/>
      <c r="AE27" s="1271"/>
      <c r="AF27" s="1267"/>
      <c r="AG27" s="1269"/>
      <c r="AH27" s="1269"/>
      <c r="AI27" s="1269"/>
      <c r="AJ27" s="1269"/>
      <c r="AK27" s="1269"/>
      <c r="AL27" s="1269"/>
      <c r="AM27" s="1269"/>
      <c r="AN27" s="1269"/>
      <c r="AO27" s="1269"/>
      <c r="AP27" s="1269"/>
      <c r="AQ27" s="1269"/>
      <c r="AR27" s="1269"/>
      <c r="AS27" s="1269"/>
      <c r="AT27" s="1267"/>
      <c r="AU27" s="1273"/>
      <c r="AV27" s="1273"/>
      <c r="AW27" s="1273"/>
      <c r="AX27" s="1273"/>
      <c r="AY27" s="1273"/>
      <c r="AZ27" s="1273"/>
      <c r="BA27" s="1273"/>
      <c r="BB27" s="1273"/>
      <c r="BC27" s="2"/>
      <c r="BD27" s="486"/>
      <c r="BE27" s="1282"/>
      <c r="BF27" s="1282"/>
      <c r="BG27" s="1282"/>
      <c r="BH27" s="1282"/>
      <c r="BI27" s="1282"/>
      <c r="BJ27" s="1282"/>
      <c r="BK27" s="1282"/>
      <c r="BL27" s="1282"/>
      <c r="BM27" s="1282"/>
      <c r="BN27" s="1282"/>
      <c r="BO27" s="1282"/>
      <c r="BP27" s="1282"/>
      <c r="BQ27" s="1282"/>
      <c r="BR27" s="1282"/>
      <c r="BS27" s="1282"/>
      <c r="BT27" s="1282"/>
      <c r="BU27" s="1282"/>
      <c r="BV27" s="1282"/>
      <c r="BW27" s="1282"/>
      <c r="BX27" s="1282"/>
      <c r="BY27" s="1282"/>
      <c r="BZ27" s="1282"/>
      <c r="CA27" s="1282"/>
      <c r="CB27" s="1282"/>
      <c r="CC27" s="1282"/>
      <c r="CD27" s="1282"/>
      <c r="CE27" s="1282"/>
      <c r="CF27" s="1282"/>
      <c r="CG27" s="1282"/>
      <c r="CH27" s="1282"/>
      <c r="CI27" s="1282"/>
      <c r="CJ27" s="1282"/>
      <c r="CK27" s="1282"/>
      <c r="CL27" s="1282"/>
      <c r="CM27" s="1282"/>
      <c r="CN27" s="1282"/>
      <c r="CO27" s="1282"/>
      <c r="CP27" s="1282"/>
      <c r="CQ27" s="1282"/>
      <c r="CR27" s="1282"/>
      <c r="CS27" s="1282"/>
      <c r="CT27" s="1282"/>
      <c r="CU27" s="1283"/>
      <c r="CV27" s="5"/>
    </row>
    <row r="28" spans="1:116" ht="12" customHeight="1" x14ac:dyDescent="0.2">
      <c r="A28" s="5"/>
      <c r="B28" s="1268"/>
      <c r="C28" s="1268"/>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7"/>
      <c r="AC28" s="1270"/>
      <c r="AD28" s="1270"/>
      <c r="AE28" s="1270"/>
      <c r="AF28" s="1267"/>
      <c r="AG28" s="1268"/>
      <c r="AH28" s="1268"/>
      <c r="AI28" s="1268"/>
      <c r="AJ28" s="1268"/>
      <c r="AK28" s="1268"/>
      <c r="AL28" s="1268"/>
      <c r="AM28" s="1268"/>
      <c r="AN28" s="1268"/>
      <c r="AO28" s="1268"/>
      <c r="AP28" s="1268"/>
      <c r="AQ28" s="1268"/>
      <c r="AR28" s="1268"/>
      <c r="AS28" s="1268"/>
      <c r="AT28" s="1267"/>
      <c r="AU28" s="1272"/>
      <c r="AV28" s="1272"/>
      <c r="AW28" s="1272"/>
      <c r="AX28" s="1272"/>
      <c r="AY28" s="1272"/>
      <c r="AZ28" s="1272"/>
      <c r="BA28" s="1272"/>
      <c r="BB28" s="1272"/>
      <c r="BC28" s="2"/>
      <c r="BD28" s="486"/>
      <c r="BE28" s="1282"/>
      <c r="BF28" s="1282"/>
      <c r="BG28" s="1282"/>
      <c r="BH28" s="1282"/>
      <c r="BI28" s="1282"/>
      <c r="BJ28" s="1282"/>
      <c r="BK28" s="1282"/>
      <c r="BL28" s="1282"/>
      <c r="BM28" s="1282"/>
      <c r="BN28" s="1282"/>
      <c r="BO28" s="1282"/>
      <c r="BP28" s="1282"/>
      <c r="BQ28" s="1282"/>
      <c r="BR28" s="1282"/>
      <c r="BS28" s="1282"/>
      <c r="BT28" s="1282"/>
      <c r="BU28" s="1282"/>
      <c r="BV28" s="1282"/>
      <c r="BW28" s="1282"/>
      <c r="BX28" s="1282"/>
      <c r="BY28" s="1282"/>
      <c r="BZ28" s="1282"/>
      <c r="CA28" s="1282"/>
      <c r="CB28" s="1282"/>
      <c r="CC28" s="1282"/>
      <c r="CD28" s="1282"/>
      <c r="CE28" s="1282"/>
      <c r="CF28" s="1282"/>
      <c r="CG28" s="1282"/>
      <c r="CH28" s="1282"/>
      <c r="CI28" s="1282"/>
      <c r="CJ28" s="1282"/>
      <c r="CK28" s="1282"/>
      <c r="CL28" s="1282"/>
      <c r="CM28" s="1282"/>
      <c r="CN28" s="1282"/>
      <c r="CO28" s="1282"/>
      <c r="CP28" s="1282"/>
      <c r="CQ28" s="1282"/>
      <c r="CR28" s="1282"/>
      <c r="CS28" s="1282"/>
      <c r="CT28" s="1282"/>
      <c r="CU28" s="1283"/>
      <c r="CV28" s="5"/>
    </row>
    <row r="29" spans="1:116" ht="12" customHeight="1" x14ac:dyDescent="0.2">
      <c r="A29" s="5"/>
      <c r="B29" s="1269"/>
      <c r="C29" s="1269"/>
      <c r="D29" s="126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7"/>
      <c r="AC29" s="1271"/>
      <c r="AD29" s="1271"/>
      <c r="AE29" s="1271"/>
      <c r="AF29" s="1267"/>
      <c r="AG29" s="1269"/>
      <c r="AH29" s="1269"/>
      <c r="AI29" s="1269"/>
      <c r="AJ29" s="1269"/>
      <c r="AK29" s="1269"/>
      <c r="AL29" s="1269"/>
      <c r="AM29" s="1269"/>
      <c r="AN29" s="1269"/>
      <c r="AO29" s="1269"/>
      <c r="AP29" s="1269"/>
      <c r="AQ29" s="1269"/>
      <c r="AR29" s="1269"/>
      <c r="AS29" s="1269"/>
      <c r="AT29" s="1267"/>
      <c r="AU29" s="1273"/>
      <c r="AV29" s="1273"/>
      <c r="AW29" s="1273"/>
      <c r="AX29" s="1273"/>
      <c r="AY29" s="1273"/>
      <c r="AZ29" s="1273"/>
      <c r="BA29" s="1273"/>
      <c r="BB29" s="1273"/>
      <c r="BC29" s="2"/>
      <c r="BD29" s="486"/>
      <c r="BE29" s="1282"/>
      <c r="BF29" s="1282"/>
      <c r="BG29" s="1282"/>
      <c r="BH29" s="1282"/>
      <c r="BI29" s="1282"/>
      <c r="BJ29" s="1282"/>
      <c r="BK29" s="1282"/>
      <c r="BL29" s="1282"/>
      <c r="BM29" s="1282"/>
      <c r="BN29" s="1282"/>
      <c r="BO29" s="1282"/>
      <c r="BP29" s="1282"/>
      <c r="BQ29" s="1282"/>
      <c r="BR29" s="1282"/>
      <c r="BS29" s="1282"/>
      <c r="BT29" s="1282"/>
      <c r="BU29" s="1282"/>
      <c r="BV29" s="1282"/>
      <c r="BW29" s="1282"/>
      <c r="BX29" s="1282"/>
      <c r="BY29" s="1282"/>
      <c r="BZ29" s="1282"/>
      <c r="CA29" s="1282"/>
      <c r="CB29" s="1282"/>
      <c r="CC29" s="1282"/>
      <c r="CD29" s="1282"/>
      <c r="CE29" s="1282"/>
      <c r="CF29" s="1282"/>
      <c r="CG29" s="1282"/>
      <c r="CH29" s="1282"/>
      <c r="CI29" s="1282"/>
      <c r="CJ29" s="1282"/>
      <c r="CK29" s="1282"/>
      <c r="CL29" s="1282"/>
      <c r="CM29" s="1282"/>
      <c r="CN29" s="1282"/>
      <c r="CO29" s="1282"/>
      <c r="CP29" s="1282"/>
      <c r="CQ29" s="1282"/>
      <c r="CR29" s="1282"/>
      <c r="CS29" s="1282"/>
      <c r="CT29" s="1282"/>
      <c r="CU29" s="1283"/>
      <c r="CV29" s="5"/>
    </row>
    <row r="30" spans="1:116" ht="12" customHeight="1" x14ac:dyDescent="0.2">
      <c r="A30" s="5"/>
      <c r="B30" s="1268"/>
      <c r="C30" s="1268"/>
      <c r="D30" s="1268"/>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7"/>
      <c r="AC30" s="1270"/>
      <c r="AD30" s="1270"/>
      <c r="AE30" s="1270"/>
      <c r="AF30" s="1267"/>
      <c r="AG30" s="1268"/>
      <c r="AH30" s="1268"/>
      <c r="AI30" s="1268"/>
      <c r="AJ30" s="1268"/>
      <c r="AK30" s="1268"/>
      <c r="AL30" s="1268"/>
      <c r="AM30" s="1268"/>
      <c r="AN30" s="1268"/>
      <c r="AO30" s="1268"/>
      <c r="AP30" s="1268"/>
      <c r="AQ30" s="1268"/>
      <c r="AR30" s="1268"/>
      <c r="AS30" s="1268"/>
      <c r="AT30" s="1267"/>
      <c r="AU30" s="1272"/>
      <c r="AV30" s="1272"/>
      <c r="AW30" s="1272"/>
      <c r="AX30" s="1272"/>
      <c r="AY30" s="1272"/>
      <c r="AZ30" s="1272"/>
      <c r="BA30" s="1272"/>
      <c r="BB30" s="1272"/>
      <c r="BC30" s="2"/>
      <c r="BD30" s="486"/>
      <c r="BE30" s="1282"/>
      <c r="BF30" s="1282"/>
      <c r="BG30" s="1282"/>
      <c r="BH30" s="1282"/>
      <c r="BI30" s="1282"/>
      <c r="BJ30" s="1282"/>
      <c r="BK30" s="1282"/>
      <c r="BL30" s="1282"/>
      <c r="BM30" s="1282"/>
      <c r="BN30" s="1282"/>
      <c r="BO30" s="1282"/>
      <c r="BP30" s="1282"/>
      <c r="BQ30" s="1282"/>
      <c r="BR30" s="1282"/>
      <c r="BS30" s="1282"/>
      <c r="BT30" s="1282"/>
      <c r="BU30" s="1282"/>
      <c r="BV30" s="1282"/>
      <c r="BW30" s="1282"/>
      <c r="BX30" s="1282"/>
      <c r="BY30" s="1282"/>
      <c r="BZ30" s="1282"/>
      <c r="CA30" s="1282"/>
      <c r="CB30" s="1282"/>
      <c r="CC30" s="1282"/>
      <c r="CD30" s="1282"/>
      <c r="CE30" s="1282"/>
      <c r="CF30" s="1282"/>
      <c r="CG30" s="1282"/>
      <c r="CH30" s="1282"/>
      <c r="CI30" s="1282"/>
      <c r="CJ30" s="1282"/>
      <c r="CK30" s="1282"/>
      <c r="CL30" s="1282"/>
      <c r="CM30" s="1282"/>
      <c r="CN30" s="1282"/>
      <c r="CO30" s="1282"/>
      <c r="CP30" s="1282"/>
      <c r="CQ30" s="1282"/>
      <c r="CR30" s="1282"/>
      <c r="CS30" s="1282"/>
      <c r="CT30" s="1282"/>
      <c r="CU30" s="1283"/>
      <c r="CV30" s="5"/>
    </row>
    <row r="31" spans="1:116" ht="12" customHeight="1" x14ac:dyDescent="0.2">
      <c r="A31" s="5"/>
      <c r="B31" s="1269"/>
      <c r="C31" s="1269"/>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7"/>
      <c r="AC31" s="1271"/>
      <c r="AD31" s="1271"/>
      <c r="AE31" s="1271"/>
      <c r="AF31" s="1267"/>
      <c r="AG31" s="1269"/>
      <c r="AH31" s="1269"/>
      <c r="AI31" s="1269"/>
      <c r="AJ31" s="1269"/>
      <c r="AK31" s="1269"/>
      <c r="AL31" s="1269"/>
      <c r="AM31" s="1269"/>
      <c r="AN31" s="1269"/>
      <c r="AO31" s="1269"/>
      <c r="AP31" s="1269"/>
      <c r="AQ31" s="1269"/>
      <c r="AR31" s="1269"/>
      <c r="AS31" s="1269"/>
      <c r="AT31" s="1267"/>
      <c r="AU31" s="1273"/>
      <c r="AV31" s="1273"/>
      <c r="AW31" s="1273"/>
      <c r="AX31" s="1273"/>
      <c r="AY31" s="1273"/>
      <c r="AZ31" s="1273"/>
      <c r="BA31" s="1273"/>
      <c r="BB31" s="1273"/>
      <c r="BC31" s="2"/>
      <c r="BD31" s="486"/>
      <c r="BE31" s="1282"/>
      <c r="BF31" s="1282"/>
      <c r="BG31" s="1282"/>
      <c r="BH31" s="1282"/>
      <c r="BI31" s="1282"/>
      <c r="BJ31" s="1282"/>
      <c r="BK31" s="1282"/>
      <c r="BL31" s="1282"/>
      <c r="BM31" s="1282"/>
      <c r="BN31" s="1282"/>
      <c r="BO31" s="1282"/>
      <c r="BP31" s="1282"/>
      <c r="BQ31" s="1282"/>
      <c r="BR31" s="1282"/>
      <c r="BS31" s="1282"/>
      <c r="BT31" s="1282"/>
      <c r="BU31" s="1282"/>
      <c r="BV31" s="1282"/>
      <c r="BW31" s="1282"/>
      <c r="BX31" s="1282"/>
      <c r="BY31" s="1282"/>
      <c r="BZ31" s="1282"/>
      <c r="CA31" s="1282"/>
      <c r="CB31" s="1282"/>
      <c r="CC31" s="1282"/>
      <c r="CD31" s="1282"/>
      <c r="CE31" s="1282"/>
      <c r="CF31" s="1282"/>
      <c r="CG31" s="1282"/>
      <c r="CH31" s="1282"/>
      <c r="CI31" s="1282"/>
      <c r="CJ31" s="1282"/>
      <c r="CK31" s="1282"/>
      <c r="CL31" s="1282"/>
      <c r="CM31" s="1282"/>
      <c r="CN31" s="1282"/>
      <c r="CO31" s="1282"/>
      <c r="CP31" s="1282"/>
      <c r="CQ31" s="1282"/>
      <c r="CR31" s="1282"/>
      <c r="CS31" s="1282"/>
      <c r="CT31" s="1282"/>
      <c r="CU31" s="1283"/>
      <c r="CV31" s="5"/>
      <c r="CY31" s="6">
        <f>1</f>
        <v>1</v>
      </c>
    </row>
    <row r="32" spans="1:116" ht="12" customHeight="1" x14ac:dyDescent="0.2">
      <c r="A32" s="5"/>
      <c r="B32" s="1268"/>
      <c r="C32" s="1268"/>
      <c r="D32" s="1268"/>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7"/>
      <c r="AC32" s="1270"/>
      <c r="AD32" s="1270"/>
      <c r="AE32" s="1270"/>
      <c r="AF32" s="1267"/>
      <c r="AG32" s="1268"/>
      <c r="AH32" s="1268"/>
      <c r="AI32" s="1268"/>
      <c r="AJ32" s="1268"/>
      <c r="AK32" s="1268"/>
      <c r="AL32" s="1268"/>
      <c r="AM32" s="1268"/>
      <c r="AN32" s="1268"/>
      <c r="AO32" s="1268"/>
      <c r="AP32" s="1268"/>
      <c r="AQ32" s="1268"/>
      <c r="AR32" s="1268"/>
      <c r="AS32" s="1268"/>
      <c r="AT32" s="1267"/>
      <c r="AU32" s="1272"/>
      <c r="AV32" s="1272"/>
      <c r="AW32" s="1272"/>
      <c r="AX32" s="1272"/>
      <c r="AY32" s="1272"/>
      <c r="AZ32" s="1272"/>
      <c r="BA32" s="1272"/>
      <c r="BB32" s="1272"/>
      <c r="BC32" s="2"/>
      <c r="BD32" s="486"/>
      <c r="BE32" s="1282"/>
      <c r="BF32" s="1282"/>
      <c r="BG32" s="1282"/>
      <c r="BH32" s="1282"/>
      <c r="BI32" s="1282"/>
      <c r="BJ32" s="1282"/>
      <c r="BK32" s="1282"/>
      <c r="BL32" s="1282"/>
      <c r="BM32" s="1282"/>
      <c r="BN32" s="1282"/>
      <c r="BO32" s="1282"/>
      <c r="BP32" s="1282"/>
      <c r="BQ32" s="1282"/>
      <c r="BR32" s="1282"/>
      <c r="BS32" s="1282"/>
      <c r="BT32" s="1282"/>
      <c r="BU32" s="1282"/>
      <c r="BV32" s="1282"/>
      <c r="BW32" s="1282"/>
      <c r="BX32" s="1282"/>
      <c r="BY32" s="1282"/>
      <c r="BZ32" s="1282"/>
      <c r="CA32" s="1282"/>
      <c r="CB32" s="1282"/>
      <c r="CC32" s="1282"/>
      <c r="CD32" s="1282"/>
      <c r="CE32" s="1282"/>
      <c r="CF32" s="1282"/>
      <c r="CG32" s="1282"/>
      <c r="CH32" s="1282"/>
      <c r="CI32" s="1282"/>
      <c r="CJ32" s="1282"/>
      <c r="CK32" s="1282"/>
      <c r="CL32" s="1282"/>
      <c r="CM32" s="1282"/>
      <c r="CN32" s="1282"/>
      <c r="CO32" s="1282"/>
      <c r="CP32" s="1282"/>
      <c r="CQ32" s="1282"/>
      <c r="CR32" s="1282"/>
      <c r="CS32" s="1282"/>
      <c r="CT32" s="1282"/>
      <c r="CU32" s="1283"/>
      <c r="CV32" s="5"/>
    </row>
    <row r="33" spans="1:103" ht="12" customHeight="1" x14ac:dyDescent="0.2">
      <c r="A33" s="5"/>
      <c r="B33" s="1269"/>
      <c r="C33" s="1269"/>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7"/>
      <c r="AC33" s="1271"/>
      <c r="AD33" s="1271"/>
      <c r="AE33" s="1271"/>
      <c r="AF33" s="1267"/>
      <c r="AG33" s="1269"/>
      <c r="AH33" s="1269"/>
      <c r="AI33" s="1269"/>
      <c r="AJ33" s="1269"/>
      <c r="AK33" s="1269"/>
      <c r="AL33" s="1269"/>
      <c r="AM33" s="1269"/>
      <c r="AN33" s="1269"/>
      <c r="AO33" s="1269"/>
      <c r="AP33" s="1269"/>
      <c r="AQ33" s="1269"/>
      <c r="AR33" s="1269"/>
      <c r="AS33" s="1269"/>
      <c r="AT33" s="1267"/>
      <c r="AU33" s="1273"/>
      <c r="AV33" s="1273"/>
      <c r="AW33" s="1273"/>
      <c r="AX33" s="1273"/>
      <c r="AY33" s="1273"/>
      <c r="AZ33" s="1273"/>
      <c r="BA33" s="1273"/>
      <c r="BB33" s="1273"/>
      <c r="BC33" s="2"/>
      <c r="BD33" s="486"/>
      <c r="BE33" s="1282"/>
      <c r="BF33" s="1282"/>
      <c r="BG33" s="1282"/>
      <c r="BH33" s="1282"/>
      <c r="BI33" s="1282"/>
      <c r="BJ33" s="1282"/>
      <c r="BK33" s="1282"/>
      <c r="BL33" s="1282"/>
      <c r="BM33" s="1282"/>
      <c r="BN33" s="1282"/>
      <c r="BO33" s="1282"/>
      <c r="BP33" s="1282"/>
      <c r="BQ33" s="1282"/>
      <c r="BR33" s="1282"/>
      <c r="BS33" s="1282"/>
      <c r="BT33" s="1282"/>
      <c r="BU33" s="1282"/>
      <c r="BV33" s="1282"/>
      <c r="BW33" s="1282"/>
      <c r="BX33" s="1282"/>
      <c r="BY33" s="1282"/>
      <c r="BZ33" s="1282"/>
      <c r="CA33" s="1282"/>
      <c r="CB33" s="1282"/>
      <c r="CC33" s="1282"/>
      <c r="CD33" s="1282"/>
      <c r="CE33" s="1282"/>
      <c r="CF33" s="1282"/>
      <c r="CG33" s="1282"/>
      <c r="CH33" s="1282"/>
      <c r="CI33" s="1282"/>
      <c r="CJ33" s="1282"/>
      <c r="CK33" s="1282"/>
      <c r="CL33" s="1282"/>
      <c r="CM33" s="1282"/>
      <c r="CN33" s="1282"/>
      <c r="CO33" s="1282"/>
      <c r="CP33" s="1282"/>
      <c r="CQ33" s="1282"/>
      <c r="CR33" s="1282"/>
      <c r="CS33" s="1282"/>
      <c r="CT33" s="1282"/>
      <c r="CU33" s="1283"/>
      <c r="CV33" s="5"/>
      <c r="CY33" s="6">
        <f>CY31+1</f>
        <v>2</v>
      </c>
    </row>
    <row r="34" spans="1:103" ht="12" customHeight="1" x14ac:dyDescent="0.2">
      <c r="A34" s="5"/>
      <c r="B34" s="1268"/>
      <c r="C34" s="1268"/>
      <c r="D34" s="1268"/>
      <c r="E34" s="1268"/>
      <c r="F34" s="1268"/>
      <c r="G34" s="1268"/>
      <c r="H34" s="1268"/>
      <c r="I34" s="1268"/>
      <c r="J34" s="1268"/>
      <c r="K34" s="1268"/>
      <c r="L34" s="1268"/>
      <c r="M34" s="1268"/>
      <c r="N34" s="1268"/>
      <c r="O34" s="1268"/>
      <c r="P34" s="1268"/>
      <c r="Q34" s="1268"/>
      <c r="R34" s="1268"/>
      <c r="S34" s="1268"/>
      <c r="T34" s="1268"/>
      <c r="U34" s="1268"/>
      <c r="V34" s="1268"/>
      <c r="W34" s="1268"/>
      <c r="X34" s="1268"/>
      <c r="Y34" s="1268"/>
      <c r="Z34" s="1268"/>
      <c r="AA34" s="1268"/>
      <c r="AB34" s="1267"/>
      <c r="AC34" s="1270"/>
      <c r="AD34" s="1270"/>
      <c r="AE34" s="1270"/>
      <c r="AF34" s="1267"/>
      <c r="AG34" s="1268"/>
      <c r="AH34" s="1268"/>
      <c r="AI34" s="1268"/>
      <c r="AJ34" s="1268"/>
      <c r="AK34" s="1268"/>
      <c r="AL34" s="1268"/>
      <c r="AM34" s="1268"/>
      <c r="AN34" s="1268"/>
      <c r="AO34" s="1268"/>
      <c r="AP34" s="1268"/>
      <c r="AQ34" s="1268"/>
      <c r="AR34" s="1268"/>
      <c r="AS34" s="1268"/>
      <c r="AT34" s="1267"/>
      <c r="AU34" s="1272"/>
      <c r="AV34" s="1272"/>
      <c r="AW34" s="1272"/>
      <c r="AX34" s="1272"/>
      <c r="AY34" s="1272"/>
      <c r="AZ34" s="1272"/>
      <c r="BA34" s="1272"/>
      <c r="BB34" s="1272"/>
      <c r="BC34" s="2"/>
      <c r="BD34" s="486"/>
      <c r="BE34" s="1282"/>
      <c r="BF34" s="1282"/>
      <c r="BG34" s="1282"/>
      <c r="BH34" s="1282"/>
      <c r="BI34" s="1282"/>
      <c r="BJ34" s="1282"/>
      <c r="BK34" s="1282"/>
      <c r="BL34" s="1282"/>
      <c r="BM34" s="1282"/>
      <c r="BN34" s="1282"/>
      <c r="BO34" s="1282"/>
      <c r="BP34" s="1282"/>
      <c r="BQ34" s="1282"/>
      <c r="BR34" s="1282"/>
      <c r="BS34" s="1282"/>
      <c r="BT34" s="1282"/>
      <c r="BU34" s="1282"/>
      <c r="BV34" s="1282"/>
      <c r="BW34" s="1282"/>
      <c r="BX34" s="1282"/>
      <c r="BY34" s="1282"/>
      <c r="BZ34" s="1282"/>
      <c r="CA34" s="1282"/>
      <c r="CB34" s="1282"/>
      <c r="CC34" s="1282"/>
      <c r="CD34" s="1282"/>
      <c r="CE34" s="1282"/>
      <c r="CF34" s="1282"/>
      <c r="CG34" s="1282"/>
      <c r="CH34" s="1282"/>
      <c r="CI34" s="1282"/>
      <c r="CJ34" s="1282"/>
      <c r="CK34" s="1282"/>
      <c r="CL34" s="1282"/>
      <c r="CM34" s="1282"/>
      <c r="CN34" s="1282"/>
      <c r="CO34" s="1282"/>
      <c r="CP34" s="1282"/>
      <c r="CQ34" s="1282"/>
      <c r="CR34" s="1282"/>
      <c r="CS34" s="1282"/>
      <c r="CT34" s="1282"/>
      <c r="CU34" s="1283"/>
      <c r="CV34" s="5"/>
    </row>
    <row r="35" spans="1:103" ht="12" customHeight="1" x14ac:dyDescent="0.2">
      <c r="A35" s="5"/>
      <c r="B35" s="1269"/>
      <c r="C35" s="1269"/>
      <c r="D35" s="1269"/>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7"/>
      <c r="AC35" s="1271"/>
      <c r="AD35" s="1271"/>
      <c r="AE35" s="1271"/>
      <c r="AF35" s="1267"/>
      <c r="AG35" s="1269"/>
      <c r="AH35" s="1269"/>
      <c r="AI35" s="1269"/>
      <c r="AJ35" s="1269"/>
      <c r="AK35" s="1269"/>
      <c r="AL35" s="1269"/>
      <c r="AM35" s="1269"/>
      <c r="AN35" s="1269"/>
      <c r="AO35" s="1269"/>
      <c r="AP35" s="1269"/>
      <c r="AQ35" s="1269"/>
      <c r="AR35" s="1269"/>
      <c r="AS35" s="1269"/>
      <c r="AT35" s="1267"/>
      <c r="AU35" s="1273"/>
      <c r="AV35" s="1273"/>
      <c r="AW35" s="1273"/>
      <c r="AX35" s="1273"/>
      <c r="AY35" s="1273"/>
      <c r="AZ35" s="1273"/>
      <c r="BA35" s="1273"/>
      <c r="BB35" s="1273"/>
      <c r="BC35" s="2"/>
      <c r="BD35" s="486"/>
      <c r="BE35" s="1282"/>
      <c r="BF35" s="1282"/>
      <c r="BG35" s="1282"/>
      <c r="BH35" s="1282"/>
      <c r="BI35" s="1282"/>
      <c r="BJ35" s="1282"/>
      <c r="BK35" s="1282"/>
      <c r="BL35" s="1282"/>
      <c r="BM35" s="1282"/>
      <c r="BN35" s="1282"/>
      <c r="BO35" s="1282"/>
      <c r="BP35" s="1282"/>
      <c r="BQ35" s="1282"/>
      <c r="BR35" s="1282"/>
      <c r="BS35" s="1282"/>
      <c r="BT35" s="1282"/>
      <c r="BU35" s="1282"/>
      <c r="BV35" s="1282"/>
      <c r="BW35" s="1282"/>
      <c r="BX35" s="1282"/>
      <c r="BY35" s="1282"/>
      <c r="BZ35" s="1282"/>
      <c r="CA35" s="1282"/>
      <c r="CB35" s="1282"/>
      <c r="CC35" s="1282"/>
      <c r="CD35" s="1282"/>
      <c r="CE35" s="1282"/>
      <c r="CF35" s="1282"/>
      <c r="CG35" s="1282"/>
      <c r="CH35" s="1282"/>
      <c r="CI35" s="1282"/>
      <c r="CJ35" s="1282"/>
      <c r="CK35" s="1282"/>
      <c r="CL35" s="1282"/>
      <c r="CM35" s="1282"/>
      <c r="CN35" s="1282"/>
      <c r="CO35" s="1282"/>
      <c r="CP35" s="1282"/>
      <c r="CQ35" s="1282"/>
      <c r="CR35" s="1282"/>
      <c r="CS35" s="1282"/>
      <c r="CT35" s="1282"/>
      <c r="CU35" s="1283"/>
      <c r="CV35" s="5"/>
      <c r="CY35" s="6">
        <f>CY33+1</f>
        <v>3</v>
      </c>
    </row>
    <row r="36" spans="1:103" ht="12" customHeight="1" x14ac:dyDescent="0.2">
      <c r="A36" s="5"/>
      <c r="B36" s="1268"/>
      <c r="C36" s="1268"/>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7"/>
      <c r="AC36" s="1270"/>
      <c r="AD36" s="1270"/>
      <c r="AE36" s="1270"/>
      <c r="AF36" s="1267"/>
      <c r="AG36" s="1268"/>
      <c r="AH36" s="1268"/>
      <c r="AI36" s="1268"/>
      <c r="AJ36" s="1268"/>
      <c r="AK36" s="1268"/>
      <c r="AL36" s="1268"/>
      <c r="AM36" s="1268"/>
      <c r="AN36" s="1268"/>
      <c r="AO36" s="1268"/>
      <c r="AP36" s="1268"/>
      <c r="AQ36" s="1268"/>
      <c r="AR36" s="1268"/>
      <c r="AS36" s="1268"/>
      <c r="AT36" s="1267"/>
      <c r="AU36" s="1272"/>
      <c r="AV36" s="1272"/>
      <c r="AW36" s="1272"/>
      <c r="AX36" s="1272"/>
      <c r="AY36" s="1272"/>
      <c r="AZ36" s="1272"/>
      <c r="BA36" s="1272"/>
      <c r="BB36" s="1272"/>
      <c r="BC36" s="2"/>
      <c r="BD36" s="486"/>
      <c r="BE36" s="1282"/>
      <c r="BF36" s="1282"/>
      <c r="BG36" s="1282"/>
      <c r="BH36" s="1282"/>
      <c r="BI36" s="1282"/>
      <c r="BJ36" s="1282"/>
      <c r="BK36" s="1282"/>
      <c r="BL36" s="1282"/>
      <c r="BM36" s="1282"/>
      <c r="BN36" s="1282"/>
      <c r="BO36" s="1282"/>
      <c r="BP36" s="1282"/>
      <c r="BQ36" s="1282"/>
      <c r="BR36" s="1282"/>
      <c r="BS36" s="1282"/>
      <c r="BT36" s="1282"/>
      <c r="BU36" s="1282"/>
      <c r="BV36" s="1282"/>
      <c r="BW36" s="1282"/>
      <c r="BX36" s="1282"/>
      <c r="BY36" s="1282"/>
      <c r="BZ36" s="1282"/>
      <c r="CA36" s="1282"/>
      <c r="CB36" s="1282"/>
      <c r="CC36" s="1282"/>
      <c r="CD36" s="1282"/>
      <c r="CE36" s="1282"/>
      <c r="CF36" s="1282"/>
      <c r="CG36" s="1282"/>
      <c r="CH36" s="1282"/>
      <c r="CI36" s="1282"/>
      <c r="CJ36" s="1282"/>
      <c r="CK36" s="1282"/>
      <c r="CL36" s="1282"/>
      <c r="CM36" s="1282"/>
      <c r="CN36" s="1282"/>
      <c r="CO36" s="1282"/>
      <c r="CP36" s="1282"/>
      <c r="CQ36" s="1282"/>
      <c r="CR36" s="1282"/>
      <c r="CS36" s="1282"/>
      <c r="CT36" s="1282"/>
      <c r="CU36" s="1283"/>
      <c r="CV36" s="5"/>
    </row>
    <row r="37" spans="1:103" ht="12" customHeight="1" x14ac:dyDescent="0.2">
      <c r="A37" s="5"/>
      <c r="B37" s="1269"/>
      <c r="C37" s="1269"/>
      <c r="D37" s="1269"/>
      <c r="E37" s="1269"/>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7"/>
      <c r="AC37" s="1271"/>
      <c r="AD37" s="1271"/>
      <c r="AE37" s="1271"/>
      <c r="AF37" s="1267"/>
      <c r="AG37" s="1269"/>
      <c r="AH37" s="1269"/>
      <c r="AI37" s="1269"/>
      <c r="AJ37" s="1269"/>
      <c r="AK37" s="1269"/>
      <c r="AL37" s="1269"/>
      <c r="AM37" s="1269"/>
      <c r="AN37" s="1269"/>
      <c r="AO37" s="1269"/>
      <c r="AP37" s="1269"/>
      <c r="AQ37" s="1269"/>
      <c r="AR37" s="1269"/>
      <c r="AS37" s="1269"/>
      <c r="AT37" s="1267"/>
      <c r="AU37" s="1273"/>
      <c r="AV37" s="1273"/>
      <c r="AW37" s="1273"/>
      <c r="AX37" s="1273"/>
      <c r="AY37" s="1273"/>
      <c r="AZ37" s="1273"/>
      <c r="BA37" s="1273"/>
      <c r="BB37" s="1273"/>
      <c r="BC37" s="2"/>
      <c r="BD37" s="486"/>
      <c r="BE37" s="1282"/>
      <c r="BF37" s="1282"/>
      <c r="BG37" s="1282"/>
      <c r="BH37" s="1282"/>
      <c r="BI37" s="1282"/>
      <c r="BJ37" s="1282"/>
      <c r="BK37" s="1282"/>
      <c r="BL37" s="1282"/>
      <c r="BM37" s="1282"/>
      <c r="BN37" s="1282"/>
      <c r="BO37" s="1282"/>
      <c r="BP37" s="1282"/>
      <c r="BQ37" s="1282"/>
      <c r="BR37" s="1282"/>
      <c r="BS37" s="1282"/>
      <c r="BT37" s="1282"/>
      <c r="BU37" s="1282"/>
      <c r="BV37" s="1282"/>
      <c r="BW37" s="1282"/>
      <c r="BX37" s="1282"/>
      <c r="BY37" s="1282"/>
      <c r="BZ37" s="1282"/>
      <c r="CA37" s="1282"/>
      <c r="CB37" s="1282"/>
      <c r="CC37" s="1282"/>
      <c r="CD37" s="1282"/>
      <c r="CE37" s="1282"/>
      <c r="CF37" s="1282"/>
      <c r="CG37" s="1282"/>
      <c r="CH37" s="1282"/>
      <c r="CI37" s="1282"/>
      <c r="CJ37" s="1282"/>
      <c r="CK37" s="1282"/>
      <c r="CL37" s="1282"/>
      <c r="CM37" s="1282"/>
      <c r="CN37" s="1282"/>
      <c r="CO37" s="1282"/>
      <c r="CP37" s="1282"/>
      <c r="CQ37" s="1282"/>
      <c r="CR37" s="1282"/>
      <c r="CS37" s="1282"/>
      <c r="CT37" s="1282"/>
      <c r="CU37" s="1283"/>
      <c r="CV37" s="5"/>
      <c r="CY37" s="6">
        <f>CY35+1</f>
        <v>4</v>
      </c>
    </row>
    <row r="38" spans="1:103" ht="12" customHeight="1" x14ac:dyDescent="0.2">
      <c r="A38" s="5"/>
      <c r="B38" s="1268"/>
      <c r="C38" s="1268"/>
      <c r="D38" s="1268"/>
      <c r="E38" s="1268"/>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7"/>
      <c r="AC38" s="1270"/>
      <c r="AD38" s="1270"/>
      <c r="AE38" s="1270"/>
      <c r="AF38" s="1267"/>
      <c r="AG38" s="1268"/>
      <c r="AH38" s="1268"/>
      <c r="AI38" s="1268"/>
      <c r="AJ38" s="1268"/>
      <c r="AK38" s="1268"/>
      <c r="AL38" s="1268"/>
      <c r="AM38" s="1268"/>
      <c r="AN38" s="1268"/>
      <c r="AO38" s="1268"/>
      <c r="AP38" s="1268"/>
      <c r="AQ38" s="1268"/>
      <c r="AR38" s="1268"/>
      <c r="AS38" s="1268"/>
      <c r="AT38" s="1267"/>
      <c r="AU38" s="1272"/>
      <c r="AV38" s="1272"/>
      <c r="AW38" s="1272"/>
      <c r="AX38" s="1272"/>
      <c r="AY38" s="1272"/>
      <c r="AZ38" s="1272"/>
      <c r="BA38" s="1272"/>
      <c r="BB38" s="1272"/>
      <c r="BC38" s="2"/>
      <c r="BD38" s="486"/>
      <c r="BE38" s="1282"/>
      <c r="BF38" s="1282"/>
      <c r="BG38" s="1282"/>
      <c r="BH38" s="1282"/>
      <c r="BI38" s="1282"/>
      <c r="BJ38" s="1282"/>
      <c r="BK38" s="1282"/>
      <c r="BL38" s="1282"/>
      <c r="BM38" s="1282"/>
      <c r="BN38" s="1282"/>
      <c r="BO38" s="1282"/>
      <c r="BP38" s="1282"/>
      <c r="BQ38" s="1282"/>
      <c r="BR38" s="1282"/>
      <c r="BS38" s="1282"/>
      <c r="BT38" s="1282"/>
      <c r="BU38" s="1282"/>
      <c r="BV38" s="1282"/>
      <c r="BW38" s="1282"/>
      <c r="BX38" s="1282"/>
      <c r="BY38" s="1282"/>
      <c r="BZ38" s="1282"/>
      <c r="CA38" s="1282"/>
      <c r="CB38" s="1282"/>
      <c r="CC38" s="1282"/>
      <c r="CD38" s="1282"/>
      <c r="CE38" s="1282"/>
      <c r="CF38" s="1282"/>
      <c r="CG38" s="1282"/>
      <c r="CH38" s="1282"/>
      <c r="CI38" s="1282"/>
      <c r="CJ38" s="1282"/>
      <c r="CK38" s="1282"/>
      <c r="CL38" s="1282"/>
      <c r="CM38" s="1282"/>
      <c r="CN38" s="1282"/>
      <c r="CO38" s="1282"/>
      <c r="CP38" s="1282"/>
      <c r="CQ38" s="1282"/>
      <c r="CR38" s="1282"/>
      <c r="CS38" s="1282"/>
      <c r="CT38" s="1282"/>
      <c r="CU38" s="1283"/>
      <c r="CV38" s="5"/>
    </row>
    <row r="39" spans="1:103" ht="12" customHeight="1" x14ac:dyDescent="0.2">
      <c r="A39" s="5"/>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7"/>
      <c r="AC39" s="1271"/>
      <c r="AD39" s="1271"/>
      <c r="AE39" s="1271"/>
      <c r="AF39" s="1267"/>
      <c r="AG39" s="1269"/>
      <c r="AH39" s="1269"/>
      <c r="AI39" s="1269"/>
      <c r="AJ39" s="1269"/>
      <c r="AK39" s="1269"/>
      <c r="AL39" s="1269"/>
      <c r="AM39" s="1269"/>
      <c r="AN39" s="1269"/>
      <c r="AO39" s="1269"/>
      <c r="AP39" s="1269"/>
      <c r="AQ39" s="1269"/>
      <c r="AR39" s="1269"/>
      <c r="AS39" s="1269"/>
      <c r="AT39" s="1267"/>
      <c r="AU39" s="1273"/>
      <c r="AV39" s="1273"/>
      <c r="AW39" s="1273"/>
      <c r="AX39" s="1273"/>
      <c r="AY39" s="1273"/>
      <c r="AZ39" s="1273"/>
      <c r="BA39" s="1273"/>
      <c r="BB39" s="1273"/>
      <c r="BC39" s="2"/>
      <c r="BD39" s="486"/>
      <c r="BE39" s="1282"/>
      <c r="BF39" s="1282"/>
      <c r="BG39" s="1282"/>
      <c r="BH39" s="1282"/>
      <c r="BI39" s="1282"/>
      <c r="BJ39" s="1282"/>
      <c r="BK39" s="1282"/>
      <c r="BL39" s="1282"/>
      <c r="BM39" s="1282"/>
      <c r="BN39" s="1282"/>
      <c r="BO39" s="1282"/>
      <c r="BP39" s="1282"/>
      <c r="BQ39" s="1282"/>
      <c r="BR39" s="1282"/>
      <c r="BS39" s="1282"/>
      <c r="BT39" s="1282"/>
      <c r="BU39" s="1282"/>
      <c r="BV39" s="1282"/>
      <c r="BW39" s="1282"/>
      <c r="BX39" s="1282"/>
      <c r="BY39" s="1282"/>
      <c r="BZ39" s="1282"/>
      <c r="CA39" s="1282"/>
      <c r="CB39" s="1282"/>
      <c r="CC39" s="1282"/>
      <c r="CD39" s="1282"/>
      <c r="CE39" s="1282"/>
      <c r="CF39" s="1282"/>
      <c r="CG39" s="1282"/>
      <c r="CH39" s="1282"/>
      <c r="CI39" s="1282"/>
      <c r="CJ39" s="1282"/>
      <c r="CK39" s="1282"/>
      <c r="CL39" s="1282"/>
      <c r="CM39" s="1282"/>
      <c r="CN39" s="1282"/>
      <c r="CO39" s="1282"/>
      <c r="CP39" s="1282"/>
      <c r="CQ39" s="1282"/>
      <c r="CR39" s="1282"/>
      <c r="CS39" s="1282"/>
      <c r="CT39" s="1282"/>
      <c r="CU39" s="1283"/>
      <c r="CV39" s="5"/>
      <c r="CY39" s="6">
        <f>CY37+1</f>
        <v>5</v>
      </c>
    </row>
    <row r="40" spans="1:103" ht="12" customHeight="1" x14ac:dyDescent="0.2">
      <c r="A40" s="5"/>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7"/>
      <c r="AC40" s="1270"/>
      <c r="AD40" s="1270"/>
      <c r="AE40" s="1270"/>
      <c r="AF40" s="1267"/>
      <c r="AG40" s="1268"/>
      <c r="AH40" s="1268"/>
      <c r="AI40" s="1268"/>
      <c r="AJ40" s="1268"/>
      <c r="AK40" s="1268"/>
      <c r="AL40" s="1268"/>
      <c r="AM40" s="1268"/>
      <c r="AN40" s="1268"/>
      <c r="AO40" s="1268"/>
      <c r="AP40" s="1268"/>
      <c r="AQ40" s="1268"/>
      <c r="AR40" s="1268"/>
      <c r="AS40" s="1268"/>
      <c r="AT40" s="1267"/>
      <c r="AU40" s="1272"/>
      <c r="AV40" s="1272"/>
      <c r="AW40" s="1272"/>
      <c r="AX40" s="1272"/>
      <c r="AY40" s="1272"/>
      <c r="AZ40" s="1272"/>
      <c r="BA40" s="1272"/>
      <c r="BB40" s="1272"/>
      <c r="BC40" s="2"/>
      <c r="BD40" s="486"/>
      <c r="BE40" s="1282"/>
      <c r="BF40" s="1282"/>
      <c r="BG40" s="1282"/>
      <c r="BH40" s="1282"/>
      <c r="BI40" s="1282"/>
      <c r="BJ40" s="1282"/>
      <c r="BK40" s="1282"/>
      <c r="BL40" s="1282"/>
      <c r="BM40" s="1282"/>
      <c r="BN40" s="1282"/>
      <c r="BO40" s="1282"/>
      <c r="BP40" s="1282"/>
      <c r="BQ40" s="1282"/>
      <c r="BR40" s="1282"/>
      <c r="BS40" s="1282"/>
      <c r="BT40" s="1282"/>
      <c r="BU40" s="1282"/>
      <c r="BV40" s="1282"/>
      <c r="BW40" s="1282"/>
      <c r="BX40" s="1282"/>
      <c r="BY40" s="1282"/>
      <c r="BZ40" s="1282"/>
      <c r="CA40" s="1282"/>
      <c r="CB40" s="1282"/>
      <c r="CC40" s="1282"/>
      <c r="CD40" s="1282"/>
      <c r="CE40" s="1282"/>
      <c r="CF40" s="1282"/>
      <c r="CG40" s="1282"/>
      <c r="CH40" s="1282"/>
      <c r="CI40" s="1282"/>
      <c r="CJ40" s="1282"/>
      <c r="CK40" s="1282"/>
      <c r="CL40" s="1282"/>
      <c r="CM40" s="1282"/>
      <c r="CN40" s="1282"/>
      <c r="CO40" s="1282"/>
      <c r="CP40" s="1282"/>
      <c r="CQ40" s="1282"/>
      <c r="CR40" s="1282"/>
      <c r="CS40" s="1282"/>
      <c r="CT40" s="1282"/>
      <c r="CU40" s="1283"/>
      <c r="CV40" s="5"/>
    </row>
    <row r="41" spans="1:103" ht="12" customHeight="1" x14ac:dyDescent="0.2">
      <c r="A41" s="5"/>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7"/>
      <c r="AC41" s="1271"/>
      <c r="AD41" s="1271"/>
      <c r="AE41" s="1271"/>
      <c r="AF41" s="1267"/>
      <c r="AG41" s="1269"/>
      <c r="AH41" s="1269"/>
      <c r="AI41" s="1269"/>
      <c r="AJ41" s="1269"/>
      <c r="AK41" s="1269"/>
      <c r="AL41" s="1269"/>
      <c r="AM41" s="1269"/>
      <c r="AN41" s="1269"/>
      <c r="AO41" s="1269"/>
      <c r="AP41" s="1269"/>
      <c r="AQ41" s="1269"/>
      <c r="AR41" s="1269"/>
      <c r="AS41" s="1269"/>
      <c r="AT41" s="1267"/>
      <c r="AU41" s="1273"/>
      <c r="AV41" s="1273"/>
      <c r="AW41" s="1273"/>
      <c r="AX41" s="1273"/>
      <c r="AY41" s="1273"/>
      <c r="AZ41" s="1273"/>
      <c r="BA41" s="1273"/>
      <c r="BB41" s="1273"/>
      <c r="BC41" s="2"/>
      <c r="BD41" s="486"/>
      <c r="BE41" s="1282"/>
      <c r="BF41" s="1282"/>
      <c r="BG41" s="1282"/>
      <c r="BH41" s="1282"/>
      <c r="BI41" s="1282"/>
      <c r="BJ41" s="1282"/>
      <c r="BK41" s="1282"/>
      <c r="BL41" s="1282"/>
      <c r="BM41" s="1282"/>
      <c r="BN41" s="1282"/>
      <c r="BO41" s="1282"/>
      <c r="BP41" s="1282"/>
      <c r="BQ41" s="1282"/>
      <c r="BR41" s="1282"/>
      <c r="BS41" s="1282"/>
      <c r="BT41" s="1282"/>
      <c r="BU41" s="1282"/>
      <c r="BV41" s="1282"/>
      <c r="BW41" s="1282"/>
      <c r="BX41" s="1282"/>
      <c r="BY41" s="1282"/>
      <c r="BZ41" s="1282"/>
      <c r="CA41" s="1282"/>
      <c r="CB41" s="1282"/>
      <c r="CC41" s="1282"/>
      <c r="CD41" s="1282"/>
      <c r="CE41" s="1282"/>
      <c r="CF41" s="1282"/>
      <c r="CG41" s="1282"/>
      <c r="CH41" s="1282"/>
      <c r="CI41" s="1282"/>
      <c r="CJ41" s="1282"/>
      <c r="CK41" s="1282"/>
      <c r="CL41" s="1282"/>
      <c r="CM41" s="1282"/>
      <c r="CN41" s="1282"/>
      <c r="CO41" s="1282"/>
      <c r="CP41" s="1282"/>
      <c r="CQ41" s="1282"/>
      <c r="CR41" s="1282"/>
      <c r="CS41" s="1282"/>
      <c r="CT41" s="1282"/>
      <c r="CU41" s="1283"/>
      <c r="CV41" s="5"/>
      <c r="CY41" s="6">
        <f>CY39+1</f>
        <v>6</v>
      </c>
    </row>
    <row r="42" spans="1:103" ht="12" customHeight="1" x14ac:dyDescent="0.2">
      <c r="A42" s="5"/>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7"/>
      <c r="AC42" s="1270"/>
      <c r="AD42" s="1270"/>
      <c r="AE42" s="1270"/>
      <c r="AF42" s="1267"/>
      <c r="AG42" s="1268"/>
      <c r="AH42" s="1268"/>
      <c r="AI42" s="1268"/>
      <c r="AJ42" s="1268"/>
      <c r="AK42" s="1268"/>
      <c r="AL42" s="1268"/>
      <c r="AM42" s="1268"/>
      <c r="AN42" s="1268"/>
      <c r="AO42" s="1268"/>
      <c r="AP42" s="1268"/>
      <c r="AQ42" s="1268"/>
      <c r="AR42" s="1268"/>
      <c r="AS42" s="1268"/>
      <c r="AT42" s="1267"/>
      <c r="AU42" s="1272"/>
      <c r="AV42" s="1272"/>
      <c r="AW42" s="1272"/>
      <c r="AX42" s="1272"/>
      <c r="AY42" s="1272"/>
      <c r="AZ42" s="1272"/>
      <c r="BA42" s="1272"/>
      <c r="BB42" s="1272"/>
      <c r="BC42" s="2"/>
      <c r="BD42" s="486"/>
      <c r="BE42" s="1282"/>
      <c r="BF42" s="1282"/>
      <c r="BG42" s="1282"/>
      <c r="BH42" s="1282"/>
      <c r="BI42" s="1282"/>
      <c r="BJ42" s="1282"/>
      <c r="BK42" s="1282"/>
      <c r="BL42" s="1282"/>
      <c r="BM42" s="1282"/>
      <c r="BN42" s="1282"/>
      <c r="BO42" s="1282"/>
      <c r="BP42" s="1282"/>
      <c r="BQ42" s="1282"/>
      <c r="BR42" s="1282"/>
      <c r="BS42" s="1282"/>
      <c r="BT42" s="1282"/>
      <c r="BU42" s="1282"/>
      <c r="BV42" s="1282"/>
      <c r="BW42" s="1282"/>
      <c r="BX42" s="1282"/>
      <c r="BY42" s="1282"/>
      <c r="BZ42" s="1282"/>
      <c r="CA42" s="1282"/>
      <c r="CB42" s="1282"/>
      <c r="CC42" s="1282"/>
      <c r="CD42" s="1282"/>
      <c r="CE42" s="1282"/>
      <c r="CF42" s="1282"/>
      <c r="CG42" s="1282"/>
      <c r="CH42" s="1282"/>
      <c r="CI42" s="1282"/>
      <c r="CJ42" s="1282"/>
      <c r="CK42" s="1282"/>
      <c r="CL42" s="1282"/>
      <c r="CM42" s="1282"/>
      <c r="CN42" s="1282"/>
      <c r="CO42" s="1282"/>
      <c r="CP42" s="1282"/>
      <c r="CQ42" s="1282"/>
      <c r="CR42" s="1282"/>
      <c r="CS42" s="1282"/>
      <c r="CT42" s="1282"/>
      <c r="CU42" s="1283"/>
      <c r="CV42" s="5"/>
    </row>
    <row r="43" spans="1:103" ht="12" customHeight="1" x14ac:dyDescent="0.2">
      <c r="A43" s="5"/>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7"/>
      <c r="AC43" s="1271"/>
      <c r="AD43" s="1271"/>
      <c r="AE43" s="1271"/>
      <c r="AF43" s="1267"/>
      <c r="AG43" s="1269"/>
      <c r="AH43" s="1269"/>
      <c r="AI43" s="1269"/>
      <c r="AJ43" s="1269"/>
      <c r="AK43" s="1269"/>
      <c r="AL43" s="1269"/>
      <c r="AM43" s="1269"/>
      <c r="AN43" s="1269"/>
      <c r="AO43" s="1269"/>
      <c r="AP43" s="1269"/>
      <c r="AQ43" s="1269"/>
      <c r="AR43" s="1269"/>
      <c r="AS43" s="1269"/>
      <c r="AT43" s="1267"/>
      <c r="AU43" s="1273"/>
      <c r="AV43" s="1273"/>
      <c r="AW43" s="1273"/>
      <c r="AX43" s="1273"/>
      <c r="AY43" s="1273"/>
      <c r="AZ43" s="1273"/>
      <c r="BA43" s="1273"/>
      <c r="BB43" s="1273"/>
      <c r="BC43" s="2"/>
      <c r="BD43" s="486"/>
      <c r="BE43" s="1282"/>
      <c r="BF43" s="1282"/>
      <c r="BG43" s="1282"/>
      <c r="BH43" s="1282"/>
      <c r="BI43" s="1282"/>
      <c r="BJ43" s="1282"/>
      <c r="BK43" s="1282"/>
      <c r="BL43" s="1282"/>
      <c r="BM43" s="1282"/>
      <c r="BN43" s="1282"/>
      <c r="BO43" s="1282"/>
      <c r="BP43" s="1282"/>
      <c r="BQ43" s="1282"/>
      <c r="BR43" s="1282"/>
      <c r="BS43" s="1282"/>
      <c r="BT43" s="1282"/>
      <c r="BU43" s="1282"/>
      <c r="BV43" s="1282"/>
      <c r="BW43" s="1282"/>
      <c r="BX43" s="1282"/>
      <c r="BY43" s="1282"/>
      <c r="BZ43" s="1282"/>
      <c r="CA43" s="1282"/>
      <c r="CB43" s="1282"/>
      <c r="CC43" s="1282"/>
      <c r="CD43" s="1282"/>
      <c r="CE43" s="1282"/>
      <c r="CF43" s="1282"/>
      <c r="CG43" s="1282"/>
      <c r="CH43" s="1282"/>
      <c r="CI43" s="1282"/>
      <c r="CJ43" s="1282"/>
      <c r="CK43" s="1282"/>
      <c r="CL43" s="1282"/>
      <c r="CM43" s="1282"/>
      <c r="CN43" s="1282"/>
      <c r="CO43" s="1282"/>
      <c r="CP43" s="1282"/>
      <c r="CQ43" s="1282"/>
      <c r="CR43" s="1282"/>
      <c r="CS43" s="1282"/>
      <c r="CT43" s="1282"/>
      <c r="CU43" s="1283"/>
      <c r="CV43" s="5"/>
      <c r="CY43" s="6">
        <f>CY41+1</f>
        <v>7</v>
      </c>
    </row>
    <row r="44" spans="1:103" ht="12" customHeight="1" x14ac:dyDescent="0.2">
      <c r="A44" s="5"/>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7"/>
      <c r="AC44" s="1270"/>
      <c r="AD44" s="1270"/>
      <c r="AE44" s="1270"/>
      <c r="AF44" s="1267"/>
      <c r="AG44" s="1268"/>
      <c r="AH44" s="1268"/>
      <c r="AI44" s="1268"/>
      <c r="AJ44" s="1268"/>
      <c r="AK44" s="1268"/>
      <c r="AL44" s="1268"/>
      <c r="AM44" s="1268"/>
      <c r="AN44" s="1268"/>
      <c r="AO44" s="1268"/>
      <c r="AP44" s="1268"/>
      <c r="AQ44" s="1268"/>
      <c r="AR44" s="1268"/>
      <c r="AS44" s="1268"/>
      <c r="AT44" s="1267"/>
      <c r="AU44" s="1272"/>
      <c r="AV44" s="1272"/>
      <c r="AW44" s="1272"/>
      <c r="AX44" s="1272"/>
      <c r="AY44" s="1272"/>
      <c r="AZ44" s="1272"/>
      <c r="BA44" s="1272"/>
      <c r="BB44" s="1272"/>
      <c r="BC44" s="2"/>
      <c r="BD44" s="486"/>
      <c r="BE44" s="1282"/>
      <c r="BF44" s="1282"/>
      <c r="BG44" s="1282"/>
      <c r="BH44" s="1282"/>
      <c r="BI44" s="1282"/>
      <c r="BJ44" s="1282"/>
      <c r="BK44" s="1282"/>
      <c r="BL44" s="1282"/>
      <c r="BM44" s="1282"/>
      <c r="BN44" s="1282"/>
      <c r="BO44" s="1282"/>
      <c r="BP44" s="1282"/>
      <c r="BQ44" s="1282"/>
      <c r="BR44" s="1282"/>
      <c r="BS44" s="1282"/>
      <c r="BT44" s="1282"/>
      <c r="BU44" s="1282"/>
      <c r="BV44" s="1282"/>
      <c r="BW44" s="1282"/>
      <c r="BX44" s="1282"/>
      <c r="BY44" s="1282"/>
      <c r="BZ44" s="1282"/>
      <c r="CA44" s="1282"/>
      <c r="CB44" s="1282"/>
      <c r="CC44" s="1282"/>
      <c r="CD44" s="1282"/>
      <c r="CE44" s="1282"/>
      <c r="CF44" s="1282"/>
      <c r="CG44" s="1282"/>
      <c r="CH44" s="1282"/>
      <c r="CI44" s="1282"/>
      <c r="CJ44" s="1282"/>
      <c r="CK44" s="1282"/>
      <c r="CL44" s="1282"/>
      <c r="CM44" s="1282"/>
      <c r="CN44" s="1282"/>
      <c r="CO44" s="1282"/>
      <c r="CP44" s="1282"/>
      <c r="CQ44" s="1282"/>
      <c r="CR44" s="1282"/>
      <c r="CS44" s="1282"/>
      <c r="CT44" s="1282"/>
      <c r="CU44" s="1283"/>
      <c r="CV44" s="5"/>
    </row>
    <row r="45" spans="1:103" ht="12" customHeight="1" x14ac:dyDescent="0.2">
      <c r="A45" s="5"/>
      <c r="B45" s="1269"/>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7"/>
      <c r="AC45" s="1271"/>
      <c r="AD45" s="1271"/>
      <c r="AE45" s="1271"/>
      <c r="AF45" s="1267"/>
      <c r="AG45" s="1269"/>
      <c r="AH45" s="1269"/>
      <c r="AI45" s="1269"/>
      <c r="AJ45" s="1269"/>
      <c r="AK45" s="1269"/>
      <c r="AL45" s="1269"/>
      <c r="AM45" s="1269"/>
      <c r="AN45" s="1269"/>
      <c r="AO45" s="1269"/>
      <c r="AP45" s="1269"/>
      <c r="AQ45" s="1269"/>
      <c r="AR45" s="1269"/>
      <c r="AS45" s="1269"/>
      <c r="AT45" s="1267"/>
      <c r="AU45" s="1273"/>
      <c r="AV45" s="1273"/>
      <c r="AW45" s="1273"/>
      <c r="AX45" s="1273"/>
      <c r="AY45" s="1273"/>
      <c r="AZ45" s="1273"/>
      <c r="BA45" s="1273"/>
      <c r="BB45" s="1273"/>
      <c r="BC45" s="2"/>
      <c r="BD45" s="486"/>
      <c r="BE45" s="1282"/>
      <c r="BF45" s="1282"/>
      <c r="BG45" s="1282"/>
      <c r="BH45" s="1282"/>
      <c r="BI45" s="1282"/>
      <c r="BJ45" s="1282"/>
      <c r="BK45" s="1282"/>
      <c r="BL45" s="1282"/>
      <c r="BM45" s="1282"/>
      <c r="BN45" s="1282"/>
      <c r="BO45" s="1282"/>
      <c r="BP45" s="1282"/>
      <c r="BQ45" s="1282"/>
      <c r="BR45" s="1282"/>
      <c r="BS45" s="1282"/>
      <c r="BT45" s="1282"/>
      <c r="BU45" s="1282"/>
      <c r="BV45" s="1282"/>
      <c r="BW45" s="1282"/>
      <c r="BX45" s="1282"/>
      <c r="BY45" s="1282"/>
      <c r="BZ45" s="1282"/>
      <c r="CA45" s="1282"/>
      <c r="CB45" s="1282"/>
      <c r="CC45" s="1282"/>
      <c r="CD45" s="1282"/>
      <c r="CE45" s="1282"/>
      <c r="CF45" s="1282"/>
      <c r="CG45" s="1282"/>
      <c r="CH45" s="1282"/>
      <c r="CI45" s="1282"/>
      <c r="CJ45" s="1282"/>
      <c r="CK45" s="1282"/>
      <c r="CL45" s="1282"/>
      <c r="CM45" s="1282"/>
      <c r="CN45" s="1282"/>
      <c r="CO45" s="1282"/>
      <c r="CP45" s="1282"/>
      <c r="CQ45" s="1282"/>
      <c r="CR45" s="1282"/>
      <c r="CS45" s="1282"/>
      <c r="CT45" s="1282"/>
      <c r="CU45" s="1283"/>
      <c r="CV45" s="5"/>
      <c r="CY45" s="6">
        <f>CY43+1</f>
        <v>8</v>
      </c>
    </row>
    <row r="46" spans="1:103" ht="12" customHeight="1" x14ac:dyDescent="0.2">
      <c r="A46" s="5"/>
      <c r="B46" s="1268"/>
      <c r="C46" s="1268"/>
      <c r="D46" s="1268"/>
      <c r="E46" s="1268"/>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7"/>
      <c r="AC46" s="1270"/>
      <c r="AD46" s="1270"/>
      <c r="AE46" s="1270"/>
      <c r="AF46" s="1267"/>
      <c r="AG46" s="1268"/>
      <c r="AH46" s="1268"/>
      <c r="AI46" s="1268"/>
      <c r="AJ46" s="1268"/>
      <c r="AK46" s="1268"/>
      <c r="AL46" s="1268"/>
      <c r="AM46" s="1268"/>
      <c r="AN46" s="1268"/>
      <c r="AO46" s="1268"/>
      <c r="AP46" s="1268"/>
      <c r="AQ46" s="1268"/>
      <c r="AR46" s="1268"/>
      <c r="AS46" s="1268"/>
      <c r="AT46" s="1267"/>
      <c r="AU46" s="1272"/>
      <c r="AV46" s="1272"/>
      <c r="AW46" s="1272"/>
      <c r="AX46" s="1272"/>
      <c r="AY46" s="1272"/>
      <c r="AZ46" s="1272"/>
      <c r="BA46" s="1272"/>
      <c r="BB46" s="1272"/>
      <c r="BC46" s="2"/>
      <c r="BD46" s="486"/>
      <c r="BE46" s="1282"/>
      <c r="BF46" s="1282"/>
      <c r="BG46" s="1282"/>
      <c r="BH46" s="1282"/>
      <c r="BI46" s="1282"/>
      <c r="BJ46" s="1282"/>
      <c r="BK46" s="1282"/>
      <c r="BL46" s="1282"/>
      <c r="BM46" s="1282"/>
      <c r="BN46" s="1282"/>
      <c r="BO46" s="1282"/>
      <c r="BP46" s="1282"/>
      <c r="BQ46" s="1282"/>
      <c r="BR46" s="1282"/>
      <c r="BS46" s="1282"/>
      <c r="BT46" s="1282"/>
      <c r="BU46" s="1282"/>
      <c r="BV46" s="1282"/>
      <c r="BW46" s="1282"/>
      <c r="BX46" s="1282"/>
      <c r="BY46" s="1282"/>
      <c r="BZ46" s="1282"/>
      <c r="CA46" s="1282"/>
      <c r="CB46" s="1282"/>
      <c r="CC46" s="1282"/>
      <c r="CD46" s="1282"/>
      <c r="CE46" s="1282"/>
      <c r="CF46" s="1282"/>
      <c r="CG46" s="1282"/>
      <c r="CH46" s="1282"/>
      <c r="CI46" s="1282"/>
      <c r="CJ46" s="1282"/>
      <c r="CK46" s="1282"/>
      <c r="CL46" s="1282"/>
      <c r="CM46" s="1282"/>
      <c r="CN46" s="1282"/>
      <c r="CO46" s="1282"/>
      <c r="CP46" s="1282"/>
      <c r="CQ46" s="1282"/>
      <c r="CR46" s="1282"/>
      <c r="CS46" s="1282"/>
      <c r="CT46" s="1282"/>
      <c r="CU46" s="1283"/>
      <c r="CV46" s="5"/>
    </row>
    <row r="47" spans="1:103" ht="12" customHeight="1" x14ac:dyDescent="0.2">
      <c r="A47" s="5"/>
      <c r="B47" s="1269"/>
      <c r="C47" s="1269"/>
      <c r="D47" s="1269"/>
      <c r="E47" s="1269"/>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7"/>
      <c r="AC47" s="1271"/>
      <c r="AD47" s="1271"/>
      <c r="AE47" s="1271"/>
      <c r="AF47" s="1267"/>
      <c r="AG47" s="1269"/>
      <c r="AH47" s="1269"/>
      <c r="AI47" s="1269"/>
      <c r="AJ47" s="1269"/>
      <c r="AK47" s="1269"/>
      <c r="AL47" s="1269"/>
      <c r="AM47" s="1269"/>
      <c r="AN47" s="1269"/>
      <c r="AO47" s="1269"/>
      <c r="AP47" s="1269"/>
      <c r="AQ47" s="1269"/>
      <c r="AR47" s="1269"/>
      <c r="AS47" s="1269"/>
      <c r="AT47" s="1267"/>
      <c r="AU47" s="1273"/>
      <c r="AV47" s="1273"/>
      <c r="AW47" s="1273"/>
      <c r="AX47" s="1273"/>
      <c r="AY47" s="1273"/>
      <c r="AZ47" s="1273"/>
      <c r="BA47" s="1273"/>
      <c r="BB47" s="1273"/>
      <c r="BC47" s="2"/>
      <c r="BD47" s="486"/>
      <c r="BE47" s="1282"/>
      <c r="BF47" s="1282"/>
      <c r="BG47" s="1282"/>
      <c r="BH47" s="1282"/>
      <c r="BI47" s="1282"/>
      <c r="BJ47" s="1282"/>
      <c r="BK47" s="1282"/>
      <c r="BL47" s="1282"/>
      <c r="BM47" s="1282"/>
      <c r="BN47" s="1282"/>
      <c r="BO47" s="1282"/>
      <c r="BP47" s="1282"/>
      <c r="BQ47" s="1282"/>
      <c r="BR47" s="1282"/>
      <c r="BS47" s="1282"/>
      <c r="BT47" s="1282"/>
      <c r="BU47" s="1282"/>
      <c r="BV47" s="1282"/>
      <c r="BW47" s="1282"/>
      <c r="BX47" s="1282"/>
      <c r="BY47" s="1282"/>
      <c r="BZ47" s="1282"/>
      <c r="CA47" s="1282"/>
      <c r="CB47" s="1282"/>
      <c r="CC47" s="1282"/>
      <c r="CD47" s="1282"/>
      <c r="CE47" s="1282"/>
      <c r="CF47" s="1282"/>
      <c r="CG47" s="1282"/>
      <c r="CH47" s="1282"/>
      <c r="CI47" s="1282"/>
      <c r="CJ47" s="1282"/>
      <c r="CK47" s="1282"/>
      <c r="CL47" s="1282"/>
      <c r="CM47" s="1282"/>
      <c r="CN47" s="1282"/>
      <c r="CO47" s="1282"/>
      <c r="CP47" s="1282"/>
      <c r="CQ47" s="1282"/>
      <c r="CR47" s="1282"/>
      <c r="CS47" s="1282"/>
      <c r="CT47" s="1282"/>
      <c r="CU47" s="1283"/>
      <c r="CV47" s="5"/>
      <c r="CY47" s="6">
        <f>CY45+1</f>
        <v>9</v>
      </c>
    </row>
    <row r="48" spans="1:103" ht="12" customHeight="1" x14ac:dyDescent="0.2">
      <c r="A48" s="5"/>
      <c r="B48" s="1268"/>
      <c r="C48" s="1268"/>
      <c r="D48" s="1268"/>
      <c r="E48" s="1268"/>
      <c r="F48" s="1268"/>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7"/>
      <c r="AC48" s="1270"/>
      <c r="AD48" s="1270"/>
      <c r="AE48" s="1270"/>
      <c r="AF48" s="1267"/>
      <c r="AG48" s="1268"/>
      <c r="AH48" s="1268"/>
      <c r="AI48" s="1268"/>
      <c r="AJ48" s="1268"/>
      <c r="AK48" s="1268"/>
      <c r="AL48" s="1268"/>
      <c r="AM48" s="1268"/>
      <c r="AN48" s="1268"/>
      <c r="AO48" s="1268"/>
      <c r="AP48" s="1268"/>
      <c r="AQ48" s="1268"/>
      <c r="AR48" s="1268"/>
      <c r="AS48" s="1268"/>
      <c r="AT48" s="1267"/>
      <c r="AU48" s="1272"/>
      <c r="AV48" s="1272"/>
      <c r="AW48" s="1272"/>
      <c r="AX48" s="1272"/>
      <c r="AY48" s="1272"/>
      <c r="AZ48" s="1272"/>
      <c r="BA48" s="1272"/>
      <c r="BB48" s="1272"/>
      <c r="BC48" s="2"/>
      <c r="BD48" s="486"/>
      <c r="BE48" s="1282"/>
      <c r="BF48" s="1282"/>
      <c r="BG48" s="1282"/>
      <c r="BH48" s="1282"/>
      <c r="BI48" s="1282"/>
      <c r="BJ48" s="1282"/>
      <c r="BK48" s="1282"/>
      <c r="BL48" s="1282"/>
      <c r="BM48" s="1282"/>
      <c r="BN48" s="1282"/>
      <c r="BO48" s="1282"/>
      <c r="BP48" s="1282"/>
      <c r="BQ48" s="1282"/>
      <c r="BR48" s="1282"/>
      <c r="BS48" s="1282"/>
      <c r="BT48" s="1282"/>
      <c r="BU48" s="1282"/>
      <c r="BV48" s="1282"/>
      <c r="BW48" s="1282"/>
      <c r="BX48" s="1282"/>
      <c r="BY48" s="1282"/>
      <c r="BZ48" s="1282"/>
      <c r="CA48" s="1282"/>
      <c r="CB48" s="1282"/>
      <c r="CC48" s="1282"/>
      <c r="CD48" s="1282"/>
      <c r="CE48" s="1282"/>
      <c r="CF48" s="1282"/>
      <c r="CG48" s="1282"/>
      <c r="CH48" s="1282"/>
      <c r="CI48" s="1282"/>
      <c r="CJ48" s="1282"/>
      <c r="CK48" s="1282"/>
      <c r="CL48" s="1282"/>
      <c r="CM48" s="1282"/>
      <c r="CN48" s="1282"/>
      <c r="CO48" s="1282"/>
      <c r="CP48" s="1282"/>
      <c r="CQ48" s="1282"/>
      <c r="CR48" s="1282"/>
      <c r="CS48" s="1282"/>
      <c r="CT48" s="1282"/>
      <c r="CU48" s="1283"/>
      <c r="CV48" s="5"/>
    </row>
    <row r="49" spans="1:103" ht="12" customHeight="1" x14ac:dyDescent="0.2">
      <c r="A49" s="5"/>
      <c r="B49" s="1269"/>
      <c r="C49" s="1269"/>
      <c r="D49" s="1269"/>
      <c r="E49" s="1269"/>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7"/>
      <c r="AC49" s="1271"/>
      <c r="AD49" s="1271"/>
      <c r="AE49" s="1271"/>
      <c r="AF49" s="1267"/>
      <c r="AG49" s="1269"/>
      <c r="AH49" s="1269"/>
      <c r="AI49" s="1269"/>
      <c r="AJ49" s="1269"/>
      <c r="AK49" s="1269"/>
      <c r="AL49" s="1269"/>
      <c r="AM49" s="1269"/>
      <c r="AN49" s="1269"/>
      <c r="AO49" s="1269"/>
      <c r="AP49" s="1269"/>
      <c r="AQ49" s="1269"/>
      <c r="AR49" s="1269"/>
      <c r="AS49" s="1269"/>
      <c r="AT49" s="1267"/>
      <c r="AU49" s="1273"/>
      <c r="AV49" s="1273"/>
      <c r="AW49" s="1273"/>
      <c r="AX49" s="1273"/>
      <c r="AY49" s="1273"/>
      <c r="AZ49" s="1273"/>
      <c r="BA49" s="1273"/>
      <c r="BB49" s="1273"/>
      <c r="BC49" s="2"/>
      <c r="BD49" s="486"/>
      <c r="BE49" s="1282"/>
      <c r="BF49" s="1282"/>
      <c r="BG49" s="1282"/>
      <c r="BH49" s="1282"/>
      <c r="BI49" s="1282"/>
      <c r="BJ49" s="1282"/>
      <c r="BK49" s="1282"/>
      <c r="BL49" s="1282"/>
      <c r="BM49" s="1282"/>
      <c r="BN49" s="1282"/>
      <c r="BO49" s="1282"/>
      <c r="BP49" s="1282"/>
      <c r="BQ49" s="1282"/>
      <c r="BR49" s="1282"/>
      <c r="BS49" s="1282"/>
      <c r="BT49" s="1282"/>
      <c r="BU49" s="1282"/>
      <c r="BV49" s="1282"/>
      <c r="BW49" s="1282"/>
      <c r="BX49" s="1282"/>
      <c r="BY49" s="1282"/>
      <c r="BZ49" s="1282"/>
      <c r="CA49" s="1282"/>
      <c r="CB49" s="1282"/>
      <c r="CC49" s="1282"/>
      <c r="CD49" s="1282"/>
      <c r="CE49" s="1282"/>
      <c r="CF49" s="1282"/>
      <c r="CG49" s="1282"/>
      <c r="CH49" s="1282"/>
      <c r="CI49" s="1282"/>
      <c r="CJ49" s="1282"/>
      <c r="CK49" s="1282"/>
      <c r="CL49" s="1282"/>
      <c r="CM49" s="1282"/>
      <c r="CN49" s="1282"/>
      <c r="CO49" s="1282"/>
      <c r="CP49" s="1282"/>
      <c r="CQ49" s="1282"/>
      <c r="CR49" s="1282"/>
      <c r="CS49" s="1282"/>
      <c r="CT49" s="1282"/>
      <c r="CU49" s="1283"/>
      <c r="CV49" s="5"/>
      <c r="CY49" s="6">
        <f>CY47+1</f>
        <v>10</v>
      </c>
    </row>
    <row r="50" spans="1:103" ht="12" customHeight="1" x14ac:dyDescent="0.2">
      <c r="A50" s="5"/>
      <c r="B50" s="1268"/>
      <c r="C50" s="1268"/>
      <c r="D50" s="1268"/>
      <c r="E50" s="1268"/>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7"/>
      <c r="AC50" s="1270"/>
      <c r="AD50" s="1270"/>
      <c r="AE50" s="1270"/>
      <c r="AF50" s="1267"/>
      <c r="AG50" s="1268"/>
      <c r="AH50" s="1268"/>
      <c r="AI50" s="1268"/>
      <c r="AJ50" s="1268"/>
      <c r="AK50" s="1268"/>
      <c r="AL50" s="1268"/>
      <c r="AM50" s="1268"/>
      <c r="AN50" s="1268"/>
      <c r="AO50" s="1268"/>
      <c r="AP50" s="1268"/>
      <c r="AQ50" s="1268"/>
      <c r="AR50" s="1268"/>
      <c r="AS50" s="1268"/>
      <c r="AT50" s="1267"/>
      <c r="AU50" s="1272"/>
      <c r="AV50" s="1272"/>
      <c r="AW50" s="1272"/>
      <c r="AX50" s="1272"/>
      <c r="AY50" s="1272"/>
      <c r="AZ50" s="1272"/>
      <c r="BA50" s="1272"/>
      <c r="BB50" s="1272"/>
      <c r="BC50" s="2"/>
      <c r="BD50" s="486"/>
      <c r="BE50" s="1282"/>
      <c r="BF50" s="1282"/>
      <c r="BG50" s="1282"/>
      <c r="BH50" s="1282"/>
      <c r="BI50" s="1282"/>
      <c r="BJ50" s="1282"/>
      <c r="BK50" s="1282"/>
      <c r="BL50" s="1282"/>
      <c r="BM50" s="1282"/>
      <c r="BN50" s="1282"/>
      <c r="BO50" s="1282"/>
      <c r="BP50" s="1282"/>
      <c r="BQ50" s="1282"/>
      <c r="BR50" s="1282"/>
      <c r="BS50" s="1282"/>
      <c r="BT50" s="1282"/>
      <c r="BU50" s="1282"/>
      <c r="BV50" s="1282"/>
      <c r="BW50" s="1282"/>
      <c r="BX50" s="1282"/>
      <c r="BY50" s="1282"/>
      <c r="BZ50" s="1282"/>
      <c r="CA50" s="1282"/>
      <c r="CB50" s="1282"/>
      <c r="CC50" s="1282"/>
      <c r="CD50" s="1282"/>
      <c r="CE50" s="1282"/>
      <c r="CF50" s="1282"/>
      <c r="CG50" s="1282"/>
      <c r="CH50" s="1282"/>
      <c r="CI50" s="1282"/>
      <c r="CJ50" s="1282"/>
      <c r="CK50" s="1282"/>
      <c r="CL50" s="1282"/>
      <c r="CM50" s="1282"/>
      <c r="CN50" s="1282"/>
      <c r="CO50" s="1282"/>
      <c r="CP50" s="1282"/>
      <c r="CQ50" s="1282"/>
      <c r="CR50" s="1282"/>
      <c r="CS50" s="1282"/>
      <c r="CT50" s="1282"/>
      <c r="CU50" s="1283"/>
      <c r="CV50" s="5"/>
    </row>
    <row r="51" spans="1:103" ht="12" customHeight="1" x14ac:dyDescent="0.2">
      <c r="A51" s="5"/>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7"/>
      <c r="AC51" s="1271"/>
      <c r="AD51" s="1271"/>
      <c r="AE51" s="1271"/>
      <c r="AF51" s="1267"/>
      <c r="AG51" s="1269"/>
      <c r="AH51" s="1269"/>
      <c r="AI51" s="1269"/>
      <c r="AJ51" s="1269"/>
      <c r="AK51" s="1269"/>
      <c r="AL51" s="1269"/>
      <c r="AM51" s="1269"/>
      <c r="AN51" s="1269"/>
      <c r="AO51" s="1269"/>
      <c r="AP51" s="1269"/>
      <c r="AQ51" s="1269"/>
      <c r="AR51" s="1269"/>
      <c r="AS51" s="1269"/>
      <c r="AT51" s="1267"/>
      <c r="AU51" s="1273"/>
      <c r="AV51" s="1273"/>
      <c r="AW51" s="1273"/>
      <c r="AX51" s="1273"/>
      <c r="AY51" s="1273"/>
      <c r="AZ51" s="1273"/>
      <c r="BA51" s="1273"/>
      <c r="BB51" s="1273"/>
      <c r="BC51" s="2"/>
      <c r="BD51" s="486"/>
      <c r="BE51" s="1282"/>
      <c r="BF51" s="1282"/>
      <c r="BG51" s="1282"/>
      <c r="BH51" s="1282"/>
      <c r="BI51" s="1282"/>
      <c r="BJ51" s="1282"/>
      <c r="BK51" s="1282"/>
      <c r="BL51" s="1282"/>
      <c r="BM51" s="1282"/>
      <c r="BN51" s="1282"/>
      <c r="BO51" s="1282"/>
      <c r="BP51" s="1282"/>
      <c r="BQ51" s="1282"/>
      <c r="BR51" s="1282"/>
      <c r="BS51" s="1282"/>
      <c r="BT51" s="1282"/>
      <c r="BU51" s="1282"/>
      <c r="BV51" s="1282"/>
      <c r="BW51" s="1282"/>
      <c r="BX51" s="1282"/>
      <c r="BY51" s="1282"/>
      <c r="BZ51" s="1282"/>
      <c r="CA51" s="1282"/>
      <c r="CB51" s="1282"/>
      <c r="CC51" s="1282"/>
      <c r="CD51" s="1282"/>
      <c r="CE51" s="1282"/>
      <c r="CF51" s="1282"/>
      <c r="CG51" s="1282"/>
      <c r="CH51" s="1282"/>
      <c r="CI51" s="1282"/>
      <c r="CJ51" s="1282"/>
      <c r="CK51" s="1282"/>
      <c r="CL51" s="1282"/>
      <c r="CM51" s="1282"/>
      <c r="CN51" s="1282"/>
      <c r="CO51" s="1282"/>
      <c r="CP51" s="1282"/>
      <c r="CQ51" s="1282"/>
      <c r="CR51" s="1282"/>
      <c r="CS51" s="1282"/>
      <c r="CT51" s="1282"/>
      <c r="CU51" s="1283"/>
      <c r="CV51" s="5"/>
      <c r="CY51" s="6">
        <f>CY49+1</f>
        <v>11</v>
      </c>
    </row>
    <row r="52" spans="1:103" ht="12" customHeight="1" x14ac:dyDescent="0.2">
      <c r="A52" s="5"/>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7"/>
      <c r="AC52" s="1270"/>
      <c r="AD52" s="1270"/>
      <c r="AE52" s="1270"/>
      <c r="AF52" s="1267"/>
      <c r="AG52" s="1268"/>
      <c r="AH52" s="1268"/>
      <c r="AI52" s="1268"/>
      <c r="AJ52" s="1268"/>
      <c r="AK52" s="1268"/>
      <c r="AL52" s="1268"/>
      <c r="AM52" s="1268"/>
      <c r="AN52" s="1268"/>
      <c r="AO52" s="1268"/>
      <c r="AP52" s="1268"/>
      <c r="AQ52" s="1268"/>
      <c r="AR52" s="1268"/>
      <c r="AS52" s="1268"/>
      <c r="AT52" s="1267"/>
      <c r="AU52" s="1272"/>
      <c r="AV52" s="1272"/>
      <c r="AW52" s="1272"/>
      <c r="AX52" s="1272"/>
      <c r="AY52" s="1272"/>
      <c r="AZ52" s="1272"/>
      <c r="BA52" s="1272"/>
      <c r="BB52" s="1272"/>
      <c r="BC52" s="2"/>
      <c r="BD52" s="486"/>
      <c r="BE52" s="1282"/>
      <c r="BF52" s="1282"/>
      <c r="BG52" s="1282"/>
      <c r="BH52" s="1282"/>
      <c r="BI52" s="1282"/>
      <c r="BJ52" s="1282"/>
      <c r="BK52" s="1282"/>
      <c r="BL52" s="1282"/>
      <c r="BM52" s="1282"/>
      <c r="BN52" s="1282"/>
      <c r="BO52" s="1282"/>
      <c r="BP52" s="1282"/>
      <c r="BQ52" s="1282"/>
      <c r="BR52" s="1282"/>
      <c r="BS52" s="1282"/>
      <c r="BT52" s="1282"/>
      <c r="BU52" s="1282"/>
      <c r="BV52" s="1282"/>
      <c r="BW52" s="1282"/>
      <c r="BX52" s="1282"/>
      <c r="BY52" s="1282"/>
      <c r="BZ52" s="1282"/>
      <c r="CA52" s="1282"/>
      <c r="CB52" s="1282"/>
      <c r="CC52" s="1282"/>
      <c r="CD52" s="1282"/>
      <c r="CE52" s="1282"/>
      <c r="CF52" s="1282"/>
      <c r="CG52" s="1282"/>
      <c r="CH52" s="1282"/>
      <c r="CI52" s="1282"/>
      <c r="CJ52" s="1282"/>
      <c r="CK52" s="1282"/>
      <c r="CL52" s="1282"/>
      <c r="CM52" s="1282"/>
      <c r="CN52" s="1282"/>
      <c r="CO52" s="1282"/>
      <c r="CP52" s="1282"/>
      <c r="CQ52" s="1282"/>
      <c r="CR52" s="1282"/>
      <c r="CS52" s="1282"/>
      <c r="CT52" s="1282"/>
      <c r="CU52" s="1283"/>
      <c r="CV52" s="5"/>
    </row>
    <row r="53" spans="1:103" ht="12" customHeight="1" x14ac:dyDescent="0.2">
      <c r="A53" s="5"/>
      <c r="B53" s="1269"/>
      <c r="C53" s="1269"/>
      <c r="D53" s="1269"/>
      <c r="E53" s="1269"/>
      <c r="F53" s="1269"/>
      <c r="G53" s="1269"/>
      <c r="H53" s="1269"/>
      <c r="I53" s="1269"/>
      <c r="J53" s="1269"/>
      <c r="K53" s="1269"/>
      <c r="L53" s="1269"/>
      <c r="M53" s="1269"/>
      <c r="N53" s="1269"/>
      <c r="O53" s="1269"/>
      <c r="P53" s="1269"/>
      <c r="Q53" s="1269"/>
      <c r="R53" s="1269"/>
      <c r="S53" s="1269"/>
      <c r="T53" s="1269"/>
      <c r="U53" s="1269"/>
      <c r="V53" s="1269"/>
      <c r="W53" s="1269"/>
      <c r="X53" s="1269"/>
      <c r="Y53" s="1269"/>
      <c r="Z53" s="1269"/>
      <c r="AA53" s="1269"/>
      <c r="AB53" s="1267"/>
      <c r="AC53" s="1271"/>
      <c r="AD53" s="1271"/>
      <c r="AE53" s="1271"/>
      <c r="AF53" s="1267"/>
      <c r="AG53" s="1269"/>
      <c r="AH53" s="1269"/>
      <c r="AI53" s="1269"/>
      <c r="AJ53" s="1269"/>
      <c r="AK53" s="1269"/>
      <c r="AL53" s="1269"/>
      <c r="AM53" s="1269"/>
      <c r="AN53" s="1269"/>
      <c r="AO53" s="1269"/>
      <c r="AP53" s="1269"/>
      <c r="AQ53" s="1269"/>
      <c r="AR53" s="1269"/>
      <c r="AS53" s="1269"/>
      <c r="AT53" s="1267"/>
      <c r="AU53" s="1273"/>
      <c r="AV53" s="1273"/>
      <c r="AW53" s="1273"/>
      <c r="AX53" s="1273"/>
      <c r="AY53" s="1273"/>
      <c r="AZ53" s="1273"/>
      <c r="BA53" s="1273"/>
      <c r="BB53" s="1273"/>
      <c r="BC53" s="2"/>
      <c r="BD53" s="486"/>
      <c r="BE53" s="1282"/>
      <c r="BF53" s="1282"/>
      <c r="BG53" s="1282"/>
      <c r="BH53" s="1282"/>
      <c r="BI53" s="1282"/>
      <c r="BJ53" s="1282"/>
      <c r="BK53" s="1282"/>
      <c r="BL53" s="1282"/>
      <c r="BM53" s="1282"/>
      <c r="BN53" s="1282"/>
      <c r="BO53" s="1282"/>
      <c r="BP53" s="1282"/>
      <c r="BQ53" s="1282"/>
      <c r="BR53" s="1282"/>
      <c r="BS53" s="1282"/>
      <c r="BT53" s="1282"/>
      <c r="BU53" s="1282"/>
      <c r="BV53" s="1282"/>
      <c r="BW53" s="1282"/>
      <c r="BX53" s="1282"/>
      <c r="BY53" s="1282"/>
      <c r="BZ53" s="1282"/>
      <c r="CA53" s="1282"/>
      <c r="CB53" s="1282"/>
      <c r="CC53" s="1282"/>
      <c r="CD53" s="1282"/>
      <c r="CE53" s="1282"/>
      <c r="CF53" s="1282"/>
      <c r="CG53" s="1282"/>
      <c r="CH53" s="1282"/>
      <c r="CI53" s="1282"/>
      <c r="CJ53" s="1282"/>
      <c r="CK53" s="1282"/>
      <c r="CL53" s="1282"/>
      <c r="CM53" s="1282"/>
      <c r="CN53" s="1282"/>
      <c r="CO53" s="1282"/>
      <c r="CP53" s="1282"/>
      <c r="CQ53" s="1282"/>
      <c r="CR53" s="1282"/>
      <c r="CS53" s="1282"/>
      <c r="CT53" s="1282"/>
      <c r="CU53" s="1283"/>
      <c r="CV53" s="5"/>
      <c r="CY53" s="6">
        <f>CY51+1</f>
        <v>12</v>
      </c>
    </row>
    <row r="54" spans="1:103" ht="12" customHeight="1" x14ac:dyDescent="0.2">
      <c r="A54" s="5"/>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7"/>
      <c r="AC54" s="1270"/>
      <c r="AD54" s="1270"/>
      <c r="AE54" s="1270"/>
      <c r="AF54" s="1267"/>
      <c r="AG54" s="1268"/>
      <c r="AH54" s="1268"/>
      <c r="AI54" s="1268"/>
      <c r="AJ54" s="1268"/>
      <c r="AK54" s="1268"/>
      <c r="AL54" s="1268"/>
      <c r="AM54" s="1268"/>
      <c r="AN54" s="1268"/>
      <c r="AO54" s="1268"/>
      <c r="AP54" s="1268"/>
      <c r="AQ54" s="1268"/>
      <c r="AR54" s="1268"/>
      <c r="AS54" s="1268"/>
      <c r="AT54" s="1267"/>
      <c r="AU54" s="1272"/>
      <c r="AV54" s="1272"/>
      <c r="AW54" s="1272"/>
      <c r="AX54" s="1272"/>
      <c r="AY54" s="1272"/>
      <c r="AZ54" s="1272"/>
      <c r="BA54" s="1272"/>
      <c r="BB54" s="1272"/>
      <c r="BC54" s="2"/>
      <c r="BD54" s="486"/>
      <c r="BE54" s="1282"/>
      <c r="BF54" s="1282"/>
      <c r="BG54" s="1282"/>
      <c r="BH54" s="1282"/>
      <c r="BI54" s="1282"/>
      <c r="BJ54" s="1282"/>
      <c r="BK54" s="1282"/>
      <c r="BL54" s="1282"/>
      <c r="BM54" s="1282"/>
      <c r="BN54" s="1282"/>
      <c r="BO54" s="1282"/>
      <c r="BP54" s="1282"/>
      <c r="BQ54" s="1282"/>
      <c r="BR54" s="1282"/>
      <c r="BS54" s="1282"/>
      <c r="BT54" s="1282"/>
      <c r="BU54" s="1282"/>
      <c r="BV54" s="1282"/>
      <c r="BW54" s="1282"/>
      <c r="BX54" s="1282"/>
      <c r="BY54" s="1282"/>
      <c r="BZ54" s="1282"/>
      <c r="CA54" s="1282"/>
      <c r="CB54" s="1282"/>
      <c r="CC54" s="1282"/>
      <c r="CD54" s="1282"/>
      <c r="CE54" s="1282"/>
      <c r="CF54" s="1282"/>
      <c r="CG54" s="1282"/>
      <c r="CH54" s="1282"/>
      <c r="CI54" s="1282"/>
      <c r="CJ54" s="1282"/>
      <c r="CK54" s="1282"/>
      <c r="CL54" s="1282"/>
      <c r="CM54" s="1282"/>
      <c r="CN54" s="1282"/>
      <c r="CO54" s="1282"/>
      <c r="CP54" s="1282"/>
      <c r="CQ54" s="1282"/>
      <c r="CR54" s="1282"/>
      <c r="CS54" s="1282"/>
      <c r="CT54" s="1282"/>
      <c r="CU54" s="1283"/>
      <c r="CV54" s="5"/>
    </row>
    <row r="55" spans="1:103" ht="12" customHeight="1" x14ac:dyDescent="0.2">
      <c r="A55" s="5"/>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7"/>
      <c r="AC55" s="1271"/>
      <c r="AD55" s="1271"/>
      <c r="AE55" s="1271"/>
      <c r="AF55" s="1267"/>
      <c r="AG55" s="1269"/>
      <c r="AH55" s="1269"/>
      <c r="AI55" s="1269"/>
      <c r="AJ55" s="1269"/>
      <c r="AK55" s="1269"/>
      <c r="AL55" s="1269"/>
      <c r="AM55" s="1269"/>
      <c r="AN55" s="1269"/>
      <c r="AO55" s="1269"/>
      <c r="AP55" s="1269"/>
      <c r="AQ55" s="1269"/>
      <c r="AR55" s="1269"/>
      <c r="AS55" s="1269"/>
      <c r="AT55" s="1267"/>
      <c r="AU55" s="1273"/>
      <c r="AV55" s="1273"/>
      <c r="AW55" s="1273"/>
      <c r="AX55" s="1273"/>
      <c r="AY55" s="1273"/>
      <c r="AZ55" s="1273"/>
      <c r="BA55" s="1273"/>
      <c r="BB55" s="1273"/>
      <c r="BC55" s="2"/>
      <c r="BD55" s="486"/>
      <c r="BE55" s="1282"/>
      <c r="BF55" s="1282"/>
      <c r="BG55" s="1282"/>
      <c r="BH55" s="1282"/>
      <c r="BI55" s="1282"/>
      <c r="BJ55" s="1282"/>
      <c r="BK55" s="1282"/>
      <c r="BL55" s="1282"/>
      <c r="BM55" s="1282"/>
      <c r="BN55" s="1282"/>
      <c r="BO55" s="1282"/>
      <c r="BP55" s="1282"/>
      <c r="BQ55" s="1282"/>
      <c r="BR55" s="1282"/>
      <c r="BS55" s="1282"/>
      <c r="BT55" s="1282"/>
      <c r="BU55" s="1282"/>
      <c r="BV55" s="1282"/>
      <c r="BW55" s="1282"/>
      <c r="BX55" s="1282"/>
      <c r="BY55" s="1282"/>
      <c r="BZ55" s="1282"/>
      <c r="CA55" s="1282"/>
      <c r="CB55" s="1282"/>
      <c r="CC55" s="1282"/>
      <c r="CD55" s="1282"/>
      <c r="CE55" s="1282"/>
      <c r="CF55" s="1282"/>
      <c r="CG55" s="1282"/>
      <c r="CH55" s="1282"/>
      <c r="CI55" s="1282"/>
      <c r="CJ55" s="1282"/>
      <c r="CK55" s="1282"/>
      <c r="CL55" s="1282"/>
      <c r="CM55" s="1282"/>
      <c r="CN55" s="1282"/>
      <c r="CO55" s="1282"/>
      <c r="CP55" s="1282"/>
      <c r="CQ55" s="1282"/>
      <c r="CR55" s="1282"/>
      <c r="CS55" s="1282"/>
      <c r="CT55" s="1282"/>
      <c r="CU55" s="1283"/>
      <c r="CV55" s="5"/>
      <c r="CY55" s="6">
        <f>CY53+1</f>
        <v>13</v>
      </c>
    </row>
    <row r="56" spans="1:103" ht="12" customHeight="1" x14ac:dyDescent="0.2">
      <c r="A56" s="5"/>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7"/>
      <c r="AC56" s="1270"/>
      <c r="AD56" s="1270"/>
      <c r="AE56" s="1270"/>
      <c r="AF56" s="1267"/>
      <c r="AG56" s="1268"/>
      <c r="AH56" s="1268"/>
      <c r="AI56" s="1268"/>
      <c r="AJ56" s="1268"/>
      <c r="AK56" s="1268"/>
      <c r="AL56" s="1268"/>
      <c r="AM56" s="1268"/>
      <c r="AN56" s="1268"/>
      <c r="AO56" s="1268"/>
      <c r="AP56" s="1268"/>
      <c r="AQ56" s="1268"/>
      <c r="AR56" s="1268"/>
      <c r="AS56" s="1268"/>
      <c r="AT56" s="1267"/>
      <c r="AU56" s="1272"/>
      <c r="AV56" s="1272"/>
      <c r="AW56" s="1272"/>
      <c r="AX56" s="1272"/>
      <c r="AY56" s="1272"/>
      <c r="AZ56" s="1272"/>
      <c r="BA56" s="1272"/>
      <c r="BB56" s="1272"/>
      <c r="BC56" s="2"/>
      <c r="BD56" s="486"/>
      <c r="BE56" s="1282"/>
      <c r="BF56" s="1282"/>
      <c r="BG56" s="1282"/>
      <c r="BH56" s="1282"/>
      <c r="BI56" s="1282"/>
      <c r="BJ56" s="1282"/>
      <c r="BK56" s="1282"/>
      <c r="BL56" s="1282"/>
      <c r="BM56" s="1282"/>
      <c r="BN56" s="1282"/>
      <c r="BO56" s="1282"/>
      <c r="BP56" s="1282"/>
      <c r="BQ56" s="1282"/>
      <c r="BR56" s="1282"/>
      <c r="BS56" s="1282"/>
      <c r="BT56" s="1282"/>
      <c r="BU56" s="1282"/>
      <c r="BV56" s="1282"/>
      <c r="BW56" s="1282"/>
      <c r="BX56" s="1282"/>
      <c r="BY56" s="1282"/>
      <c r="BZ56" s="1282"/>
      <c r="CA56" s="1282"/>
      <c r="CB56" s="1282"/>
      <c r="CC56" s="1282"/>
      <c r="CD56" s="1282"/>
      <c r="CE56" s="1282"/>
      <c r="CF56" s="1282"/>
      <c r="CG56" s="1282"/>
      <c r="CH56" s="1282"/>
      <c r="CI56" s="1282"/>
      <c r="CJ56" s="1282"/>
      <c r="CK56" s="1282"/>
      <c r="CL56" s="1282"/>
      <c r="CM56" s="1282"/>
      <c r="CN56" s="1282"/>
      <c r="CO56" s="1282"/>
      <c r="CP56" s="1282"/>
      <c r="CQ56" s="1282"/>
      <c r="CR56" s="1282"/>
      <c r="CS56" s="1282"/>
      <c r="CT56" s="1282"/>
      <c r="CU56" s="1283"/>
      <c r="CV56" s="5"/>
    </row>
    <row r="57" spans="1:103" ht="12" customHeight="1" x14ac:dyDescent="0.2">
      <c r="A57" s="5"/>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7"/>
      <c r="AC57" s="1271"/>
      <c r="AD57" s="1271"/>
      <c r="AE57" s="1271"/>
      <c r="AF57" s="1267"/>
      <c r="AG57" s="1269"/>
      <c r="AH57" s="1269"/>
      <c r="AI57" s="1269"/>
      <c r="AJ57" s="1269"/>
      <c r="AK57" s="1269"/>
      <c r="AL57" s="1269"/>
      <c r="AM57" s="1269"/>
      <c r="AN57" s="1269"/>
      <c r="AO57" s="1269"/>
      <c r="AP57" s="1269"/>
      <c r="AQ57" s="1269"/>
      <c r="AR57" s="1269"/>
      <c r="AS57" s="1269"/>
      <c r="AT57" s="1267"/>
      <c r="AU57" s="1273"/>
      <c r="AV57" s="1273"/>
      <c r="AW57" s="1273"/>
      <c r="AX57" s="1273"/>
      <c r="AY57" s="1273"/>
      <c r="AZ57" s="1273"/>
      <c r="BA57" s="1273"/>
      <c r="BB57" s="1273"/>
      <c r="BC57" s="2"/>
      <c r="BD57" s="486"/>
      <c r="BE57" s="1282"/>
      <c r="BF57" s="1282"/>
      <c r="BG57" s="1282"/>
      <c r="BH57" s="1282"/>
      <c r="BI57" s="1282"/>
      <c r="BJ57" s="1282"/>
      <c r="BK57" s="1282"/>
      <c r="BL57" s="1282"/>
      <c r="BM57" s="1282"/>
      <c r="BN57" s="1282"/>
      <c r="BO57" s="1282"/>
      <c r="BP57" s="1282"/>
      <c r="BQ57" s="1282"/>
      <c r="BR57" s="1282"/>
      <c r="BS57" s="1282"/>
      <c r="BT57" s="1282"/>
      <c r="BU57" s="1282"/>
      <c r="BV57" s="1282"/>
      <c r="BW57" s="1282"/>
      <c r="BX57" s="1282"/>
      <c r="BY57" s="1282"/>
      <c r="BZ57" s="1282"/>
      <c r="CA57" s="1282"/>
      <c r="CB57" s="1282"/>
      <c r="CC57" s="1282"/>
      <c r="CD57" s="1282"/>
      <c r="CE57" s="1282"/>
      <c r="CF57" s="1282"/>
      <c r="CG57" s="1282"/>
      <c r="CH57" s="1282"/>
      <c r="CI57" s="1282"/>
      <c r="CJ57" s="1282"/>
      <c r="CK57" s="1282"/>
      <c r="CL57" s="1282"/>
      <c r="CM57" s="1282"/>
      <c r="CN57" s="1282"/>
      <c r="CO57" s="1282"/>
      <c r="CP57" s="1282"/>
      <c r="CQ57" s="1282"/>
      <c r="CR57" s="1282"/>
      <c r="CS57" s="1282"/>
      <c r="CT57" s="1282"/>
      <c r="CU57" s="1283"/>
      <c r="CV57" s="5"/>
      <c r="CY57" s="6">
        <f>CY55+1</f>
        <v>14</v>
      </c>
    </row>
    <row r="58" spans="1:103" ht="12" customHeight="1" x14ac:dyDescent="0.2">
      <c r="A58" s="5"/>
      <c r="B58" s="1291"/>
      <c r="C58" s="1291"/>
      <c r="D58" s="1291"/>
      <c r="E58" s="1291"/>
      <c r="F58" s="1291"/>
      <c r="G58" s="1291"/>
      <c r="H58" s="1291"/>
      <c r="I58" s="1291"/>
      <c r="J58" s="1291"/>
      <c r="K58" s="1291"/>
      <c r="L58" s="1291"/>
      <c r="M58" s="1291"/>
      <c r="N58" s="1291"/>
      <c r="O58" s="1291"/>
      <c r="P58" s="1291"/>
      <c r="Q58" s="1291"/>
      <c r="R58" s="1291"/>
      <c r="S58" s="1291"/>
      <c r="T58" s="1291"/>
      <c r="U58" s="1291"/>
      <c r="V58" s="1291"/>
      <c r="W58" s="1291"/>
      <c r="X58" s="1291"/>
      <c r="Y58" s="1291"/>
      <c r="Z58" s="1291"/>
      <c r="AA58" s="1291"/>
      <c r="AB58" s="1267"/>
      <c r="AC58" s="1294"/>
      <c r="AD58" s="1294"/>
      <c r="AE58" s="1294"/>
      <c r="AF58" s="1267"/>
      <c r="AG58" s="1291"/>
      <c r="AH58" s="1291"/>
      <c r="AI58" s="1291"/>
      <c r="AJ58" s="1291"/>
      <c r="AK58" s="1291"/>
      <c r="AL58" s="1291"/>
      <c r="AM58" s="1291"/>
      <c r="AN58" s="1291"/>
      <c r="AO58" s="1291"/>
      <c r="AP58" s="1291"/>
      <c r="AQ58" s="1291"/>
      <c r="AR58" s="1291"/>
      <c r="AS58" s="1291"/>
      <c r="AT58" s="1267"/>
      <c r="AU58" s="1292"/>
      <c r="AV58" s="1292"/>
      <c r="AW58" s="1292"/>
      <c r="AX58" s="1292"/>
      <c r="AY58" s="1292"/>
      <c r="AZ58" s="1292"/>
      <c r="BA58" s="1292"/>
      <c r="BB58" s="1292"/>
      <c r="BC58" s="2"/>
      <c r="BD58" s="486"/>
      <c r="BE58" s="1282"/>
      <c r="BF58" s="1282"/>
      <c r="BG58" s="1282"/>
      <c r="BH58" s="1282"/>
      <c r="BI58" s="1282"/>
      <c r="BJ58" s="1282"/>
      <c r="BK58" s="1282"/>
      <c r="BL58" s="1282"/>
      <c r="BM58" s="1282"/>
      <c r="BN58" s="1282"/>
      <c r="BO58" s="1282"/>
      <c r="BP58" s="1282"/>
      <c r="BQ58" s="1282"/>
      <c r="BR58" s="1282"/>
      <c r="BS58" s="1282"/>
      <c r="BT58" s="1282"/>
      <c r="BU58" s="1282"/>
      <c r="BV58" s="1282"/>
      <c r="BW58" s="1282"/>
      <c r="BX58" s="1282"/>
      <c r="BY58" s="1282"/>
      <c r="BZ58" s="1282"/>
      <c r="CA58" s="1282"/>
      <c r="CB58" s="1282"/>
      <c r="CC58" s="1282"/>
      <c r="CD58" s="1282"/>
      <c r="CE58" s="1282"/>
      <c r="CF58" s="1282"/>
      <c r="CG58" s="1282"/>
      <c r="CH58" s="1282"/>
      <c r="CI58" s="1282"/>
      <c r="CJ58" s="1282"/>
      <c r="CK58" s="1282"/>
      <c r="CL58" s="1282"/>
      <c r="CM58" s="1282"/>
      <c r="CN58" s="1282"/>
      <c r="CO58" s="1282"/>
      <c r="CP58" s="1282"/>
      <c r="CQ58" s="1282"/>
      <c r="CR58" s="1282"/>
      <c r="CS58" s="1282"/>
      <c r="CT58" s="1282"/>
      <c r="CU58" s="1283"/>
      <c r="CV58" s="5"/>
    </row>
    <row r="59" spans="1:103" ht="12" customHeight="1" x14ac:dyDescent="0.2">
      <c r="A59" s="5"/>
      <c r="B59" s="1269"/>
      <c r="C59" s="1269"/>
      <c r="D59" s="1269"/>
      <c r="E59" s="1269"/>
      <c r="F59" s="1269"/>
      <c r="G59" s="1269"/>
      <c r="H59" s="1269"/>
      <c r="I59" s="1269"/>
      <c r="J59" s="1269"/>
      <c r="K59" s="1269"/>
      <c r="L59" s="1269"/>
      <c r="M59" s="1269"/>
      <c r="N59" s="1269"/>
      <c r="O59" s="1269"/>
      <c r="P59" s="1269"/>
      <c r="Q59" s="1269"/>
      <c r="R59" s="1269"/>
      <c r="S59" s="1269"/>
      <c r="T59" s="1269"/>
      <c r="U59" s="1269"/>
      <c r="V59" s="1269"/>
      <c r="W59" s="1269"/>
      <c r="X59" s="1269"/>
      <c r="Y59" s="1269"/>
      <c r="Z59" s="1269"/>
      <c r="AA59" s="1269"/>
      <c r="AB59" s="1267"/>
      <c r="AC59" s="1271"/>
      <c r="AD59" s="1271"/>
      <c r="AE59" s="1271"/>
      <c r="AF59" s="1267"/>
      <c r="AG59" s="1269"/>
      <c r="AH59" s="1269"/>
      <c r="AI59" s="1269"/>
      <c r="AJ59" s="1269"/>
      <c r="AK59" s="1269"/>
      <c r="AL59" s="1269"/>
      <c r="AM59" s="1269"/>
      <c r="AN59" s="1269"/>
      <c r="AO59" s="1269"/>
      <c r="AP59" s="1269"/>
      <c r="AQ59" s="1269"/>
      <c r="AR59" s="1269"/>
      <c r="AS59" s="1269"/>
      <c r="AT59" s="1267"/>
      <c r="AU59" s="1273"/>
      <c r="AV59" s="1273"/>
      <c r="AW59" s="1273"/>
      <c r="AX59" s="1273"/>
      <c r="AY59" s="1273"/>
      <c r="AZ59" s="1273"/>
      <c r="BA59" s="1273"/>
      <c r="BB59" s="1273"/>
      <c r="BC59" s="2"/>
      <c r="BD59" s="486"/>
      <c r="BE59" s="1282"/>
      <c r="BF59" s="1282"/>
      <c r="BG59" s="1282"/>
      <c r="BH59" s="1282"/>
      <c r="BI59" s="1282"/>
      <c r="BJ59" s="1282"/>
      <c r="BK59" s="1282"/>
      <c r="BL59" s="1282"/>
      <c r="BM59" s="1282"/>
      <c r="BN59" s="1282"/>
      <c r="BO59" s="1282"/>
      <c r="BP59" s="1282"/>
      <c r="BQ59" s="1282"/>
      <c r="BR59" s="1282"/>
      <c r="BS59" s="1282"/>
      <c r="BT59" s="1282"/>
      <c r="BU59" s="1282"/>
      <c r="BV59" s="1282"/>
      <c r="BW59" s="1282"/>
      <c r="BX59" s="1282"/>
      <c r="BY59" s="1282"/>
      <c r="BZ59" s="1282"/>
      <c r="CA59" s="1282"/>
      <c r="CB59" s="1282"/>
      <c r="CC59" s="1282"/>
      <c r="CD59" s="1282"/>
      <c r="CE59" s="1282"/>
      <c r="CF59" s="1282"/>
      <c r="CG59" s="1282"/>
      <c r="CH59" s="1282"/>
      <c r="CI59" s="1282"/>
      <c r="CJ59" s="1282"/>
      <c r="CK59" s="1282"/>
      <c r="CL59" s="1282"/>
      <c r="CM59" s="1282"/>
      <c r="CN59" s="1282"/>
      <c r="CO59" s="1282"/>
      <c r="CP59" s="1282"/>
      <c r="CQ59" s="1282"/>
      <c r="CR59" s="1282"/>
      <c r="CS59" s="1282"/>
      <c r="CT59" s="1282"/>
      <c r="CU59" s="1283"/>
      <c r="CV59" s="5"/>
      <c r="CY59" s="6">
        <f>CY57+1</f>
        <v>15</v>
      </c>
    </row>
    <row r="60" spans="1:103" ht="12" customHeight="1" x14ac:dyDescent="0.2">
      <c r="A60" s="5"/>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7"/>
      <c r="AC60" s="1270"/>
      <c r="AD60" s="1270"/>
      <c r="AE60" s="1270"/>
      <c r="AF60" s="1267"/>
      <c r="AG60" s="1268"/>
      <c r="AH60" s="1268"/>
      <c r="AI60" s="1268"/>
      <c r="AJ60" s="1268"/>
      <c r="AK60" s="1268"/>
      <c r="AL60" s="1268"/>
      <c r="AM60" s="1268"/>
      <c r="AN60" s="1268"/>
      <c r="AO60" s="1268"/>
      <c r="AP60" s="1268"/>
      <c r="AQ60" s="1268"/>
      <c r="AR60" s="1268"/>
      <c r="AS60" s="1268"/>
      <c r="AT60" s="1267"/>
      <c r="AU60" s="1272"/>
      <c r="AV60" s="1272"/>
      <c r="AW60" s="1272"/>
      <c r="AX60" s="1272"/>
      <c r="AY60" s="1272"/>
      <c r="AZ60" s="1272"/>
      <c r="BA60" s="1272"/>
      <c r="BB60" s="1272"/>
      <c r="BC60" s="2"/>
      <c r="BD60" s="486"/>
      <c r="BE60" s="1282"/>
      <c r="BF60" s="1282"/>
      <c r="BG60" s="1282"/>
      <c r="BH60" s="1282"/>
      <c r="BI60" s="1282"/>
      <c r="BJ60" s="1282"/>
      <c r="BK60" s="1282"/>
      <c r="BL60" s="1282"/>
      <c r="BM60" s="1282"/>
      <c r="BN60" s="1282"/>
      <c r="BO60" s="1282"/>
      <c r="BP60" s="1282"/>
      <c r="BQ60" s="1282"/>
      <c r="BR60" s="1282"/>
      <c r="BS60" s="1282"/>
      <c r="BT60" s="1282"/>
      <c r="BU60" s="1282"/>
      <c r="BV60" s="1282"/>
      <c r="BW60" s="1282"/>
      <c r="BX60" s="1282"/>
      <c r="BY60" s="1282"/>
      <c r="BZ60" s="1282"/>
      <c r="CA60" s="1282"/>
      <c r="CB60" s="1282"/>
      <c r="CC60" s="1282"/>
      <c r="CD60" s="1282"/>
      <c r="CE60" s="1282"/>
      <c r="CF60" s="1282"/>
      <c r="CG60" s="1282"/>
      <c r="CH60" s="1282"/>
      <c r="CI60" s="1282"/>
      <c r="CJ60" s="1282"/>
      <c r="CK60" s="1282"/>
      <c r="CL60" s="1282"/>
      <c r="CM60" s="1282"/>
      <c r="CN60" s="1282"/>
      <c r="CO60" s="1282"/>
      <c r="CP60" s="1282"/>
      <c r="CQ60" s="1282"/>
      <c r="CR60" s="1282"/>
      <c r="CS60" s="1282"/>
      <c r="CT60" s="1282"/>
      <c r="CU60" s="1283"/>
      <c r="CV60" s="5"/>
    </row>
    <row r="61" spans="1:103" ht="12" customHeight="1" x14ac:dyDescent="0.2">
      <c r="A61" s="5"/>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7"/>
      <c r="AC61" s="1271"/>
      <c r="AD61" s="1271"/>
      <c r="AE61" s="1271"/>
      <c r="AF61" s="1267"/>
      <c r="AG61" s="1269"/>
      <c r="AH61" s="1269"/>
      <c r="AI61" s="1269"/>
      <c r="AJ61" s="1269"/>
      <c r="AK61" s="1269"/>
      <c r="AL61" s="1269"/>
      <c r="AM61" s="1269"/>
      <c r="AN61" s="1269"/>
      <c r="AO61" s="1269"/>
      <c r="AP61" s="1269"/>
      <c r="AQ61" s="1269"/>
      <c r="AR61" s="1269"/>
      <c r="AS61" s="1269"/>
      <c r="AT61" s="1267"/>
      <c r="AU61" s="1273"/>
      <c r="AV61" s="1273"/>
      <c r="AW61" s="1273"/>
      <c r="AX61" s="1273"/>
      <c r="AY61" s="1273"/>
      <c r="AZ61" s="1273"/>
      <c r="BA61" s="1273"/>
      <c r="BB61" s="1273"/>
      <c r="BC61" s="2"/>
      <c r="BD61" s="486"/>
      <c r="BE61" s="1282"/>
      <c r="BF61" s="1282"/>
      <c r="BG61" s="1282"/>
      <c r="BH61" s="1282"/>
      <c r="BI61" s="1282"/>
      <c r="BJ61" s="1282"/>
      <c r="BK61" s="1282"/>
      <c r="BL61" s="1282"/>
      <c r="BM61" s="1282"/>
      <c r="BN61" s="1282"/>
      <c r="BO61" s="1282"/>
      <c r="BP61" s="1282"/>
      <c r="BQ61" s="1282"/>
      <c r="BR61" s="1282"/>
      <c r="BS61" s="1282"/>
      <c r="BT61" s="1282"/>
      <c r="BU61" s="1282"/>
      <c r="BV61" s="1282"/>
      <c r="BW61" s="1282"/>
      <c r="BX61" s="1282"/>
      <c r="BY61" s="1282"/>
      <c r="BZ61" s="1282"/>
      <c r="CA61" s="1282"/>
      <c r="CB61" s="1282"/>
      <c r="CC61" s="1282"/>
      <c r="CD61" s="1282"/>
      <c r="CE61" s="1282"/>
      <c r="CF61" s="1282"/>
      <c r="CG61" s="1282"/>
      <c r="CH61" s="1282"/>
      <c r="CI61" s="1282"/>
      <c r="CJ61" s="1282"/>
      <c r="CK61" s="1282"/>
      <c r="CL61" s="1282"/>
      <c r="CM61" s="1282"/>
      <c r="CN61" s="1282"/>
      <c r="CO61" s="1282"/>
      <c r="CP61" s="1282"/>
      <c r="CQ61" s="1282"/>
      <c r="CR61" s="1282"/>
      <c r="CS61" s="1282"/>
      <c r="CT61" s="1282"/>
      <c r="CU61" s="1283"/>
      <c r="CV61" s="5"/>
      <c r="CY61" s="6">
        <f>CY59+1</f>
        <v>16</v>
      </c>
    </row>
    <row r="62" spans="1:103" ht="12" customHeight="1" x14ac:dyDescent="0.2">
      <c r="A62" s="5"/>
      <c r="B62" s="1268"/>
      <c r="C62" s="1268"/>
      <c r="D62" s="1268"/>
      <c r="E62" s="1268"/>
      <c r="F62" s="1268"/>
      <c r="G62" s="1268"/>
      <c r="H62" s="1268"/>
      <c r="I62" s="1268"/>
      <c r="J62" s="1268"/>
      <c r="K62" s="1268"/>
      <c r="L62" s="1268"/>
      <c r="M62" s="1268"/>
      <c r="N62" s="1268"/>
      <c r="O62" s="1268"/>
      <c r="P62" s="1268"/>
      <c r="Q62" s="1268"/>
      <c r="R62" s="1268"/>
      <c r="S62" s="1268"/>
      <c r="T62" s="1268"/>
      <c r="U62" s="1268"/>
      <c r="V62" s="1268"/>
      <c r="W62" s="1268"/>
      <c r="X62" s="1268"/>
      <c r="Y62" s="1268"/>
      <c r="Z62" s="1268"/>
      <c r="AA62" s="1268"/>
      <c r="AB62" s="1267"/>
      <c r="AC62" s="1270"/>
      <c r="AD62" s="1270"/>
      <c r="AE62" s="1270"/>
      <c r="AF62" s="1267"/>
      <c r="AG62" s="1268"/>
      <c r="AH62" s="1268"/>
      <c r="AI62" s="1268"/>
      <c r="AJ62" s="1268"/>
      <c r="AK62" s="1268"/>
      <c r="AL62" s="1268"/>
      <c r="AM62" s="1268"/>
      <c r="AN62" s="1268"/>
      <c r="AO62" s="1268"/>
      <c r="AP62" s="1268"/>
      <c r="AQ62" s="1268"/>
      <c r="AR62" s="1268"/>
      <c r="AS62" s="1268"/>
      <c r="AT62" s="1267"/>
      <c r="AU62" s="1272"/>
      <c r="AV62" s="1272"/>
      <c r="AW62" s="1272"/>
      <c r="AX62" s="1272"/>
      <c r="AY62" s="1272"/>
      <c r="AZ62" s="1272"/>
      <c r="BA62" s="1272"/>
      <c r="BB62" s="1272"/>
      <c r="BC62" s="2"/>
      <c r="BD62" s="486"/>
      <c r="BE62" s="1282"/>
      <c r="BF62" s="1282"/>
      <c r="BG62" s="1282"/>
      <c r="BH62" s="1282"/>
      <c r="BI62" s="1282"/>
      <c r="BJ62" s="1282"/>
      <c r="BK62" s="1282"/>
      <c r="BL62" s="1282"/>
      <c r="BM62" s="1282"/>
      <c r="BN62" s="1282"/>
      <c r="BO62" s="1282"/>
      <c r="BP62" s="1282"/>
      <c r="BQ62" s="1282"/>
      <c r="BR62" s="1282"/>
      <c r="BS62" s="1282"/>
      <c r="BT62" s="1282"/>
      <c r="BU62" s="1282"/>
      <c r="BV62" s="1282"/>
      <c r="BW62" s="1282"/>
      <c r="BX62" s="1282"/>
      <c r="BY62" s="1282"/>
      <c r="BZ62" s="1282"/>
      <c r="CA62" s="1282"/>
      <c r="CB62" s="1282"/>
      <c r="CC62" s="1282"/>
      <c r="CD62" s="1282"/>
      <c r="CE62" s="1282"/>
      <c r="CF62" s="1282"/>
      <c r="CG62" s="1282"/>
      <c r="CH62" s="1282"/>
      <c r="CI62" s="1282"/>
      <c r="CJ62" s="1282"/>
      <c r="CK62" s="1282"/>
      <c r="CL62" s="1282"/>
      <c r="CM62" s="1282"/>
      <c r="CN62" s="1282"/>
      <c r="CO62" s="1282"/>
      <c r="CP62" s="1282"/>
      <c r="CQ62" s="1282"/>
      <c r="CR62" s="1282"/>
      <c r="CS62" s="1282"/>
      <c r="CT62" s="1282"/>
      <c r="CU62" s="1283"/>
      <c r="CV62" s="5"/>
    </row>
    <row r="63" spans="1:103" ht="12" customHeight="1" x14ac:dyDescent="0.2">
      <c r="A63" s="5"/>
      <c r="B63" s="1269"/>
      <c r="C63" s="1269"/>
      <c r="D63" s="1269"/>
      <c r="E63" s="1269"/>
      <c r="F63" s="1269"/>
      <c r="G63" s="1269"/>
      <c r="H63" s="1269"/>
      <c r="I63" s="1269"/>
      <c r="J63" s="1269"/>
      <c r="K63" s="1269"/>
      <c r="L63" s="1269"/>
      <c r="M63" s="1269"/>
      <c r="N63" s="1269"/>
      <c r="O63" s="1269"/>
      <c r="P63" s="1269"/>
      <c r="Q63" s="1269"/>
      <c r="R63" s="1269"/>
      <c r="S63" s="1269"/>
      <c r="T63" s="1269"/>
      <c r="U63" s="1269"/>
      <c r="V63" s="1269"/>
      <c r="W63" s="1269"/>
      <c r="X63" s="1269"/>
      <c r="Y63" s="1269"/>
      <c r="Z63" s="1269"/>
      <c r="AA63" s="1269"/>
      <c r="AB63" s="1267"/>
      <c r="AC63" s="1271"/>
      <c r="AD63" s="1271"/>
      <c r="AE63" s="1271"/>
      <c r="AF63" s="1267"/>
      <c r="AG63" s="1269"/>
      <c r="AH63" s="1269"/>
      <c r="AI63" s="1269"/>
      <c r="AJ63" s="1269"/>
      <c r="AK63" s="1269"/>
      <c r="AL63" s="1269"/>
      <c r="AM63" s="1269"/>
      <c r="AN63" s="1269"/>
      <c r="AO63" s="1269"/>
      <c r="AP63" s="1269"/>
      <c r="AQ63" s="1269"/>
      <c r="AR63" s="1269"/>
      <c r="AS63" s="1269"/>
      <c r="AT63" s="1267"/>
      <c r="AU63" s="1273"/>
      <c r="AV63" s="1273"/>
      <c r="AW63" s="1273"/>
      <c r="AX63" s="1273"/>
      <c r="AY63" s="1273"/>
      <c r="AZ63" s="1273"/>
      <c r="BA63" s="1273"/>
      <c r="BB63" s="1273"/>
      <c r="BC63" s="2"/>
      <c r="BD63" s="486"/>
      <c r="BE63" s="1282"/>
      <c r="BF63" s="1282"/>
      <c r="BG63" s="1282"/>
      <c r="BH63" s="1282"/>
      <c r="BI63" s="1282"/>
      <c r="BJ63" s="1282"/>
      <c r="BK63" s="1282"/>
      <c r="BL63" s="1282"/>
      <c r="BM63" s="1282"/>
      <c r="BN63" s="1282"/>
      <c r="BO63" s="1282"/>
      <c r="BP63" s="1282"/>
      <c r="BQ63" s="1282"/>
      <c r="BR63" s="1282"/>
      <c r="BS63" s="1282"/>
      <c r="BT63" s="1282"/>
      <c r="BU63" s="1282"/>
      <c r="BV63" s="1282"/>
      <c r="BW63" s="1282"/>
      <c r="BX63" s="1282"/>
      <c r="BY63" s="1282"/>
      <c r="BZ63" s="1282"/>
      <c r="CA63" s="1282"/>
      <c r="CB63" s="1282"/>
      <c r="CC63" s="1282"/>
      <c r="CD63" s="1282"/>
      <c r="CE63" s="1282"/>
      <c r="CF63" s="1282"/>
      <c r="CG63" s="1282"/>
      <c r="CH63" s="1282"/>
      <c r="CI63" s="1282"/>
      <c r="CJ63" s="1282"/>
      <c r="CK63" s="1282"/>
      <c r="CL63" s="1282"/>
      <c r="CM63" s="1282"/>
      <c r="CN63" s="1282"/>
      <c r="CO63" s="1282"/>
      <c r="CP63" s="1282"/>
      <c r="CQ63" s="1282"/>
      <c r="CR63" s="1282"/>
      <c r="CS63" s="1282"/>
      <c r="CT63" s="1282"/>
      <c r="CU63" s="1283"/>
      <c r="CV63" s="5"/>
      <c r="CY63" s="6">
        <f>CY61+1</f>
        <v>17</v>
      </c>
    </row>
    <row r="64" spans="1:103" ht="12" customHeight="1" x14ac:dyDescent="0.2">
      <c r="A64" s="5"/>
      <c r="B64" s="1268"/>
      <c r="C64" s="1268"/>
      <c r="D64" s="1268"/>
      <c r="E64" s="1268"/>
      <c r="F64" s="1268"/>
      <c r="G64" s="1268"/>
      <c r="H64" s="1268"/>
      <c r="I64" s="1268"/>
      <c r="J64" s="1268"/>
      <c r="K64" s="1268"/>
      <c r="L64" s="1268"/>
      <c r="M64" s="1268"/>
      <c r="N64" s="1268"/>
      <c r="O64" s="1268"/>
      <c r="P64" s="1268"/>
      <c r="Q64" s="1268"/>
      <c r="R64" s="1268"/>
      <c r="S64" s="1268"/>
      <c r="T64" s="1268"/>
      <c r="U64" s="1268"/>
      <c r="V64" s="1268"/>
      <c r="W64" s="1268"/>
      <c r="X64" s="1268"/>
      <c r="Y64" s="1268"/>
      <c r="Z64" s="1268"/>
      <c r="AA64" s="1268"/>
      <c r="AB64" s="1267"/>
      <c r="AC64" s="1270"/>
      <c r="AD64" s="1270"/>
      <c r="AE64" s="1270"/>
      <c r="AF64" s="1267"/>
      <c r="AG64" s="1268"/>
      <c r="AH64" s="1268"/>
      <c r="AI64" s="1268"/>
      <c r="AJ64" s="1268"/>
      <c r="AK64" s="1268"/>
      <c r="AL64" s="1268"/>
      <c r="AM64" s="1268"/>
      <c r="AN64" s="1268"/>
      <c r="AO64" s="1268"/>
      <c r="AP64" s="1268"/>
      <c r="AQ64" s="1268"/>
      <c r="AR64" s="1268"/>
      <c r="AS64" s="1268"/>
      <c r="AT64" s="1267"/>
      <c r="AU64" s="1272"/>
      <c r="AV64" s="1272"/>
      <c r="AW64" s="1272"/>
      <c r="AX64" s="1272"/>
      <c r="AY64" s="1272"/>
      <c r="AZ64" s="1272"/>
      <c r="BA64" s="1272"/>
      <c r="BB64" s="1272"/>
      <c r="BC64" s="2"/>
      <c r="BD64" s="486"/>
      <c r="BE64" s="1282"/>
      <c r="BF64" s="1282"/>
      <c r="BG64" s="1282"/>
      <c r="BH64" s="1282"/>
      <c r="BI64" s="1282"/>
      <c r="BJ64" s="1282"/>
      <c r="BK64" s="1282"/>
      <c r="BL64" s="1282"/>
      <c r="BM64" s="1282"/>
      <c r="BN64" s="1282"/>
      <c r="BO64" s="1282"/>
      <c r="BP64" s="1282"/>
      <c r="BQ64" s="1282"/>
      <c r="BR64" s="1282"/>
      <c r="BS64" s="1282"/>
      <c r="BT64" s="1282"/>
      <c r="BU64" s="1282"/>
      <c r="BV64" s="1282"/>
      <c r="BW64" s="1282"/>
      <c r="BX64" s="1282"/>
      <c r="BY64" s="1282"/>
      <c r="BZ64" s="1282"/>
      <c r="CA64" s="1282"/>
      <c r="CB64" s="1282"/>
      <c r="CC64" s="1282"/>
      <c r="CD64" s="1282"/>
      <c r="CE64" s="1282"/>
      <c r="CF64" s="1282"/>
      <c r="CG64" s="1282"/>
      <c r="CH64" s="1282"/>
      <c r="CI64" s="1282"/>
      <c r="CJ64" s="1282"/>
      <c r="CK64" s="1282"/>
      <c r="CL64" s="1282"/>
      <c r="CM64" s="1282"/>
      <c r="CN64" s="1282"/>
      <c r="CO64" s="1282"/>
      <c r="CP64" s="1282"/>
      <c r="CQ64" s="1282"/>
      <c r="CR64" s="1282"/>
      <c r="CS64" s="1282"/>
      <c r="CT64" s="1282"/>
      <c r="CU64" s="1283"/>
      <c r="CV64" s="5"/>
    </row>
    <row r="65" spans="1:103" ht="12" customHeight="1" x14ac:dyDescent="0.2">
      <c r="A65" s="5"/>
      <c r="B65" s="1269"/>
      <c r="C65" s="1269"/>
      <c r="D65" s="1269"/>
      <c r="E65" s="1269"/>
      <c r="F65" s="1269"/>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7"/>
      <c r="AC65" s="1271"/>
      <c r="AD65" s="1271"/>
      <c r="AE65" s="1271"/>
      <c r="AF65" s="1267"/>
      <c r="AG65" s="1269"/>
      <c r="AH65" s="1269"/>
      <c r="AI65" s="1269"/>
      <c r="AJ65" s="1269"/>
      <c r="AK65" s="1269"/>
      <c r="AL65" s="1269"/>
      <c r="AM65" s="1269"/>
      <c r="AN65" s="1269"/>
      <c r="AO65" s="1269"/>
      <c r="AP65" s="1269"/>
      <c r="AQ65" s="1269"/>
      <c r="AR65" s="1269"/>
      <c r="AS65" s="1269"/>
      <c r="AT65" s="1267"/>
      <c r="AU65" s="1273"/>
      <c r="AV65" s="1273"/>
      <c r="AW65" s="1273"/>
      <c r="AX65" s="1273"/>
      <c r="AY65" s="1273"/>
      <c r="AZ65" s="1273"/>
      <c r="BA65" s="1273"/>
      <c r="BB65" s="1273"/>
      <c r="BC65" s="2"/>
      <c r="BD65" s="486"/>
      <c r="BE65" s="1282"/>
      <c r="BF65" s="1282"/>
      <c r="BG65" s="1282"/>
      <c r="BH65" s="1282"/>
      <c r="BI65" s="1282"/>
      <c r="BJ65" s="1282"/>
      <c r="BK65" s="1282"/>
      <c r="BL65" s="1282"/>
      <c r="BM65" s="1282"/>
      <c r="BN65" s="1282"/>
      <c r="BO65" s="1282"/>
      <c r="BP65" s="1282"/>
      <c r="BQ65" s="1282"/>
      <c r="BR65" s="1282"/>
      <c r="BS65" s="1282"/>
      <c r="BT65" s="1282"/>
      <c r="BU65" s="1282"/>
      <c r="BV65" s="1282"/>
      <c r="BW65" s="1282"/>
      <c r="BX65" s="1282"/>
      <c r="BY65" s="1282"/>
      <c r="BZ65" s="1282"/>
      <c r="CA65" s="1282"/>
      <c r="CB65" s="1282"/>
      <c r="CC65" s="1282"/>
      <c r="CD65" s="1282"/>
      <c r="CE65" s="1282"/>
      <c r="CF65" s="1282"/>
      <c r="CG65" s="1282"/>
      <c r="CH65" s="1282"/>
      <c r="CI65" s="1282"/>
      <c r="CJ65" s="1282"/>
      <c r="CK65" s="1282"/>
      <c r="CL65" s="1282"/>
      <c r="CM65" s="1282"/>
      <c r="CN65" s="1282"/>
      <c r="CO65" s="1282"/>
      <c r="CP65" s="1282"/>
      <c r="CQ65" s="1282"/>
      <c r="CR65" s="1282"/>
      <c r="CS65" s="1282"/>
      <c r="CT65" s="1282"/>
      <c r="CU65" s="1283"/>
      <c r="CV65" s="5"/>
      <c r="CY65" s="6">
        <f>CY63+1</f>
        <v>18</v>
      </c>
    </row>
    <row r="66" spans="1:103" ht="12" customHeight="1" x14ac:dyDescent="0.2">
      <c r="A66" s="5"/>
      <c r="B66" s="1268"/>
      <c r="C66" s="1268"/>
      <c r="D66" s="1268"/>
      <c r="E66" s="1268"/>
      <c r="F66" s="1268"/>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7"/>
      <c r="AC66" s="1270"/>
      <c r="AD66" s="1270"/>
      <c r="AE66" s="1270"/>
      <c r="AF66" s="1267"/>
      <c r="AG66" s="1268"/>
      <c r="AH66" s="1268"/>
      <c r="AI66" s="1268"/>
      <c r="AJ66" s="1268"/>
      <c r="AK66" s="1268"/>
      <c r="AL66" s="1268"/>
      <c r="AM66" s="1268"/>
      <c r="AN66" s="1268"/>
      <c r="AO66" s="1268"/>
      <c r="AP66" s="1268"/>
      <c r="AQ66" s="1268"/>
      <c r="AR66" s="1268"/>
      <c r="AS66" s="1268"/>
      <c r="AT66" s="1267"/>
      <c r="AU66" s="1272"/>
      <c r="AV66" s="1272"/>
      <c r="AW66" s="1272"/>
      <c r="AX66" s="1272"/>
      <c r="AY66" s="1272"/>
      <c r="AZ66" s="1272"/>
      <c r="BA66" s="1272"/>
      <c r="BB66" s="1272"/>
      <c r="BC66" s="2"/>
      <c r="BD66" s="486"/>
      <c r="BE66" s="1282"/>
      <c r="BF66" s="1282"/>
      <c r="BG66" s="1282"/>
      <c r="BH66" s="1282"/>
      <c r="BI66" s="1282"/>
      <c r="BJ66" s="1282"/>
      <c r="BK66" s="1282"/>
      <c r="BL66" s="1282"/>
      <c r="BM66" s="1282"/>
      <c r="BN66" s="1282"/>
      <c r="BO66" s="1282"/>
      <c r="BP66" s="1282"/>
      <c r="BQ66" s="1282"/>
      <c r="BR66" s="1282"/>
      <c r="BS66" s="1282"/>
      <c r="BT66" s="1282"/>
      <c r="BU66" s="1282"/>
      <c r="BV66" s="1282"/>
      <c r="BW66" s="1282"/>
      <c r="BX66" s="1282"/>
      <c r="BY66" s="1282"/>
      <c r="BZ66" s="1282"/>
      <c r="CA66" s="1282"/>
      <c r="CB66" s="1282"/>
      <c r="CC66" s="1282"/>
      <c r="CD66" s="1282"/>
      <c r="CE66" s="1282"/>
      <c r="CF66" s="1282"/>
      <c r="CG66" s="1282"/>
      <c r="CH66" s="1282"/>
      <c r="CI66" s="1282"/>
      <c r="CJ66" s="1282"/>
      <c r="CK66" s="1282"/>
      <c r="CL66" s="1282"/>
      <c r="CM66" s="1282"/>
      <c r="CN66" s="1282"/>
      <c r="CO66" s="1282"/>
      <c r="CP66" s="1282"/>
      <c r="CQ66" s="1282"/>
      <c r="CR66" s="1282"/>
      <c r="CS66" s="1282"/>
      <c r="CT66" s="1282"/>
      <c r="CU66" s="1283"/>
      <c r="CV66" s="5"/>
    </row>
    <row r="67" spans="1:103" ht="12" customHeight="1" x14ac:dyDescent="0.2">
      <c r="A67" s="5"/>
      <c r="B67" s="1269"/>
      <c r="C67" s="1269"/>
      <c r="D67" s="1269"/>
      <c r="E67" s="1269"/>
      <c r="F67" s="1269"/>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7"/>
      <c r="AC67" s="1271"/>
      <c r="AD67" s="1271"/>
      <c r="AE67" s="1271"/>
      <c r="AF67" s="1267"/>
      <c r="AG67" s="1269"/>
      <c r="AH67" s="1269"/>
      <c r="AI67" s="1269"/>
      <c r="AJ67" s="1269"/>
      <c r="AK67" s="1269"/>
      <c r="AL67" s="1269"/>
      <c r="AM67" s="1269"/>
      <c r="AN67" s="1269"/>
      <c r="AO67" s="1269"/>
      <c r="AP67" s="1269"/>
      <c r="AQ67" s="1269"/>
      <c r="AR67" s="1269"/>
      <c r="AS67" s="1269"/>
      <c r="AT67" s="1267"/>
      <c r="AU67" s="1273"/>
      <c r="AV67" s="1273"/>
      <c r="AW67" s="1273"/>
      <c r="AX67" s="1273"/>
      <c r="AY67" s="1273"/>
      <c r="AZ67" s="1273"/>
      <c r="BA67" s="1273"/>
      <c r="BB67" s="1273"/>
      <c r="BC67" s="2"/>
      <c r="BD67" s="486"/>
      <c r="BE67" s="1282"/>
      <c r="BF67" s="1282"/>
      <c r="BG67" s="1282"/>
      <c r="BH67" s="1282"/>
      <c r="BI67" s="1282"/>
      <c r="BJ67" s="1282"/>
      <c r="BK67" s="1282"/>
      <c r="BL67" s="1282"/>
      <c r="BM67" s="1282"/>
      <c r="BN67" s="1282"/>
      <c r="BO67" s="1282"/>
      <c r="BP67" s="1282"/>
      <c r="BQ67" s="1282"/>
      <c r="BR67" s="1282"/>
      <c r="BS67" s="1282"/>
      <c r="BT67" s="1282"/>
      <c r="BU67" s="1282"/>
      <c r="BV67" s="1282"/>
      <c r="BW67" s="1282"/>
      <c r="BX67" s="1282"/>
      <c r="BY67" s="1282"/>
      <c r="BZ67" s="1282"/>
      <c r="CA67" s="1282"/>
      <c r="CB67" s="1282"/>
      <c r="CC67" s="1282"/>
      <c r="CD67" s="1282"/>
      <c r="CE67" s="1282"/>
      <c r="CF67" s="1282"/>
      <c r="CG67" s="1282"/>
      <c r="CH67" s="1282"/>
      <c r="CI67" s="1282"/>
      <c r="CJ67" s="1282"/>
      <c r="CK67" s="1282"/>
      <c r="CL67" s="1282"/>
      <c r="CM67" s="1282"/>
      <c r="CN67" s="1282"/>
      <c r="CO67" s="1282"/>
      <c r="CP67" s="1282"/>
      <c r="CQ67" s="1282"/>
      <c r="CR67" s="1282"/>
      <c r="CS67" s="1282"/>
      <c r="CT67" s="1282"/>
      <c r="CU67" s="1283"/>
      <c r="CV67" s="5"/>
      <c r="CY67" s="6">
        <f>CY65+1</f>
        <v>19</v>
      </c>
    </row>
    <row r="68" spans="1:103" ht="12" customHeight="1" x14ac:dyDescent="0.2">
      <c r="A68" s="5"/>
      <c r="B68" s="1268"/>
      <c r="C68" s="1268"/>
      <c r="D68" s="1268"/>
      <c r="E68" s="1268"/>
      <c r="F68" s="1268"/>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7"/>
      <c r="AC68" s="1270"/>
      <c r="AD68" s="1270"/>
      <c r="AE68" s="1270"/>
      <c r="AF68" s="1267"/>
      <c r="AG68" s="1268"/>
      <c r="AH68" s="1268"/>
      <c r="AI68" s="1268"/>
      <c r="AJ68" s="1268"/>
      <c r="AK68" s="1268"/>
      <c r="AL68" s="1268"/>
      <c r="AM68" s="1268"/>
      <c r="AN68" s="1268"/>
      <c r="AO68" s="1268"/>
      <c r="AP68" s="1268"/>
      <c r="AQ68" s="1268"/>
      <c r="AR68" s="1268"/>
      <c r="AS68" s="1268"/>
      <c r="AT68" s="1267"/>
      <c r="AU68" s="1272"/>
      <c r="AV68" s="1272"/>
      <c r="AW68" s="1272"/>
      <c r="AX68" s="1272"/>
      <c r="AY68" s="1272"/>
      <c r="AZ68" s="1272"/>
      <c r="BA68" s="1272"/>
      <c r="BB68" s="1272"/>
      <c r="BC68" s="2"/>
      <c r="BD68" s="486"/>
      <c r="BE68" s="1282"/>
      <c r="BF68" s="1282"/>
      <c r="BG68" s="1282"/>
      <c r="BH68" s="1282"/>
      <c r="BI68" s="1282"/>
      <c r="BJ68" s="1282"/>
      <c r="BK68" s="1282"/>
      <c r="BL68" s="1282"/>
      <c r="BM68" s="1282"/>
      <c r="BN68" s="1282"/>
      <c r="BO68" s="1282"/>
      <c r="BP68" s="1282"/>
      <c r="BQ68" s="1282"/>
      <c r="BR68" s="1282"/>
      <c r="BS68" s="1282"/>
      <c r="BT68" s="1282"/>
      <c r="BU68" s="1282"/>
      <c r="BV68" s="1282"/>
      <c r="BW68" s="1282"/>
      <c r="BX68" s="1282"/>
      <c r="BY68" s="1282"/>
      <c r="BZ68" s="1282"/>
      <c r="CA68" s="1282"/>
      <c r="CB68" s="1282"/>
      <c r="CC68" s="1282"/>
      <c r="CD68" s="1282"/>
      <c r="CE68" s="1282"/>
      <c r="CF68" s="1282"/>
      <c r="CG68" s="1282"/>
      <c r="CH68" s="1282"/>
      <c r="CI68" s="1282"/>
      <c r="CJ68" s="1282"/>
      <c r="CK68" s="1282"/>
      <c r="CL68" s="1282"/>
      <c r="CM68" s="1282"/>
      <c r="CN68" s="1282"/>
      <c r="CO68" s="1282"/>
      <c r="CP68" s="1282"/>
      <c r="CQ68" s="1282"/>
      <c r="CR68" s="1282"/>
      <c r="CS68" s="1282"/>
      <c r="CT68" s="1282"/>
      <c r="CU68" s="1283"/>
      <c r="CV68" s="5"/>
    </row>
    <row r="69" spans="1:103" ht="12" customHeight="1" x14ac:dyDescent="0.2">
      <c r="A69" s="5"/>
      <c r="B69" s="1269"/>
      <c r="C69" s="1269"/>
      <c r="D69" s="1269"/>
      <c r="E69" s="1269"/>
      <c r="F69" s="1269"/>
      <c r="G69" s="1269"/>
      <c r="H69" s="1269"/>
      <c r="I69" s="1269"/>
      <c r="J69" s="1269"/>
      <c r="K69" s="1269"/>
      <c r="L69" s="1269"/>
      <c r="M69" s="1269"/>
      <c r="N69" s="1269"/>
      <c r="O69" s="1269"/>
      <c r="P69" s="1269"/>
      <c r="Q69" s="1269"/>
      <c r="R69" s="1269"/>
      <c r="S69" s="1269"/>
      <c r="T69" s="1269"/>
      <c r="U69" s="1269"/>
      <c r="V69" s="1269"/>
      <c r="W69" s="1269"/>
      <c r="X69" s="1269"/>
      <c r="Y69" s="1269"/>
      <c r="Z69" s="1269"/>
      <c r="AA69" s="1269"/>
      <c r="AB69" s="1267"/>
      <c r="AC69" s="1271"/>
      <c r="AD69" s="1271"/>
      <c r="AE69" s="1271"/>
      <c r="AF69" s="1267"/>
      <c r="AG69" s="1269"/>
      <c r="AH69" s="1269"/>
      <c r="AI69" s="1269"/>
      <c r="AJ69" s="1269"/>
      <c r="AK69" s="1269"/>
      <c r="AL69" s="1269"/>
      <c r="AM69" s="1269"/>
      <c r="AN69" s="1269"/>
      <c r="AO69" s="1269"/>
      <c r="AP69" s="1269"/>
      <c r="AQ69" s="1269"/>
      <c r="AR69" s="1269"/>
      <c r="AS69" s="1269"/>
      <c r="AT69" s="1267"/>
      <c r="AU69" s="1273"/>
      <c r="AV69" s="1273"/>
      <c r="AW69" s="1273"/>
      <c r="AX69" s="1273"/>
      <c r="AY69" s="1273"/>
      <c r="AZ69" s="1273"/>
      <c r="BA69" s="1273"/>
      <c r="BB69" s="1273"/>
      <c r="BC69" s="2"/>
      <c r="BD69" s="486"/>
      <c r="BE69" s="1282"/>
      <c r="BF69" s="1282"/>
      <c r="BG69" s="1282"/>
      <c r="BH69" s="1282"/>
      <c r="BI69" s="1282"/>
      <c r="BJ69" s="1282"/>
      <c r="BK69" s="1282"/>
      <c r="BL69" s="1282"/>
      <c r="BM69" s="1282"/>
      <c r="BN69" s="1282"/>
      <c r="BO69" s="1282"/>
      <c r="BP69" s="1282"/>
      <c r="BQ69" s="1282"/>
      <c r="BR69" s="1282"/>
      <c r="BS69" s="1282"/>
      <c r="BT69" s="1282"/>
      <c r="BU69" s="1282"/>
      <c r="BV69" s="1282"/>
      <c r="BW69" s="1282"/>
      <c r="BX69" s="1282"/>
      <c r="BY69" s="1282"/>
      <c r="BZ69" s="1282"/>
      <c r="CA69" s="1282"/>
      <c r="CB69" s="1282"/>
      <c r="CC69" s="1282"/>
      <c r="CD69" s="1282"/>
      <c r="CE69" s="1282"/>
      <c r="CF69" s="1282"/>
      <c r="CG69" s="1282"/>
      <c r="CH69" s="1282"/>
      <c r="CI69" s="1282"/>
      <c r="CJ69" s="1282"/>
      <c r="CK69" s="1282"/>
      <c r="CL69" s="1282"/>
      <c r="CM69" s="1282"/>
      <c r="CN69" s="1282"/>
      <c r="CO69" s="1282"/>
      <c r="CP69" s="1282"/>
      <c r="CQ69" s="1282"/>
      <c r="CR69" s="1282"/>
      <c r="CS69" s="1282"/>
      <c r="CT69" s="1282"/>
      <c r="CU69" s="1283"/>
      <c r="CV69" s="5"/>
      <c r="CY69" s="6">
        <f>CY67+1</f>
        <v>20</v>
      </c>
    </row>
    <row r="70" spans="1:103" ht="12" customHeight="1" x14ac:dyDescent="0.2">
      <c r="A70" s="5"/>
      <c r="B70" s="1268"/>
      <c r="C70" s="1268"/>
      <c r="D70" s="1268"/>
      <c r="E70" s="1268"/>
      <c r="F70" s="1268"/>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7"/>
      <c r="AC70" s="1299"/>
      <c r="AD70" s="1270"/>
      <c r="AE70" s="1270"/>
      <c r="AF70" s="1267"/>
      <c r="AG70" s="1268"/>
      <c r="AH70" s="1268"/>
      <c r="AI70" s="1268"/>
      <c r="AJ70" s="1268"/>
      <c r="AK70" s="1268"/>
      <c r="AL70" s="1268"/>
      <c r="AM70" s="1268"/>
      <c r="AN70" s="1268"/>
      <c r="AO70" s="1268"/>
      <c r="AP70" s="1268"/>
      <c r="AQ70" s="1268"/>
      <c r="AR70" s="1268"/>
      <c r="AS70" s="1268"/>
      <c r="AT70" s="1267"/>
      <c r="AU70" s="1272"/>
      <c r="AV70" s="1272"/>
      <c r="AW70" s="1272"/>
      <c r="AX70" s="1272"/>
      <c r="AY70" s="1272"/>
      <c r="AZ70" s="1272"/>
      <c r="BA70" s="1272"/>
      <c r="BB70" s="1272"/>
      <c r="BC70" s="2"/>
      <c r="BD70" s="486"/>
      <c r="BE70" s="1282"/>
      <c r="BF70" s="1282"/>
      <c r="BG70" s="1282"/>
      <c r="BH70" s="1282"/>
      <c r="BI70" s="1282"/>
      <c r="BJ70" s="1282"/>
      <c r="BK70" s="1282"/>
      <c r="BL70" s="1282"/>
      <c r="BM70" s="1282"/>
      <c r="BN70" s="1282"/>
      <c r="BO70" s="1282"/>
      <c r="BP70" s="1282"/>
      <c r="BQ70" s="1282"/>
      <c r="BR70" s="1282"/>
      <c r="BS70" s="1282"/>
      <c r="BT70" s="1282"/>
      <c r="BU70" s="1282"/>
      <c r="BV70" s="1282"/>
      <c r="BW70" s="1282"/>
      <c r="BX70" s="1282"/>
      <c r="BY70" s="1282"/>
      <c r="BZ70" s="1282"/>
      <c r="CA70" s="1282"/>
      <c r="CB70" s="1282"/>
      <c r="CC70" s="1282"/>
      <c r="CD70" s="1282"/>
      <c r="CE70" s="1282"/>
      <c r="CF70" s="1282"/>
      <c r="CG70" s="1282"/>
      <c r="CH70" s="1282"/>
      <c r="CI70" s="1282"/>
      <c r="CJ70" s="1282"/>
      <c r="CK70" s="1282"/>
      <c r="CL70" s="1282"/>
      <c r="CM70" s="1282"/>
      <c r="CN70" s="1282"/>
      <c r="CO70" s="1282"/>
      <c r="CP70" s="1282"/>
      <c r="CQ70" s="1282"/>
      <c r="CR70" s="1282"/>
      <c r="CS70" s="1282"/>
      <c r="CT70" s="1282"/>
      <c r="CU70" s="1283"/>
      <c r="CV70" s="5"/>
    </row>
    <row r="71" spans="1:103" ht="12" customHeight="1" x14ac:dyDescent="0.2">
      <c r="A71" s="5"/>
      <c r="B71" s="1269"/>
      <c r="C71" s="1269"/>
      <c r="D71" s="1269"/>
      <c r="E71" s="1269"/>
      <c r="F71" s="1269"/>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7"/>
      <c r="AC71" s="1271"/>
      <c r="AD71" s="1271"/>
      <c r="AE71" s="1271"/>
      <c r="AF71" s="1267"/>
      <c r="AG71" s="1269"/>
      <c r="AH71" s="1269"/>
      <c r="AI71" s="1269"/>
      <c r="AJ71" s="1269"/>
      <c r="AK71" s="1269"/>
      <c r="AL71" s="1269"/>
      <c r="AM71" s="1269"/>
      <c r="AN71" s="1269"/>
      <c r="AO71" s="1269"/>
      <c r="AP71" s="1269"/>
      <c r="AQ71" s="1269"/>
      <c r="AR71" s="1269"/>
      <c r="AS71" s="1269"/>
      <c r="AT71" s="1267"/>
      <c r="AU71" s="1273"/>
      <c r="AV71" s="1273"/>
      <c r="AW71" s="1273"/>
      <c r="AX71" s="1273"/>
      <c r="AY71" s="1273"/>
      <c r="AZ71" s="1273"/>
      <c r="BA71" s="1273"/>
      <c r="BB71" s="1273"/>
      <c r="BC71" s="2"/>
      <c r="BD71" s="486"/>
      <c r="BE71" s="1282"/>
      <c r="BF71" s="1282"/>
      <c r="BG71" s="1282"/>
      <c r="BH71" s="1282"/>
      <c r="BI71" s="1282"/>
      <c r="BJ71" s="1282"/>
      <c r="BK71" s="1282"/>
      <c r="BL71" s="1282"/>
      <c r="BM71" s="1282"/>
      <c r="BN71" s="1282"/>
      <c r="BO71" s="1282"/>
      <c r="BP71" s="1282"/>
      <c r="BQ71" s="1282"/>
      <c r="BR71" s="1282"/>
      <c r="BS71" s="1282"/>
      <c r="BT71" s="1282"/>
      <c r="BU71" s="1282"/>
      <c r="BV71" s="1282"/>
      <c r="BW71" s="1282"/>
      <c r="BX71" s="1282"/>
      <c r="BY71" s="1282"/>
      <c r="BZ71" s="1282"/>
      <c r="CA71" s="1282"/>
      <c r="CB71" s="1282"/>
      <c r="CC71" s="1282"/>
      <c r="CD71" s="1282"/>
      <c r="CE71" s="1282"/>
      <c r="CF71" s="1282"/>
      <c r="CG71" s="1282"/>
      <c r="CH71" s="1282"/>
      <c r="CI71" s="1282"/>
      <c r="CJ71" s="1282"/>
      <c r="CK71" s="1282"/>
      <c r="CL71" s="1282"/>
      <c r="CM71" s="1282"/>
      <c r="CN71" s="1282"/>
      <c r="CO71" s="1282"/>
      <c r="CP71" s="1282"/>
      <c r="CQ71" s="1282"/>
      <c r="CR71" s="1282"/>
      <c r="CS71" s="1282"/>
      <c r="CT71" s="1282"/>
      <c r="CU71" s="1283"/>
      <c r="CV71" s="5"/>
      <c r="CY71" s="6">
        <f>CY67+1</f>
        <v>20</v>
      </c>
    </row>
    <row r="72" spans="1:103" ht="12" customHeight="1" x14ac:dyDescent="0.25">
      <c r="A72" s="5"/>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168"/>
      <c r="AU72" s="535"/>
      <c r="AV72" s="535"/>
      <c r="AW72" s="535"/>
      <c r="AX72" s="535"/>
      <c r="AY72" s="535"/>
      <c r="AZ72" s="535"/>
      <c r="BA72" s="535"/>
      <c r="BB72" s="535"/>
      <c r="BC72" s="2"/>
      <c r="BD72" s="486"/>
      <c r="BE72" s="1282"/>
      <c r="BF72" s="1282"/>
      <c r="BG72" s="1282"/>
      <c r="BH72" s="1282"/>
      <c r="BI72" s="1282"/>
      <c r="BJ72" s="1282"/>
      <c r="BK72" s="1282"/>
      <c r="BL72" s="1282"/>
      <c r="BM72" s="1282"/>
      <c r="BN72" s="1282"/>
      <c r="BO72" s="1282"/>
      <c r="BP72" s="1282"/>
      <c r="BQ72" s="1282"/>
      <c r="BR72" s="1282"/>
      <c r="BS72" s="1282"/>
      <c r="BT72" s="1282"/>
      <c r="BU72" s="1282"/>
      <c r="BV72" s="1282"/>
      <c r="BW72" s="1282"/>
      <c r="BX72" s="1282"/>
      <c r="BY72" s="1282"/>
      <c r="BZ72" s="1282"/>
      <c r="CA72" s="1282"/>
      <c r="CB72" s="1282"/>
      <c r="CC72" s="1282"/>
      <c r="CD72" s="1282"/>
      <c r="CE72" s="1282"/>
      <c r="CF72" s="1282"/>
      <c r="CG72" s="1282"/>
      <c r="CH72" s="1282"/>
      <c r="CI72" s="1282"/>
      <c r="CJ72" s="1282"/>
      <c r="CK72" s="1282"/>
      <c r="CL72" s="1282"/>
      <c r="CM72" s="1282"/>
      <c r="CN72" s="1282"/>
      <c r="CO72" s="1282"/>
      <c r="CP72" s="1282"/>
      <c r="CQ72" s="1282"/>
      <c r="CR72" s="1282"/>
      <c r="CS72" s="1282"/>
      <c r="CT72" s="1282"/>
      <c r="CU72" s="1283"/>
      <c r="CV72" s="5"/>
    </row>
    <row r="73" spans="1:103" ht="12" customHeight="1" x14ac:dyDescent="0.25">
      <c r="A73" s="5"/>
      <c r="B73" s="1286" t="s">
        <v>2854</v>
      </c>
      <c r="C73" s="1286"/>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213"/>
      <c r="AC73" s="1297" t="s">
        <v>785</v>
      </c>
      <c r="AD73" s="1297"/>
      <c r="AE73" s="1297"/>
      <c r="AF73" s="213"/>
      <c r="AG73" s="1286" t="s">
        <v>402</v>
      </c>
      <c r="AH73" s="1286"/>
      <c r="AI73" s="1286"/>
      <c r="AJ73" s="1286"/>
      <c r="AK73" s="1286"/>
      <c r="AL73" s="1286"/>
      <c r="AM73" s="1286"/>
      <c r="AN73" s="1286"/>
      <c r="AO73" s="1286"/>
      <c r="AP73" s="1286"/>
      <c r="AQ73" s="1286"/>
      <c r="AR73" s="1286"/>
      <c r="AS73" s="1286"/>
      <c r="AT73" s="168"/>
      <c r="AU73" s="1287" t="s">
        <v>12</v>
      </c>
      <c r="AV73" s="1287"/>
      <c r="AW73" s="1287"/>
      <c r="AX73" s="1287"/>
      <c r="AY73" s="1287"/>
      <c r="AZ73" s="1287"/>
      <c r="BA73" s="1287"/>
      <c r="BB73" s="1287"/>
      <c r="BC73" s="2"/>
      <c r="BD73" s="486"/>
      <c r="BE73" s="1282"/>
      <c r="BF73" s="1282"/>
      <c r="BG73" s="1282"/>
      <c r="BH73" s="1282"/>
      <c r="BI73" s="1282"/>
      <c r="BJ73" s="1282"/>
      <c r="BK73" s="1282"/>
      <c r="BL73" s="1282"/>
      <c r="BM73" s="1282"/>
      <c r="BN73" s="1282"/>
      <c r="BO73" s="1282"/>
      <c r="BP73" s="1282"/>
      <c r="BQ73" s="1282"/>
      <c r="BR73" s="1282"/>
      <c r="BS73" s="1282"/>
      <c r="BT73" s="1282"/>
      <c r="BU73" s="1282"/>
      <c r="BV73" s="1282"/>
      <c r="BW73" s="1282"/>
      <c r="BX73" s="1282"/>
      <c r="BY73" s="1282"/>
      <c r="BZ73" s="1282"/>
      <c r="CA73" s="1282"/>
      <c r="CB73" s="1282"/>
      <c r="CC73" s="1282"/>
      <c r="CD73" s="1282"/>
      <c r="CE73" s="1282"/>
      <c r="CF73" s="1282"/>
      <c r="CG73" s="1282"/>
      <c r="CH73" s="1282"/>
      <c r="CI73" s="1282"/>
      <c r="CJ73" s="1282"/>
      <c r="CK73" s="1282"/>
      <c r="CL73" s="1282"/>
      <c r="CM73" s="1282"/>
      <c r="CN73" s="1282"/>
      <c r="CO73" s="1282"/>
      <c r="CP73" s="1282"/>
      <c r="CQ73" s="1282"/>
      <c r="CR73" s="1282"/>
      <c r="CS73" s="1282"/>
      <c r="CT73" s="1282"/>
      <c r="CU73" s="1283"/>
      <c r="CV73" s="5"/>
      <c r="CY73" s="6">
        <f>CY71+1</f>
        <v>21</v>
      </c>
    </row>
    <row r="74" spans="1:103" ht="12" customHeight="1" x14ac:dyDescent="0.25">
      <c r="A74" s="5"/>
      <c r="B74" s="1286"/>
      <c r="C74" s="1286"/>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470"/>
      <c r="AC74" s="1297"/>
      <c r="AD74" s="1297"/>
      <c r="AE74" s="1297"/>
      <c r="AF74" s="499"/>
      <c r="AG74" s="1286"/>
      <c r="AH74" s="1286"/>
      <c r="AI74" s="1286"/>
      <c r="AJ74" s="1286"/>
      <c r="AK74" s="1286"/>
      <c r="AL74" s="1286"/>
      <c r="AM74" s="1286"/>
      <c r="AN74" s="1286"/>
      <c r="AO74" s="1286"/>
      <c r="AP74" s="1286"/>
      <c r="AQ74" s="1286"/>
      <c r="AR74" s="1286"/>
      <c r="AS74" s="1286"/>
      <c r="AT74" s="470"/>
      <c r="AU74" s="1287"/>
      <c r="AV74" s="1287"/>
      <c r="AW74" s="1287"/>
      <c r="AX74" s="1287"/>
      <c r="AY74" s="1287"/>
      <c r="AZ74" s="1287"/>
      <c r="BA74" s="1287"/>
      <c r="BB74" s="1287"/>
      <c r="BC74" s="2"/>
      <c r="BD74" s="486"/>
      <c r="BE74" s="1282"/>
      <c r="BF74" s="1282"/>
      <c r="BG74" s="1282"/>
      <c r="BH74" s="1282"/>
      <c r="BI74" s="1282"/>
      <c r="BJ74" s="1282"/>
      <c r="BK74" s="1282"/>
      <c r="BL74" s="1282"/>
      <c r="BM74" s="1282"/>
      <c r="BN74" s="1282"/>
      <c r="BO74" s="1282"/>
      <c r="BP74" s="1282"/>
      <c r="BQ74" s="1282"/>
      <c r="BR74" s="1282"/>
      <c r="BS74" s="1282"/>
      <c r="BT74" s="1282"/>
      <c r="BU74" s="1282"/>
      <c r="BV74" s="1282"/>
      <c r="BW74" s="1282"/>
      <c r="BX74" s="1282"/>
      <c r="BY74" s="1282"/>
      <c r="BZ74" s="1282"/>
      <c r="CA74" s="1282"/>
      <c r="CB74" s="1282"/>
      <c r="CC74" s="1282"/>
      <c r="CD74" s="1282"/>
      <c r="CE74" s="1282"/>
      <c r="CF74" s="1282"/>
      <c r="CG74" s="1282"/>
      <c r="CH74" s="1282"/>
      <c r="CI74" s="1282"/>
      <c r="CJ74" s="1282"/>
      <c r="CK74" s="1282"/>
      <c r="CL74" s="1282"/>
      <c r="CM74" s="1282"/>
      <c r="CN74" s="1282"/>
      <c r="CO74" s="1282"/>
      <c r="CP74" s="1282"/>
      <c r="CQ74" s="1282"/>
      <c r="CR74" s="1282"/>
      <c r="CS74" s="1282"/>
      <c r="CT74" s="1282"/>
      <c r="CU74" s="1283"/>
      <c r="CV74" s="5"/>
    </row>
    <row r="75" spans="1:103" ht="12" customHeight="1" x14ac:dyDescent="0.25">
      <c r="A75" s="5"/>
      <c r="B75" s="470"/>
      <c r="C75" s="470"/>
      <c r="D75" s="470"/>
      <c r="E75" s="470"/>
      <c r="F75" s="470"/>
      <c r="G75" s="470"/>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0"/>
      <c r="AF75" s="499"/>
      <c r="AG75" s="470"/>
      <c r="AH75" s="470"/>
      <c r="AI75" s="470"/>
      <c r="AJ75" s="470"/>
      <c r="AK75" s="470"/>
      <c r="AL75" s="470"/>
      <c r="AM75" s="470"/>
      <c r="AN75" s="470"/>
      <c r="AO75" s="470"/>
      <c r="AP75" s="470"/>
      <c r="AQ75" s="470"/>
      <c r="AR75" s="470"/>
      <c r="AS75" s="470"/>
      <c r="AT75" s="470"/>
      <c r="AU75" s="470"/>
      <c r="AV75" s="470"/>
      <c r="AW75" s="470"/>
      <c r="AX75" s="470"/>
      <c r="AY75" s="470"/>
      <c r="AZ75" s="470"/>
      <c r="BA75" s="470"/>
      <c r="BB75" s="470"/>
      <c r="BC75" s="2"/>
      <c r="BD75" s="486"/>
      <c r="BE75" s="1282"/>
      <c r="BF75" s="1282"/>
      <c r="BG75" s="1282"/>
      <c r="BH75" s="1282"/>
      <c r="BI75" s="1282"/>
      <c r="BJ75" s="1282"/>
      <c r="BK75" s="1282"/>
      <c r="BL75" s="1282"/>
      <c r="BM75" s="1282"/>
      <c r="BN75" s="1282"/>
      <c r="BO75" s="1282"/>
      <c r="BP75" s="1282"/>
      <c r="BQ75" s="1282"/>
      <c r="BR75" s="1282"/>
      <c r="BS75" s="1282"/>
      <c r="BT75" s="1282"/>
      <c r="BU75" s="1282"/>
      <c r="BV75" s="1282"/>
      <c r="BW75" s="1282"/>
      <c r="BX75" s="1282"/>
      <c r="BY75" s="1282"/>
      <c r="BZ75" s="1282"/>
      <c r="CA75" s="1282"/>
      <c r="CB75" s="1282"/>
      <c r="CC75" s="1282"/>
      <c r="CD75" s="1282"/>
      <c r="CE75" s="1282"/>
      <c r="CF75" s="1282"/>
      <c r="CG75" s="1282"/>
      <c r="CH75" s="1282"/>
      <c r="CI75" s="1282"/>
      <c r="CJ75" s="1282"/>
      <c r="CK75" s="1282"/>
      <c r="CL75" s="1282"/>
      <c r="CM75" s="1282"/>
      <c r="CN75" s="1282"/>
      <c r="CO75" s="1282"/>
      <c r="CP75" s="1282"/>
      <c r="CQ75" s="1282"/>
      <c r="CR75" s="1282"/>
      <c r="CS75" s="1282"/>
      <c r="CT75" s="1282"/>
      <c r="CU75" s="1283"/>
      <c r="CV75" s="5"/>
      <c r="CY75" s="6">
        <f>CY73+1</f>
        <v>22</v>
      </c>
    </row>
    <row r="76" spans="1:103" ht="12" customHeight="1" x14ac:dyDescent="0.2">
      <c r="A76" s="5"/>
      <c r="B76" s="1268"/>
      <c r="C76" s="1268"/>
      <c r="D76" s="1268"/>
      <c r="E76" s="1268"/>
      <c r="F76" s="1268"/>
      <c r="G76" s="1268"/>
      <c r="H76" s="1268"/>
      <c r="I76" s="1268"/>
      <c r="J76" s="1268"/>
      <c r="K76" s="1268"/>
      <c r="L76" s="1268"/>
      <c r="M76" s="1268"/>
      <c r="N76" s="1268"/>
      <c r="O76" s="1268"/>
      <c r="P76" s="1268"/>
      <c r="Q76" s="1268"/>
      <c r="R76" s="1268"/>
      <c r="S76" s="1268"/>
      <c r="T76" s="1268"/>
      <c r="U76" s="1268"/>
      <c r="V76" s="1268"/>
      <c r="W76" s="1268"/>
      <c r="X76" s="1268"/>
      <c r="Y76" s="1268"/>
      <c r="Z76" s="1268"/>
      <c r="AA76" s="1268"/>
      <c r="AB76" s="1267"/>
      <c r="AC76" s="1270"/>
      <c r="AD76" s="1270"/>
      <c r="AE76" s="1270"/>
      <c r="AF76" s="1267"/>
      <c r="AG76" s="1268"/>
      <c r="AH76" s="1268"/>
      <c r="AI76" s="1268"/>
      <c r="AJ76" s="1268"/>
      <c r="AK76" s="1268"/>
      <c r="AL76" s="1268"/>
      <c r="AM76" s="1268"/>
      <c r="AN76" s="1268"/>
      <c r="AO76" s="1268"/>
      <c r="AP76" s="1268"/>
      <c r="AQ76" s="1268"/>
      <c r="AR76" s="1268"/>
      <c r="AS76" s="1268"/>
      <c r="AT76" s="1267"/>
      <c r="AU76" s="1272"/>
      <c r="AV76" s="1272"/>
      <c r="AW76" s="1272"/>
      <c r="AX76" s="1272"/>
      <c r="AY76" s="1272"/>
      <c r="AZ76" s="1272"/>
      <c r="BA76" s="1272"/>
      <c r="BB76" s="1272"/>
      <c r="BC76" s="2"/>
      <c r="BD76" s="486"/>
      <c r="BE76" s="1282"/>
      <c r="BF76" s="1282"/>
      <c r="BG76" s="1282"/>
      <c r="BH76" s="1282"/>
      <c r="BI76" s="1282"/>
      <c r="BJ76" s="1282"/>
      <c r="BK76" s="1282"/>
      <c r="BL76" s="1282"/>
      <c r="BM76" s="1282"/>
      <c r="BN76" s="1282"/>
      <c r="BO76" s="1282"/>
      <c r="BP76" s="1282"/>
      <c r="BQ76" s="1282"/>
      <c r="BR76" s="1282"/>
      <c r="BS76" s="1282"/>
      <c r="BT76" s="1282"/>
      <c r="BU76" s="1282"/>
      <c r="BV76" s="1282"/>
      <c r="BW76" s="1282"/>
      <c r="BX76" s="1282"/>
      <c r="BY76" s="1282"/>
      <c r="BZ76" s="1282"/>
      <c r="CA76" s="1282"/>
      <c r="CB76" s="1282"/>
      <c r="CC76" s="1282"/>
      <c r="CD76" s="1282"/>
      <c r="CE76" s="1282"/>
      <c r="CF76" s="1282"/>
      <c r="CG76" s="1282"/>
      <c r="CH76" s="1282"/>
      <c r="CI76" s="1282"/>
      <c r="CJ76" s="1282"/>
      <c r="CK76" s="1282"/>
      <c r="CL76" s="1282"/>
      <c r="CM76" s="1282"/>
      <c r="CN76" s="1282"/>
      <c r="CO76" s="1282"/>
      <c r="CP76" s="1282"/>
      <c r="CQ76" s="1282"/>
      <c r="CR76" s="1282"/>
      <c r="CS76" s="1282"/>
      <c r="CT76" s="1282"/>
      <c r="CU76" s="1283"/>
      <c r="CV76" s="5"/>
    </row>
    <row r="77" spans="1:103" ht="12" customHeight="1" x14ac:dyDescent="0.2">
      <c r="A77" s="5"/>
      <c r="B77" s="1269"/>
      <c r="C77" s="1269"/>
      <c r="D77" s="1269"/>
      <c r="E77" s="1269"/>
      <c r="F77" s="1269"/>
      <c r="G77" s="1269"/>
      <c r="H77" s="1269"/>
      <c r="I77" s="1269"/>
      <c r="J77" s="1269"/>
      <c r="K77" s="1269"/>
      <c r="L77" s="1269"/>
      <c r="M77" s="1269"/>
      <c r="N77" s="1269"/>
      <c r="O77" s="1269"/>
      <c r="P77" s="1269"/>
      <c r="Q77" s="1269"/>
      <c r="R77" s="1269"/>
      <c r="S77" s="1269"/>
      <c r="T77" s="1269"/>
      <c r="U77" s="1269"/>
      <c r="V77" s="1269"/>
      <c r="W77" s="1269"/>
      <c r="X77" s="1269"/>
      <c r="Y77" s="1269"/>
      <c r="Z77" s="1269"/>
      <c r="AA77" s="1269"/>
      <c r="AB77" s="1267"/>
      <c r="AC77" s="1271"/>
      <c r="AD77" s="1271"/>
      <c r="AE77" s="1271"/>
      <c r="AF77" s="1267"/>
      <c r="AG77" s="1269"/>
      <c r="AH77" s="1269"/>
      <c r="AI77" s="1269"/>
      <c r="AJ77" s="1269"/>
      <c r="AK77" s="1269"/>
      <c r="AL77" s="1269"/>
      <c r="AM77" s="1269"/>
      <c r="AN77" s="1269"/>
      <c r="AO77" s="1269"/>
      <c r="AP77" s="1269"/>
      <c r="AQ77" s="1269"/>
      <c r="AR77" s="1269"/>
      <c r="AS77" s="1269"/>
      <c r="AT77" s="1267"/>
      <c r="AU77" s="1273"/>
      <c r="AV77" s="1273"/>
      <c r="AW77" s="1273"/>
      <c r="AX77" s="1273"/>
      <c r="AY77" s="1273"/>
      <c r="AZ77" s="1273"/>
      <c r="BA77" s="1273"/>
      <c r="BB77" s="1273"/>
      <c r="BC77" s="2"/>
      <c r="BD77" s="486"/>
      <c r="BE77" s="1282"/>
      <c r="BF77" s="1282"/>
      <c r="BG77" s="1282"/>
      <c r="BH77" s="1282"/>
      <c r="BI77" s="1282"/>
      <c r="BJ77" s="1282"/>
      <c r="BK77" s="1282"/>
      <c r="BL77" s="1282"/>
      <c r="BM77" s="1282"/>
      <c r="BN77" s="1282"/>
      <c r="BO77" s="1282"/>
      <c r="BP77" s="1282"/>
      <c r="BQ77" s="1282"/>
      <c r="BR77" s="1282"/>
      <c r="BS77" s="1282"/>
      <c r="BT77" s="1282"/>
      <c r="BU77" s="1282"/>
      <c r="BV77" s="1282"/>
      <c r="BW77" s="1282"/>
      <c r="BX77" s="1282"/>
      <c r="BY77" s="1282"/>
      <c r="BZ77" s="1282"/>
      <c r="CA77" s="1282"/>
      <c r="CB77" s="1282"/>
      <c r="CC77" s="1282"/>
      <c r="CD77" s="1282"/>
      <c r="CE77" s="1282"/>
      <c r="CF77" s="1282"/>
      <c r="CG77" s="1282"/>
      <c r="CH77" s="1282"/>
      <c r="CI77" s="1282"/>
      <c r="CJ77" s="1282"/>
      <c r="CK77" s="1282"/>
      <c r="CL77" s="1282"/>
      <c r="CM77" s="1282"/>
      <c r="CN77" s="1282"/>
      <c r="CO77" s="1282"/>
      <c r="CP77" s="1282"/>
      <c r="CQ77" s="1282"/>
      <c r="CR77" s="1282"/>
      <c r="CS77" s="1282"/>
      <c r="CT77" s="1282"/>
      <c r="CU77" s="1283"/>
      <c r="CV77" s="5"/>
      <c r="CY77" s="6">
        <f>CY75+1</f>
        <v>23</v>
      </c>
    </row>
    <row r="78" spans="1:103" ht="12" customHeight="1" x14ac:dyDescent="0.2">
      <c r="A78" s="5"/>
      <c r="B78" s="1268"/>
      <c r="C78" s="1268"/>
      <c r="D78" s="1268"/>
      <c r="E78" s="1268"/>
      <c r="F78" s="1268"/>
      <c r="G78" s="1268"/>
      <c r="H78" s="1268"/>
      <c r="I78" s="1268"/>
      <c r="J78" s="1268"/>
      <c r="K78" s="1268"/>
      <c r="L78" s="1268"/>
      <c r="M78" s="1268"/>
      <c r="N78" s="1268"/>
      <c r="O78" s="1268"/>
      <c r="P78" s="1268"/>
      <c r="Q78" s="1268"/>
      <c r="R78" s="1268"/>
      <c r="S78" s="1268"/>
      <c r="T78" s="1268"/>
      <c r="U78" s="1268"/>
      <c r="V78" s="1268"/>
      <c r="W78" s="1268"/>
      <c r="X78" s="1268"/>
      <c r="Y78" s="1268"/>
      <c r="Z78" s="1268"/>
      <c r="AA78" s="1268"/>
      <c r="AB78" s="1267"/>
      <c r="AC78" s="1270"/>
      <c r="AD78" s="1270"/>
      <c r="AE78" s="1270"/>
      <c r="AF78" s="1267"/>
      <c r="AG78" s="1268"/>
      <c r="AH78" s="1268"/>
      <c r="AI78" s="1268"/>
      <c r="AJ78" s="1268"/>
      <c r="AK78" s="1268"/>
      <c r="AL78" s="1268"/>
      <c r="AM78" s="1268"/>
      <c r="AN78" s="1268"/>
      <c r="AO78" s="1268"/>
      <c r="AP78" s="1268"/>
      <c r="AQ78" s="1268"/>
      <c r="AR78" s="1268"/>
      <c r="AS78" s="1268"/>
      <c r="AT78" s="1267"/>
      <c r="AU78" s="1272"/>
      <c r="AV78" s="1272"/>
      <c r="AW78" s="1272"/>
      <c r="AX78" s="1272"/>
      <c r="AY78" s="1272"/>
      <c r="AZ78" s="1272"/>
      <c r="BA78" s="1272"/>
      <c r="BB78" s="1272"/>
      <c r="BC78" s="2"/>
      <c r="BD78" s="486"/>
      <c r="BE78" s="1282"/>
      <c r="BF78" s="1282"/>
      <c r="BG78" s="1282"/>
      <c r="BH78" s="1282"/>
      <c r="BI78" s="1282"/>
      <c r="BJ78" s="1282"/>
      <c r="BK78" s="1282"/>
      <c r="BL78" s="1282"/>
      <c r="BM78" s="1282"/>
      <c r="BN78" s="1282"/>
      <c r="BO78" s="1282"/>
      <c r="BP78" s="1282"/>
      <c r="BQ78" s="1282"/>
      <c r="BR78" s="1282"/>
      <c r="BS78" s="1282"/>
      <c r="BT78" s="1282"/>
      <c r="BU78" s="1282"/>
      <c r="BV78" s="1282"/>
      <c r="BW78" s="1282"/>
      <c r="BX78" s="1282"/>
      <c r="BY78" s="1282"/>
      <c r="BZ78" s="1282"/>
      <c r="CA78" s="1282"/>
      <c r="CB78" s="1282"/>
      <c r="CC78" s="1282"/>
      <c r="CD78" s="1282"/>
      <c r="CE78" s="1282"/>
      <c r="CF78" s="1282"/>
      <c r="CG78" s="1282"/>
      <c r="CH78" s="1282"/>
      <c r="CI78" s="1282"/>
      <c r="CJ78" s="1282"/>
      <c r="CK78" s="1282"/>
      <c r="CL78" s="1282"/>
      <c r="CM78" s="1282"/>
      <c r="CN78" s="1282"/>
      <c r="CO78" s="1282"/>
      <c r="CP78" s="1282"/>
      <c r="CQ78" s="1282"/>
      <c r="CR78" s="1282"/>
      <c r="CS78" s="1282"/>
      <c r="CT78" s="1282"/>
      <c r="CU78" s="1283"/>
      <c r="CV78" s="5"/>
    </row>
    <row r="79" spans="1:103" ht="12" customHeight="1" x14ac:dyDescent="0.2">
      <c r="A79" s="5"/>
      <c r="B79" s="1269"/>
      <c r="C79" s="1269"/>
      <c r="D79" s="1269"/>
      <c r="E79" s="1269"/>
      <c r="F79" s="1269"/>
      <c r="G79" s="1269"/>
      <c r="H79" s="1269"/>
      <c r="I79" s="1269"/>
      <c r="J79" s="1269"/>
      <c r="K79" s="1269"/>
      <c r="L79" s="1269"/>
      <c r="M79" s="1269"/>
      <c r="N79" s="1269"/>
      <c r="O79" s="1269"/>
      <c r="P79" s="1269"/>
      <c r="Q79" s="1269"/>
      <c r="R79" s="1269"/>
      <c r="S79" s="1269"/>
      <c r="T79" s="1269"/>
      <c r="U79" s="1269"/>
      <c r="V79" s="1269"/>
      <c r="W79" s="1269"/>
      <c r="X79" s="1269"/>
      <c r="Y79" s="1269"/>
      <c r="Z79" s="1269"/>
      <c r="AA79" s="1269"/>
      <c r="AB79" s="1267"/>
      <c r="AC79" s="1271"/>
      <c r="AD79" s="1271"/>
      <c r="AE79" s="1271"/>
      <c r="AF79" s="1267"/>
      <c r="AG79" s="1269"/>
      <c r="AH79" s="1269"/>
      <c r="AI79" s="1269"/>
      <c r="AJ79" s="1269"/>
      <c r="AK79" s="1269"/>
      <c r="AL79" s="1269"/>
      <c r="AM79" s="1269"/>
      <c r="AN79" s="1269"/>
      <c r="AO79" s="1269"/>
      <c r="AP79" s="1269"/>
      <c r="AQ79" s="1269"/>
      <c r="AR79" s="1269"/>
      <c r="AS79" s="1269"/>
      <c r="AT79" s="1267"/>
      <c r="AU79" s="1273"/>
      <c r="AV79" s="1273"/>
      <c r="AW79" s="1273"/>
      <c r="AX79" s="1273"/>
      <c r="AY79" s="1273"/>
      <c r="AZ79" s="1273"/>
      <c r="BA79" s="1273"/>
      <c r="BB79" s="1273"/>
      <c r="BC79" s="2"/>
      <c r="BD79" s="486"/>
      <c r="BE79" s="1282"/>
      <c r="BF79" s="1282"/>
      <c r="BG79" s="1282"/>
      <c r="BH79" s="1282"/>
      <c r="BI79" s="1282"/>
      <c r="BJ79" s="1282"/>
      <c r="BK79" s="1282"/>
      <c r="BL79" s="1282"/>
      <c r="BM79" s="1282"/>
      <c r="BN79" s="1282"/>
      <c r="BO79" s="1282"/>
      <c r="BP79" s="1282"/>
      <c r="BQ79" s="1282"/>
      <c r="BR79" s="1282"/>
      <c r="BS79" s="1282"/>
      <c r="BT79" s="1282"/>
      <c r="BU79" s="1282"/>
      <c r="BV79" s="1282"/>
      <c r="BW79" s="1282"/>
      <c r="BX79" s="1282"/>
      <c r="BY79" s="1282"/>
      <c r="BZ79" s="1282"/>
      <c r="CA79" s="1282"/>
      <c r="CB79" s="1282"/>
      <c r="CC79" s="1282"/>
      <c r="CD79" s="1282"/>
      <c r="CE79" s="1282"/>
      <c r="CF79" s="1282"/>
      <c r="CG79" s="1282"/>
      <c r="CH79" s="1282"/>
      <c r="CI79" s="1282"/>
      <c r="CJ79" s="1282"/>
      <c r="CK79" s="1282"/>
      <c r="CL79" s="1282"/>
      <c r="CM79" s="1282"/>
      <c r="CN79" s="1282"/>
      <c r="CO79" s="1282"/>
      <c r="CP79" s="1282"/>
      <c r="CQ79" s="1282"/>
      <c r="CR79" s="1282"/>
      <c r="CS79" s="1282"/>
      <c r="CT79" s="1282"/>
      <c r="CU79" s="1283"/>
      <c r="CV79" s="5"/>
      <c r="CY79" s="6">
        <f>CY77+1</f>
        <v>24</v>
      </c>
    </row>
    <row r="80" spans="1:103" ht="12" customHeight="1" x14ac:dyDescent="0.2">
      <c r="A80" s="5"/>
      <c r="B80" s="1268"/>
      <c r="C80" s="1268"/>
      <c r="D80" s="1268"/>
      <c r="E80" s="1268"/>
      <c r="F80" s="1268"/>
      <c r="G80" s="1268"/>
      <c r="H80" s="1268"/>
      <c r="I80" s="1268"/>
      <c r="J80" s="1268"/>
      <c r="K80" s="1268"/>
      <c r="L80" s="1268"/>
      <c r="M80" s="1268"/>
      <c r="N80" s="1268"/>
      <c r="O80" s="1268"/>
      <c r="P80" s="1268"/>
      <c r="Q80" s="1268"/>
      <c r="R80" s="1268"/>
      <c r="S80" s="1268"/>
      <c r="T80" s="1268"/>
      <c r="U80" s="1268"/>
      <c r="V80" s="1268"/>
      <c r="W80" s="1268"/>
      <c r="X80" s="1268"/>
      <c r="Y80" s="1268"/>
      <c r="Z80" s="1268"/>
      <c r="AA80" s="1268"/>
      <c r="AB80" s="1267"/>
      <c r="AC80" s="1270"/>
      <c r="AD80" s="1270"/>
      <c r="AE80" s="1270"/>
      <c r="AF80" s="1267"/>
      <c r="AG80" s="1268"/>
      <c r="AH80" s="1268"/>
      <c r="AI80" s="1268"/>
      <c r="AJ80" s="1268"/>
      <c r="AK80" s="1268"/>
      <c r="AL80" s="1268"/>
      <c r="AM80" s="1268"/>
      <c r="AN80" s="1268"/>
      <c r="AO80" s="1268"/>
      <c r="AP80" s="1268"/>
      <c r="AQ80" s="1268"/>
      <c r="AR80" s="1268"/>
      <c r="AS80" s="1268"/>
      <c r="AT80" s="1267"/>
      <c r="AU80" s="1272"/>
      <c r="AV80" s="1272"/>
      <c r="AW80" s="1272"/>
      <c r="AX80" s="1272"/>
      <c r="AY80" s="1272"/>
      <c r="AZ80" s="1272"/>
      <c r="BA80" s="1272"/>
      <c r="BB80" s="1272"/>
      <c r="BC80" s="2"/>
      <c r="BD80" s="486"/>
      <c r="BE80" s="1282"/>
      <c r="BF80" s="1282"/>
      <c r="BG80" s="1282"/>
      <c r="BH80" s="1282"/>
      <c r="BI80" s="1282"/>
      <c r="BJ80" s="1282"/>
      <c r="BK80" s="1282"/>
      <c r="BL80" s="1282"/>
      <c r="BM80" s="1282"/>
      <c r="BN80" s="1282"/>
      <c r="BO80" s="1282"/>
      <c r="BP80" s="1282"/>
      <c r="BQ80" s="1282"/>
      <c r="BR80" s="1282"/>
      <c r="BS80" s="1282"/>
      <c r="BT80" s="1282"/>
      <c r="BU80" s="1282"/>
      <c r="BV80" s="1282"/>
      <c r="BW80" s="1282"/>
      <c r="BX80" s="1282"/>
      <c r="BY80" s="1282"/>
      <c r="BZ80" s="1282"/>
      <c r="CA80" s="1282"/>
      <c r="CB80" s="1282"/>
      <c r="CC80" s="1282"/>
      <c r="CD80" s="1282"/>
      <c r="CE80" s="1282"/>
      <c r="CF80" s="1282"/>
      <c r="CG80" s="1282"/>
      <c r="CH80" s="1282"/>
      <c r="CI80" s="1282"/>
      <c r="CJ80" s="1282"/>
      <c r="CK80" s="1282"/>
      <c r="CL80" s="1282"/>
      <c r="CM80" s="1282"/>
      <c r="CN80" s="1282"/>
      <c r="CO80" s="1282"/>
      <c r="CP80" s="1282"/>
      <c r="CQ80" s="1282"/>
      <c r="CR80" s="1282"/>
      <c r="CS80" s="1282"/>
      <c r="CT80" s="1282"/>
      <c r="CU80" s="1283"/>
      <c r="CV80" s="5"/>
    </row>
    <row r="81" spans="1:103" ht="12" customHeight="1" x14ac:dyDescent="0.2">
      <c r="A81" s="5"/>
      <c r="B81" s="1269"/>
      <c r="C81" s="1269"/>
      <c r="D81" s="1269"/>
      <c r="E81" s="1269"/>
      <c r="F81" s="1269"/>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7"/>
      <c r="AC81" s="1271"/>
      <c r="AD81" s="1271"/>
      <c r="AE81" s="1271"/>
      <c r="AF81" s="1267"/>
      <c r="AG81" s="1269"/>
      <c r="AH81" s="1269"/>
      <c r="AI81" s="1269"/>
      <c r="AJ81" s="1269"/>
      <c r="AK81" s="1269"/>
      <c r="AL81" s="1269"/>
      <c r="AM81" s="1269"/>
      <c r="AN81" s="1269"/>
      <c r="AO81" s="1269"/>
      <c r="AP81" s="1269"/>
      <c r="AQ81" s="1269"/>
      <c r="AR81" s="1269"/>
      <c r="AS81" s="1269"/>
      <c r="AT81" s="1267"/>
      <c r="AU81" s="1273"/>
      <c r="AV81" s="1273"/>
      <c r="AW81" s="1273"/>
      <c r="AX81" s="1273"/>
      <c r="AY81" s="1273"/>
      <c r="AZ81" s="1273"/>
      <c r="BA81" s="1273"/>
      <c r="BB81" s="1273"/>
      <c r="BC81" s="2"/>
      <c r="BD81" s="486"/>
      <c r="BE81" s="1282"/>
      <c r="BF81" s="1282"/>
      <c r="BG81" s="1282"/>
      <c r="BH81" s="1282"/>
      <c r="BI81" s="1282"/>
      <c r="BJ81" s="1282"/>
      <c r="BK81" s="1282"/>
      <c r="BL81" s="1282"/>
      <c r="BM81" s="1282"/>
      <c r="BN81" s="1282"/>
      <c r="BO81" s="1282"/>
      <c r="BP81" s="1282"/>
      <c r="BQ81" s="1282"/>
      <c r="BR81" s="1282"/>
      <c r="BS81" s="1282"/>
      <c r="BT81" s="1282"/>
      <c r="BU81" s="1282"/>
      <c r="BV81" s="1282"/>
      <c r="BW81" s="1282"/>
      <c r="BX81" s="1282"/>
      <c r="BY81" s="1282"/>
      <c r="BZ81" s="1282"/>
      <c r="CA81" s="1282"/>
      <c r="CB81" s="1282"/>
      <c r="CC81" s="1282"/>
      <c r="CD81" s="1282"/>
      <c r="CE81" s="1282"/>
      <c r="CF81" s="1282"/>
      <c r="CG81" s="1282"/>
      <c r="CH81" s="1282"/>
      <c r="CI81" s="1282"/>
      <c r="CJ81" s="1282"/>
      <c r="CK81" s="1282"/>
      <c r="CL81" s="1282"/>
      <c r="CM81" s="1282"/>
      <c r="CN81" s="1282"/>
      <c r="CO81" s="1282"/>
      <c r="CP81" s="1282"/>
      <c r="CQ81" s="1282"/>
      <c r="CR81" s="1282"/>
      <c r="CS81" s="1282"/>
      <c r="CT81" s="1282"/>
      <c r="CU81" s="1283"/>
      <c r="CV81" s="5"/>
      <c r="CY81" s="6">
        <f>CY79+1</f>
        <v>25</v>
      </c>
    </row>
    <row r="82" spans="1:103" ht="12" customHeight="1" x14ac:dyDescent="0.25">
      <c r="A82" s="5"/>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8"/>
      <c r="AC82" s="168"/>
      <c r="AD82" s="168"/>
      <c r="AE82" s="168"/>
      <c r="AF82" s="168"/>
      <c r="AG82" s="169"/>
      <c r="AH82" s="169"/>
      <c r="AI82" s="169"/>
      <c r="AJ82" s="169"/>
      <c r="AK82" s="169"/>
      <c r="AL82" s="169"/>
      <c r="AM82" s="169"/>
      <c r="AN82" s="169"/>
      <c r="AO82" s="169"/>
      <c r="AP82" s="169"/>
      <c r="AQ82" s="169"/>
      <c r="AR82" s="169"/>
      <c r="AS82" s="169"/>
      <c r="AT82" s="168"/>
      <c r="AU82" s="170"/>
      <c r="AV82" s="170"/>
      <c r="AW82" s="170"/>
      <c r="AX82" s="170"/>
      <c r="AY82" s="170"/>
      <c r="AZ82" s="170"/>
      <c r="BA82" s="170"/>
      <c r="BB82" s="170"/>
      <c r="BC82" s="2"/>
      <c r="BD82" s="486"/>
      <c r="BE82" s="1282"/>
      <c r="BF82" s="1282"/>
      <c r="BG82" s="1282"/>
      <c r="BH82" s="1282"/>
      <c r="BI82" s="1282"/>
      <c r="BJ82" s="1282"/>
      <c r="BK82" s="1282"/>
      <c r="BL82" s="1282"/>
      <c r="BM82" s="1282"/>
      <c r="BN82" s="1282"/>
      <c r="BO82" s="1282"/>
      <c r="BP82" s="1282"/>
      <c r="BQ82" s="1282"/>
      <c r="BR82" s="1282"/>
      <c r="BS82" s="1282"/>
      <c r="BT82" s="1282"/>
      <c r="BU82" s="1282"/>
      <c r="BV82" s="1282"/>
      <c r="BW82" s="1282"/>
      <c r="BX82" s="1282"/>
      <c r="BY82" s="1282"/>
      <c r="BZ82" s="1282"/>
      <c r="CA82" s="1282"/>
      <c r="CB82" s="1282"/>
      <c r="CC82" s="1282"/>
      <c r="CD82" s="1282"/>
      <c r="CE82" s="1282"/>
      <c r="CF82" s="1282"/>
      <c r="CG82" s="1282"/>
      <c r="CH82" s="1282"/>
      <c r="CI82" s="1282"/>
      <c r="CJ82" s="1282"/>
      <c r="CK82" s="1282"/>
      <c r="CL82" s="1282"/>
      <c r="CM82" s="1282"/>
      <c r="CN82" s="1282"/>
      <c r="CO82" s="1282"/>
      <c r="CP82" s="1282"/>
      <c r="CQ82" s="1282"/>
      <c r="CR82" s="1282"/>
      <c r="CS82" s="1282"/>
      <c r="CT82" s="1282"/>
      <c r="CU82" s="1283"/>
      <c r="CV82" s="5"/>
    </row>
    <row r="83" spans="1:103" ht="12" customHeight="1" x14ac:dyDescent="0.25">
      <c r="A83" s="5"/>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8"/>
      <c r="AC83" s="1293" t="s">
        <v>54</v>
      </c>
      <c r="AD83" s="1293"/>
      <c r="AE83" s="1293"/>
      <c r="AF83" s="1293"/>
      <c r="AG83" s="1293"/>
      <c r="AH83" s="1293"/>
      <c r="AI83" s="1293"/>
      <c r="AJ83" s="1293"/>
      <c r="AK83" s="1293"/>
      <c r="AL83" s="1293"/>
      <c r="AM83" s="1293"/>
      <c r="AN83" s="1293"/>
      <c r="AO83" s="1293"/>
      <c r="AP83" s="1293"/>
      <c r="AQ83" s="1293"/>
      <c r="AR83" s="1293"/>
      <c r="AS83" s="1293"/>
      <c r="AT83" s="168"/>
      <c r="AU83" s="1295" t="str">
        <f>IF(SUM(AU8:BB81)=0,"",SUM(AU8:BB81)+IF(Start!AV120="",0,ROUND(SUM(Start!AZ115:BB119)/50,1)))</f>
        <v/>
      </c>
      <c r="AV83" s="1295"/>
      <c r="AW83" s="1295"/>
      <c r="AX83" s="1295"/>
      <c r="AY83" s="1295"/>
      <c r="AZ83" s="1295"/>
      <c r="BA83" s="1295"/>
      <c r="BB83" s="1295"/>
      <c r="BC83" s="2"/>
      <c r="BD83" s="486"/>
      <c r="BE83" s="1282"/>
      <c r="BF83" s="1282"/>
      <c r="BG83" s="1282"/>
      <c r="BH83" s="1282"/>
      <c r="BI83" s="1282"/>
      <c r="BJ83" s="1282"/>
      <c r="BK83" s="1282"/>
      <c r="BL83" s="1282"/>
      <c r="BM83" s="1282"/>
      <c r="BN83" s="1282"/>
      <c r="BO83" s="1282"/>
      <c r="BP83" s="1282"/>
      <c r="BQ83" s="1282"/>
      <c r="BR83" s="1282"/>
      <c r="BS83" s="1282"/>
      <c r="BT83" s="1282"/>
      <c r="BU83" s="1282"/>
      <c r="BV83" s="1282"/>
      <c r="BW83" s="1282"/>
      <c r="BX83" s="1282"/>
      <c r="BY83" s="1282"/>
      <c r="BZ83" s="1282"/>
      <c r="CA83" s="1282"/>
      <c r="CB83" s="1282"/>
      <c r="CC83" s="1282"/>
      <c r="CD83" s="1282"/>
      <c r="CE83" s="1282"/>
      <c r="CF83" s="1282"/>
      <c r="CG83" s="1282"/>
      <c r="CH83" s="1282"/>
      <c r="CI83" s="1282"/>
      <c r="CJ83" s="1282"/>
      <c r="CK83" s="1282"/>
      <c r="CL83" s="1282"/>
      <c r="CM83" s="1282"/>
      <c r="CN83" s="1282"/>
      <c r="CO83" s="1282"/>
      <c r="CP83" s="1282"/>
      <c r="CQ83" s="1282"/>
      <c r="CR83" s="1282"/>
      <c r="CS83" s="1282"/>
      <c r="CT83" s="1282"/>
      <c r="CU83" s="1283"/>
      <c r="CV83" s="5"/>
      <c r="CY83" s="6">
        <f>CY81+1</f>
        <v>26</v>
      </c>
    </row>
    <row r="84" spans="1:103" ht="12" customHeight="1" x14ac:dyDescent="0.25">
      <c r="A84" s="5"/>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8"/>
      <c r="AC84" s="1293"/>
      <c r="AD84" s="1293"/>
      <c r="AE84" s="1293"/>
      <c r="AF84" s="1293"/>
      <c r="AG84" s="1293"/>
      <c r="AH84" s="1293"/>
      <c r="AI84" s="1293"/>
      <c r="AJ84" s="1293"/>
      <c r="AK84" s="1293"/>
      <c r="AL84" s="1293"/>
      <c r="AM84" s="1293"/>
      <c r="AN84" s="1293"/>
      <c r="AO84" s="1293"/>
      <c r="AP84" s="1293"/>
      <c r="AQ84" s="1293"/>
      <c r="AR84" s="1293"/>
      <c r="AS84" s="1293"/>
      <c r="AT84" s="168"/>
      <c r="AU84" s="1296"/>
      <c r="AV84" s="1296"/>
      <c r="AW84" s="1296"/>
      <c r="AX84" s="1296"/>
      <c r="AY84" s="1296"/>
      <c r="AZ84" s="1296"/>
      <c r="BA84" s="1296"/>
      <c r="BB84" s="1296"/>
      <c r="BC84" s="2"/>
      <c r="BD84" s="486"/>
      <c r="BE84" s="1282"/>
      <c r="BF84" s="1282"/>
      <c r="BG84" s="1282"/>
      <c r="BH84" s="1282"/>
      <c r="BI84" s="1282"/>
      <c r="BJ84" s="1282"/>
      <c r="BK84" s="1282"/>
      <c r="BL84" s="1282"/>
      <c r="BM84" s="1282"/>
      <c r="BN84" s="1282"/>
      <c r="BO84" s="1282"/>
      <c r="BP84" s="1282"/>
      <c r="BQ84" s="1282"/>
      <c r="BR84" s="1282"/>
      <c r="BS84" s="1282"/>
      <c r="BT84" s="1282"/>
      <c r="BU84" s="1282"/>
      <c r="BV84" s="1282"/>
      <c r="BW84" s="1282"/>
      <c r="BX84" s="1282"/>
      <c r="BY84" s="1282"/>
      <c r="BZ84" s="1282"/>
      <c r="CA84" s="1282"/>
      <c r="CB84" s="1282"/>
      <c r="CC84" s="1282"/>
      <c r="CD84" s="1282"/>
      <c r="CE84" s="1282"/>
      <c r="CF84" s="1282"/>
      <c r="CG84" s="1282"/>
      <c r="CH84" s="1282"/>
      <c r="CI84" s="1282"/>
      <c r="CJ84" s="1282"/>
      <c r="CK84" s="1282"/>
      <c r="CL84" s="1282"/>
      <c r="CM84" s="1282"/>
      <c r="CN84" s="1282"/>
      <c r="CO84" s="1282"/>
      <c r="CP84" s="1282"/>
      <c r="CQ84" s="1282"/>
      <c r="CR84" s="1282"/>
      <c r="CS84" s="1282"/>
      <c r="CT84" s="1282"/>
      <c r="CU84" s="1283"/>
      <c r="CV84" s="5"/>
    </row>
    <row r="85" spans="1:103" ht="12" customHeight="1" x14ac:dyDescent="0.2">
      <c r="A85" s="5"/>
      <c r="B85" s="1298" t="s">
        <v>403</v>
      </c>
      <c r="C85" s="1298"/>
      <c r="D85" s="1298"/>
      <c r="E85" s="1298"/>
      <c r="F85" s="1298"/>
      <c r="G85" s="1298"/>
      <c r="H85" s="1298"/>
      <c r="I85" s="1298"/>
      <c r="J85" s="1298"/>
      <c r="K85" s="1298"/>
      <c r="L85" s="1298"/>
      <c r="M85" s="1298"/>
      <c r="N85" s="1298"/>
      <c r="O85" s="1298"/>
      <c r="P85" s="1298"/>
      <c r="Q85" s="1298"/>
      <c r="R85" s="1298"/>
      <c r="S85" s="1298"/>
      <c r="T85" s="1298"/>
      <c r="U85" s="1298"/>
      <c r="V85" s="1298"/>
      <c r="W85" s="1298"/>
      <c r="X85" s="1298"/>
      <c r="Y85" s="1298"/>
      <c r="Z85" s="1298"/>
      <c r="AA85" s="1298"/>
      <c r="AB85" s="171"/>
      <c r="AC85" s="171"/>
      <c r="AD85" s="171"/>
      <c r="AE85" s="171"/>
      <c r="AF85" s="171"/>
      <c r="AG85" s="171"/>
      <c r="AH85" s="171"/>
      <c r="AI85" s="171"/>
      <c r="AJ85" s="171"/>
      <c r="AK85" s="171"/>
      <c r="AL85" s="171"/>
      <c r="AM85" s="171"/>
      <c r="AN85" s="171"/>
      <c r="AO85" s="171"/>
      <c r="AP85" s="1290" t="str">
        <f>IF(SUM(Start!AZ115:BB119)=0,"Carrying ______ coins ( ____ lbs)",Start!AV120)</f>
        <v>Carrying ______ coins ( ____ lbs)</v>
      </c>
      <c r="AQ85" s="1290"/>
      <c r="AR85" s="1290"/>
      <c r="AS85" s="1290"/>
      <c r="AT85" s="1290"/>
      <c r="AU85" s="1290"/>
      <c r="AV85" s="1290"/>
      <c r="AW85" s="1290"/>
      <c r="AX85" s="1290"/>
      <c r="AY85" s="1290"/>
      <c r="AZ85" s="1290"/>
      <c r="BA85" s="1290"/>
      <c r="BB85" s="1290"/>
      <c r="BC85" s="2"/>
      <c r="BD85" s="486"/>
      <c r="BE85" s="1282"/>
      <c r="BF85" s="1282"/>
      <c r="BG85" s="1282"/>
      <c r="BH85" s="1282"/>
      <c r="BI85" s="1282"/>
      <c r="BJ85" s="1282"/>
      <c r="BK85" s="1282"/>
      <c r="BL85" s="1282"/>
      <c r="BM85" s="1282"/>
      <c r="BN85" s="1282"/>
      <c r="BO85" s="1282"/>
      <c r="BP85" s="1282"/>
      <c r="BQ85" s="1282"/>
      <c r="BR85" s="1282"/>
      <c r="BS85" s="1282"/>
      <c r="BT85" s="1282"/>
      <c r="BU85" s="1282"/>
      <c r="BV85" s="1282"/>
      <c r="BW85" s="1282"/>
      <c r="BX85" s="1282"/>
      <c r="BY85" s="1282"/>
      <c r="BZ85" s="1282"/>
      <c r="CA85" s="1282"/>
      <c r="CB85" s="1282"/>
      <c r="CC85" s="1282"/>
      <c r="CD85" s="1282"/>
      <c r="CE85" s="1282"/>
      <c r="CF85" s="1282"/>
      <c r="CG85" s="1282"/>
      <c r="CH85" s="1282"/>
      <c r="CI85" s="1282"/>
      <c r="CJ85" s="1282"/>
      <c r="CK85" s="1282"/>
      <c r="CL85" s="1282"/>
      <c r="CM85" s="1282"/>
      <c r="CN85" s="1282"/>
      <c r="CO85" s="1282"/>
      <c r="CP85" s="1282"/>
      <c r="CQ85" s="1282"/>
      <c r="CR85" s="1282"/>
      <c r="CS85" s="1282"/>
      <c r="CT85" s="1282"/>
      <c r="CU85" s="1283"/>
      <c r="CV85" s="5"/>
      <c r="CY85" s="6">
        <f>CY83+1</f>
        <v>27</v>
      </c>
    </row>
    <row r="86" spans="1:103" ht="12" customHeight="1" x14ac:dyDescent="0.2">
      <c r="A86" s="5"/>
      <c r="B86" s="1298"/>
      <c r="C86" s="1298"/>
      <c r="D86" s="1298"/>
      <c r="E86" s="1298"/>
      <c r="F86" s="1298"/>
      <c r="G86" s="1298"/>
      <c r="H86" s="1298"/>
      <c r="I86" s="1298"/>
      <c r="J86" s="1298"/>
      <c r="K86" s="1298"/>
      <c r="L86" s="1298"/>
      <c r="M86" s="1298"/>
      <c r="N86" s="1298"/>
      <c r="O86" s="1298"/>
      <c r="P86" s="1298"/>
      <c r="Q86" s="1298"/>
      <c r="R86" s="1298"/>
      <c r="S86" s="1298"/>
      <c r="T86" s="1298"/>
      <c r="U86" s="1298"/>
      <c r="V86" s="1298"/>
      <c r="W86" s="1298"/>
      <c r="X86" s="1298"/>
      <c r="Y86" s="1298"/>
      <c r="Z86" s="1298"/>
      <c r="AA86" s="1298"/>
      <c r="AB86" s="171"/>
      <c r="AC86" s="171"/>
      <c r="AD86" s="171"/>
      <c r="AE86" s="171"/>
      <c r="AF86" s="171"/>
      <c r="AG86" s="171"/>
      <c r="AH86" s="171"/>
      <c r="AI86" s="171"/>
      <c r="AJ86" s="171"/>
      <c r="AK86" s="171"/>
      <c r="AL86" s="171"/>
      <c r="AM86" s="171"/>
      <c r="AN86" s="171"/>
      <c r="AO86" s="171"/>
      <c r="AP86" s="1290"/>
      <c r="AQ86" s="1290"/>
      <c r="AR86" s="1290"/>
      <c r="AS86" s="1290"/>
      <c r="AT86" s="1290"/>
      <c r="AU86" s="1290"/>
      <c r="AV86" s="1290"/>
      <c r="AW86" s="1290"/>
      <c r="AX86" s="1290"/>
      <c r="AY86" s="1290"/>
      <c r="AZ86" s="1290"/>
      <c r="BA86" s="1290"/>
      <c r="BB86" s="1290"/>
      <c r="BC86" s="2"/>
      <c r="BD86" s="486"/>
      <c r="BE86" s="1282"/>
      <c r="BF86" s="1282"/>
      <c r="BG86" s="1282"/>
      <c r="BH86" s="1282"/>
      <c r="BI86" s="1282"/>
      <c r="BJ86" s="1282"/>
      <c r="BK86" s="1282"/>
      <c r="BL86" s="1282"/>
      <c r="BM86" s="1282"/>
      <c r="BN86" s="1282"/>
      <c r="BO86" s="1282"/>
      <c r="BP86" s="1282"/>
      <c r="BQ86" s="1282"/>
      <c r="BR86" s="1282"/>
      <c r="BS86" s="1282"/>
      <c r="BT86" s="1282"/>
      <c r="BU86" s="1282"/>
      <c r="BV86" s="1282"/>
      <c r="BW86" s="1282"/>
      <c r="BX86" s="1282"/>
      <c r="BY86" s="1282"/>
      <c r="BZ86" s="1282"/>
      <c r="CA86" s="1282"/>
      <c r="CB86" s="1282"/>
      <c r="CC86" s="1282"/>
      <c r="CD86" s="1282"/>
      <c r="CE86" s="1282"/>
      <c r="CF86" s="1282"/>
      <c r="CG86" s="1282"/>
      <c r="CH86" s="1282"/>
      <c r="CI86" s="1282"/>
      <c r="CJ86" s="1282"/>
      <c r="CK86" s="1282"/>
      <c r="CL86" s="1282"/>
      <c r="CM86" s="1282"/>
      <c r="CN86" s="1282"/>
      <c r="CO86" s="1282"/>
      <c r="CP86" s="1282"/>
      <c r="CQ86" s="1282"/>
      <c r="CR86" s="1282"/>
      <c r="CS86" s="1282"/>
      <c r="CT86" s="1282"/>
      <c r="CU86" s="1283"/>
      <c r="CV86" s="5"/>
    </row>
    <row r="87" spans="1:103" ht="12" customHeight="1" x14ac:dyDescent="0.25">
      <c r="A87" s="5"/>
      <c r="B87" s="1286" t="s">
        <v>53</v>
      </c>
      <c r="C87" s="1286"/>
      <c r="D87" s="1286"/>
      <c r="E87" s="1286"/>
      <c r="F87" s="1286"/>
      <c r="G87" s="1286"/>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97" t="s">
        <v>785</v>
      </c>
      <c r="AD87" s="1297"/>
      <c r="AE87" s="1297"/>
      <c r="AF87" s="363"/>
      <c r="AG87" s="1286" t="s">
        <v>402</v>
      </c>
      <c r="AH87" s="1286"/>
      <c r="AI87" s="1286"/>
      <c r="AJ87" s="1286"/>
      <c r="AK87" s="1286"/>
      <c r="AL87" s="1286"/>
      <c r="AM87" s="1286"/>
      <c r="AN87" s="1286"/>
      <c r="AO87" s="1286"/>
      <c r="AP87" s="1286"/>
      <c r="AQ87" s="1286"/>
      <c r="AR87" s="1286"/>
      <c r="AS87" s="1286"/>
      <c r="AT87" s="1286"/>
      <c r="AU87" s="1287" t="s">
        <v>12</v>
      </c>
      <c r="AV87" s="1287"/>
      <c r="AW87" s="1287"/>
      <c r="AX87" s="1287"/>
      <c r="AY87" s="1287"/>
      <c r="AZ87" s="1287"/>
      <c r="BA87" s="1287"/>
      <c r="BB87" s="1287"/>
      <c r="BC87" s="2"/>
      <c r="BD87" s="486"/>
      <c r="BE87" s="1282"/>
      <c r="BF87" s="1282"/>
      <c r="BG87" s="1282"/>
      <c r="BH87" s="1282"/>
      <c r="BI87" s="1282"/>
      <c r="BJ87" s="1282"/>
      <c r="BK87" s="1282"/>
      <c r="BL87" s="1282"/>
      <c r="BM87" s="1282"/>
      <c r="BN87" s="1282"/>
      <c r="BO87" s="1282"/>
      <c r="BP87" s="1282"/>
      <c r="BQ87" s="1282"/>
      <c r="BR87" s="1282"/>
      <c r="BS87" s="1282"/>
      <c r="BT87" s="1282"/>
      <c r="BU87" s="1282"/>
      <c r="BV87" s="1282"/>
      <c r="BW87" s="1282"/>
      <c r="BX87" s="1282"/>
      <c r="BY87" s="1282"/>
      <c r="BZ87" s="1282"/>
      <c r="CA87" s="1282"/>
      <c r="CB87" s="1282"/>
      <c r="CC87" s="1282"/>
      <c r="CD87" s="1282"/>
      <c r="CE87" s="1282"/>
      <c r="CF87" s="1282"/>
      <c r="CG87" s="1282"/>
      <c r="CH87" s="1282"/>
      <c r="CI87" s="1282"/>
      <c r="CJ87" s="1282"/>
      <c r="CK87" s="1282"/>
      <c r="CL87" s="1282"/>
      <c r="CM87" s="1282"/>
      <c r="CN87" s="1282"/>
      <c r="CO87" s="1282"/>
      <c r="CP87" s="1282"/>
      <c r="CQ87" s="1282"/>
      <c r="CR87" s="1282"/>
      <c r="CS87" s="1282"/>
      <c r="CT87" s="1282"/>
      <c r="CU87" s="1283"/>
      <c r="CV87" s="5"/>
      <c r="CY87" s="6">
        <f>CY85+1</f>
        <v>28</v>
      </c>
    </row>
    <row r="88" spans="1:103" ht="12" customHeight="1" x14ac:dyDescent="0.25">
      <c r="A88" s="5"/>
      <c r="B88" s="1286"/>
      <c r="C88" s="1286"/>
      <c r="D88" s="1286"/>
      <c r="E88" s="1286"/>
      <c r="F88" s="1286"/>
      <c r="G88" s="1286"/>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97"/>
      <c r="AD88" s="1297"/>
      <c r="AE88" s="1297"/>
      <c r="AF88" s="363"/>
      <c r="AG88" s="1286"/>
      <c r="AH88" s="1286"/>
      <c r="AI88" s="1286"/>
      <c r="AJ88" s="1286"/>
      <c r="AK88" s="1286"/>
      <c r="AL88" s="1286"/>
      <c r="AM88" s="1286"/>
      <c r="AN88" s="1286"/>
      <c r="AO88" s="1286"/>
      <c r="AP88" s="1286"/>
      <c r="AQ88" s="1286"/>
      <c r="AR88" s="1286"/>
      <c r="AS88" s="1286"/>
      <c r="AT88" s="1286"/>
      <c r="AU88" s="1287"/>
      <c r="AV88" s="1287"/>
      <c r="AW88" s="1287"/>
      <c r="AX88" s="1287"/>
      <c r="AY88" s="1287"/>
      <c r="AZ88" s="1287"/>
      <c r="BA88" s="1287"/>
      <c r="BB88" s="1287"/>
      <c r="BC88" s="2"/>
      <c r="BD88" s="486"/>
      <c r="BE88" s="1282"/>
      <c r="BF88" s="1282"/>
      <c r="BG88" s="1282"/>
      <c r="BH88" s="1282"/>
      <c r="BI88" s="1282"/>
      <c r="BJ88" s="1282"/>
      <c r="BK88" s="1282"/>
      <c r="BL88" s="1282"/>
      <c r="BM88" s="1282"/>
      <c r="BN88" s="1282"/>
      <c r="BO88" s="1282"/>
      <c r="BP88" s="1282"/>
      <c r="BQ88" s="1282"/>
      <c r="BR88" s="1282"/>
      <c r="BS88" s="1282"/>
      <c r="BT88" s="1282"/>
      <c r="BU88" s="1282"/>
      <c r="BV88" s="1282"/>
      <c r="BW88" s="1282"/>
      <c r="BX88" s="1282"/>
      <c r="BY88" s="1282"/>
      <c r="BZ88" s="1282"/>
      <c r="CA88" s="1282"/>
      <c r="CB88" s="1282"/>
      <c r="CC88" s="1282"/>
      <c r="CD88" s="1282"/>
      <c r="CE88" s="1282"/>
      <c r="CF88" s="1282"/>
      <c r="CG88" s="1282"/>
      <c r="CH88" s="1282"/>
      <c r="CI88" s="1282"/>
      <c r="CJ88" s="1282"/>
      <c r="CK88" s="1282"/>
      <c r="CL88" s="1282"/>
      <c r="CM88" s="1282"/>
      <c r="CN88" s="1282"/>
      <c r="CO88" s="1282"/>
      <c r="CP88" s="1282"/>
      <c r="CQ88" s="1282"/>
      <c r="CR88" s="1282"/>
      <c r="CS88" s="1282"/>
      <c r="CT88" s="1282"/>
      <c r="CU88" s="1283"/>
      <c r="CV88" s="5"/>
    </row>
    <row r="89" spans="1:103" ht="12" customHeight="1" x14ac:dyDescent="0.2">
      <c r="A89" s="5"/>
      <c r="B89" s="1268"/>
      <c r="C89" s="1268"/>
      <c r="D89" s="1268"/>
      <c r="E89" s="1268"/>
      <c r="F89" s="1268"/>
      <c r="G89" s="1268"/>
      <c r="H89" s="1268"/>
      <c r="I89" s="1268"/>
      <c r="J89" s="1268"/>
      <c r="K89" s="1268"/>
      <c r="L89" s="1268"/>
      <c r="M89" s="1268"/>
      <c r="N89" s="1268"/>
      <c r="O89" s="1268"/>
      <c r="P89" s="1268"/>
      <c r="Q89" s="1268"/>
      <c r="R89" s="1268"/>
      <c r="S89" s="1268"/>
      <c r="T89" s="1268"/>
      <c r="U89" s="1268"/>
      <c r="V89" s="1268"/>
      <c r="W89" s="1268"/>
      <c r="X89" s="1268"/>
      <c r="Y89" s="1268"/>
      <c r="Z89" s="1268"/>
      <c r="AA89" s="1268"/>
      <c r="AB89" s="1267"/>
      <c r="AC89" s="1270"/>
      <c r="AD89" s="1270"/>
      <c r="AE89" s="1270"/>
      <c r="AF89" s="1267"/>
      <c r="AG89" s="1268"/>
      <c r="AH89" s="1268"/>
      <c r="AI89" s="1268"/>
      <c r="AJ89" s="1268"/>
      <c r="AK89" s="1268"/>
      <c r="AL89" s="1268"/>
      <c r="AM89" s="1268"/>
      <c r="AN89" s="1268"/>
      <c r="AO89" s="1268"/>
      <c r="AP89" s="1268"/>
      <c r="AQ89" s="1268"/>
      <c r="AR89" s="1268"/>
      <c r="AS89" s="1268"/>
      <c r="AT89" s="1267"/>
      <c r="AU89" s="1272"/>
      <c r="AV89" s="1272"/>
      <c r="AW89" s="1272"/>
      <c r="AX89" s="1272"/>
      <c r="AY89" s="1272"/>
      <c r="AZ89" s="1272"/>
      <c r="BA89" s="1272"/>
      <c r="BB89" s="1272"/>
      <c r="BC89" s="2"/>
      <c r="BD89" s="486"/>
      <c r="BE89" s="1282"/>
      <c r="BF89" s="1282"/>
      <c r="BG89" s="1282"/>
      <c r="BH89" s="1282"/>
      <c r="BI89" s="1282"/>
      <c r="BJ89" s="1282"/>
      <c r="BK89" s="1282"/>
      <c r="BL89" s="1282"/>
      <c r="BM89" s="1282"/>
      <c r="BN89" s="1282"/>
      <c r="BO89" s="1282"/>
      <c r="BP89" s="1282"/>
      <c r="BQ89" s="1282"/>
      <c r="BR89" s="1282"/>
      <c r="BS89" s="1282"/>
      <c r="BT89" s="1282"/>
      <c r="BU89" s="1282"/>
      <c r="BV89" s="1282"/>
      <c r="BW89" s="1282"/>
      <c r="BX89" s="1282"/>
      <c r="BY89" s="1282"/>
      <c r="BZ89" s="1282"/>
      <c r="CA89" s="1282"/>
      <c r="CB89" s="1282"/>
      <c r="CC89" s="1282"/>
      <c r="CD89" s="1282"/>
      <c r="CE89" s="1282"/>
      <c r="CF89" s="1282"/>
      <c r="CG89" s="1282"/>
      <c r="CH89" s="1282"/>
      <c r="CI89" s="1282"/>
      <c r="CJ89" s="1282"/>
      <c r="CK89" s="1282"/>
      <c r="CL89" s="1282"/>
      <c r="CM89" s="1282"/>
      <c r="CN89" s="1282"/>
      <c r="CO89" s="1282"/>
      <c r="CP89" s="1282"/>
      <c r="CQ89" s="1282"/>
      <c r="CR89" s="1282"/>
      <c r="CS89" s="1282"/>
      <c r="CT89" s="1282"/>
      <c r="CU89" s="1283"/>
      <c r="CV89" s="5"/>
      <c r="CY89" s="6">
        <f>CY87+1</f>
        <v>29</v>
      </c>
    </row>
    <row r="90" spans="1:103" ht="12" customHeight="1" x14ac:dyDescent="0.2">
      <c r="A90" s="5"/>
      <c r="B90" s="1269"/>
      <c r="C90" s="1269"/>
      <c r="D90" s="1269"/>
      <c r="E90" s="1269"/>
      <c r="F90" s="1269"/>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7"/>
      <c r="AC90" s="1271"/>
      <c r="AD90" s="1271"/>
      <c r="AE90" s="1271"/>
      <c r="AF90" s="1267"/>
      <c r="AG90" s="1269"/>
      <c r="AH90" s="1269"/>
      <c r="AI90" s="1269"/>
      <c r="AJ90" s="1269"/>
      <c r="AK90" s="1269"/>
      <c r="AL90" s="1269"/>
      <c r="AM90" s="1269"/>
      <c r="AN90" s="1269"/>
      <c r="AO90" s="1269"/>
      <c r="AP90" s="1269"/>
      <c r="AQ90" s="1269"/>
      <c r="AR90" s="1269"/>
      <c r="AS90" s="1269"/>
      <c r="AT90" s="1267"/>
      <c r="AU90" s="1273"/>
      <c r="AV90" s="1273"/>
      <c r="AW90" s="1273"/>
      <c r="AX90" s="1273"/>
      <c r="AY90" s="1273"/>
      <c r="AZ90" s="1273"/>
      <c r="BA90" s="1273"/>
      <c r="BB90" s="1273"/>
      <c r="BC90" s="2"/>
      <c r="BD90" s="486"/>
      <c r="BE90" s="1282"/>
      <c r="BF90" s="1282"/>
      <c r="BG90" s="1282"/>
      <c r="BH90" s="1282"/>
      <c r="BI90" s="1282"/>
      <c r="BJ90" s="1282"/>
      <c r="BK90" s="1282"/>
      <c r="BL90" s="1282"/>
      <c r="BM90" s="1282"/>
      <c r="BN90" s="1282"/>
      <c r="BO90" s="1282"/>
      <c r="BP90" s="1282"/>
      <c r="BQ90" s="1282"/>
      <c r="BR90" s="1282"/>
      <c r="BS90" s="1282"/>
      <c r="BT90" s="1282"/>
      <c r="BU90" s="1282"/>
      <c r="BV90" s="1282"/>
      <c r="BW90" s="1282"/>
      <c r="BX90" s="1282"/>
      <c r="BY90" s="1282"/>
      <c r="BZ90" s="1282"/>
      <c r="CA90" s="1282"/>
      <c r="CB90" s="1282"/>
      <c r="CC90" s="1282"/>
      <c r="CD90" s="1282"/>
      <c r="CE90" s="1282"/>
      <c r="CF90" s="1282"/>
      <c r="CG90" s="1282"/>
      <c r="CH90" s="1282"/>
      <c r="CI90" s="1282"/>
      <c r="CJ90" s="1282"/>
      <c r="CK90" s="1282"/>
      <c r="CL90" s="1282"/>
      <c r="CM90" s="1282"/>
      <c r="CN90" s="1282"/>
      <c r="CO90" s="1282"/>
      <c r="CP90" s="1282"/>
      <c r="CQ90" s="1282"/>
      <c r="CR90" s="1282"/>
      <c r="CS90" s="1282"/>
      <c r="CT90" s="1282"/>
      <c r="CU90" s="1283"/>
      <c r="CV90" s="5"/>
    </row>
    <row r="91" spans="1:103" ht="12" customHeight="1" x14ac:dyDescent="0.2">
      <c r="A91" s="5"/>
      <c r="B91" s="1268"/>
      <c r="C91" s="1268"/>
      <c r="D91" s="1268"/>
      <c r="E91" s="1268"/>
      <c r="F91" s="1268"/>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7"/>
      <c r="AC91" s="1270"/>
      <c r="AD91" s="1270"/>
      <c r="AE91" s="1270"/>
      <c r="AF91" s="1267"/>
      <c r="AG91" s="1268"/>
      <c r="AH91" s="1268"/>
      <c r="AI91" s="1268"/>
      <c r="AJ91" s="1268"/>
      <c r="AK91" s="1268"/>
      <c r="AL91" s="1268"/>
      <c r="AM91" s="1268"/>
      <c r="AN91" s="1268"/>
      <c r="AO91" s="1268"/>
      <c r="AP91" s="1268"/>
      <c r="AQ91" s="1268"/>
      <c r="AR91" s="1268"/>
      <c r="AS91" s="1268"/>
      <c r="AT91" s="1267"/>
      <c r="AU91" s="1272"/>
      <c r="AV91" s="1272"/>
      <c r="AW91" s="1272"/>
      <c r="AX91" s="1272"/>
      <c r="AY91" s="1272"/>
      <c r="AZ91" s="1272"/>
      <c r="BA91" s="1272"/>
      <c r="BB91" s="1272"/>
      <c r="BC91" s="2"/>
      <c r="BD91" s="486"/>
      <c r="BE91" s="1282"/>
      <c r="BF91" s="1282"/>
      <c r="BG91" s="1282"/>
      <c r="BH91" s="1282"/>
      <c r="BI91" s="1282"/>
      <c r="BJ91" s="1282"/>
      <c r="BK91" s="1282"/>
      <c r="BL91" s="1282"/>
      <c r="BM91" s="1282"/>
      <c r="BN91" s="1282"/>
      <c r="BO91" s="1282"/>
      <c r="BP91" s="1282"/>
      <c r="BQ91" s="1282"/>
      <c r="BR91" s="1282"/>
      <c r="BS91" s="1282"/>
      <c r="BT91" s="1282"/>
      <c r="BU91" s="1282"/>
      <c r="BV91" s="1282"/>
      <c r="BW91" s="1282"/>
      <c r="BX91" s="1282"/>
      <c r="BY91" s="1282"/>
      <c r="BZ91" s="1282"/>
      <c r="CA91" s="1282"/>
      <c r="CB91" s="1282"/>
      <c r="CC91" s="1282"/>
      <c r="CD91" s="1282"/>
      <c r="CE91" s="1282"/>
      <c r="CF91" s="1282"/>
      <c r="CG91" s="1282"/>
      <c r="CH91" s="1282"/>
      <c r="CI91" s="1282"/>
      <c r="CJ91" s="1282"/>
      <c r="CK91" s="1282"/>
      <c r="CL91" s="1282"/>
      <c r="CM91" s="1282"/>
      <c r="CN91" s="1282"/>
      <c r="CO91" s="1282"/>
      <c r="CP91" s="1282"/>
      <c r="CQ91" s="1282"/>
      <c r="CR91" s="1282"/>
      <c r="CS91" s="1282"/>
      <c r="CT91" s="1282"/>
      <c r="CU91" s="1283"/>
      <c r="CV91" s="5"/>
      <c r="CY91" s="6">
        <f>CY89+1</f>
        <v>30</v>
      </c>
    </row>
    <row r="92" spans="1:103" ht="12" customHeight="1" x14ac:dyDescent="0.2">
      <c r="A92" s="5"/>
      <c r="B92" s="1269"/>
      <c r="C92" s="1269"/>
      <c r="D92" s="1269"/>
      <c r="E92" s="1269"/>
      <c r="F92" s="1269"/>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7"/>
      <c r="AC92" s="1271"/>
      <c r="AD92" s="1271"/>
      <c r="AE92" s="1271"/>
      <c r="AF92" s="1267"/>
      <c r="AG92" s="1269"/>
      <c r="AH92" s="1269"/>
      <c r="AI92" s="1269"/>
      <c r="AJ92" s="1269"/>
      <c r="AK92" s="1269"/>
      <c r="AL92" s="1269"/>
      <c r="AM92" s="1269"/>
      <c r="AN92" s="1269"/>
      <c r="AO92" s="1269"/>
      <c r="AP92" s="1269"/>
      <c r="AQ92" s="1269"/>
      <c r="AR92" s="1269"/>
      <c r="AS92" s="1269"/>
      <c r="AT92" s="1267"/>
      <c r="AU92" s="1273"/>
      <c r="AV92" s="1273"/>
      <c r="AW92" s="1273"/>
      <c r="AX92" s="1273"/>
      <c r="AY92" s="1273"/>
      <c r="AZ92" s="1273"/>
      <c r="BA92" s="1273"/>
      <c r="BB92" s="1273"/>
      <c r="BC92" s="2"/>
      <c r="BD92" s="486"/>
      <c r="BE92" s="1282"/>
      <c r="BF92" s="1282"/>
      <c r="BG92" s="1282"/>
      <c r="BH92" s="1282"/>
      <c r="BI92" s="1282"/>
      <c r="BJ92" s="1282"/>
      <c r="BK92" s="1282"/>
      <c r="BL92" s="1282"/>
      <c r="BM92" s="1282"/>
      <c r="BN92" s="1282"/>
      <c r="BO92" s="1282"/>
      <c r="BP92" s="1282"/>
      <c r="BQ92" s="1282"/>
      <c r="BR92" s="1282"/>
      <c r="BS92" s="1282"/>
      <c r="BT92" s="1282"/>
      <c r="BU92" s="1282"/>
      <c r="BV92" s="1282"/>
      <c r="BW92" s="1282"/>
      <c r="BX92" s="1282"/>
      <c r="BY92" s="1282"/>
      <c r="BZ92" s="1282"/>
      <c r="CA92" s="1282"/>
      <c r="CB92" s="1282"/>
      <c r="CC92" s="1282"/>
      <c r="CD92" s="1282"/>
      <c r="CE92" s="1282"/>
      <c r="CF92" s="1282"/>
      <c r="CG92" s="1282"/>
      <c r="CH92" s="1282"/>
      <c r="CI92" s="1282"/>
      <c r="CJ92" s="1282"/>
      <c r="CK92" s="1282"/>
      <c r="CL92" s="1282"/>
      <c r="CM92" s="1282"/>
      <c r="CN92" s="1282"/>
      <c r="CO92" s="1282"/>
      <c r="CP92" s="1282"/>
      <c r="CQ92" s="1282"/>
      <c r="CR92" s="1282"/>
      <c r="CS92" s="1282"/>
      <c r="CT92" s="1282"/>
      <c r="CU92" s="1283"/>
      <c r="CV92" s="5"/>
    </row>
    <row r="93" spans="1:103" ht="12" customHeight="1" x14ac:dyDescent="0.2">
      <c r="A93" s="5"/>
      <c r="B93" s="1268"/>
      <c r="C93" s="1268"/>
      <c r="D93" s="1268"/>
      <c r="E93" s="1268"/>
      <c r="F93" s="1268"/>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7"/>
      <c r="AC93" s="1270"/>
      <c r="AD93" s="1270"/>
      <c r="AE93" s="1270"/>
      <c r="AF93" s="1267"/>
      <c r="AG93" s="1268"/>
      <c r="AH93" s="1268"/>
      <c r="AI93" s="1268"/>
      <c r="AJ93" s="1268"/>
      <c r="AK93" s="1268"/>
      <c r="AL93" s="1268"/>
      <c r="AM93" s="1268"/>
      <c r="AN93" s="1268"/>
      <c r="AO93" s="1268"/>
      <c r="AP93" s="1268"/>
      <c r="AQ93" s="1268"/>
      <c r="AR93" s="1268"/>
      <c r="AS93" s="1268"/>
      <c r="AT93" s="1267"/>
      <c r="AU93" s="1272"/>
      <c r="AV93" s="1272"/>
      <c r="AW93" s="1272"/>
      <c r="AX93" s="1272"/>
      <c r="AY93" s="1272"/>
      <c r="AZ93" s="1272"/>
      <c r="BA93" s="1272"/>
      <c r="BB93" s="1272"/>
      <c r="BC93" s="2"/>
      <c r="BD93" s="486"/>
      <c r="BE93" s="1282"/>
      <c r="BF93" s="1282"/>
      <c r="BG93" s="1282"/>
      <c r="BH93" s="1282"/>
      <c r="BI93" s="1282"/>
      <c r="BJ93" s="1282"/>
      <c r="BK93" s="1282"/>
      <c r="BL93" s="1282"/>
      <c r="BM93" s="1282"/>
      <c r="BN93" s="1282"/>
      <c r="BO93" s="1282"/>
      <c r="BP93" s="1282"/>
      <c r="BQ93" s="1282"/>
      <c r="BR93" s="1282"/>
      <c r="BS93" s="1282"/>
      <c r="BT93" s="1282"/>
      <c r="BU93" s="1282"/>
      <c r="BV93" s="1282"/>
      <c r="BW93" s="1282"/>
      <c r="BX93" s="1282"/>
      <c r="BY93" s="1282"/>
      <c r="BZ93" s="1282"/>
      <c r="CA93" s="1282"/>
      <c r="CB93" s="1282"/>
      <c r="CC93" s="1282"/>
      <c r="CD93" s="1282"/>
      <c r="CE93" s="1282"/>
      <c r="CF93" s="1282"/>
      <c r="CG93" s="1282"/>
      <c r="CH93" s="1282"/>
      <c r="CI93" s="1282"/>
      <c r="CJ93" s="1282"/>
      <c r="CK93" s="1282"/>
      <c r="CL93" s="1282"/>
      <c r="CM93" s="1282"/>
      <c r="CN93" s="1282"/>
      <c r="CO93" s="1282"/>
      <c r="CP93" s="1282"/>
      <c r="CQ93" s="1282"/>
      <c r="CR93" s="1282"/>
      <c r="CS93" s="1282"/>
      <c r="CT93" s="1282"/>
      <c r="CU93" s="1283"/>
      <c r="CV93" s="5"/>
      <c r="CY93" s="6">
        <f>CY91+1</f>
        <v>31</v>
      </c>
    </row>
    <row r="94" spans="1:103" ht="12" customHeight="1" x14ac:dyDescent="0.2">
      <c r="A94" s="5"/>
      <c r="B94" s="1269"/>
      <c r="C94" s="1269"/>
      <c r="D94" s="1269"/>
      <c r="E94" s="1269"/>
      <c r="F94" s="1269"/>
      <c r="G94" s="1269"/>
      <c r="H94" s="1269"/>
      <c r="I94" s="1269"/>
      <c r="J94" s="1269"/>
      <c r="K94" s="1269"/>
      <c r="L94" s="1269"/>
      <c r="M94" s="1269"/>
      <c r="N94" s="1269"/>
      <c r="O94" s="1269"/>
      <c r="P94" s="1269"/>
      <c r="Q94" s="1269"/>
      <c r="R94" s="1269"/>
      <c r="S94" s="1269"/>
      <c r="T94" s="1269"/>
      <c r="U94" s="1269"/>
      <c r="V94" s="1269"/>
      <c r="W94" s="1269"/>
      <c r="X94" s="1269"/>
      <c r="Y94" s="1269"/>
      <c r="Z94" s="1269"/>
      <c r="AA94" s="1269"/>
      <c r="AB94" s="1267"/>
      <c r="AC94" s="1271"/>
      <c r="AD94" s="1271"/>
      <c r="AE94" s="1271"/>
      <c r="AF94" s="1267"/>
      <c r="AG94" s="1269"/>
      <c r="AH94" s="1269"/>
      <c r="AI94" s="1269"/>
      <c r="AJ94" s="1269"/>
      <c r="AK94" s="1269"/>
      <c r="AL94" s="1269"/>
      <c r="AM94" s="1269"/>
      <c r="AN94" s="1269"/>
      <c r="AO94" s="1269"/>
      <c r="AP94" s="1269"/>
      <c r="AQ94" s="1269"/>
      <c r="AR94" s="1269"/>
      <c r="AS94" s="1269"/>
      <c r="AT94" s="1267"/>
      <c r="AU94" s="1273"/>
      <c r="AV94" s="1273"/>
      <c r="AW94" s="1273"/>
      <c r="AX94" s="1273"/>
      <c r="AY94" s="1273"/>
      <c r="AZ94" s="1273"/>
      <c r="BA94" s="1273"/>
      <c r="BB94" s="1273"/>
      <c r="BC94" s="2"/>
      <c r="BD94" s="486"/>
      <c r="BE94" s="1282"/>
      <c r="BF94" s="1282"/>
      <c r="BG94" s="1282"/>
      <c r="BH94" s="1282"/>
      <c r="BI94" s="1282"/>
      <c r="BJ94" s="1282"/>
      <c r="BK94" s="1282"/>
      <c r="BL94" s="1282"/>
      <c r="BM94" s="1282"/>
      <c r="BN94" s="1282"/>
      <c r="BO94" s="1282"/>
      <c r="BP94" s="1282"/>
      <c r="BQ94" s="1282"/>
      <c r="BR94" s="1282"/>
      <c r="BS94" s="1282"/>
      <c r="BT94" s="1282"/>
      <c r="BU94" s="1282"/>
      <c r="BV94" s="1282"/>
      <c r="BW94" s="1282"/>
      <c r="BX94" s="1282"/>
      <c r="BY94" s="1282"/>
      <c r="BZ94" s="1282"/>
      <c r="CA94" s="1282"/>
      <c r="CB94" s="1282"/>
      <c r="CC94" s="1282"/>
      <c r="CD94" s="1282"/>
      <c r="CE94" s="1282"/>
      <c r="CF94" s="1282"/>
      <c r="CG94" s="1282"/>
      <c r="CH94" s="1282"/>
      <c r="CI94" s="1282"/>
      <c r="CJ94" s="1282"/>
      <c r="CK94" s="1282"/>
      <c r="CL94" s="1282"/>
      <c r="CM94" s="1282"/>
      <c r="CN94" s="1282"/>
      <c r="CO94" s="1282"/>
      <c r="CP94" s="1282"/>
      <c r="CQ94" s="1282"/>
      <c r="CR94" s="1282"/>
      <c r="CS94" s="1282"/>
      <c r="CT94" s="1282"/>
      <c r="CU94" s="1283"/>
      <c r="CV94" s="5"/>
    </row>
    <row r="95" spans="1:103" ht="12" customHeight="1" x14ac:dyDescent="0.2">
      <c r="A95" s="5"/>
      <c r="B95" s="1268"/>
      <c r="C95" s="1268"/>
      <c r="D95" s="1268"/>
      <c r="E95" s="1268"/>
      <c r="F95" s="1268"/>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7"/>
      <c r="AC95" s="1270"/>
      <c r="AD95" s="1270"/>
      <c r="AE95" s="1270"/>
      <c r="AF95" s="1267"/>
      <c r="AG95" s="1268"/>
      <c r="AH95" s="1268"/>
      <c r="AI95" s="1268"/>
      <c r="AJ95" s="1268"/>
      <c r="AK95" s="1268"/>
      <c r="AL95" s="1268"/>
      <c r="AM95" s="1268"/>
      <c r="AN95" s="1268"/>
      <c r="AO95" s="1268"/>
      <c r="AP95" s="1268"/>
      <c r="AQ95" s="1268"/>
      <c r="AR95" s="1268"/>
      <c r="AS95" s="1268"/>
      <c r="AT95" s="1267"/>
      <c r="AU95" s="1272"/>
      <c r="AV95" s="1272"/>
      <c r="AW95" s="1272"/>
      <c r="AX95" s="1272"/>
      <c r="AY95" s="1272"/>
      <c r="AZ95" s="1272"/>
      <c r="BA95" s="1272"/>
      <c r="BB95" s="1272"/>
      <c r="BC95" s="2"/>
      <c r="BD95" s="486"/>
      <c r="BE95" s="1282"/>
      <c r="BF95" s="1282"/>
      <c r="BG95" s="1282"/>
      <c r="BH95" s="1282"/>
      <c r="BI95" s="1282"/>
      <c r="BJ95" s="1282"/>
      <c r="BK95" s="1282"/>
      <c r="BL95" s="1282"/>
      <c r="BM95" s="1282"/>
      <c r="BN95" s="1282"/>
      <c r="BO95" s="1282"/>
      <c r="BP95" s="1282"/>
      <c r="BQ95" s="1282"/>
      <c r="BR95" s="1282"/>
      <c r="BS95" s="1282"/>
      <c r="BT95" s="1282"/>
      <c r="BU95" s="1282"/>
      <c r="BV95" s="1282"/>
      <c r="BW95" s="1282"/>
      <c r="BX95" s="1282"/>
      <c r="BY95" s="1282"/>
      <c r="BZ95" s="1282"/>
      <c r="CA95" s="1282"/>
      <c r="CB95" s="1282"/>
      <c r="CC95" s="1282"/>
      <c r="CD95" s="1282"/>
      <c r="CE95" s="1282"/>
      <c r="CF95" s="1282"/>
      <c r="CG95" s="1282"/>
      <c r="CH95" s="1282"/>
      <c r="CI95" s="1282"/>
      <c r="CJ95" s="1282"/>
      <c r="CK95" s="1282"/>
      <c r="CL95" s="1282"/>
      <c r="CM95" s="1282"/>
      <c r="CN95" s="1282"/>
      <c r="CO95" s="1282"/>
      <c r="CP95" s="1282"/>
      <c r="CQ95" s="1282"/>
      <c r="CR95" s="1282"/>
      <c r="CS95" s="1282"/>
      <c r="CT95" s="1282"/>
      <c r="CU95" s="1283"/>
      <c r="CV95" s="5"/>
      <c r="CY95" s="6">
        <f>CY93+1</f>
        <v>32</v>
      </c>
    </row>
    <row r="96" spans="1:103" ht="12" customHeight="1" x14ac:dyDescent="0.2">
      <c r="A96" s="5"/>
      <c r="B96" s="1269"/>
      <c r="C96" s="1269"/>
      <c r="D96" s="1269"/>
      <c r="E96" s="1269"/>
      <c r="F96" s="1269"/>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7"/>
      <c r="AC96" s="1271"/>
      <c r="AD96" s="1271"/>
      <c r="AE96" s="1271"/>
      <c r="AF96" s="1267"/>
      <c r="AG96" s="1269"/>
      <c r="AH96" s="1269"/>
      <c r="AI96" s="1269"/>
      <c r="AJ96" s="1269"/>
      <c r="AK96" s="1269"/>
      <c r="AL96" s="1269"/>
      <c r="AM96" s="1269"/>
      <c r="AN96" s="1269"/>
      <c r="AO96" s="1269"/>
      <c r="AP96" s="1269"/>
      <c r="AQ96" s="1269"/>
      <c r="AR96" s="1269"/>
      <c r="AS96" s="1269"/>
      <c r="AT96" s="1267"/>
      <c r="AU96" s="1273"/>
      <c r="AV96" s="1273"/>
      <c r="AW96" s="1273"/>
      <c r="AX96" s="1273"/>
      <c r="AY96" s="1273"/>
      <c r="AZ96" s="1273"/>
      <c r="BA96" s="1273"/>
      <c r="BB96" s="1273"/>
      <c r="BC96" s="2"/>
      <c r="BD96" s="486"/>
      <c r="BE96" s="1282"/>
      <c r="BF96" s="1282"/>
      <c r="BG96" s="1282"/>
      <c r="BH96" s="1282"/>
      <c r="BI96" s="1282"/>
      <c r="BJ96" s="1282"/>
      <c r="BK96" s="1282"/>
      <c r="BL96" s="1282"/>
      <c r="BM96" s="1282"/>
      <c r="BN96" s="1282"/>
      <c r="BO96" s="1282"/>
      <c r="BP96" s="1282"/>
      <c r="BQ96" s="1282"/>
      <c r="BR96" s="1282"/>
      <c r="BS96" s="1282"/>
      <c r="BT96" s="1282"/>
      <c r="BU96" s="1282"/>
      <c r="BV96" s="1282"/>
      <c r="BW96" s="1282"/>
      <c r="BX96" s="1282"/>
      <c r="BY96" s="1282"/>
      <c r="BZ96" s="1282"/>
      <c r="CA96" s="1282"/>
      <c r="CB96" s="1282"/>
      <c r="CC96" s="1282"/>
      <c r="CD96" s="1282"/>
      <c r="CE96" s="1282"/>
      <c r="CF96" s="1282"/>
      <c r="CG96" s="1282"/>
      <c r="CH96" s="1282"/>
      <c r="CI96" s="1282"/>
      <c r="CJ96" s="1282"/>
      <c r="CK96" s="1282"/>
      <c r="CL96" s="1282"/>
      <c r="CM96" s="1282"/>
      <c r="CN96" s="1282"/>
      <c r="CO96" s="1282"/>
      <c r="CP96" s="1282"/>
      <c r="CQ96" s="1282"/>
      <c r="CR96" s="1282"/>
      <c r="CS96" s="1282"/>
      <c r="CT96" s="1282"/>
      <c r="CU96" s="1283"/>
      <c r="CV96" s="5"/>
    </row>
    <row r="97" spans="1:103" ht="12" customHeight="1" x14ac:dyDescent="0.2">
      <c r="A97" s="5"/>
      <c r="B97" s="1268"/>
      <c r="C97" s="1268"/>
      <c r="D97" s="1268"/>
      <c r="E97" s="1268"/>
      <c r="F97" s="1268"/>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7"/>
      <c r="AC97" s="1270"/>
      <c r="AD97" s="1270"/>
      <c r="AE97" s="1270"/>
      <c r="AF97" s="1267"/>
      <c r="AG97" s="1268"/>
      <c r="AH97" s="1268"/>
      <c r="AI97" s="1268"/>
      <c r="AJ97" s="1268"/>
      <c r="AK97" s="1268"/>
      <c r="AL97" s="1268"/>
      <c r="AM97" s="1268"/>
      <c r="AN97" s="1268"/>
      <c r="AO97" s="1268"/>
      <c r="AP97" s="1268"/>
      <c r="AQ97" s="1268"/>
      <c r="AR97" s="1268"/>
      <c r="AS97" s="1268"/>
      <c r="AT97" s="1267"/>
      <c r="AU97" s="1272"/>
      <c r="AV97" s="1272"/>
      <c r="AW97" s="1272"/>
      <c r="AX97" s="1272"/>
      <c r="AY97" s="1272"/>
      <c r="AZ97" s="1272"/>
      <c r="BA97" s="1272"/>
      <c r="BB97" s="1272"/>
      <c r="BC97" s="2"/>
      <c r="BD97" s="486"/>
      <c r="BE97" s="1282"/>
      <c r="BF97" s="1282"/>
      <c r="BG97" s="1282"/>
      <c r="BH97" s="1282"/>
      <c r="BI97" s="1282"/>
      <c r="BJ97" s="1282"/>
      <c r="BK97" s="1282"/>
      <c r="BL97" s="1282"/>
      <c r="BM97" s="1282"/>
      <c r="BN97" s="1282"/>
      <c r="BO97" s="1282"/>
      <c r="BP97" s="1282"/>
      <c r="BQ97" s="1282"/>
      <c r="BR97" s="1282"/>
      <c r="BS97" s="1282"/>
      <c r="BT97" s="1282"/>
      <c r="BU97" s="1282"/>
      <c r="BV97" s="1282"/>
      <c r="BW97" s="1282"/>
      <c r="BX97" s="1282"/>
      <c r="BY97" s="1282"/>
      <c r="BZ97" s="1282"/>
      <c r="CA97" s="1282"/>
      <c r="CB97" s="1282"/>
      <c r="CC97" s="1282"/>
      <c r="CD97" s="1282"/>
      <c r="CE97" s="1282"/>
      <c r="CF97" s="1282"/>
      <c r="CG97" s="1282"/>
      <c r="CH97" s="1282"/>
      <c r="CI97" s="1282"/>
      <c r="CJ97" s="1282"/>
      <c r="CK97" s="1282"/>
      <c r="CL97" s="1282"/>
      <c r="CM97" s="1282"/>
      <c r="CN97" s="1282"/>
      <c r="CO97" s="1282"/>
      <c r="CP97" s="1282"/>
      <c r="CQ97" s="1282"/>
      <c r="CR97" s="1282"/>
      <c r="CS97" s="1282"/>
      <c r="CT97" s="1282"/>
      <c r="CU97" s="1283"/>
      <c r="CV97" s="5"/>
      <c r="CY97" s="6">
        <f>CY95+1</f>
        <v>33</v>
      </c>
    </row>
    <row r="98" spans="1:103" ht="12" customHeight="1" x14ac:dyDescent="0.2">
      <c r="A98" s="5"/>
      <c r="B98" s="1269"/>
      <c r="C98" s="1269"/>
      <c r="D98" s="1269"/>
      <c r="E98" s="1269"/>
      <c r="F98" s="1269"/>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7"/>
      <c r="AC98" s="1271"/>
      <c r="AD98" s="1271"/>
      <c r="AE98" s="1271"/>
      <c r="AF98" s="1267"/>
      <c r="AG98" s="1269"/>
      <c r="AH98" s="1269"/>
      <c r="AI98" s="1269"/>
      <c r="AJ98" s="1269"/>
      <c r="AK98" s="1269"/>
      <c r="AL98" s="1269"/>
      <c r="AM98" s="1269"/>
      <c r="AN98" s="1269"/>
      <c r="AO98" s="1269"/>
      <c r="AP98" s="1269"/>
      <c r="AQ98" s="1269"/>
      <c r="AR98" s="1269"/>
      <c r="AS98" s="1269"/>
      <c r="AT98" s="1267"/>
      <c r="AU98" s="1273"/>
      <c r="AV98" s="1273"/>
      <c r="AW98" s="1273"/>
      <c r="AX98" s="1273"/>
      <c r="AY98" s="1273"/>
      <c r="AZ98" s="1273"/>
      <c r="BA98" s="1273"/>
      <c r="BB98" s="1273"/>
      <c r="BC98" s="2"/>
      <c r="BD98" s="486"/>
      <c r="BE98" s="1282"/>
      <c r="BF98" s="1282"/>
      <c r="BG98" s="1282"/>
      <c r="BH98" s="1282"/>
      <c r="BI98" s="1282"/>
      <c r="BJ98" s="1282"/>
      <c r="BK98" s="1282"/>
      <c r="BL98" s="1282"/>
      <c r="BM98" s="1282"/>
      <c r="BN98" s="1282"/>
      <c r="BO98" s="1282"/>
      <c r="BP98" s="1282"/>
      <c r="BQ98" s="1282"/>
      <c r="BR98" s="1282"/>
      <c r="BS98" s="1282"/>
      <c r="BT98" s="1282"/>
      <c r="BU98" s="1282"/>
      <c r="BV98" s="1282"/>
      <c r="BW98" s="1282"/>
      <c r="BX98" s="1282"/>
      <c r="BY98" s="1282"/>
      <c r="BZ98" s="1282"/>
      <c r="CA98" s="1282"/>
      <c r="CB98" s="1282"/>
      <c r="CC98" s="1282"/>
      <c r="CD98" s="1282"/>
      <c r="CE98" s="1282"/>
      <c r="CF98" s="1282"/>
      <c r="CG98" s="1282"/>
      <c r="CH98" s="1282"/>
      <c r="CI98" s="1282"/>
      <c r="CJ98" s="1282"/>
      <c r="CK98" s="1282"/>
      <c r="CL98" s="1282"/>
      <c r="CM98" s="1282"/>
      <c r="CN98" s="1282"/>
      <c r="CO98" s="1282"/>
      <c r="CP98" s="1282"/>
      <c r="CQ98" s="1282"/>
      <c r="CR98" s="1282"/>
      <c r="CS98" s="1282"/>
      <c r="CT98" s="1282"/>
      <c r="CU98" s="1283"/>
      <c r="CV98" s="5"/>
    </row>
    <row r="99" spans="1:103" ht="12" customHeight="1" x14ac:dyDescent="0.2">
      <c r="A99" s="5"/>
      <c r="B99" s="1268"/>
      <c r="C99" s="1268"/>
      <c r="D99" s="1268"/>
      <c r="E99" s="1268"/>
      <c r="F99" s="1268"/>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7"/>
      <c r="AC99" s="1270"/>
      <c r="AD99" s="1270"/>
      <c r="AE99" s="1270"/>
      <c r="AF99" s="1267"/>
      <c r="AG99" s="1268"/>
      <c r="AH99" s="1268"/>
      <c r="AI99" s="1268"/>
      <c r="AJ99" s="1268"/>
      <c r="AK99" s="1268"/>
      <c r="AL99" s="1268"/>
      <c r="AM99" s="1268"/>
      <c r="AN99" s="1268"/>
      <c r="AO99" s="1268"/>
      <c r="AP99" s="1268"/>
      <c r="AQ99" s="1268"/>
      <c r="AR99" s="1268"/>
      <c r="AS99" s="1268"/>
      <c r="AT99" s="1267"/>
      <c r="AU99" s="1272"/>
      <c r="AV99" s="1272"/>
      <c r="AW99" s="1272"/>
      <c r="AX99" s="1272"/>
      <c r="AY99" s="1272"/>
      <c r="AZ99" s="1272"/>
      <c r="BA99" s="1272"/>
      <c r="BB99" s="1272"/>
      <c r="BC99" s="2"/>
      <c r="BD99" s="486"/>
      <c r="BE99" s="1282"/>
      <c r="BF99" s="1282"/>
      <c r="BG99" s="1282"/>
      <c r="BH99" s="1282"/>
      <c r="BI99" s="1282"/>
      <c r="BJ99" s="1282"/>
      <c r="BK99" s="1282"/>
      <c r="BL99" s="1282"/>
      <c r="BM99" s="1282"/>
      <c r="BN99" s="1282"/>
      <c r="BO99" s="1282"/>
      <c r="BP99" s="1282"/>
      <c r="BQ99" s="1282"/>
      <c r="BR99" s="1282"/>
      <c r="BS99" s="1282"/>
      <c r="BT99" s="1282"/>
      <c r="BU99" s="1282"/>
      <c r="BV99" s="1282"/>
      <c r="BW99" s="1282"/>
      <c r="BX99" s="1282"/>
      <c r="BY99" s="1282"/>
      <c r="BZ99" s="1282"/>
      <c r="CA99" s="1282"/>
      <c r="CB99" s="1282"/>
      <c r="CC99" s="1282"/>
      <c r="CD99" s="1282"/>
      <c r="CE99" s="1282"/>
      <c r="CF99" s="1282"/>
      <c r="CG99" s="1282"/>
      <c r="CH99" s="1282"/>
      <c r="CI99" s="1282"/>
      <c r="CJ99" s="1282"/>
      <c r="CK99" s="1282"/>
      <c r="CL99" s="1282"/>
      <c r="CM99" s="1282"/>
      <c r="CN99" s="1282"/>
      <c r="CO99" s="1282"/>
      <c r="CP99" s="1282"/>
      <c r="CQ99" s="1282"/>
      <c r="CR99" s="1282"/>
      <c r="CS99" s="1282"/>
      <c r="CT99" s="1282"/>
      <c r="CU99" s="1283"/>
      <c r="CV99" s="5"/>
      <c r="CY99" s="6">
        <f>CY97+1</f>
        <v>34</v>
      </c>
    </row>
    <row r="100" spans="1:103" ht="12" customHeight="1" x14ac:dyDescent="0.2">
      <c r="A100" s="5"/>
      <c r="B100" s="1269"/>
      <c r="C100" s="1269"/>
      <c r="D100" s="1269"/>
      <c r="E100" s="1269"/>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7"/>
      <c r="AC100" s="1271"/>
      <c r="AD100" s="1271"/>
      <c r="AE100" s="1271"/>
      <c r="AF100" s="1267"/>
      <c r="AG100" s="1269"/>
      <c r="AH100" s="1269"/>
      <c r="AI100" s="1269"/>
      <c r="AJ100" s="1269"/>
      <c r="AK100" s="1269"/>
      <c r="AL100" s="1269"/>
      <c r="AM100" s="1269"/>
      <c r="AN100" s="1269"/>
      <c r="AO100" s="1269"/>
      <c r="AP100" s="1269"/>
      <c r="AQ100" s="1269"/>
      <c r="AR100" s="1269"/>
      <c r="AS100" s="1269"/>
      <c r="AT100" s="1267"/>
      <c r="AU100" s="1273"/>
      <c r="AV100" s="1273"/>
      <c r="AW100" s="1273"/>
      <c r="AX100" s="1273"/>
      <c r="AY100" s="1273"/>
      <c r="AZ100" s="1273"/>
      <c r="BA100" s="1273"/>
      <c r="BB100" s="1273"/>
      <c r="BC100" s="2"/>
      <c r="BD100" s="486"/>
      <c r="BE100" s="1282"/>
      <c r="BF100" s="1282"/>
      <c r="BG100" s="1282"/>
      <c r="BH100" s="1282"/>
      <c r="BI100" s="1282"/>
      <c r="BJ100" s="1282"/>
      <c r="BK100" s="1282"/>
      <c r="BL100" s="1282"/>
      <c r="BM100" s="1282"/>
      <c r="BN100" s="1282"/>
      <c r="BO100" s="1282"/>
      <c r="BP100" s="1282"/>
      <c r="BQ100" s="1282"/>
      <c r="BR100" s="1282"/>
      <c r="BS100" s="1282"/>
      <c r="BT100" s="1282"/>
      <c r="BU100" s="1282"/>
      <c r="BV100" s="1282"/>
      <c r="BW100" s="1282"/>
      <c r="BX100" s="1282"/>
      <c r="BY100" s="1282"/>
      <c r="BZ100" s="1282"/>
      <c r="CA100" s="1282"/>
      <c r="CB100" s="1282"/>
      <c r="CC100" s="1282"/>
      <c r="CD100" s="1282"/>
      <c r="CE100" s="1282"/>
      <c r="CF100" s="1282"/>
      <c r="CG100" s="1282"/>
      <c r="CH100" s="1282"/>
      <c r="CI100" s="1282"/>
      <c r="CJ100" s="1282"/>
      <c r="CK100" s="1282"/>
      <c r="CL100" s="1282"/>
      <c r="CM100" s="1282"/>
      <c r="CN100" s="1282"/>
      <c r="CO100" s="1282"/>
      <c r="CP100" s="1282"/>
      <c r="CQ100" s="1282"/>
      <c r="CR100" s="1282"/>
      <c r="CS100" s="1282"/>
      <c r="CT100" s="1282"/>
      <c r="CU100" s="1283"/>
      <c r="CV100" s="5"/>
    </row>
    <row r="101" spans="1:103" ht="12" customHeight="1" x14ac:dyDescent="0.2">
      <c r="A101" s="5"/>
      <c r="B101" s="1268"/>
      <c r="C101" s="1268"/>
      <c r="D101" s="1268"/>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7"/>
      <c r="AC101" s="1270"/>
      <c r="AD101" s="1270"/>
      <c r="AE101" s="1270"/>
      <c r="AF101" s="1267"/>
      <c r="AG101" s="1268"/>
      <c r="AH101" s="1268"/>
      <c r="AI101" s="1268"/>
      <c r="AJ101" s="1268"/>
      <c r="AK101" s="1268"/>
      <c r="AL101" s="1268"/>
      <c r="AM101" s="1268"/>
      <c r="AN101" s="1268"/>
      <c r="AO101" s="1268"/>
      <c r="AP101" s="1268"/>
      <c r="AQ101" s="1268"/>
      <c r="AR101" s="1268"/>
      <c r="AS101" s="1268"/>
      <c r="AT101" s="1267"/>
      <c r="AU101" s="1272"/>
      <c r="AV101" s="1272"/>
      <c r="AW101" s="1272"/>
      <c r="AX101" s="1272"/>
      <c r="AY101" s="1272"/>
      <c r="AZ101" s="1272"/>
      <c r="BA101" s="1272"/>
      <c r="BB101" s="1272"/>
      <c r="BC101" s="2"/>
      <c r="BD101" s="486"/>
      <c r="BE101" s="1282"/>
      <c r="BF101" s="1282"/>
      <c r="BG101" s="1282"/>
      <c r="BH101" s="1282"/>
      <c r="BI101" s="1282"/>
      <c r="BJ101" s="1282"/>
      <c r="BK101" s="1282"/>
      <c r="BL101" s="1282"/>
      <c r="BM101" s="1282"/>
      <c r="BN101" s="1282"/>
      <c r="BO101" s="1282"/>
      <c r="BP101" s="1282"/>
      <c r="BQ101" s="1282"/>
      <c r="BR101" s="1282"/>
      <c r="BS101" s="1282"/>
      <c r="BT101" s="1282"/>
      <c r="BU101" s="1282"/>
      <c r="BV101" s="1282"/>
      <c r="BW101" s="1282"/>
      <c r="BX101" s="1282"/>
      <c r="BY101" s="1282"/>
      <c r="BZ101" s="1282"/>
      <c r="CA101" s="1282"/>
      <c r="CB101" s="1282"/>
      <c r="CC101" s="1282"/>
      <c r="CD101" s="1282"/>
      <c r="CE101" s="1282"/>
      <c r="CF101" s="1282"/>
      <c r="CG101" s="1282"/>
      <c r="CH101" s="1282"/>
      <c r="CI101" s="1282"/>
      <c r="CJ101" s="1282"/>
      <c r="CK101" s="1282"/>
      <c r="CL101" s="1282"/>
      <c r="CM101" s="1282"/>
      <c r="CN101" s="1282"/>
      <c r="CO101" s="1282"/>
      <c r="CP101" s="1282"/>
      <c r="CQ101" s="1282"/>
      <c r="CR101" s="1282"/>
      <c r="CS101" s="1282"/>
      <c r="CT101" s="1282"/>
      <c r="CU101" s="1283"/>
      <c r="CV101" s="5"/>
      <c r="CY101" s="6">
        <f>CY99+1</f>
        <v>35</v>
      </c>
    </row>
    <row r="102" spans="1:103" ht="12" customHeight="1" x14ac:dyDescent="0.2">
      <c r="A102" s="5"/>
      <c r="B102" s="1269"/>
      <c r="C102" s="1269"/>
      <c r="D102" s="1269"/>
      <c r="E102" s="1269"/>
      <c r="F102" s="1269"/>
      <c r="G102" s="1269"/>
      <c r="H102" s="1269"/>
      <c r="I102" s="1269"/>
      <c r="J102" s="1269"/>
      <c r="K102" s="1269"/>
      <c r="L102" s="1269"/>
      <c r="M102" s="1269"/>
      <c r="N102" s="1269"/>
      <c r="O102" s="1269"/>
      <c r="P102" s="1269"/>
      <c r="Q102" s="1269"/>
      <c r="R102" s="1269"/>
      <c r="S102" s="1269"/>
      <c r="T102" s="1269"/>
      <c r="U102" s="1269"/>
      <c r="V102" s="1269"/>
      <c r="W102" s="1269"/>
      <c r="X102" s="1269"/>
      <c r="Y102" s="1269"/>
      <c r="Z102" s="1269"/>
      <c r="AA102" s="1269"/>
      <c r="AB102" s="1267"/>
      <c r="AC102" s="1271"/>
      <c r="AD102" s="1271"/>
      <c r="AE102" s="1271"/>
      <c r="AF102" s="1267"/>
      <c r="AG102" s="1269"/>
      <c r="AH102" s="1269"/>
      <c r="AI102" s="1269"/>
      <c r="AJ102" s="1269"/>
      <c r="AK102" s="1269"/>
      <c r="AL102" s="1269"/>
      <c r="AM102" s="1269"/>
      <c r="AN102" s="1269"/>
      <c r="AO102" s="1269"/>
      <c r="AP102" s="1269"/>
      <c r="AQ102" s="1269"/>
      <c r="AR102" s="1269"/>
      <c r="AS102" s="1269"/>
      <c r="AT102" s="1267"/>
      <c r="AU102" s="1273"/>
      <c r="AV102" s="1273"/>
      <c r="AW102" s="1273"/>
      <c r="AX102" s="1273"/>
      <c r="AY102" s="1273"/>
      <c r="AZ102" s="1273"/>
      <c r="BA102" s="1273"/>
      <c r="BB102" s="1273"/>
      <c r="BC102" s="2"/>
      <c r="BD102" s="486"/>
      <c r="BE102" s="1282"/>
      <c r="BF102" s="1282"/>
      <c r="BG102" s="1282"/>
      <c r="BH102" s="1282"/>
      <c r="BI102" s="1282"/>
      <c r="BJ102" s="1282"/>
      <c r="BK102" s="1282"/>
      <c r="BL102" s="1282"/>
      <c r="BM102" s="1282"/>
      <c r="BN102" s="1282"/>
      <c r="BO102" s="1282"/>
      <c r="BP102" s="1282"/>
      <c r="BQ102" s="1282"/>
      <c r="BR102" s="1282"/>
      <c r="BS102" s="1282"/>
      <c r="BT102" s="1282"/>
      <c r="BU102" s="1282"/>
      <c r="BV102" s="1282"/>
      <c r="BW102" s="1282"/>
      <c r="BX102" s="1282"/>
      <c r="BY102" s="1282"/>
      <c r="BZ102" s="1282"/>
      <c r="CA102" s="1282"/>
      <c r="CB102" s="1282"/>
      <c r="CC102" s="1282"/>
      <c r="CD102" s="1282"/>
      <c r="CE102" s="1282"/>
      <c r="CF102" s="1282"/>
      <c r="CG102" s="1282"/>
      <c r="CH102" s="1282"/>
      <c r="CI102" s="1282"/>
      <c r="CJ102" s="1282"/>
      <c r="CK102" s="1282"/>
      <c r="CL102" s="1282"/>
      <c r="CM102" s="1282"/>
      <c r="CN102" s="1282"/>
      <c r="CO102" s="1282"/>
      <c r="CP102" s="1282"/>
      <c r="CQ102" s="1282"/>
      <c r="CR102" s="1282"/>
      <c r="CS102" s="1282"/>
      <c r="CT102" s="1282"/>
      <c r="CU102" s="1283"/>
      <c r="CV102" s="5"/>
    </row>
    <row r="103" spans="1:103" ht="12" customHeight="1" x14ac:dyDescent="0.2">
      <c r="A103" s="5"/>
      <c r="B103" s="1268"/>
      <c r="C103" s="1268"/>
      <c r="D103" s="1268"/>
      <c r="E103" s="1268"/>
      <c r="F103" s="1268"/>
      <c r="G103" s="1268"/>
      <c r="H103" s="1268"/>
      <c r="I103" s="1268"/>
      <c r="J103" s="1268"/>
      <c r="K103" s="1268"/>
      <c r="L103" s="1268"/>
      <c r="M103" s="1268"/>
      <c r="N103" s="1268"/>
      <c r="O103" s="1268"/>
      <c r="P103" s="1268"/>
      <c r="Q103" s="1268"/>
      <c r="R103" s="1268"/>
      <c r="S103" s="1268"/>
      <c r="T103" s="1268"/>
      <c r="U103" s="1268"/>
      <c r="V103" s="1268"/>
      <c r="W103" s="1268"/>
      <c r="X103" s="1268"/>
      <c r="Y103" s="1268"/>
      <c r="Z103" s="1268"/>
      <c r="AA103" s="1268"/>
      <c r="AB103" s="1267"/>
      <c r="AC103" s="1270"/>
      <c r="AD103" s="1270"/>
      <c r="AE103" s="1270"/>
      <c r="AF103" s="1267"/>
      <c r="AG103" s="1268"/>
      <c r="AH103" s="1268"/>
      <c r="AI103" s="1268"/>
      <c r="AJ103" s="1268"/>
      <c r="AK103" s="1268"/>
      <c r="AL103" s="1268"/>
      <c r="AM103" s="1268"/>
      <c r="AN103" s="1268"/>
      <c r="AO103" s="1268"/>
      <c r="AP103" s="1268"/>
      <c r="AQ103" s="1268"/>
      <c r="AR103" s="1268"/>
      <c r="AS103" s="1268"/>
      <c r="AT103" s="1267"/>
      <c r="AU103" s="1272"/>
      <c r="AV103" s="1272"/>
      <c r="AW103" s="1272"/>
      <c r="AX103" s="1272"/>
      <c r="AY103" s="1272"/>
      <c r="AZ103" s="1272"/>
      <c r="BA103" s="1272"/>
      <c r="BB103" s="1272"/>
      <c r="BC103" s="2"/>
      <c r="BD103" s="486"/>
      <c r="BE103" s="1282"/>
      <c r="BF103" s="1282"/>
      <c r="BG103" s="1282"/>
      <c r="BH103" s="1282"/>
      <c r="BI103" s="1282"/>
      <c r="BJ103" s="1282"/>
      <c r="BK103" s="1282"/>
      <c r="BL103" s="1282"/>
      <c r="BM103" s="1282"/>
      <c r="BN103" s="1282"/>
      <c r="BO103" s="1282"/>
      <c r="BP103" s="1282"/>
      <c r="BQ103" s="1282"/>
      <c r="BR103" s="1282"/>
      <c r="BS103" s="1282"/>
      <c r="BT103" s="1282"/>
      <c r="BU103" s="1282"/>
      <c r="BV103" s="1282"/>
      <c r="BW103" s="1282"/>
      <c r="BX103" s="1282"/>
      <c r="BY103" s="1282"/>
      <c r="BZ103" s="1282"/>
      <c r="CA103" s="1282"/>
      <c r="CB103" s="1282"/>
      <c r="CC103" s="1282"/>
      <c r="CD103" s="1282"/>
      <c r="CE103" s="1282"/>
      <c r="CF103" s="1282"/>
      <c r="CG103" s="1282"/>
      <c r="CH103" s="1282"/>
      <c r="CI103" s="1282"/>
      <c r="CJ103" s="1282"/>
      <c r="CK103" s="1282"/>
      <c r="CL103" s="1282"/>
      <c r="CM103" s="1282"/>
      <c r="CN103" s="1282"/>
      <c r="CO103" s="1282"/>
      <c r="CP103" s="1282"/>
      <c r="CQ103" s="1282"/>
      <c r="CR103" s="1282"/>
      <c r="CS103" s="1282"/>
      <c r="CT103" s="1282"/>
      <c r="CU103" s="1283"/>
      <c r="CV103" s="5"/>
      <c r="CY103" s="6">
        <f>CY101+1</f>
        <v>36</v>
      </c>
    </row>
    <row r="104" spans="1:103" ht="12" customHeight="1" x14ac:dyDescent="0.2">
      <c r="A104" s="5"/>
      <c r="B104" s="1269"/>
      <c r="C104" s="1269"/>
      <c r="D104" s="1269"/>
      <c r="E104" s="1269"/>
      <c r="F104" s="1269"/>
      <c r="G104" s="1269"/>
      <c r="H104" s="1269"/>
      <c r="I104" s="1269"/>
      <c r="J104" s="1269"/>
      <c r="K104" s="1269"/>
      <c r="L104" s="1269"/>
      <c r="M104" s="1269"/>
      <c r="N104" s="1269"/>
      <c r="O104" s="1269"/>
      <c r="P104" s="1269"/>
      <c r="Q104" s="1269"/>
      <c r="R104" s="1269"/>
      <c r="S104" s="1269"/>
      <c r="T104" s="1269"/>
      <c r="U104" s="1269"/>
      <c r="V104" s="1269"/>
      <c r="W104" s="1269"/>
      <c r="X104" s="1269"/>
      <c r="Y104" s="1269"/>
      <c r="Z104" s="1269"/>
      <c r="AA104" s="1269"/>
      <c r="AB104" s="1267"/>
      <c r="AC104" s="1271"/>
      <c r="AD104" s="1271"/>
      <c r="AE104" s="1271"/>
      <c r="AF104" s="1267"/>
      <c r="AG104" s="1269"/>
      <c r="AH104" s="1269"/>
      <c r="AI104" s="1269"/>
      <c r="AJ104" s="1269"/>
      <c r="AK104" s="1269"/>
      <c r="AL104" s="1269"/>
      <c r="AM104" s="1269"/>
      <c r="AN104" s="1269"/>
      <c r="AO104" s="1269"/>
      <c r="AP104" s="1269"/>
      <c r="AQ104" s="1269"/>
      <c r="AR104" s="1269"/>
      <c r="AS104" s="1269"/>
      <c r="AT104" s="1267"/>
      <c r="AU104" s="1273"/>
      <c r="AV104" s="1273"/>
      <c r="AW104" s="1273"/>
      <c r="AX104" s="1273"/>
      <c r="AY104" s="1273"/>
      <c r="AZ104" s="1273"/>
      <c r="BA104" s="1273"/>
      <c r="BB104" s="1273"/>
      <c r="BC104" s="2"/>
      <c r="BD104" s="486"/>
      <c r="BE104" s="1282"/>
      <c r="BF104" s="1282"/>
      <c r="BG104" s="1282"/>
      <c r="BH104" s="1282"/>
      <c r="BI104" s="1282"/>
      <c r="BJ104" s="1282"/>
      <c r="BK104" s="1282"/>
      <c r="BL104" s="1282"/>
      <c r="BM104" s="1282"/>
      <c r="BN104" s="1282"/>
      <c r="BO104" s="1282"/>
      <c r="BP104" s="1282"/>
      <c r="BQ104" s="1282"/>
      <c r="BR104" s="1282"/>
      <c r="BS104" s="1282"/>
      <c r="BT104" s="1282"/>
      <c r="BU104" s="1282"/>
      <c r="BV104" s="1282"/>
      <c r="BW104" s="1282"/>
      <c r="BX104" s="1282"/>
      <c r="BY104" s="1282"/>
      <c r="BZ104" s="1282"/>
      <c r="CA104" s="1282"/>
      <c r="CB104" s="1282"/>
      <c r="CC104" s="1282"/>
      <c r="CD104" s="1282"/>
      <c r="CE104" s="1282"/>
      <c r="CF104" s="1282"/>
      <c r="CG104" s="1282"/>
      <c r="CH104" s="1282"/>
      <c r="CI104" s="1282"/>
      <c r="CJ104" s="1282"/>
      <c r="CK104" s="1282"/>
      <c r="CL104" s="1282"/>
      <c r="CM104" s="1282"/>
      <c r="CN104" s="1282"/>
      <c r="CO104" s="1282"/>
      <c r="CP104" s="1282"/>
      <c r="CQ104" s="1282"/>
      <c r="CR104" s="1282"/>
      <c r="CS104" s="1282"/>
      <c r="CT104" s="1282"/>
      <c r="CU104" s="1283"/>
      <c r="CV104" s="5"/>
    </row>
    <row r="105" spans="1:103" ht="12" customHeight="1" x14ac:dyDescent="0.2">
      <c r="A105" s="5"/>
      <c r="B105" s="1268"/>
      <c r="C105" s="1268"/>
      <c r="D105" s="1268"/>
      <c r="E105" s="1268"/>
      <c r="F105" s="1268"/>
      <c r="G105" s="1268"/>
      <c r="H105" s="1268"/>
      <c r="I105" s="1268"/>
      <c r="J105" s="1268"/>
      <c r="K105" s="1268"/>
      <c r="L105" s="1268"/>
      <c r="M105" s="1268"/>
      <c r="N105" s="1268"/>
      <c r="O105" s="1268"/>
      <c r="P105" s="1268"/>
      <c r="Q105" s="1268"/>
      <c r="R105" s="1268"/>
      <c r="S105" s="1268"/>
      <c r="T105" s="1268"/>
      <c r="U105" s="1268"/>
      <c r="V105" s="1268"/>
      <c r="W105" s="1268"/>
      <c r="X105" s="1268"/>
      <c r="Y105" s="1268"/>
      <c r="Z105" s="1268"/>
      <c r="AA105" s="1268"/>
      <c r="AB105" s="1267"/>
      <c r="AC105" s="1270"/>
      <c r="AD105" s="1270"/>
      <c r="AE105" s="1270"/>
      <c r="AF105" s="1267"/>
      <c r="AG105" s="1268"/>
      <c r="AH105" s="1268"/>
      <c r="AI105" s="1268"/>
      <c r="AJ105" s="1268"/>
      <c r="AK105" s="1268"/>
      <c r="AL105" s="1268"/>
      <c r="AM105" s="1268"/>
      <c r="AN105" s="1268"/>
      <c r="AO105" s="1268"/>
      <c r="AP105" s="1268"/>
      <c r="AQ105" s="1268"/>
      <c r="AR105" s="1268"/>
      <c r="AS105" s="1268"/>
      <c r="AT105" s="1267"/>
      <c r="AU105" s="1272"/>
      <c r="AV105" s="1272"/>
      <c r="AW105" s="1272"/>
      <c r="AX105" s="1272"/>
      <c r="AY105" s="1272"/>
      <c r="AZ105" s="1272"/>
      <c r="BA105" s="1272"/>
      <c r="BB105" s="1272"/>
      <c r="BC105" s="2"/>
      <c r="BD105" s="486"/>
      <c r="BE105" s="1282"/>
      <c r="BF105" s="1282"/>
      <c r="BG105" s="1282"/>
      <c r="BH105" s="1282"/>
      <c r="BI105" s="1282"/>
      <c r="BJ105" s="1282"/>
      <c r="BK105" s="1282"/>
      <c r="BL105" s="1282"/>
      <c r="BM105" s="1282"/>
      <c r="BN105" s="1282"/>
      <c r="BO105" s="1282"/>
      <c r="BP105" s="1282"/>
      <c r="BQ105" s="1282"/>
      <c r="BR105" s="1282"/>
      <c r="BS105" s="1282"/>
      <c r="BT105" s="1282"/>
      <c r="BU105" s="1282"/>
      <c r="BV105" s="1282"/>
      <c r="BW105" s="1282"/>
      <c r="BX105" s="1282"/>
      <c r="BY105" s="1282"/>
      <c r="BZ105" s="1282"/>
      <c r="CA105" s="1282"/>
      <c r="CB105" s="1282"/>
      <c r="CC105" s="1282"/>
      <c r="CD105" s="1282"/>
      <c r="CE105" s="1282"/>
      <c r="CF105" s="1282"/>
      <c r="CG105" s="1282"/>
      <c r="CH105" s="1282"/>
      <c r="CI105" s="1282"/>
      <c r="CJ105" s="1282"/>
      <c r="CK105" s="1282"/>
      <c r="CL105" s="1282"/>
      <c r="CM105" s="1282"/>
      <c r="CN105" s="1282"/>
      <c r="CO105" s="1282"/>
      <c r="CP105" s="1282"/>
      <c r="CQ105" s="1282"/>
      <c r="CR105" s="1282"/>
      <c r="CS105" s="1282"/>
      <c r="CT105" s="1282"/>
      <c r="CU105" s="1283"/>
      <c r="CV105" s="5"/>
      <c r="CY105" s="6">
        <f>CY103+1</f>
        <v>37</v>
      </c>
    </row>
    <row r="106" spans="1:103" ht="12" customHeight="1" x14ac:dyDescent="0.2">
      <c r="A106" s="5"/>
      <c r="B106" s="1269"/>
      <c r="C106" s="1269"/>
      <c r="D106" s="1269"/>
      <c r="E106" s="1269"/>
      <c r="F106" s="1269"/>
      <c r="G106" s="1269"/>
      <c r="H106" s="1269"/>
      <c r="I106" s="1269"/>
      <c r="J106" s="1269"/>
      <c r="K106" s="1269"/>
      <c r="L106" s="1269"/>
      <c r="M106" s="1269"/>
      <c r="N106" s="1269"/>
      <c r="O106" s="1269"/>
      <c r="P106" s="1269"/>
      <c r="Q106" s="1269"/>
      <c r="R106" s="1269"/>
      <c r="S106" s="1269"/>
      <c r="T106" s="1269"/>
      <c r="U106" s="1269"/>
      <c r="V106" s="1269"/>
      <c r="W106" s="1269"/>
      <c r="X106" s="1269"/>
      <c r="Y106" s="1269"/>
      <c r="Z106" s="1269"/>
      <c r="AA106" s="1269"/>
      <c r="AB106" s="1267"/>
      <c r="AC106" s="1271"/>
      <c r="AD106" s="1271"/>
      <c r="AE106" s="1271"/>
      <c r="AF106" s="1267"/>
      <c r="AG106" s="1269"/>
      <c r="AH106" s="1269"/>
      <c r="AI106" s="1269"/>
      <c r="AJ106" s="1269"/>
      <c r="AK106" s="1269"/>
      <c r="AL106" s="1269"/>
      <c r="AM106" s="1269"/>
      <c r="AN106" s="1269"/>
      <c r="AO106" s="1269"/>
      <c r="AP106" s="1269"/>
      <c r="AQ106" s="1269"/>
      <c r="AR106" s="1269"/>
      <c r="AS106" s="1269"/>
      <c r="AT106" s="1267"/>
      <c r="AU106" s="1273"/>
      <c r="AV106" s="1273"/>
      <c r="AW106" s="1273"/>
      <c r="AX106" s="1273"/>
      <c r="AY106" s="1273"/>
      <c r="AZ106" s="1273"/>
      <c r="BA106" s="1273"/>
      <c r="BB106" s="1273"/>
      <c r="BC106" s="2"/>
      <c r="BD106" s="486"/>
      <c r="BE106" s="1282"/>
      <c r="BF106" s="1282"/>
      <c r="BG106" s="1282"/>
      <c r="BH106" s="1282"/>
      <c r="BI106" s="1282"/>
      <c r="BJ106" s="1282"/>
      <c r="BK106" s="1282"/>
      <c r="BL106" s="1282"/>
      <c r="BM106" s="1282"/>
      <c r="BN106" s="1282"/>
      <c r="BO106" s="1282"/>
      <c r="BP106" s="1282"/>
      <c r="BQ106" s="1282"/>
      <c r="BR106" s="1282"/>
      <c r="BS106" s="1282"/>
      <c r="BT106" s="1282"/>
      <c r="BU106" s="1282"/>
      <c r="BV106" s="1282"/>
      <c r="BW106" s="1282"/>
      <c r="BX106" s="1282"/>
      <c r="BY106" s="1282"/>
      <c r="BZ106" s="1282"/>
      <c r="CA106" s="1282"/>
      <c r="CB106" s="1282"/>
      <c r="CC106" s="1282"/>
      <c r="CD106" s="1282"/>
      <c r="CE106" s="1282"/>
      <c r="CF106" s="1282"/>
      <c r="CG106" s="1282"/>
      <c r="CH106" s="1282"/>
      <c r="CI106" s="1282"/>
      <c r="CJ106" s="1282"/>
      <c r="CK106" s="1282"/>
      <c r="CL106" s="1282"/>
      <c r="CM106" s="1282"/>
      <c r="CN106" s="1282"/>
      <c r="CO106" s="1282"/>
      <c r="CP106" s="1282"/>
      <c r="CQ106" s="1282"/>
      <c r="CR106" s="1282"/>
      <c r="CS106" s="1282"/>
      <c r="CT106" s="1282"/>
      <c r="CU106" s="1283"/>
      <c r="CV106" s="5"/>
    </row>
    <row r="107" spans="1:103" ht="12" customHeight="1" x14ac:dyDescent="0.2">
      <c r="A107" s="5"/>
      <c r="B107" s="1268"/>
      <c r="C107" s="1268"/>
      <c r="D107" s="1268"/>
      <c r="E107" s="1268"/>
      <c r="F107" s="1268"/>
      <c r="G107" s="1268"/>
      <c r="H107" s="1268"/>
      <c r="I107" s="1268"/>
      <c r="J107" s="1268"/>
      <c r="K107" s="1268"/>
      <c r="L107" s="1268"/>
      <c r="M107" s="1268"/>
      <c r="N107" s="1268"/>
      <c r="O107" s="1268"/>
      <c r="P107" s="1268"/>
      <c r="Q107" s="1268"/>
      <c r="R107" s="1268"/>
      <c r="S107" s="1268"/>
      <c r="T107" s="1268"/>
      <c r="U107" s="1268"/>
      <c r="V107" s="1268"/>
      <c r="W107" s="1268"/>
      <c r="X107" s="1268"/>
      <c r="Y107" s="1268"/>
      <c r="Z107" s="1268"/>
      <c r="AA107" s="1268"/>
      <c r="AB107" s="1267"/>
      <c r="AC107" s="1270"/>
      <c r="AD107" s="1270"/>
      <c r="AE107" s="1270"/>
      <c r="AF107" s="1267"/>
      <c r="AG107" s="1268"/>
      <c r="AH107" s="1268"/>
      <c r="AI107" s="1268"/>
      <c r="AJ107" s="1268"/>
      <c r="AK107" s="1268"/>
      <c r="AL107" s="1268"/>
      <c r="AM107" s="1268"/>
      <c r="AN107" s="1268"/>
      <c r="AO107" s="1268"/>
      <c r="AP107" s="1268"/>
      <c r="AQ107" s="1268"/>
      <c r="AR107" s="1268"/>
      <c r="AS107" s="1268"/>
      <c r="AT107" s="1267"/>
      <c r="AU107" s="1272"/>
      <c r="AV107" s="1272"/>
      <c r="AW107" s="1272"/>
      <c r="AX107" s="1272"/>
      <c r="AY107" s="1272"/>
      <c r="AZ107" s="1272"/>
      <c r="BA107" s="1272"/>
      <c r="BB107" s="1272"/>
      <c r="BC107" s="2"/>
      <c r="BD107" s="486"/>
      <c r="BE107" s="1282"/>
      <c r="BF107" s="1282"/>
      <c r="BG107" s="1282"/>
      <c r="BH107" s="1282"/>
      <c r="BI107" s="1282"/>
      <c r="BJ107" s="1282"/>
      <c r="BK107" s="1282"/>
      <c r="BL107" s="1282"/>
      <c r="BM107" s="1282"/>
      <c r="BN107" s="1282"/>
      <c r="BO107" s="1282"/>
      <c r="BP107" s="1282"/>
      <c r="BQ107" s="1282"/>
      <c r="BR107" s="1282"/>
      <c r="BS107" s="1282"/>
      <c r="BT107" s="1282"/>
      <c r="BU107" s="1282"/>
      <c r="BV107" s="1282"/>
      <c r="BW107" s="1282"/>
      <c r="BX107" s="1282"/>
      <c r="BY107" s="1282"/>
      <c r="BZ107" s="1282"/>
      <c r="CA107" s="1282"/>
      <c r="CB107" s="1282"/>
      <c r="CC107" s="1282"/>
      <c r="CD107" s="1282"/>
      <c r="CE107" s="1282"/>
      <c r="CF107" s="1282"/>
      <c r="CG107" s="1282"/>
      <c r="CH107" s="1282"/>
      <c r="CI107" s="1282"/>
      <c r="CJ107" s="1282"/>
      <c r="CK107" s="1282"/>
      <c r="CL107" s="1282"/>
      <c r="CM107" s="1282"/>
      <c r="CN107" s="1282"/>
      <c r="CO107" s="1282"/>
      <c r="CP107" s="1282"/>
      <c r="CQ107" s="1282"/>
      <c r="CR107" s="1282"/>
      <c r="CS107" s="1282"/>
      <c r="CT107" s="1282"/>
      <c r="CU107" s="1283"/>
      <c r="CV107" s="5"/>
      <c r="CY107" s="6">
        <f>CY105+1</f>
        <v>38</v>
      </c>
    </row>
    <row r="108" spans="1:103" ht="12" customHeight="1" x14ac:dyDescent="0.2">
      <c r="A108" s="5"/>
      <c r="B108" s="1269"/>
      <c r="C108" s="1269"/>
      <c r="D108" s="1269"/>
      <c r="E108" s="1269"/>
      <c r="F108" s="1269"/>
      <c r="G108" s="1269"/>
      <c r="H108" s="1269"/>
      <c r="I108" s="1269"/>
      <c r="J108" s="1269"/>
      <c r="K108" s="1269"/>
      <c r="L108" s="1269"/>
      <c r="M108" s="1269"/>
      <c r="N108" s="1269"/>
      <c r="O108" s="1269"/>
      <c r="P108" s="1269"/>
      <c r="Q108" s="1269"/>
      <c r="R108" s="1269"/>
      <c r="S108" s="1269"/>
      <c r="T108" s="1269"/>
      <c r="U108" s="1269"/>
      <c r="V108" s="1269"/>
      <c r="W108" s="1269"/>
      <c r="X108" s="1269"/>
      <c r="Y108" s="1269"/>
      <c r="Z108" s="1269"/>
      <c r="AA108" s="1269"/>
      <c r="AB108" s="1267"/>
      <c r="AC108" s="1271"/>
      <c r="AD108" s="1271"/>
      <c r="AE108" s="1271"/>
      <c r="AF108" s="1267"/>
      <c r="AG108" s="1269"/>
      <c r="AH108" s="1269"/>
      <c r="AI108" s="1269"/>
      <c r="AJ108" s="1269"/>
      <c r="AK108" s="1269"/>
      <c r="AL108" s="1269"/>
      <c r="AM108" s="1269"/>
      <c r="AN108" s="1269"/>
      <c r="AO108" s="1269"/>
      <c r="AP108" s="1269"/>
      <c r="AQ108" s="1269"/>
      <c r="AR108" s="1269"/>
      <c r="AS108" s="1269"/>
      <c r="AT108" s="1267"/>
      <c r="AU108" s="1273"/>
      <c r="AV108" s="1273"/>
      <c r="AW108" s="1273"/>
      <c r="AX108" s="1273"/>
      <c r="AY108" s="1273"/>
      <c r="AZ108" s="1273"/>
      <c r="BA108" s="1273"/>
      <c r="BB108" s="1273"/>
      <c r="BC108" s="2"/>
      <c r="BD108" s="486"/>
      <c r="BE108" s="1282"/>
      <c r="BF108" s="1282"/>
      <c r="BG108" s="1282"/>
      <c r="BH108" s="1282"/>
      <c r="BI108" s="1282"/>
      <c r="BJ108" s="1282"/>
      <c r="BK108" s="1282"/>
      <c r="BL108" s="1282"/>
      <c r="BM108" s="1282"/>
      <c r="BN108" s="1282"/>
      <c r="BO108" s="1282"/>
      <c r="BP108" s="1282"/>
      <c r="BQ108" s="1282"/>
      <c r="BR108" s="1282"/>
      <c r="BS108" s="1282"/>
      <c r="BT108" s="1282"/>
      <c r="BU108" s="1282"/>
      <c r="BV108" s="1282"/>
      <c r="BW108" s="1282"/>
      <c r="BX108" s="1282"/>
      <c r="BY108" s="1282"/>
      <c r="BZ108" s="1282"/>
      <c r="CA108" s="1282"/>
      <c r="CB108" s="1282"/>
      <c r="CC108" s="1282"/>
      <c r="CD108" s="1282"/>
      <c r="CE108" s="1282"/>
      <c r="CF108" s="1282"/>
      <c r="CG108" s="1282"/>
      <c r="CH108" s="1282"/>
      <c r="CI108" s="1282"/>
      <c r="CJ108" s="1282"/>
      <c r="CK108" s="1282"/>
      <c r="CL108" s="1282"/>
      <c r="CM108" s="1282"/>
      <c r="CN108" s="1282"/>
      <c r="CO108" s="1282"/>
      <c r="CP108" s="1282"/>
      <c r="CQ108" s="1282"/>
      <c r="CR108" s="1282"/>
      <c r="CS108" s="1282"/>
      <c r="CT108" s="1282"/>
      <c r="CU108" s="1283"/>
      <c r="CV108" s="5"/>
    </row>
    <row r="109" spans="1:103" ht="12" customHeight="1" x14ac:dyDescent="0.2">
      <c r="A109" s="5"/>
      <c r="B109" s="129"/>
      <c r="C109" s="129"/>
      <c r="D109" s="129"/>
      <c r="E109" s="129"/>
      <c r="F109" s="129"/>
      <c r="G109" s="129"/>
      <c r="H109" s="129"/>
      <c r="I109" s="129"/>
      <c r="J109" s="129"/>
      <c r="K109" s="129"/>
      <c r="L109" s="129"/>
      <c r="M109" s="129"/>
      <c r="N109" s="129"/>
      <c r="O109" s="129"/>
      <c r="P109" s="129"/>
      <c r="Q109" s="129"/>
      <c r="R109" s="129"/>
      <c r="S109" s="129"/>
      <c r="T109" s="129"/>
      <c r="U109" s="129"/>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59"/>
      <c r="AV109" s="159"/>
      <c r="AW109" s="159"/>
      <c r="AX109" s="159"/>
      <c r="AY109" s="159"/>
      <c r="AZ109" s="159"/>
      <c r="BA109" s="159"/>
      <c r="BB109" s="159"/>
      <c r="BC109" s="2"/>
      <c r="BD109" s="486"/>
      <c r="BE109" s="1282"/>
      <c r="BF109" s="1282"/>
      <c r="BG109" s="1282"/>
      <c r="BH109" s="1282"/>
      <c r="BI109" s="1282"/>
      <c r="BJ109" s="1282"/>
      <c r="BK109" s="1282"/>
      <c r="BL109" s="1282"/>
      <c r="BM109" s="1282"/>
      <c r="BN109" s="1282"/>
      <c r="BO109" s="1282"/>
      <c r="BP109" s="1282"/>
      <c r="BQ109" s="1282"/>
      <c r="BR109" s="1282"/>
      <c r="BS109" s="1282"/>
      <c r="BT109" s="1282"/>
      <c r="BU109" s="1282"/>
      <c r="BV109" s="1282"/>
      <c r="BW109" s="1282"/>
      <c r="BX109" s="1282"/>
      <c r="BY109" s="1282"/>
      <c r="BZ109" s="1282"/>
      <c r="CA109" s="1282"/>
      <c r="CB109" s="1282"/>
      <c r="CC109" s="1282"/>
      <c r="CD109" s="1282"/>
      <c r="CE109" s="1282"/>
      <c r="CF109" s="1282"/>
      <c r="CG109" s="1282"/>
      <c r="CH109" s="1282"/>
      <c r="CI109" s="1282"/>
      <c r="CJ109" s="1282"/>
      <c r="CK109" s="1282"/>
      <c r="CL109" s="1282"/>
      <c r="CM109" s="1282"/>
      <c r="CN109" s="1282"/>
      <c r="CO109" s="1282"/>
      <c r="CP109" s="1282"/>
      <c r="CQ109" s="1282"/>
      <c r="CR109" s="1282"/>
      <c r="CS109" s="1282"/>
      <c r="CT109" s="1282"/>
      <c r="CU109" s="1283"/>
      <c r="CV109" s="5"/>
      <c r="CY109" s="6">
        <f>CY107+1</f>
        <v>39</v>
      </c>
    </row>
    <row r="110" spans="1:103" ht="12" customHeight="1" x14ac:dyDescent="0.25">
      <c r="A110" s="5"/>
      <c r="B110" s="125"/>
      <c r="C110" s="125"/>
      <c r="D110" s="125"/>
      <c r="E110" s="125"/>
      <c r="F110" s="125"/>
      <c r="G110" s="125"/>
      <c r="H110" s="125"/>
      <c r="I110" s="125"/>
      <c r="J110" s="125"/>
      <c r="K110" s="125"/>
      <c r="L110" s="125"/>
      <c r="M110" s="125"/>
      <c r="N110" s="125"/>
      <c r="O110" s="125"/>
      <c r="P110" s="125"/>
      <c r="Q110" s="125"/>
      <c r="R110" s="125"/>
      <c r="S110" s="125"/>
      <c r="T110" s="125"/>
      <c r="U110" s="125"/>
      <c r="V110" s="127"/>
      <c r="W110" s="127"/>
      <c r="X110" s="127"/>
      <c r="Y110" s="127"/>
      <c r="Z110" s="127"/>
      <c r="AA110" s="127"/>
      <c r="AB110" s="126"/>
      <c r="AC110" s="126"/>
      <c r="AD110" s="126"/>
      <c r="AE110" s="126"/>
      <c r="AF110" s="126"/>
      <c r="AG110" s="1293" t="s">
        <v>404</v>
      </c>
      <c r="AH110" s="1293"/>
      <c r="AI110" s="1293"/>
      <c r="AJ110" s="1293"/>
      <c r="AK110" s="1293"/>
      <c r="AL110" s="1293"/>
      <c r="AM110" s="1293"/>
      <c r="AN110" s="1293"/>
      <c r="AO110" s="1293"/>
      <c r="AP110" s="1293"/>
      <c r="AQ110" s="1293"/>
      <c r="AR110" s="1293"/>
      <c r="AS110" s="1293"/>
      <c r="AT110" s="168"/>
      <c r="AU110" s="1295" t="str">
        <f>IF(SUM(AU89:BB108)=0,"",SUM(AU89:BB108))</f>
        <v/>
      </c>
      <c r="AV110" s="1295"/>
      <c r="AW110" s="1295"/>
      <c r="AX110" s="1295"/>
      <c r="AY110" s="1295"/>
      <c r="AZ110" s="1295"/>
      <c r="BA110" s="1295"/>
      <c r="BB110" s="1295"/>
      <c r="BC110" s="2"/>
      <c r="BD110" s="486"/>
      <c r="BE110" s="1282"/>
      <c r="BF110" s="1282"/>
      <c r="BG110" s="1282"/>
      <c r="BH110" s="1282"/>
      <c r="BI110" s="1282"/>
      <c r="BJ110" s="1282"/>
      <c r="BK110" s="1282"/>
      <c r="BL110" s="1282"/>
      <c r="BM110" s="1282"/>
      <c r="BN110" s="1282"/>
      <c r="BO110" s="1282"/>
      <c r="BP110" s="1282"/>
      <c r="BQ110" s="1282"/>
      <c r="BR110" s="1282"/>
      <c r="BS110" s="1282"/>
      <c r="BT110" s="1282"/>
      <c r="BU110" s="1282"/>
      <c r="BV110" s="1282"/>
      <c r="BW110" s="1282"/>
      <c r="BX110" s="1282"/>
      <c r="BY110" s="1282"/>
      <c r="BZ110" s="1282"/>
      <c r="CA110" s="1282"/>
      <c r="CB110" s="1282"/>
      <c r="CC110" s="1282"/>
      <c r="CD110" s="1282"/>
      <c r="CE110" s="1282"/>
      <c r="CF110" s="1282"/>
      <c r="CG110" s="1282"/>
      <c r="CH110" s="1282"/>
      <c r="CI110" s="1282"/>
      <c r="CJ110" s="1282"/>
      <c r="CK110" s="1282"/>
      <c r="CL110" s="1282"/>
      <c r="CM110" s="1282"/>
      <c r="CN110" s="1282"/>
      <c r="CO110" s="1282"/>
      <c r="CP110" s="1282"/>
      <c r="CQ110" s="1282"/>
      <c r="CR110" s="1282"/>
      <c r="CS110" s="1282"/>
      <c r="CT110" s="1282"/>
      <c r="CU110" s="1283"/>
      <c r="CV110" s="5"/>
    </row>
    <row r="111" spans="1:103" ht="12" customHeight="1" x14ac:dyDescent="0.25">
      <c r="A111" s="5"/>
      <c r="B111" s="125"/>
      <c r="C111" s="125"/>
      <c r="D111" s="125"/>
      <c r="E111" s="125"/>
      <c r="F111" s="125"/>
      <c r="G111" s="125"/>
      <c r="H111" s="125"/>
      <c r="I111" s="125"/>
      <c r="J111" s="125"/>
      <c r="K111" s="125"/>
      <c r="L111" s="125"/>
      <c r="M111" s="125"/>
      <c r="N111" s="125"/>
      <c r="O111" s="125"/>
      <c r="P111" s="125"/>
      <c r="Q111" s="125"/>
      <c r="R111" s="125"/>
      <c r="S111" s="125"/>
      <c r="T111" s="125"/>
      <c r="U111" s="125"/>
      <c r="V111" s="127"/>
      <c r="W111" s="127"/>
      <c r="X111" s="127"/>
      <c r="Y111" s="127"/>
      <c r="Z111" s="127"/>
      <c r="AA111" s="127"/>
      <c r="AB111" s="126"/>
      <c r="AC111" s="126"/>
      <c r="AD111" s="126"/>
      <c r="AE111" s="126"/>
      <c r="AF111" s="126"/>
      <c r="AG111" s="1293"/>
      <c r="AH111" s="1293"/>
      <c r="AI111" s="1293"/>
      <c r="AJ111" s="1293"/>
      <c r="AK111" s="1293"/>
      <c r="AL111" s="1293"/>
      <c r="AM111" s="1293"/>
      <c r="AN111" s="1293"/>
      <c r="AO111" s="1293"/>
      <c r="AP111" s="1293"/>
      <c r="AQ111" s="1293"/>
      <c r="AR111" s="1293"/>
      <c r="AS111" s="1293"/>
      <c r="AT111" s="168"/>
      <c r="AU111" s="1296"/>
      <c r="AV111" s="1296"/>
      <c r="AW111" s="1296"/>
      <c r="AX111" s="1296"/>
      <c r="AY111" s="1296"/>
      <c r="AZ111" s="1296"/>
      <c r="BA111" s="1296"/>
      <c r="BB111" s="1296"/>
      <c r="BC111" s="2"/>
      <c r="BD111" s="486"/>
      <c r="BE111" s="1282"/>
      <c r="BF111" s="1282"/>
      <c r="BG111" s="1282"/>
      <c r="BH111" s="1282"/>
      <c r="BI111" s="1282"/>
      <c r="BJ111" s="1282"/>
      <c r="BK111" s="1282"/>
      <c r="BL111" s="1282"/>
      <c r="BM111" s="1282"/>
      <c r="BN111" s="1282"/>
      <c r="BO111" s="1282"/>
      <c r="BP111" s="1282"/>
      <c r="BQ111" s="1282"/>
      <c r="BR111" s="1282"/>
      <c r="BS111" s="1282"/>
      <c r="BT111" s="1282"/>
      <c r="BU111" s="1282"/>
      <c r="BV111" s="1282"/>
      <c r="BW111" s="1282"/>
      <c r="BX111" s="1282"/>
      <c r="BY111" s="1282"/>
      <c r="BZ111" s="1282"/>
      <c r="CA111" s="1282"/>
      <c r="CB111" s="1282"/>
      <c r="CC111" s="1282"/>
      <c r="CD111" s="1282"/>
      <c r="CE111" s="1282"/>
      <c r="CF111" s="1282"/>
      <c r="CG111" s="1282"/>
      <c r="CH111" s="1282"/>
      <c r="CI111" s="1282"/>
      <c r="CJ111" s="1282"/>
      <c r="CK111" s="1282"/>
      <c r="CL111" s="1282"/>
      <c r="CM111" s="1282"/>
      <c r="CN111" s="1282"/>
      <c r="CO111" s="1282"/>
      <c r="CP111" s="1282"/>
      <c r="CQ111" s="1282"/>
      <c r="CR111" s="1282"/>
      <c r="CS111" s="1282"/>
      <c r="CT111" s="1282"/>
      <c r="CU111" s="1283"/>
      <c r="CV111" s="5"/>
      <c r="CY111" s="6">
        <f>CY109+1</f>
        <v>40</v>
      </c>
    </row>
    <row r="112" spans="1:103" ht="12" customHeight="1" thickBot="1" x14ac:dyDescent="0.25">
      <c r="A112" s="5"/>
      <c r="B112" s="125"/>
      <c r="C112" s="125"/>
      <c r="D112" s="125"/>
      <c r="E112" s="125"/>
      <c r="F112" s="125"/>
      <c r="G112" s="125"/>
      <c r="H112" s="125"/>
      <c r="I112" s="125"/>
      <c r="J112" s="125"/>
      <c r="K112" s="125"/>
      <c r="L112" s="125"/>
      <c r="M112" s="125"/>
      <c r="N112" s="125"/>
      <c r="O112" s="125"/>
      <c r="P112" s="125"/>
      <c r="Q112" s="125"/>
      <c r="R112" s="125"/>
      <c r="S112" s="125"/>
      <c r="T112" s="125"/>
      <c r="U112" s="125"/>
      <c r="V112" s="127"/>
      <c r="W112" s="127"/>
      <c r="X112" s="127"/>
      <c r="Y112" s="127"/>
      <c r="Z112" s="127"/>
      <c r="AA112" s="127"/>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2"/>
      <c r="BD112" s="486"/>
      <c r="BE112" s="1282"/>
      <c r="BF112" s="1282"/>
      <c r="BG112" s="1282"/>
      <c r="BH112" s="1282"/>
      <c r="BI112" s="1282"/>
      <c r="BJ112" s="1282"/>
      <c r="BK112" s="1282"/>
      <c r="BL112" s="1282"/>
      <c r="BM112" s="1282"/>
      <c r="BN112" s="1282"/>
      <c r="BO112" s="1282"/>
      <c r="BP112" s="1282"/>
      <c r="BQ112" s="1282"/>
      <c r="BR112" s="1282"/>
      <c r="BS112" s="1282"/>
      <c r="BT112" s="1282"/>
      <c r="BU112" s="1282"/>
      <c r="BV112" s="1282"/>
      <c r="BW112" s="1282"/>
      <c r="BX112" s="1282"/>
      <c r="BY112" s="1282"/>
      <c r="BZ112" s="1282"/>
      <c r="CA112" s="1282"/>
      <c r="CB112" s="1282"/>
      <c r="CC112" s="1282"/>
      <c r="CD112" s="1282"/>
      <c r="CE112" s="1282"/>
      <c r="CF112" s="1282"/>
      <c r="CG112" s="1282"/>
      <c r="CH112" s="1282"/>
      <c r="CI112" s="1282"/>
      <c r="CJ112" s="1282"/>
      <c r="CK112" s="1282"/>
      <c r="CL112" s="1282"/>
      <c r="CM112" s="1282"/>
      <c r="CN112" s="1282"/>
      <c r="CO112" s="1282"/>
      <c r="CP112" s="1282"/>
      <c r="CQ112" s="1282"/>
      <c r="CR112" s="1282"/>
      <c r="CS112" s="1282"/>
      <c r="CT112" s="1282"/>
      <c r="CU112" s="1283"/>
      <c r="CV112" s="5"/>
    </row>
    <row r="113" spans="1:103" ht="12" customHeight="1" x14ac:dyDescent="0.2">
      <c r="A113" s="5"/>
      <c r="B113" s="1302" t="s">
        <v>2988</v>
      </c>
      <c r="C113" s="1303"/>
      <c r="D113" s="1303"/>
      <c r="E113" s="1303"/>
      <c r="F113" s="1303"/>
      <c r="G113" s="1303"/>
      <c r="H113" s="1303"/>
      <c r="I113" s="1303"/>
      <c r="J113" s="1303"/>
      <c r="K113" s="1303"/>
      <c r="L113" s="1303"/>
      <c r="M113" s="1303"/>
      <c r="N113" s="1303"/>
      <c r="O113" s="1303"/>
      <c r="P113" s="1303"/>
      <c r="Q113" s="1303"/>
      <c r="R113" s="1303"/>
      <c r="S113" s="1303"/>
      <c r="T113" s="1303"/>
      <c r="U113" s="1303"/>
      <c r="V113" s="1303"/>
      <c r="W113" s="1303"/>
      <c r="X113" s="1303"/>
      <c r="Y113" s="1303"/>
      <c r="Z113" s="1303"/>
      <c r="AA113" s="1303"/>
      <c r="AB113" s="126"/>
      <c r="AC113" s="1274" t="s">
        <v>846</v>
      </c>
      <c r="AD113" s="1275"/>
      <c r="AE113" s="1275"/>
      <c r="AF113" s="1275"/>
      <c r="AG113" s="1275"/>
      <c r="AH113" s="1275"/>
      <c r="AI113" s="1275"/>
      <c r="AJ113" s="1275"/>
      <c r="AK113" s="1275"/>
      <c r="AL113" s="1275"/>
      <c r="AM113" s="1275"/>
      <c r="AN113" s="1275"/>
      <c r="AO113" s="1275"/>
      <c r="AP113" s="1275"/>
      <c r="AQ113" s="1275"/>
      <c r="AR113" s="1275"/>
      <c r="AS113" s="1275"/>
      <c r="AT113" s="1275"/>
      <c r="AU113" s="1275"/>
      <c r="AV113" s="1275"/>
      <c r="AW113" s="1275"/>
      <c r="AX113" s="1275"/>
      <c r="AY113" s="1275"/>
      <c r="AZ113" s="1275"/>
      <c r="BA113" s="1275"/>
      <c r="BB113" s="1276"/>
      <c r="BC113" s="2"/>
      <c r="BD113" s="486"/>
      <c r="BE113" s="1282"/>
      <c r="BF113" s="1282"/>
      <c r="BG113" s="1282"/>
      <c r="BH113" s="1282"/>
      <c r="BI113" s="1282"/>
      <c r="BJ113" s="1282"/>
      <c r="BK113" s="1282"/>
      <c r="BL113" s="1282"/>
      <c r="BM113" s="1282"/>
      <c r="BN113" s="1282"/>
      <c r="BO113" s="1282"/>
      <c r="BP113" s="1282"/>
      <c r="BQ113" s="1282"/>
      <c r="BR113" s="1282"/>
      <c r="BS113" s="1282"/>
      <c r="BT113" s="1282"/>
      <c r="BU113" s="1282"/>
      <c r="BV113" s="1282"/>
      <c r="BW113" s="1282"/>
      <c r="BX113" s="1282"/>
      <c r="BY113" s="1282"/>
      <c r="BZ113" s="1282"/>
      <c r="CA113" s="1282"/>
      <c r="CB113" s="1282"/>
      <c r="CC113" s="1282"/>
      <c r="CD113" s="1282"/>
      <c r="CE113" s="1282"/>
      <c r="CF113" s="1282"/>
      <c r="CG113" s="1282"/>
      <c r="CH113" s="1282"/>
      <c r="CI113" s="1282"/>
      <c r="CJ113" s="1282"/>
      <c r="CK113" s="1282"/>
      <c r="CL113" s="1282"/>
      <c r="CM113" s="1282"/>
      <c r="CN113" s="1282"/>
      <c r="CO113" s="1282"/>
      <c r="CP113" s="1282"/>
      <c r="CQ113" s="1282"/>
      <c r="CR113" s="1282"/>
      <c r="CS113" s="1282"/>
      <c r="CT113" s="1282"/>
      <c r="CU113" s="1283"/>
      <c r="CV113" s="5"/>
      <c r="CY113" s="6">
        <f>CY111+1</f>
        <v>41</v>
      </c>
    </row>
    <row r="114" spans="1:103" ht="12" customHeight="1" thickBot="1" x14ac:dyDescent="0.25">
      <c r="A114" s="5"/>
      <c r="B114" s="1305"/>
      <c r="C114" s="1278"/>
      <c r="D114" s="1278"/>
      <c r="E114" s="1278"/>
      <c r="F114" s="1278"/>
      <c r="G114" s="1278"/>
      <c r="H114" s="1278"/>
      <c r="I114" s="1278"/>
      <c r="J114" s="1278"/>
      <c r="K114" s="1278"/>
      <c r="L114" s="1278"/>
      <c r="M114" s="1278"/>
      <c r="N114" s="1278"/>
      <c r="O114" s="1278"/>
      <c r="P114" s="1278"/>
      <c r="Q114" s="1278"/>
      <c r="R114" s="1278"/>
      <c r="S114" s="1278"/>
      <c r="T114" s="1278"/>
      <c r="U114" s="1278"/>
      <c r="V114" s="1278"/>
      <c r="W114" s="1278"/>
      <c r="X114" s="1278"/>
      <c r="Y114" s="1278"/>
      <c r="Z114" s="1278"/>
      <c r="AA114" s="1278"/>
      <c r="AB114" s="126"/>
      <c r="AC114" s="1277"/>
      <c r="AD114" s="1278"/>
      <c r="AE114" s="1278"/>
      <c r="AF114" s="1278"/>
      <c r="AG114" s="1278"/>
      <c r="AH114" s="1278"/>
      <c r="AI114" s="1278"/>
      <c r="AJ114" s="1278"/>
      <c r="AK114" s="1278"/>
      <c r="AL114" s="1278"/>
      <c r="AM114" s="1278"/>
      <c r="AN114" s="1278"/>
      <c r="AO114" s="1278"/>
      <c r="AP114" s="1278"/>
      <c r="AQ114" s="1278"/>
      <c r="AR114" s="1278"/>
      <c r="AS114" s="1278"/>
      <c r="AT114" s="1278"/>
      <c r="AU114" s="1278"/>
      <c r="AV114" s="1278"/>
      <c r="AW114" s="1278"/>
      <c r="AX114" s="1278"/>
      <c r="AY114" s="1278"/>
      <c r="AZ114" s="1278"/>
      <c r="BA114" s="1278"/>
      <c r="BB114" s="1279"/>
      <c r="BC114" s="2"/>
      <c r="BD114" s="486"/>
      <c r="BE114" s="1282"/>
      <c r="BF114" s="1282"/>
      <c r="BG114" s="1282"/>
      <c r="BH114" s="1282"/>
      <c r="BI114" s="1282"/>
      <c r="BJ114" s="1282"/>
      <c r="BK114" s="1282"/>
      <c r="BL114" s="1282"/>
      <c r="BM114" s="1282"/>
      <c r="BN114" s="1282"/>
      <c r="BO114" s="1282"/>
      <c r="BP114" s="1282"/>
      <c r="BQ114" s="1282"/>
      <c r="BR114" s="1282"/>
      <c r="BS114" s="1282"/>
      <c r="BT114" s="1282"/>
      <c r="BU114" s="1282"/>
      <c r="BV114" s="1282"/>
      <c r="BW114" s="1282"/>
      <c r="BX114" s="1282"/>
      <c r="BY114" s="1282"/>
      <c r="BZ114" s="1282"/>
      <c r="CA114" s="1282"/>
      <c r="CB114" s="1282"/>
      <c r="CC114" s="1282"/>
      <c r="CD114" s="1282"/>
      <c r="CE114" s="1282"/>
      <c r="CF114" s="1282"/>
      <c r="CG114" s="1282"/>
      <c r="CH114" s="1282"/>
      <c r="CI114" s="1282"/>
      <c r="CJ114" s="1282"/>
      <c r="CK114" s="1282"/>
      <c r="CL114" s="1282"/>
      <c r="CM114" s="1282"/>
      <c r="CN114" s="1282"/>
      <c r="CO114" s="1282"/>
      <c r="CP114" s="1282"/>
      <c r="CQ114" s="1282"/>
      <c r="CR114" s="1282"/>
      <c r="CS114" s="1282"/>
      <c r="CT114" s="1282"/>
      <c r="CU114" s="1283"/>
      <c r="CV114" s="5"/>
    </row>
    <row r="115" spans="1:103" ht="12" customHeight="1" x14ac:dyDescent="0.2">
      <c r="A115" s="5"/>
      <c r="B115" s="1288"/>
      <c r="C115" s="1288"/>
      <c r="D115" s="1288"/>
      <c r="E115" s="1288"/>
      <c r="F115" s="1288"/>
      <c r="G115" s="1288"/>
      <c r="H115" s="1288"/>
      <c r="I115" s="1288"/>
      <c r="J115" s="1288"/>
      <c r="K115" s="1288"/>
      <c r="L115" s="1288"/>
      <c r="M115" s="1288"/>
      <c r="N115" s="1288"/>
      <c r="O115" s="1288"/>
      <c r="P115" s="1288"/>
      <c r="Q115" s="1288"/>
      <c r="R115" s="1288"/>
      <c r="S115" s="1288"/>
      <c r="T115" s="1288"/>
      <c r="U115" s="1288"/>
      <c r="V115" s="1288"/>
      <c r="W115" s="1288"/>
      <c r="X115" s="1288"/>
      <c r="Y115" s="1288"/>
      <c r="Z115" s="1288"/>
      <c r="AA115" s="1288"/>
      <c r="AB115" s="126"/>
      <c r="AC115" s="378"/>
      <c r="AD115" s="329"/>
      <c r="AE115" s="329"/>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c r="AZ115" s="329"/>
      <c r="BA115" s="329"/>
      <c r="BB115" s="380"/>
      <c r="BC115" s="2"/>
      <c r="BD115" s="486"/>
      <c r="BE115" s="1282"/>
      <c r="BF115" s="1282"/>
      <c r="BG115" s="1282"/>
      <c r="BH115" s="1282"/>
      <c r="BI115" s="1282"/>
      <c r="BJ115" s="1282"/>
      <c r="BK115" s="1282"/>
      <c r="BL115" s="1282"/>
      <c r="BM115" s="1282"/>
      <c r="BN115" s="1282"/>
      <c r="BO115" s="1282"/>
      <c r="BP115" s="1282"/>
      <c r="BQ115" s="1282"/>
      <c r="BR115" s="1282"/>
      <c r="BS115" s="1282"/>
      <c r="BT115" s="1282"/>
      <c r="BU115" s="1282"/>
      <c r="BV115" s="1282"/>
      <c r="BW115" s="1282"/>
      <c r="BX115" s="1282"/>
      <c r="BY115" s="1282"/>
      <c r="BZ115" s="1282"/>
      <c r="CA115" s="1282"/>
      <c r="CB115" s="1282"/>
      <c r="CC115" s="1282"/>
      <c r="CD115" s="1282"/>
      <c r="CE115" s="1282"/>
      <c r="CF115" s="1282"/>
      <c r="CG115" s="1282"/>
      <c r="CH115" s="1282"/>
      <c r="CI115" s="1282"/>
      <c r="CJ115" s="1282"/>
      <c r="CK115" s="1282"/>
      <c r="CL115" s="1282"/>
      <c r="CM115" s="1282"/>
      <c r="CN115" s="1282"/>
      <c r="CO115" s="1282"/>
      <c r="CP115" s="1282"/>
      <c r="CQ115" s="1282"/>
      <c r="CR115" s="1282"/>
      <c r="CS115" s="1282"/>
      <c r="CT115" s="1282"/>
      <c r="CU115" s="1283"/>
      <c r="CV115" s="5"/>
      <c r="CY115" s="6">
        <f>CY113+1</f>
        <v>42</v>
      </c>
    </row>
    <row r="116" spans="1:103" ht="12" customHeight="1" x14ac:dyDescent="0.2">
      <c r="A116" s="5"/>
      <c r="B116" s="1289"/>
      <c r="C116" s="1289"/>
      <c r="D116" s="1289"/>
      <c r="E116" s="1289"/>
      <c r="F116" s="1289"/>
      <c r="G116" s="1289"/>
      <c r="H116" s="1289"/>
      <c r="I116" s="1289"/>
      <c r="J116" s="1289"/>
      <c r="K116" s="1289"/>
      <c r="L116" s="1289"/>
      <c r="M116" s="1289"/>
      <c r="N116" s="1289"/>
      <c r="O116" s="1289"/>
      <c r="P116" s="1289"/>
      <c r="Q116" s="1289"/>
      <c r="R116" s="1289"/>
      <c r="S116" s="1289"/>
      <c r="T116" s="1289"/>
      <c r="U116" s="1289"/>
      <c r="V116" s="1289"/>
      <c r="W116" s="1289"/>
      <c r="X116" s="1289"/>
      <c r="Y116" s="1289"/>
      <c r="Z116" s="1289"/>
      <c r="AA116" s="1289"/>
      <c r="AB116" s="212"/>
      <c r="AC116" s="1308" t="str">
        <f>IF(CharacterLevel="","",IF(CharacterBackgroundPersonalityTrait1=SelectText,"",CharacterBackgroundPersonalityTrait1)&amp;"
"&amp;IF(CharacterBackgroundPersonalityTrait2=SelectText,"",CharacterBackgroundPersonalityTrait2))</f>
        <v xml:space="preserve">
</v>
      </c>
      <c r="AD116" s="1309"/>
      <c r="AE116" s="1309"/>
      <c r="AF116" s="1309"/>
      <c r="AG116" s="1309"/>
      <c r="AH116" s="1309"/>
      <c r="AI116" s="1309"/>
      <c r="AJ116" s="1309"/>
      <c r="AK116" s="1309"/>
      <c r="AL116" s="1309"/>
      <c r="AM116" s="1309"/>
      <c r="AN116" s="1309"/>
      <c r="AO116" s="1309"/>
      <c r="AP116" s="1309"/>
      <c r="AQ116" s="1309"/>
      <c r="AR116" s="1309"/>
      <c r="AS116" s="1309"/>
      <c r="AT116" s="1309"/>
      <c r="AU116" s="1309"/>
      <c r="AV116" s="1309"/>
      <c r="AW116" s="1309"/>
      <c r="AX116" s="1309"/>
      <c r="AY116" s="1309"/>
      <c r="AZ116" s="1309"/>
      <c r="BA116" s="1309"/>
      <c r="BB116" s="1310"/>
      <c r="BC116" s="2"/>
      <c r="BD116" s="486"/>
      <c r="BE116" s="1282"/>
      <c r="BF116" s="1282"/>
      <c r="BG116" s="1282"/>
      <c r="BH116" s="1282"/>
      <c r="BI116" s="1282"/>
      <c r="BJ116" s="1282"/>
      <c r="BK116" s="1282"/>
      <c r="BL116" s="1282"/>
      <c r="BM116" s="1282"/>
      <c r="BN116" s="1282"/>
      <c r="BO116" s="1282"/>
      <c r="BP116" s="1282"/>
      <c r="BQ116" s="1282"/>
      <c r="BR116" s="1282"/>
      <c r="BS116" s="1282"/>
      <c r="BT116" s="1282"/>
      <c r="BU116" s="1282"/>
      <c r="BV116" s="1282"/>
      <c r="BW116" s="1282"/>
      <c r="BX116" s="1282"/>
      <c r="BY116" s="1282"/>
      <c r="BZ116" s="1282"/>
      <c r="CA116" s="1282"/>
      <c r="CB116" s="1282"/>
      <c r="CC116" s="1282"/>
      <c r="CD116" s="1282"/>
      <c r="CE116" s="1282"/>
      <c r="CF116" s="1282"/>
      <c r="CG116" s="1282"/>
      <c r="CH116" s="1282"/>
      <c r="CI116" s="1282"/>
      <c r="CJ116" s="1282"/>
      <c r="CK116" s="1282"/>
      <c r="CL116" s="1282"/>
      <c r="CM116" s="1282"/>
      <c r="CN116" s="1282"/>
      <c r="CO116" s="1282"/>
      <c r="CP116" s="1282"/>
      <c r="CQ116" s="1282"/>
      <c r="CR116" s="1282"/>
      <c r="CS116" s="1282"/>
      <c r="CT116" s="1282"/>
      <c r="CU116" s="1283"/>
      <c r="CV116" s="5"/>
    </row>
    <row r="117" spans="1:103" ht="12" customHeight="1" x14ac:dyDescent="0.2">
      <c r="A117" s="5"/>
      <c r="B117" s="1288"/>
      <c r="C117" s="1288"/>
      <c r="D117" s="1288"/>
      <c r="E117" s="1288"/>
      <c r="F117" s="1288"/>
      <c r="G117" s="1288"/>
      <c r="H117" s="1288"/>
      <c r="I117" s="1288"/>
      <c r="J117" s="1288"/>
      <c r="K117" s="1288"/>
      <c r="L117" s="1288"/>
      <c r="M117" s="1288"/>
      <c r="N117" s="1288"/>
      <c r="O117" s="1288"/>
      <c r="P117" s="1288"/>
      <c r="Q117" s="1288"/>
      <c r="R117" s="1288"/>
      <c r="S117" s="1288"/>
      <c r="T117" s="1288"/>
      <c r="U117" s="1288"/>
      <c r="V117" s="1288"/>
      <c r="W117" s="1288"/>
      <c r="X117" s="1288"/>
      <c r="Y117" s="1288"/>
      <c r="Z117" s="1288"/>
      <c r="AA117" s="1288"/>
      <c r="AB117" s="217"/>
      <c r="AC117" s="1308"/>
      <c r="AD117" s="1309"/>
      <c r="AE117" s="1309"/>
      <c r="AF117" s="1309"/>
      <c r="AG117" s="1309"/>
      <c r="AH117" s="1309"/>
      <c r="AI117" s="1309"/>
      <c r="AJ117" s="1309"/>
      <c r="AK117" s="1309"/>
      <c r="AL117" s="1309"/>
      <c r="AM117" s="1309"/>
      <c r="AN117" s="1309"/>
      <c r="AO117" s="1309"/>
      <c r="AP117" s="1309"/>
      <c r="AQ117" s="1309"/>
      <c r="AR117" s="1309"/>
      <c r="AS117" s="1309"/>
      <c r="AT117" s="1309"/>
      <c r="AU117" s="1309"/>
      <c r="AV117" s="1309"/>
      <c r="AW117" s="1309"/>
      <c r="AX117" s="1309"/>
      <c r="AY117" s="1309"/>
      <c r="AZ117" s="1309"/>
      <c r="BA117" s="1309"/>
      <c r="BB117" s="1310"/>
      <c r="BC117" s="2"/>
      <c r="BD117" s="486"/>
      <c r="BE117" s="1282"/>
      <c r="BF117" s="1282"/>
      <c r="BG117" s="1282"/>
      <c r="BH117" s="1282"/>
      <c r="BI117" s="1282"/>
      <c r="BJ117" s="1282"/>
      <c r="BK117" s="1282"/>
      <c r="BL117" s="1282"/>
      <c r="BM117" s="1282"/>
      <c r="BN117" s="1282"/>
      <c r="BO117" s="1282"/>
      <c r="BP117" s="1282"/>
      <c r="BQ117" s="1282"/>
      <c r="BR117" s="1282"/>
      <c r="BS117" s="1282"/>
      <c r="BT117" s="1282"/>
      <c r="BU117" s="1282"/>
      <c r="BV117" s="1282"/>
      <c r="BW117" s="1282"/>
      <c r="BX117" s="1282"/>
      <c r="BY117" s="1282"/>
      <c r="BZ117" s="1282"/>
      <c r="CA117" s="1282"/>
      <c r="CB117" s="1282"/>
      <c r="CC117" s="1282"/>
      <c r="CD117" s="1282"/>
      <c r="CE117" s="1282"/>
      <c r="CF117" s="1282"/>
      <c r="CG117" s="1282"/>
      <c r="CH117" s="1282"/>
      <c r="CI117" s="1282"/>
      <c r="CJ117" s="1282"/>
      <c r="CK117" s="1282"/>
      <c r="CL117" s="1282"/>
      <c r="CM117" s="1282"/>
      <c r="CN117" s="1282"/>
      <c r="CO117" s="1282"/>
      <c r="CP117" s="1282"/>
      <c r="CQ117" s="1282"/>
      <c r="CR117" s="1282"/>
      <c r="CS117" s="1282"/>
      <c r="CT117" s="1282"/>
      <c r="CU117" s="1283"/>
      <c r="CV117" s="5"/>
      <c r="CY117" s="6">
        <f>CY115+1</f>
        <v>43</v>
      </c>
    </row>
    <row r="118" spans="1:103" ht="12" customHeight="1" x14ac:dyDescent="0.2">
      <c r="A118" s="5"/>
      <c r="B118" s="1289"/>
      <c r="C118" s="1289"/>
      <c r="D118" s="1289"/>
      <c r="E118" s="1289"/>
      <c r="F118" s="1289"/>
      <c r="G118" s="1289"/>
      <c r="H118" s="1289"/>
      <c r="I118" s="1289"/>
      <c r="J118" s="1289"/>
      <c r="K118" s="1289"/>
      <c r="L118" s="1289"/>
      <c r="M118" s="1289"/>
      <c r="N118" s="1289"/>
      <c r="O118" s="1289"/>
      <c r="P118" s="1289"/>
      <c r="Q118" s="1289"/>
      <c r="R118" s="1289"/>
      <c r="S118" s="1289"/>
      <c r="T118" s="1289"/>
      <c r="U118" s="1289"/>
      <c r="V118" s="1289"/>
      <c r="W118" s="1289"/>
      <c r="X118" s="1289"/>
      <c r="Y118" s="1289"/>
      <c r="Z118" s="1289"/>
      <c r="AA118" s="1289"/>
      <c r="AB118" s="212"/>
      <c r="AC118" s="1308"/>
      <c r="AD118" s="1309"/>
      <c r="AE118" s="1309"/>
      <c r="AF118" s="1309"/>
      <c r="AG118" s="1309"/>
      <c r="AH118" s="1309"/>
      <c r="AI118" s="1309"/>
      <c r="AJ118" s="1309"/>
      <c r="AK118" s="1309"/>
      <c r="AL118" s="1309"/>
      <c r="AM118" s="1309"/>
      <c r="AN118" s="1309"/>
      <c r="AO118" s="1309"/>
      <c r="AP118" s="1309"/>
      <c r="AQ118" s="1309"/>
      <c r="AR118" s="1309"/>
      <c r="AS118" s="1309"/>
      <c r="AT118" s="1309"/>
      <c r="AU118" s="1309"/>
      <c r="AV118" s="1309"/>
      <c r="AW118" s="1309"/>
      <c r="AX118" s="1309"/>
      <c r="AY118" s="1309"/>
      <c r="AZ118" s="1309"/>
      <c r="BA118" s="1309"/>
      <c r="BB118" s="1310"/>
      <c r="BC118" s="2"/>
      <c r="BD118" s="486"/>
      <c r="BE118" s="1282"/>
      <c r="BF118" s="1282"/>
      <c r="BG118" s="1282"/>
      <c r="BH118" s="1282"/>
      <c r="BI118" s="1282"/>
      <c r="BJ118" s="1282"/>
      <c r="BK118" s="1282"/>
      <c r="BL118" s="1282"/>
      <c r="BM118" s="1282"/>
      <c r="BN118" s="1282"/>
      <c r="BO118" s="1282"/>
      <c r="BP118" s="1282"/>
      <c r="BQ118" s="1282"/>
      <c r="BR118" s="1282"/>
      <c r="BS118" s="1282"/>
      <c r="BT118" s="1282"/>
      <c r="BU118" s="1282"/>
      <c r="BV118" s="1282"/>
      <c r="BW118" s="1282"/>
      <c r="BX118" s="1282"/>
      <c r="BY118" s="1282"/>
      <c r="BZ118" s="1282"/>
      <c r="CA118" s="1282"/>
      <c r="CB118" s="1282"/>
      <c r="CC118" s="1282"/>
      <c r="CD118" s="1282"/>
      <c r="CE118" s="1282"/>
      <c r="CF118" s="1282"/>
      <c r="CG118" s="1282"/>
      <c r="CH118" s="1282"/>
      <c r="CI118" s="1282"/>
      <c r="CJ118" s="1282"/>
      <c r="CK118" s="1282"/>
      <c r="CL118" s="1282"/>
      <c r="CM118" s="1282"/>
      <c r="CN118" s="1282"/>
      <c r="CO118" s="1282"/>
      <c r="CP118" s="1282"/>
      <c r="CQ118" s="1282"/>
      <c r="CR118" s="1282"/>
      <c r="CS118" s="1282"/>
      <c r="CT118" s="1282"/>
      <c r="CU118" s="1283"/>
      <c r="CV118" s="5"/>
    </row>
    <row r="119" spans="1:103" ht="12" customHeight="1" x14ac:dyDescent="0.2">
      <c r="A119" s="5"/>
      <c r="B119" s="1288"/>
      <c r="C119" s="1288"/>
      <c r="D119" s="1288"/>
      <c r="E119" s="1288"/>
      <c r="F119" s="1288"/>
      <c r="G119" s="1288"/>
      <c r="H119" s="1288"/>
      <c r="I119" s="1288"/>
      <c r="J119" s="1288"/>
      <c r="K119" s="1288"/>
      <c r="L119" s="1288"/>
      <c r="M119" s="1288"/>
      <c r="N119" s="1288"/>
      <c r="O119" s="1288"/>
      <c r="P119" s="1288"/>
      <c r="Q119" s="1288"/>
      <c r="R119" s="1288"/>
      <c r="S119" s="1288"/>
      <c r="T119" s="1288"/>
      <c r="U119" s="1288"/>
      <c r="V119" s="1288"/>
      <c r="W119" s="1288"/>
      <c r="X119" s="1288"/>
      <c r="Y119" s="1288"/>
      <c r="Z119" s="1288"/>
      <c r="AA119" s="1288"/>
      <c r="AB119" s="217"/>
      <c r="AC119" s="1308"/>
      <c r="AD119" s="1309"/>
      <c r="AE119" s="1309"/>
      <c r="AF119" s="1309"/>
      <c r="AG119" s="1309"/>
      <c r="AH119" s="1309"/>
      <c r="AI119" s="1309"/>
      <c r="AJ119" s="1309"/>
      <c r="AK119" s="1309"/>
      <c r="AL119" s="1309"/>
      <c r="AM119" s="1309"/>
      <c r="AN119" s="1309"/>
      <c r="AO119" s="1309"/>
      <c r="AP119" s="1309"/>
      <c r="AQ119" s="1309"/>
      <c r="AR119" s="1309"/>
      <c r="AS119" s="1309"/>
      <c r="AT119" s="1309"/>
      <c r="AU119" s="1309"/>
      <c r="AV119" s="1309"/>
      <c r="AW119" s="1309"/>
      <c r="AX119" s="1309"/>
      <c r="AY119" s="1309"/>
      <c r="AZ119" s="1309"/>
      <c r="BA119" s="1309"/>
      <c r="BB119" s="1310"/>
      <c r="BC119" s="2"/>
      <c r="BD119" s="486"/>
      <c r="BE119" s="1282"/>
      <c r="BF119" s="1282"/>
      <c r="BG119" s="1282"/>
      <c r="BH119" s="1282"/>
      <c r="BI119" s="1282"/>
      <c r="BJ119" s="1282"/>
      <c r="BK119" s="1282"/>
      <c r="BL119" s="1282"/>
      <c r="BM119" s="1282"/>
      <c r="BN119" s="1282"/>
      <c r="BO119" s="1282"/>
      <c r="BP119" s="1282"/>
      <c r="BQ119" s="1282"/>
      <c r="BR119" s="1282"/>
      <c r="BS119" s="1282"/>
      <c r="BT119" s="1282"/>
      <c r="BU119" s="1282"/>
      <c r="BV119" s="1282"/>
      <c r="BW119" s="1282"/>
      <c r="BX119" s="1282"/>
      <c r="BY119" s="1282"/>
      <c r="BZ119" s="1282"/>
      <c r="CA119" s="1282"/>
      <c r="CB119" s="1282"/>
      <c r="CC119" s="1282"/>
      <c r="CD119" s="1282"/>
      <c r="CE119" s="1282"/>
      <c r="CF119" s="1282"/>
      <c r="CG119" s="1282"/>
      <c r="CH119" s="1282"/>
      <c r="CI119" s="1282"/>
      <c r="CJ119" s="1282"/>
      <c r="CK119" s="1282"/>
      <c r="CL119" s="1282"/>
      <c r="CM119" s="1282"/>
      <c r="CN119" s="1282"/>
      <c r="CO119" s="1282"/>
      <c r="CP119" s="1282"/>
      <c r="CQ119" s="1282"/>
      <c r="CR119" s="1282"/>
      <c r="CS119" s="1282"/>
      <c r="CT119" s="1282"/>
      <c r="CU119" s="1283"/>
      <c r="CV119" s="5"/>
      <c r="CY119" s="6">
        <f>CY117+1</f>
        <v>44</v>
      </c>
    </row>
    <row r="120" spans="1:103" ht="12" customHeight="1" x14ac:dyDescent="0.2">
      <c r="A120" s="5"/>
      <c r="B120" s="1289"/>
      <c r="C120" s="1289"/>
      <c r="D120" s="1289"/>
      <c r="E120" s="1289"/>
      <c r="F120" s="1289"/>
      <c r="G120" s="1289"/>
      <c r="H120" s="1289"/>
      <c r="I120" s="1289"/>
      <c r="J120" s="1289"/>
      <c r="K120" s="1289"/>
      <c r="L120" s="1289"/>
      <c r="M120" s="1289"/>
      <c r="N120" s="1289"/>
      <c r="O120" s="1289"/>
      <c r="P120" s="1289"/>
      <c r="Q120" s="1289"/>
      <c r="R120" s="1289"/>
      <c r="S120" s="1289"/>
      <c r="T120" s="1289"/>
      <c r="U120" s="1289"/>
      <c r="V120" s="1289"/>
      <c r="W120" s="1289"/>
      <c r="X120" s="1289"/>
      <c r="Y120" s="1289"/>
      <c r="Z120" s="1289"/>
      <c r="AA120" s="1289"/>
      <c r="AB120" s="212"/>
      <c r="AC120" s="1308"/>
      <c r="AD120" s="1309"/>
      <c r="AE120" s="1309"/>
      <c r="AF120" s="1309"/>
      <c r="AG120" s="1309"/>
      <c r="AH120" s="1309"/>
      <c r="AI120" s="1309"/>
      <c r="AJ120" s="1309"/>
      <c r="AK120" s="1309"/>
      <c r="AL120" s="1309"/>
      <c r="AM120" s="1309"/>
      <c r="AN120" s="1309"/>
      <c r="AO120" s="1309"/>
      <c r="AP120" s="1309"/>
      <c r="AQ120" s="1309"/>
      <c r="AR120" s="1309"/>
      <c r="AS120" s="1309"/>
      <c r="AT120" s="1309"/>
      <c r="AU120" s="1309"/>
      <c r="AV120" s="1309"/>
      <c r="AW120" s="1309"/>
      <c r="AX120" s="1309"/>
      <c r="AY120" s="1309"/>
      <c r="AZ120" s="1309"/>
      <c r="BA120" s="1309"/>
      <c r="BB120" s="1310"/>
      <c r="BC120" s="2"/>
      <c r="BD120" s="486"/>
      <c r="BE120" s="1282"/>
      <c r="BF120" s="1282"/>
      <c r="BG120" s="1282"/>
      <c r="BH120" s="1282"/>
      <c r="BI120" s="1282"/>
      <c r="BJ120" s="1282"/>
      <c r="BK120" s="1282"/>
      <c r="BL120" s="1282"/>
      <c r="BM120" s="1282"/>
      <c r="BN120" s="1282"/>
      <c r="BO120" s="1282"/>
      <c r="BP120" s="1282"/>
      <c r="BQ120" s="1282"/>
      <c r="BR120" s="1282"/>
      <c r="BS120" s="1282"/>
      <c r="BT120" s="1282"/>
      <c r="BU120" s="1282"/>
      <c r="BV120" s="1282"/>
      <c r="BW120" s="1282"/>
      <c r="BX120" s="1282"/>
      <c r="BY120" s="1282"/>
      <c r="BZ120" s="1282"/>
      <c r="CA120" s="1282"/>
      <c r="CB120" s="1282"/>
      <c r="CC120" s="1282"/>
      <c r="CD120" s="1282"/>
      <c r="CE120" s="1282"/>
      <c r="CF120" s="1282"/>
      <c r="CG120" s="1282"/>
      <c r="CH120" s="1282"/>
      <c r="CI120" s="1282"/>
      <c r="CJ120" s="1282"/>
      <c r="CK120" s="1282"/>
      <c r="CL120" s="1282"/>
      <c r="CM120" s="1282"/>
      <c r="CN120" s="1282"/>
      <c r="CO120" s="1282"/>
      <c r="CP120" s="1282"/>
      <c r="CQ120" s="1282"/>
      <c r="CR120" s="1282"/>
      <c r="CS120" s="1282"/>
      <c r="CT120" s="1282"/>
      <c r="CU120" s="1283"/>
      <c r="CV120" s="5"/>
    </row>
    <row r="121" spans="1:103" ht="12" customHeight="1" x14ac:dyDescent="0.2">
      <c r="A121" s="5"/>
      <c r="B121" s="1288"/>
      <c r="C121" s="1288"/>
      <c r="D121" s="1288"/>
      <c r="E121" s="1288"/>
      <c r="F121" s="1288"/>
      <c r="G121" s="1288"/>
      <c r="H121" s="1288"/>
      <c r="I121" s="1288"/>
      <c r="J121" s="1288"/>
      <c r="K121" s="1288"/>
      <c r="L121" s="1288"/>
      <c r="M121" s="1288"/>
      <c r="N121" s="1288"/>
      <c r="O121" s="1288"/>
      <c r="P121" s="1288"/>
      <c r="Q121" s="1288"/>
      <c r="R121" s="1288"/>
      <c r="S121" s="1288"/>
      <c r="T121" s="1288"/>
      <c r="U121" s="1288"/>
      <c r="V121" s="1288"/>
      <c r="W121" s="1288"/>
      <c r="X121" s="1288"/>
      <c r="Y121" s="1288"/>
      <c r="Z121" s="1288"/>
      <c r="AA121" s="1288"/>
      <c r="AB121" s="217"/>
      <c r="AC121" s="1308"/>
      <c r="AD121" s="1309"/>
      <c r="AE121" s="1309"/>
      <c r="AF121" s="1309"/>
      <c r="AG121" s="1309"/>
      <c r="AH121" s="1309"/>
      <c r="AI121" s="1309"/>
      <c r="AJ121" s="1309"/>
      <c r="AK121" s="1309"/>
      <c r="AL121" s="1309"/>
      <c r="AM121" s="1309"/>
      <c r="AN121" s="1309"/>
      <c r="AO121" s="1309"/>
      <c r="AP121" s="1309"/>
      <c r="AQ121" s="1309"/>
      <c r="AR121" s="1309"/>
      <c r="AS121" s="1309"/>
      <c r="AT121" s="1309"/>
      <c r="AU121" s="1309"/>
      <c r="AV121" s="1309"/>
      <c r="AW121" s="1309"/>
      <c r="AX121" s="1309"/>
      <c r="AY121" s="1309"/>
      <c r="AZ121" s="1309"/>
      <c r="BA121" s="1309"/>
      <c r="BB121" s="1310"/>
      <c r="BC121" s="132"/>
      <c r="BD121" s="486"/>
      <c r="BE121" s="1282"/>
      <c r="BF121" s="1282"/>
      <c r="BG121" s="1282"/>
      <c r="BH121" s="1282"/>
      <c r="BI121" s="1282"/>
      <c r="BJ121" s="1282"/>
      <c r="BK121" s="1282"/>
      <c r="BL121" s="1282"/>
      <c r="BM121" s="1282"/>
      <c r="BN121" s="1282"/>
      <c r="BO121" s="1282"/>
      <c r="BP121" s="1282"/>
      <c r="BQ121" s="1282"/>
      <c r="BR121" s="1282"/>
      <c r="BS121" s="1282"/>
      <c r="BT121" s="1282"/>
      <c r="BU121" s="1282"/>
      <c r="BV121" s="1282"/>
      <c r="BW121" s="1282"/>
      <c r="BX121" s="1282"/>
      <c r="BY121" s="1282"/>
      <c r="BZ121" s="1282"/>
      <c r="CA121" s="1282"/>
      <c r="CB121" s="1282"/>
      <c r="CC121" s="1282"/>
      <c r="CD121" s="1282"/>
      <c r="CE121" s="1282"/>
      <c r="CF121" s="1282"/>
      <c r="CG121" s="1282"/>
      <c r="CH121" s="1282"/>
      <c r="CI121" s="1282"/>
      <c r="CJ121" s="1282"/>
      <c r="CK121" s="1282"/>
      <c r="CL121" s="1282"/>
      <c r="CM121" s="1282"/>
      <c r="CN121" s="1282"/>
      <c r="CO121" s="1282"/>
      <c r="CP121" s="1282"/>
      <c r="CQ121" s="1282"/>
      <c r="CR121" s="1282"/>
      <c r="CS121" s="1282"/>
      <c r="CT121" s="1282"/>
      <c r="CU121" s="1283"/>
      <c r="CV121" s="5"/>
      <c r="CY121" s="6">
        <f>CY119+1</f>
        <v>45</v>
      </c>
    </row>
    <row r="122" spans="1:103" ht="12" customHeight="1" x14ac:dyDescent="0.2">
      <c r="A122" s="5"/>
      <c r="B122" s="1289"/>
      <c r="C122" s="1289"/>
      <c r="D122" s="1289"/>
      <c r="E122" s="1289"/>
      <c r="F122" s="1289"/>
      <c r="G122" s="1289"/>
      <c r="H122" s="1289"/>
      <c r="I122" s="1289"/>
      <c r="J122" s="1289"/>
      <c r="K122" s="1289"/>
      <c r="L122" s="1289"/>
      <c r="M122" s="1289"/>
      <c r="N122" s="1289"/>
      <c r="O122" s="1289"/>
      <c r="P122" s="1289"/>
      <c r="Q122" s="1289"/>
      <c r="R122" s="1289"/>
      <c r="S122" s="1289"/>
      <c r="T122" s="1289"/>
      <c r="U122" s="1289"/>
      <c r="V122" s="1289"/>
      <c r="W122" s="1289"/>
      <c r="X122" s="1289"/>
      <c r="Y122" s="1289"/>
      <c r="Z122" s="1289"/>
      <c r="AA122" s="1289"/>
      <c r="AB122" s="212"/>
      <c r="AC122" s="1308"/>
      <c r="AD122" s="1309"/>
      <c r="AE122" s="1309"/>
      <c r="AF122" s="1309"/>
      <c r="AG122" s="1309"/>
      <c r="AH122" s="1309"/>
      <c r="AI122" s="1309"/>
      <c r="AJ122" s="1309"/>
      <c r="AK122" s="1309"/>
      <c r="AL122" s="1309"/>
      <c r="AM122" s="1309"/>
      <c r="AN122" s="1309"/>
      <c r="AO122" s="1309"/>
      <c r="AP122" s="1309"/>
      <c r="AQ122" s="1309"/>
      <c r="AR122" s="1309"/>
      <c r="AS122" s="1309"/>
      <c r="AT122" s="1309"/>
      <c r="AU122" s="1309"/>
      <c r="AV122" s="1309"/>
      <c r="AW122" s="1309"/>
      <c r="AX122" s="1309"/>
      <c r="AY122" s="1309"/>
      <c r="AZ122" s="1309"/>
      <c r="BA122" s="1309"/>
      <c r="BB122" s="1310"/>
      <c r="BC122" s="132"/>
      <c r="BD122" s="486"/>
      <c r="BE122" s="1282"/>
      <c r="BF122" s="1282"/>
      <c r="BG122" s="1282"/>
      <c r="BH122" s="1282"/>
      <c r="BI122" s="1282"/>
      <c r="BJ122" s="1282"/>
      <c r="BK122" s="1282"/>
      <c r="BL122" s="1282"/>
      <c r="BM122" s="1282"/>
      <c r="BN122" s="1282"/>
      <c r="BO122" s="1282"/>
      <c r="BP122" s="1282"/>
      <c r="BQ122" s="1282"/>
      <c r="BR122" s="1282"/>
      <c r="BS122" s="1282"/>
      <c r="BT122" s="1282"/>
      <c r="BU122" s="1282"/>
      <c r="BV122" s="1282"/>
      <c r="BW122" s="1282"/>
      <c r="BX122" s="1282"/>
      <c r="BY122" s="1282"/>
      <c r="BZ122" s="1282"/>
      <c r="CA122" s="1282"/>
      <c r="CB122" s="1282"/>
      <c r="CC122" s="1282"/>
      <c r="CD122" s="1282"/>
      <c r="CE122" s="1282"/>
      <c r="CF122" s="1282"/>
      <c r="CG122" s="1282"/>
      <c r="CH122" s="1282"/>
      <c r="CI122" s="1282"/>
      <c r="CJ122" s="1282"/>
      <c r="CK122" s="1282"/>
      <c r="CL122" s="1282"/>
      <c r="CM122" s="1282"/>
      <c r="CN122" s="1282"/>
      <c r="CO122" s="1282"/>
      <c r="CP122" s="1282"/>
      <c r="CQ122" s="1282"/>
      <c r="CR122" s="1282"/>
      <c r="CS122" s="1282"/>
      <c r="CT122" s="1282"/>
      <c r="CU122" s="1283"/>
      <c r="CV122" s="5"/>
    </row>
    <row r="123" spans="1:103" ht="12" customHeight="1" x14ac:dyDescent="0.2">
      <c r="A123" s="5"/>
      <c r="B123" s="1288"/>
      <c r="C123" s="1288"/>
      <c r="D123" s="1288"/>
      <c r="E123" s="1288"/>
      <c r="F123" s="1288"/>
      <c r="G123" s="1288"/>
      <c r="H123" s="1288"/>
      <c r="I123" s="1288"/>
      <c r="J123" s="1288"/>
      <c r="K123" s="1288"/>
      <c r="L123" s="1288"/>
      <c r="M123" s="1288"/>
      <c r="N123" s="1288"/>
      <c r="O123" s="1288"/>
      <c r="P123" s="1288"/>
      <c r="Q123" s="1288"/>
      <c r="R123" s="1288"/>
      <c r="S123" s="1288"/>
      <c r="T123" s="1288"/>
      <c r="U123" s="1288"/>
      <c r="V123" s="1288"/>
      <c r="W123" s="1288"/>
      <c r="X123" s="1288"/>
      <c r="Y123" s="1288"/>
      <c r="Z123" s="1288"/>
      <c r="AA123" s="1288"/>
      <c r="AB123" s="212"/>
      <c r="AC123" s="1308"/>
      <c r="AD123" s="1309"/>
      <c r="AE123" s="1309"/>
      <c r="AF123" s="1309"/>
      <c r="AG123" s="1309"/>
      <c r="AH123" s="1309"/>
      <c r="AI123" s="1309"/>
      <c r="AJ123" s="1309"/>
      <c r="AK123" s="1309"/>
      <c r="AL123" s="1309"/>
      <c r="AM123" s="1309"/>
      <c r="AN123" s="1309"/>
      <c r="AO123" s="1309"/>
      <c r="AP123" s="1309"/>
      <c r="AQ123" s="1309"/>
      <c r="AR123" s="1309"/>
      <c r="AS123" s="1309"/>
      <c r="AT123" s="1309"/>
      <c r="AU123" s="1309"/>
      <c r="AV123" s="1309"/>
      <c r="AW123" s="1309"/>
      <c r="AX123" s="1309"/>
      <c r="AY123" s="1309"/>
      <c r="AZ123" s="1309"/>
      <c r="BA123" s="1309"/>
      <c r="BB123" s="1310"/>
      <c r="BC123" s="132"/>
      <c r="BD123" s="486"/>
      <c r="BE123" s="1282"/>
      <c r="BF123" s="1282"/>
      <c r="BG123" s="1282"/>
      <c r="BH123" s="1282"/>
      <c r="BI123" s="1282"/>
      <c r="BJ123" s="1282"/>
      <c r="BK123" s="1282"/>
      <c r="BL123" s="1282"/>
      <c r="BM123" s="1282"/>
      <c r="BN123" s="1282"/>
      <c r="BO123" s="1282"/>
      <c r="BP123" s="1282"/>
      <c r="BQ123" s="1282"/>
      <c r="BR123" s="1282"/>
      <c r="BS123" s="1282"/>
      <c r="BT123" s="1282"/>
      <c r="BU123" s="1282"/>
      <c r="BV123" s="1282"/>
      <c r="BW123" s="1282"/>
      <c r="BX123" s="1282"/>
      <c r="BY123" s="1282"/>
      <c r="BZ123" s="1282"/>
      <c r="CA123" s="1282"/>
      <c r="CB123" s="1282"/>
      <c r="CC123" s="1282"/>
      <c r="CD123" s="1282"/>
      <c r="CE123" s="1282"/>
      <c r="CF123" s="1282"/>
      <c r="CG123" s="1282"/>
      <c r="CH123" s="1282"/>
      <c r="CI123" s="1282"/>
      <c r="CJ123" s="1282"/>
      <c r="CK123" s="1282"/>
      <c r="CL123" s="1282"/>
      <c r="CM123" s="1282"/>
      <c r="CN123" s="1282"/>
      <c r="CO123" s="1282"/>
      <c r="CP123" s="1282"/>
      <c r="CQ123" s="1282"/>
      <c r="CR123" s="1282"/>
      <c r="CS123" s="1282"/>
      <c r="CT123" s="1282"/>
      <c r="CU123" s="1283"/>
      <c r="CV123" s="5"/>
      <c r="CY123" s="6">
        <f>CY121+1</f>
        <v>46</v>
      </c>
    </row>
    <row r="124" spans="1:103" ht="12" customHeight="1" x14ac:dyDescent="0.2">
      <c r="A124" s="5"/>
      <c r="B124" s="1289"/>
      <c r="C124" s="1289"/>
      <c r="D124" s="1289"/>
      <c r="E124" s="1289"/>
      <c r="F124" s="1289"/>
      <c r="G124" s="1289"/>
      <c r="H124" s="1289"/>
      <c r="I124" s="1289"/>
      <c r="J124" s="1289"/>
      <c r="K124" s="1289"/>
      <c r="L124" s="1289"/>
      <c r="M124" s="1289"/>
      <c r="N124" s="1289"/>
      <c r="O124" s="1289"/>
      <c r="P124" s="1289"/>
      <c r="Q124" s="1289"/>
      <c r="R124" s="1289"/>
      <c r="S124" s="1289"/>
      <c r="T124" s="1289"/>
      <c r="U124" s="1289"/>
      <c r="V124" s="1289"/>
      <c r="W124" s="1289"/>
      <c r="X124" s="1289"/>
      <c r="Y124" s="1289"/>
      <c r="Z124" s="1289"/>
      <c r="AA124" s="1289"/>
      <c r="AB124" s="212"/>
      <c r="AC124" s="1308"/>
      <c r="AD124" s="1309"/>
      <c r="AE124" s="1309"/>
      <c r="AF124" s="1309"/>
      <c r="AG124" s="1309"/>
      <c r="AH124" s="1309"/>
      <c r="AI124" s="1309"/>
      <c r="AJ124" s="1309"/>
      <c r="AK124" s="1309"/>
      <c r="AL124" s="1309"/>
      <c r="AM124" s="1309"/>
      <c r="AN124" s="1309"/>
      <c r="AO124" s="1309"/>
      <c r="AP124" s="1309"/>
      <c r="AQ124" s="1309"/>
      <c r="AR124" s="1309"/>
      <c r="AS124" s="1309"/>
      <c r="AT124" s="1309"/>
      <c r="AU124" s="1309"/>
      <c r="AV124" s="1309"/>
      <c r="AW124" s="1309"/>
      <c r="AX124" s="1309"/>
      <c r="AY124" s="1309"/>
      <c r="AZ124" s="1309"/>
      <c r="BA124" s="1309"/>
      <c r="BB124" s="1310"/>
      <c r="BC124" s="132"/>
      <c r="BD124" s="486"/>
      <c r="BE124" s="1282"/>
      <c r="BF124" s="1282"/>
      <c r="BG124" s="1282"/>
      <c r="BH124" s="1282"/>
      <c r="BI124" s="1282"/>
      <c r="BJ124" s="1282"/>
      <c r="BK124" s="1282"/>
      <c r="BL124" s="1282"/>
      <c r="BM124" s="1282"/>
      <c r="BN124" s="1282"/>
      <c r="BO124" s="1282"/>
      <c r="BP124" s="1282"/>
      <c r="BQ124" s="1282"/>
      <c r="BR124" s="1282"/>
      <c r="BS124" s="1282"/>
      <c r="BT124" s="1282"/>
      <c r="BU124" s="1282"/>
      <c r="BV124" s="1282"/>
      <c r="BW124" s="1282"/>
      <c r="BX124" s="1282"/>
      <c r="BY124" s="1282"/>
      <c r="BZ124" s="1282"/>
      <c r="CA124" s="1282"/>
      <c r="CB124" s="1282"/>
      <c r="CC124" s="1282"/>
      <c r="CD124" s="1282"/>
      <c r="CE124" s="1282"/>
      <c r="CF124" s="1282"/>
      <c r="CG124" s="1282"/>
      <c r="CH124" s="1282"/>
      <c r="CI124" s="1282"/>
      <c r="CJ124" s="1282"/>
      <c r="CK124" s="1282"/>
      <c r="CL124" s="1282"/>
      <c r="CM124" s="1282"/>
      <c r="CN124" s="1282"/>
      <c r="CO124" s="1282"/>
      <c r="CP124" s="1282"/>
      <c r="CQ124" s="1282"/>
      <c r="CR124" s="1282"/>
      <c r="CS124" s="1282"/>
      <c r="CT124" s="1282"/>
      <c r="CU124" s="1283"/>
      <c r="CV124" s="5"/>
    </row>
    <row r="125" spans="1:103" ht="12" customHeight="1" x14ac:dyDescent="0.2">
      <c r="A125" s="5"/>
      <c r="B125" s="1288"/>
      <c r="C125" s="1288"/>
      <c r="D125" s="1288"/>
      <c r="E125" s="1288"/>
      <c r="F125" s="1288"/>
      <c r="G125" s="1288"/>
      <c r="H125" s="1288"/>
      <c r="I125" s="1288"/>
      <c r="J125" s="1288"/>
      <c r="K125" s="1288"/>
      <c r="L125" s="1288"/>
      <c r="M125" s="1288"/>
      <c r="N125" s="1288"/>
      <c r="O125" s="1288"/>
      <c r="P125" s="1288"/>
      <c r="Q125" s="1288"/>
      <c r="R125" s="1288"/>
      <c r="S125" s="1288"/>
      <c r="T125" s="1288"/>
      <c r="U125" s="1288"/>
      <c r="V125" s="1288"/>
      <c r="W125" s="1288"/>
      <c r="X125" s="1288"/>
      <c r="Y125" s="1288"/>
      <c r="Z125" s="1288"/>
      <c r="AA125" s="1288"/>
      <c r="AB125" s="212"/>
      <c r="AC125" s="1308"/>
      <c r="AD125" s="1309"/>
      <c r="AE125" s="1309"/>
      <c r="AF125" s="1309"/>
      <c r="AG125" s="1309"/>
      <c r="AH125" s="1309"/>
      <c r="AI125" s="1309"/>
      <c r="AJ125" s="1309"/>
      <c r="AK125" s="1309"/>
      <c r="AL125" s="1309"/>
      <c r="AM125" s="1309"/>
      <c r="AN125" s="1309"/>
      <c r="AO125" s="1309"/>
      <c r="AP125" s="1309"/>
      <c r="AQ125" s="1309"/>
      <c r="AR125" s="1309"/>
      <c r="AS125" s="1309"/>
      <c r="AT125" s="1309"/>
      <c r="AU125" s="1309"/>
      <c r="AV125" s="1309"/>
      <c r="AW125" s="1309"/>
      <c r="AX125" s="1309"/>
      <c r="AY125" s="1309"/>
      <c r="AZ125" s="1309"/>
      <c r="BA125" s="1309"/>
      <c r="BB125" s="1310"/>
      <c r="BC125" s="132"/>
      <c r="BD125" s="486"/>
      <c r="BE125" s="1282"/>
      <c r="BF125" s="1282"/>
      <c r="BG125" s="1282"/>
      <c r="BH125" s="1282"/>
      <c r="BI125" s="1282"/>
      <c r="BJ125" s="1282"/>
      <c r="BK125" s="1282"/>
      <c r="BL125" s="1282"/>
      <c r="BM125" s="1282"/>
      <c r="BN125" s="1282"/>
      <c r="BO125" s="1282"/>
      <c r="BP125" s="1282"/>
      <c r="BQ125" s="1282"/>
      <c r="BR125" s="1282"/>
      <c r="BS125" s="1282"/>
      <c r="BT125" s="1282"/>
      <c r="BU125" s="1282"/>
      <c r="BV125" s="1282"/>
      <c r="BW125" s="1282"/>
      <c r="BX125" s="1282"/>
      <c r="BY125" s="1282"/>
      <c r="BZ125" s="1282"/>
      <c r="CA125" s="1282"/>
      <c r="CB125" s="1282"/>
      <c r="CC125" s="1282"/>
      <c r="CD125" s="1282"/>
      <c r="CE125" s="1282"/>
      <c r="CF125" s="1282"/>
      <c r="CG125" s="1282"/>
      <c r="CH125" s="1282"/>
      <c r="CI125" s="1282"/>
      <c r="CJ125" s="1282"/>
      <c r="CK125" s="1282"/>
      <c r="CL125" s="1282"/>
      <c r="CM125" s="1282"/>
      <c r="CN125" s="1282"/>
      <c r="CO125" s="1282"/>
      <c r="CP125" s="1282"/>
      <c r="CQ125" s="1282"/>
      <c r="CR125" s="1282"/>
      <c r="CS125" s="1282"/>
      <c r="CT125" s="1282"/>
      <c r="CU125" s="1283"/>
      <c r="CV125" s="5"/>
      <c r="CY125" s="6">
        <f>CY123+1</f>
        <v>47</v>
      </c>
    </row>
    <row r="126" spans="1:103" ht="12" customHeight="1" x14ac:dyDescent="0.2">
      <c r="A126" s="5"/>
      <c r="B126" s="1289"/>
      <c r="C126" s="1289"/>
      <c r="D126" s="1289"/>
      <c r="E126" s="1289"/>
      <c r="F126" s="1289"/>
      <c r="G126" s="1289"/>
      <c r="H126" s="1289"/>
      <c r="I126" s="1289"/>
      <c r="J126" s="1289"/>
      <c r="K126" s="1289"/>
      <c r="L126" s="1289"/>
      <c r="M126" s="1289"/>
      <c r="N126" s="1289"/>
      <c r="O126" s="1289"/>
      <c r="P126" s="1289"/>
      <c r="Q126" s="1289"/>
      <c r="R126" s="1289"/>
      <c r="S126" s="1289"/>
      <c r="T126" s="1289"/>
      <c r="U126" s="1289"/>
      <c r="V126" s="1289"/>
      <c r="W126" s="1289"/>
      <c r="X126" s="1289"/>
      <c r="Y126" s="1289"/>
      <c r="Z126" s="1289"/>
      <c r="AA126" s="1289"/>
      <c r="AB126" s="212"/>
      <c r="AC126" s="1308"/>
      <c r="AD126" s="1309"/>
      <c r="AE126" s="1309"/>
      <c r="AF126" s="1309"/>
      <c r="AG126" s="1309"/>
      <c r="AH126" s="1309"/>
      <c r="AI126" s="1309"/>
      <c r="AJ126" s="1309"/>
      <c r="AK126" s="1309"/>
      <c r="AL126" s="1309"/>
      <c r="AM126" s="1309"/>
      <c r="AN126" s="1309"/>
      <c r="AO126" s="1309"/>
      <c r="AP126" s="1309"/>
      <c r="AQ126" s="1309"/>
      <c r="AR126" s="1309"/>
      <c r="AS126" s="1309"/>
      <c r="AT126" s="1309"/>
      <c r="AU126" s="1309"/>
      <c r="AV126" s="1309"/>
      <c r="AW126" s="1309"/>
      <c r="AX126" s="1309"/>
      <c r="AY126" s="1309"/>
      <c r="AZ126" s="1309"/>
      <c r="BA126" s="1309"/>
      <c r="BB126" s="1310"/>
      <c r="BC126" s="132"/>
      <c r="BD126" s="486"/>
      <c r="BE126" s="1282"/>
      <c r="BF126" s="1282"/>
      <c r="BG126" s="1282"/>
      <c r="BH126" s="1282"/>
      <c r="BI126" s="1282"/>
      <c r="BJ126" s="1282"/>
      <c r="BK126" s="1282"/>
      <c r="BL126" s="1282"/>
      <c r="BM126" s="1282"/>
      <c r="BN126" s="1282"/>
      <c r="BO126" s="1282"/>
      <c r="BP126" s="1282"/>
      <c r="BQ126" s="1282"/>
      <c r="BR126" s="1282"/>
      <c r="BS126" s="1282"/>
      <c r="BT126" s="1282"/>
      <c r="BU126" s="1282"/>
      <c r="BV126" s="1282"/>
      <c r="BW126" s="1282"/>
      <c r="BX126" s="1282"/>
      <c r="BY126" s="1282"/>
      <c r="BZ126" s="1282"/>
      <c r="CA126" s="1282"/>
      <c r="CB126" s="1282"/>
      <c r="CC126" s="1282"/>
      <c r="CD126" s="1282"/>
      <c r="CE126" s="1282"/>
      <c r="CF126" s="1282"/>
      <c r="CG126" s="1282"/>
      <c r="CH126" s="1282"/>
      <c r="CI126" s="1282"/>
      <c r="CJ126" s="1282"/>
      <c r="CK126" s="1282"/>
      <c r="CL126" s="1282"/>
      <c r="CM126" s="1282"/>
      <c r="CN126" s="1282"/>
      <c r="CO126" s="1282"/>
      <c r="CP126" s="1282"/>
      <c r="CQ126" s="1282"/>
      <c r="CR126" s="1282"/>
      <c r="CS126" s="1282"/>
      <c r="CT126" s="1282"/>
      <c r="CU126" s="1283"/>
      <c r="CV126" s="5"/>
    </row>
    <row r="127" spans="1:103" ht="12" customHeight="1" x14ac:dyDescent="0.2">
      <c r="A127" s="5"/>
      <c r="B127" s="1288"/>
      <c r="C127" s="1288"/>
      <c r="D127" s="1288"/>
      <c r="E127" s="1288"/>
      <c r="F127" s="1288"/>
      <c r="G127" s="1288"/>
      <c r="H127" s="1288"/>
      <c r="I127" s="1288"/>
      <c r="J127" s="1288"/>
      <c r="K127" s="1288"/>
      <c r="L127" s="1288"/>
      <c r="M127" s="1288"/>
      <c r="N127" s="1288"/>
      <c r="O127" s="1288"/>
      <c r="P127" s="1288"/>
      <c r="Q127" s="1288"/>
      <c r="R127" s="1288"/>
      <c r="S127" s="1288"/>
      <c r="T127" s="1288"/>
      <c r="U127" s="1288"/>
      <c r="V127" s="1288"/>
      <c r="W127" s="1288"/>
      <c r="X127" s="1288"/>
      <c r="Y127" s="1288"/>
      <c r="Z127" s="1288"/>
      <c r="AA127" s="1288"/>
      <c r="AB127" s="212"/>
      <c r="AC127" s="1308"/>
      <c r="AD127" s="1309"/>
      <c r="AE127" s="1309"/>
      <c r="AF127" s="1309"/>
      <c r="AG127" s="1309"/>
      <c r="AH127" s="1309"/>
      <c r="AI127" s="1309"/>
      <c r="AJ127" s="1309"/>
      <c r="AK127" s="1309"/>
      <c r="AL127" s="1309"/>
      <c r="AM127" s="1309"/>
      <c r="AN127" s="1309"/>
      <c r="AO127" s="1309"/>
      <c r="AP127" s="1309"/>
      <c r="AQ127" s="1309"/>
      <c r="AR127" s="1309"/>
      <c r="AS127" s="1309"/>
      <c r="AT127" s="1309"/>
      <c r="AU127" s="1309"/>
      <c r="AV127" s="1309"/>
      <c r="AW127" s="1309"/>
      <c r="AX127" s="1309"/>
      <c r="AY127" s="1309"/>
      <c r="AZ127" s="1309"/>
      <c r="BA127" s="1309"/>
      <c r="BB127" s="1310"/>
      <c r="BC127" s="132"/>
      <c r="BD127" s="486"/>
      <c r="BE127" s="1282"/>
      <c r="BF127" s="1282"/>
      <c r="BG127" s="1282"/>
      <c r="BH127" s="1282"/>
      <c r="BI127" s="1282"/>
      <c r="BJ127" s="1282"/>
      <c r="BK127" s="1282"/>
      <c r="BL127" s="1282"/>
      <c r="BM127" s="1282"/>
      <c r="BN127" s="1282"/>
      <c r="BO127" s="1282"/>
      <c r="BP127" s="1282"/>
      <c r="BQ127" s="1282"/>
      <c r="BR127" s="1282"/>
      <c r="BS127" s="1282"/>
      <c r="BT127" s="1282"/>
      <c r="BU127" s="1282"/>
      <c r="BV127" s="1282"/>
      <c r="BW127" s="1282"/>
      <c r="BX127" s="1282"/>
      <c r="BY127" s="1282"/>
      <c r="BZ127" s="1282"/>
      <c r="CA127" s="1282"/>
      <c r="CB127" s="1282"/>
      <c r="CC127" s="1282"/>
      <c r="CD127" s="1282"/>
      <c r="CE127" s="1282"/>
      <c r="CF127" s="1282"/>
      <c r="CG127" s="1282"/>
      <c r="CH127" s="1282"/>
      <c r="CI127" s="1282"/>
      <c r="CJ127" s="1282"/>
      <c r="CK127" s="1282"/>
      <c r="CL127" s="1282"/>
      <c r="CM127" s="1282"/>
      <c r="CN127" s="1282"/>
      <c r="CO127" s="1282"/>
      <c r="CP127" s="1282"/>
      <c r="CQ127" s="1282"/>
      <c r="CR127" s="1282"/>
      <c r="CS127" s="1282"/>
      <c r="CT127" s="1282"/>
      <c r="CU127" s="1283"/>
      <c r="CV127" s="5"/>
      <c r="CY127" s="6">
        <f>CY125+1</f>
        <v>48</v>
      </c>
    </row>
    <row r="128" spans="1:103" ht="12" customHeight="1" x14ac:dyDescent="0.2">
      <c r="A128" s="5"/>
      <c r="B128" s="1289"/>
      <c r="C128" s="1289"/>
      <c r="D128" s="1289"/>
      <c r="E128" s="1289"/>
      <c r="F128" s="1289"/>
      <c r="G128" s="1289"/>
      <c r="H128" s="1289"/>
      <c r="I128" s="1289"/>
      <c r="J128" s="1289"/>
      <c r="K128" s="1289"/>
      <c r="L128" s="1289"/>
      <c r="M128" s="1289"/>
      <c r="N128" s="1289"/>
      <c r="O128" s="1289"/>
      <c r="P128" s="1289"/>
      <c r="Q128" s="1289"/>
      <c r="R128" s="1289"/>
      <c r="S128" s="1289"/>
      <c r="T128" s="1289"/>
      <c r="U128" s="1289"/>
      <c r="V128" s="1289"/>
      <c r="W128" s="1289"/>
      <c r="X128" s="1289"/>
      <c r="Y128" s="1289"/>
      <c r="Z128" s="1289"/>
      <c r="AA128" s="1289"/>
      <c r="AB128" s="212"/>
      <c r="AC128" s="1308"/>
      <c r="AD128" s="1309"/>
      <c r="AE128" s="1309"/>
      <c r="AF128" s="1309"/>
      <c r="AG128" s="1309"/>
      <c r="AH128" s="1309"/>
      <c r="AI128" s="1309"/>
      <c r="AJ128" s="1309"/>
      <c r="AK128" s="1309"/>
      <c r="AL128" s="1309"/>
      <c r="AM128" s="1309"/>
      <c r="AN128" s="1309"/>
      <c r="AO128" s="1309"/>
      <c r="AP128" s="1309"/>
      <c r="AQ128" s="1309"/>
      <c r="AR128" s="1309"/>
      <c r="AS128" s="1309"/>
      <c r="AT128" s="1309"/>
      <c r="AU128" s="1309"/>
      <c r="AV128" s="1309"/>
      <c r="AW128" s="1309"/>
      <c r="AX128" s="1309"/>
      <c r="AY128" s="1309"/>
      <c r="AZ128" s="1309"/>
      <c r="BA128" s="1309"/>
      <c r="BB128" s="1310"/>
      <c r="BC128" s="132"/>
      <c r="BD128" s="486"/>
      <c r="BE128" s="1282"/>
      <c r="BF128" s="1282"/>
      <c r="BG128" s="1282"/>
      <c r="BH128" s="1282"/>
      <c r="BI128" s="1282"/>
      <c r="BJ128" s="1282"/>
      <c r="BK128" s="1282"/>
      <c r="BL128" s="1282"/>
      <c r="BM128" s="1282"/>
      <c r="BN128" s="1282"/>
      <c r="BO128" s="1282"/>
      <c r="BP128" s="1282"/>
      <c r="BQ128" s="1282"/>
      <c r="BR128" s="1282"/>
      <c r="BS128" s="1282"/>
      <c r="BT128" s="1282"/>
      <c r="BU128" s="1282"/>
      <c r="BV128" s="1282"/>
      <c r="BW128" s="1282"/>
      <c r="BX128" s="1282"/>
      <c r="BY128" s="1282"/>
      <c r="BZ128" s="1282"/>
      <c r="CA128" s="1282"/>
      <c r="CB128" s="1282"/>
      <c r="CC128" s="1282"/>
      <c r="CD128" s="1282"/>
      <c r="CE128" s="1282"/>
      <c r="CF128" s="1282"/>
      <c r="CG128" s="1282"/>
      <c r="CH128" s="1282"/>
      <c r="CI128" s="1282"/>
      <c r="CJ128" s="1282"/>
      <c r="CK128" s="1282"/>
      <c r="CL128" s="1282"/>
      <c r="CM128" s="1282"/>
      <c r="CN128" s="1282"/>
      <c r="CO128" s="1282"/>
      <c r="CP128" s="1282"/>
      <c r="CQ128" s="1282"/>
      <c r="CR128" s="1282"/>
      <c r="CS128" s="1282"/>
      <c r="CT128" s="1282"/>
      <c r="CU128" s="1283"/>
      <c r="CV128" s="5"/>
    </row>
    <row r="129" spans="1:106" ht="12" customHeight="1" x14ac:dyDescent="0.2">
      <c r="A129" s="5"/>
      <c r="B129" s="1288"/>
      <c r="C129" s="1288"/>
      <c r="D129" s="1288"/>
      <c r="E129" s="1288"/>
      <c r="F129" s="1288"/>
      <c r="G129" s="1288"/>
      <c r="H129" s="1288"/>
      <c r="I129" s="1288"/>
      <c r="J129" s="1288"/>
      <c r="K129" s="1288"/>
      <c r="L129" s="1288"/>
      <c r="M129" s="1288"/>
      <c r="N129" s="1288"/>
      <c r="O129" s="1288"/>
      <c r="P129" s="1288"/>
      <c r="Q129" s="1288"/>
      <c r="R129" s="1288"/>
      <c r="S129" s="1288"/>
      <c r="T129" s="1288"/>
      <c r="U129" s="1288"/>
      <c r="V129" s="1288"/>
      <c r="W129" s="1288"/>
      <c r="X129" s="1288"/>
      <c r="Y129" s="1288"/>
      <c r="Z129" s="1288"/>
      <c r="AA129" s="1288"/>
      <c r="AB129" s="212"/>
      <c r="AC129" s="1308"/>
      <c r="AD129" s="1309"/>
      <c r="AE129" s="1309"/>
      <c r="AF129" s="1309"/>
      <c r="AG129" s="1309"/>
      <c r="AH129" s="1309"/>
      <c r="AI129" s="1309"/>
      <c r="AJ129" s="1309"/>
      <c r="AK129" s="1309"/>
      <c r="AL129" s="1309"/>
      <c r="AM129" s="1309"/>
      <c r="AN129" s="1309"/>
      <c r="AO129" s="1309"/>
      <c r="AP129" s="1309"/>
      <c r="AQ129" s="1309"/>
      <c r="AR129" s="1309"/>
      <c r="AS129" s="1309"/>
      <c r="AT129" s="1309"/>
      <c r="AU129" s="1309"/>
      <c r="AV129" s="1309"/>
      <c r="AW129" s="1309"/>
      <c r="AX129" s="1309"/>
      <c r="AY129" s="1309"/>
      <c r="AZ129" s="1309"/>
      <c r="BA129" s="1309"/>
      <c r="BB129" s="1310"/>
      <c r="BC129" s="132"/>
      <c r="BD129" s="486"/>
      <c r="BE129" s="1282"/>
      <c r="BF129" s="1282"/>
      <c r="BG129" s="1282"/>
      <c r="BH129" s="1282"/>
      <c r="BI129" s="1282"/>
      <c r="BJ129" s="1282"/>
      <c r="BK129" s="1282"/>
      <c r="BL129" s="1282"/>
      <c r="BM129" s="1282"/>
      <c r="BN129" s="1282"/>
      <c r="BO129" s="1282"/>
      <c r="BP129" s="1282"/>
      <c r="BQ129" s="1282"/>
      <c r="BR129" s="1282"/>
      <c r="BS129" s="1282"/>
      <c r="BT129" s="1282"/>
      <c r="BU129" s="1282"/>
      <c r="BV129" s="1282"/>
      <c r="BW129" s="1282"/>
      <c r="BX129" s="1282"/>
      <c r="BY129" s="1282"/>
      <c r="BZ129" s="1282"/>
      <c r="CA129" s="1282"/>
      <c r="CB129" s="1282"/>
      <c r="CC129" s="1282"/>
      <c r="CD129" s="1282"/>
      <c r="CE129" s="1282"/>
      <c r="CF129" s="1282"/>
      <c r="CG129" s="1282"/>
      <c r="CH129" s="1282"/>
      <c r="CI129" s="1282"/>
      <c r="CJ129" s="1282"/>
      <c r="CK129" s="1282"/>
      <c r="CL129" s="1282"/>
      <c r="CM129" s="1282"/>
      <c r="CN129" s="1282"/>
      <c r="CO129" s="1282"/>
      <c r="CP129" s="1282"/>
      <c r="CQ129" s="1282"/>
      <c r="CR129" s="1282"/>
      <c r="CS129" s="1282"/>
      <c r="CT129" s="1282"/>
      <c r="CU129" s="1283"/>
      <c r="CV129" s="5"/>
      <c r="CY129" s="6">
        <f>CY127+1</f>
        <v>49</v>
      </c>
      <c r="CZ129" s="53"/>
      <c r="DA129" s="53"/>
    </row>
    <row r="130" spans="1:106" ht="12" customHeight="1" x14ac:dyDescent="0.2">
      <c r="A130" s="5"/>
      <c r="B130" s="1289"/>
      <c r="C130" s="1289"/>
      <c r="D130" s="1289"/>
      <c r="E130" s="1289"/>
      <c r="F130" s="1289"/>
      <c r="G130" s="1289"/>
      <c r="H130" s="1289"/>
      <c r="I130" s="1289"/>
      <c r="J130" s="1289"/>
      <c r="K130" s="1289"/>
      <c r="L130" s="1289"/>
      <c r="M130" s="1289"/>
      <c r="N130" s="1289"/>
      <c r="O130" s="1289"/>
      <c r="P130" s="1289"/>
      <c r="Q130" s="1289"/>
      <c r="R130" s="1289"/>
      <c r="S130" s="1289"/>
      <c r="T130" s="1289"/>
      <c r="U130" s="1289"/>
      <c r="V130" s="1289"/>
      <c r="W130" s="1289"/>
      <c r="X130" s="1289"/>
      <c r="Y130" s="1289"/>
      <c r="Z130" s="1289"/>
      <c r="AA130" s="1289"/>
      <c r="AB130" s="212"/>
      <c r="AC130" s="1308"/>
      <c r="AD130" s="1309"/>
      <c r="AE130" s="1309"/>
      <c r="AF130" s="1309"/>
      <c r="AG130" s="1309"/>
      <c r="AH130" s="1309"/>
      <c r="AI130" s="1309"/>
      <c r="AJ130" s="1309"/>
      <c r="AK130" s="1309"/>
      <c r="AL130" s="1309"/>
      <c r="AM130" s="1309"/>
      <c r="AN130" s="1309"/>
      <c r="AO130" s="1309"/>
      <c r="AP130" s="1309"/>
      <c r="AQ130" s="1309"/>
      <c r="AR130" s="1309"/>
      <c r="AS130" s="1309"/>
      <c r="AT130" s="1309"/>
      <c r="AU130" s="1309"/>
      <c r="AV130" s="1309"/>
      <c r="AW130" s="1309"/>
      <c r="AX130" s="1309"/>
      <c r="AY130" s="1309"/>
      <c r="AZ130" s="1309"/>
      <c r="BA130" s="1309"/>
      <c r="BB130" s="1310"/>
      <c r="BC130" s="132"/>
      <c r="BD130" s="486"/>
      <c r="BE130" s="1282"/>
      <c r="BF130" s="1282"/>
      <c r="BG130" s="1282"/>
      <c r="BH130" s="1282"/>
      <c r="BI130" s="1282"/>
      <c r="BJ130" s="1282"/>
      <c r="BK130" s="1282"/>
      <c r="BL130" s="1282"/>
      <c r="BM130" s="1282"/>
      <c r="BN130" s="1282"/>
      <c r="BO130" s="1282"/>
      <c r="BP130" s="1282"/>
      <c r="BQ130" s="1282"/>
      <c r="BR130" s="1282"/>
      <c r="BS130" s="1282"/>
      <c r="BT130" s="1282"/>
      <c r="BU130" s="1282"/>
      <c r="BV130" s="1282"/>
      <c r="BW130" s="1282"/>
      <c r="BX130" s="1282"/>
      <c r="BY130" s="1282"/>
      <c r="BZ130" s="1282"/>
      <c r="CA130" s="1282"/>
      <c r="CB130" s="1282"/>
      <c r="CC130" s="1282"/>
      <c r="CD130" s="1282"/>
      <c r="CE130" s="1282"/>
      <c r="CF130" s="1282"/>
      <c r="CG130" s="1282"/>
      <c r="CH130" s="1282"/>
      <c r="CI130" s="1282"/>
      <c r="CJ130" s="1282"/>
      <c r="CK130" s="1282"/>
      <c r="CL130" s="1282"/>
      <c r="CM130" s="1282"/>
      <c r="CN130" s="1282"/>
      <c r="CO130" s="1282"/>
      <c r="CP130" s="1282"/>
      <c r="CQ130" s="1282"/>
      <c r="CR130" s="1282"/>
      <c r="CS130" s="1282"/>
      <c r="CT130" s="1282"/>
      <c r="CU130" s="1283"/>
      <c r="CV130" s="5"/>
      <c r="CZ130" s="53"/>
      <c r="DA130" s="53"/>
    </row>
    <row r="131" spans="1:106" ht="12" customHeight="1" thickBot="1" x14ac:dyDescent="0.25">
      <c r="A131" s="5"/>
      <c r="B131" s="1288"/>
      <c r="C131" s="1288"/>
      <c r="D131" s="1288"/>
      <c r="E131" s="1288"/>
      <c r="F131" s="1288"/>
      <c r="G131" s="1288"/>
      <c r="H131" s="1288"/>
      <c r="I131" s="1288"/>
      <c r="J131" s="1288"/>
      <c r="K131" s="1288"/>
      <c r="L131" s="1288"/>
      <c r="M131" s="1288"/>
      <c r="N131" s="1288"/>
      <c r="O131" s="1288"/>
      <c r="P131" s="1288"/>
      <c r="Q131" s="1288"/>
      <c r="R131" s="1288"/>
      <c r="S131" s="1288"/>
      <c r="T131" s="1288"/>
      <c r="U131" s="1288"/>
      <c r="V131" s="1288"/>
      <c r="W131" s="1288"/>
      <c r="X131" s="1288"/>
      <c r="Y131" s="1288"/>
      <c r="Z131" s="1288"/>
      <c r="AA131" s="1288"/>
      <c r="AB131" s="212"/>
      <c r="AC131" s="1316"/>
      <c r="AD131" s="1317"/>
      <c r="AE131" s="1317"/>
      <c r="AF131" s="1317"/>
      <c r="AG131" s="1317"/>
      <c r="AH131" s="1317"/>
      <c r="AI131" s="1317"/>
      <c r="AJ131" s="1317"/>
      <c r="AK131" s="1317"/>
      <c r="AL131" s="1317"/>
      <c r="AM131" s="1317"/>
      <c r="AN131" s="1317"/>
      <c r="AO131" s="1317"/>
      <c r="AP131" s="1317"/>
      <c r="AQ131" s="1317"/>
      <c r="AR131" s="1317"/>
      <c r="AS131" s="1317"/>
      <c r="AT131" s="1317"/>
      <c r="AU131" s="1317"/>
      <c r="AV131" s="1317"/>
      <c r="AW131" s="1317"/>
      <c r="AX131" s="1317"/>
      <c r="AY131" s="1317"/>
      <c r="AZ131" s="1317"/>
      <c r="BA131" s="1317"/>
      <c r="BB131" s="1318"/>
      <c r="BC131" s="132"/>
      <c r="BD131" s="486"/>
      <c r="BE131" s="1282"/>
      <c r="BF131" s="1282"/>
      <c r="BG131" s="1282"/>
      <c r="BH131" s="1282"/>
      <c r="BI131" s="1282"/>
      <c r="BJ131" s="1282"/>
      <c r="BK131" s="1282"/>
      <c r="BL131" s="1282"/>
      <c r="BM131" s="1282"/>
      <c r="BN131" s="1282"/>
      <c r="BO131" s="1282"/>
      <c r="BP131" s="1282"/>
      <c r="BQ131" s="1282"/>
      <c r="BR131" s="1282"/>
      <c r="BS131" s="1282"/>
      <c r="BT131" s="1282"/>
      <c r="BU131" s="1282"/>
      <c r="BV131" s="1282"/>
      <c r="BW131" s="1282"/>
      <c r="BX131" s="1282"/>
      <c r="BY131" s="1282"/>
      <c r="BZ131" s="1282"/>
      <c r="CA131" s="1282"/>
      <c r="CB131" s="1282"/>
      <c r="CC131" s="1282"/>
      <c r="CD131" s="1282"/>
      <c r="CE131" s="1282"/>
      <c r="CF131" s="1282"/>
      <c r="CG131" s="1282"/>
      <c r="CH131" s="1282"/>
      <c r="CI131" s="1282"/>
      <c r="CJ131" s="1282"/>
      <c r="CK131" s="1282"/>
      <c r="CL131" s="1282"/>
      <c r="CM131" s="1282"/>
      <c r="CN131" s="1282"/>
      <c r="CO131" s="1282"/>
      <c r="CP131" s="1282"/>
      <c r="CQ131" s="1282"/>
      <c r="CR131" s="1282"/>
      <c r="CS131" s="1282"/>
      <c r="CT131" s="1282"/>
      <c r="CU131" s="1283"/>
      <c r="CV131" s="5"/>
      <c r="CY131" s="6">
        <f>CY129+1</f>
        <v>50</v>
      </c>
      <c r="CZ131" s="53"/>
      <c r="DA131" s="53"/>
    </row>
    <row r="132" spans="1:106" ht="12" customHeight="1" x14ac:dyDescent="0.2">
      <c r="A132" s="5"/>
      <c r="B132" s="1289"/>
      <c r="C132" s="1289"/>
      <c r="D132" s="1289"/>
      <c r="E132" s="1289"/>
      <c r="F132" s="1289"/>
      <c r="G132" s="1289"/>
      <c r="H132" s="1289"/>
      <c r="I132" s="1289"/>
      <c r="J132" s="1289"/>
      <c r="K132" s="1289"/>
      <c r="L132" s="1289"/>
      <c r="M132" s="1289"/>
      <c r="N132" s="1289"/>
      <c r="O132" s="1289"/>
      <c r="P132" s="1289"/>
      <c r="Q132" s="1289"/>
      <c r="R132" s="1289"/>
      <c r="S132" s="1289"/>
      <c r="T132" s="1289"/>
      <c r="U132" s="1289"/>
      <c r="V132" s="1289"/>
      <c r="W132" s="1289"/>
      <c r="X132" s="1289"/>
      <c r="Y132" s="1289"/>
      <c r="Z132" s="1289"/>
      <c r="AA132" s="1289"/>
      <c r="AB132" s="212"/>
      <c r="AC132" s="1314" t="s">
        <v>1008</v>
      </c>
      <c r="AD132" s="1303"/>
      <c r="AE132" s="1303"/>
      <c r="AF132" s="1303"/>
      <c r="AG132" s="1303"/>
      <c r="AH132" s="1303"/>
      <c r="AI132" s="1303"/>
      <c r="AJ132" s="1303"/>
      <c r="AK132" s="1303"/>
      <c r="AL132" s="1303"/>
      <c r="AM132" s="1303"/>
      <c r="AN132" s="1303"/>
      <c r="AO132" s="1303"/>
      <c r="AP132" s="1303"/>
      <c r="AQ132" s="1303"/>
      <c r="AR132" s="1303"/>
      <c r="AS132" s="1303"/>
      <c r="AT132" s="1303"/>
      <c r="AU132" s="1303"/>
      <c r="AV132" s="1303"/>
      <c r="AW132" s="1303"/>
      <c r="AX132" s="1303"/>
      <c r="AY132" s="1303"/>
      <c r="AZ132" s="1303"/>
      <c r="BA132" s="1303"/>
      <c r="BB132" s="1315"/>
      <c r="BC132" s="132"/>
      <c r="BD132" s="486"/>
      <c r="BE132" s="1282"/>
      <c r="BF132" s="1282"/>
      <c r="BG132" s="1282"/>
      <c r="BH132" s="1282"/>
      <c r="BI132" s="1282"/>
      <c r="BJ132" s="1282"/>
      <c r="BK132" s="1282"/>
      <c r="BL132" s="1282"/>
      <c r="BM132" s="1282"/>
      <c r="BN132" s="1282"/>
      <c r="BO132" s="1282"/>
      <c r="BP132" s="1282"/>
      <c r="BQ132" s="1282"/>
      <c r="BR132" s="1282"/>
      <c r="BS132" s="1282"/>
      <c r="BT132" s="1282"/>
      <c r="BU132" s="1282"/>
      <c r="BV132" s="1282"/>
      <c r="BW132" s="1282"/>
      <c r="BX132" s="1282"/>
      <c r="BY132" s="1282"/>
      <c r="BZ132" s="1282"/>
      <c r="CA132" s="1282"/>
      <c r="CB132" s="1282"/>
      <c r="CC132" s="1282"/>
      <c r="CD132" s="1282"/>
      <c r="CE132" s="1282"/>
      <c r="CF132" s="1282"/>
      <c r="CG132" s="1282"/>
      <c r="CH132" s="1282"/>
      <c r="CI132" s="1282"/>
      <c r="CJ132" s="1282"/>
      <c r="CK132" s="1282"/>
      <c r="CL132" s="1282"/>
      <c r="CM132" s="1282"/>
      <c r="CN132" s="1282"/>
      <c r="CO132" s="1282"/>
      <c r="CP132" s="1282"/>
      <c r="CQ132" s="1282"/>
      <c r="CR132" s="1282"/>
      <c r="CS132" s="1282"/>
      <c r="CT132" s="1282"/>
      <c r="CU132" s="1283"/>
      <c r="CV132" s="5"/>
      <c r="CZ132" s="53"/>
      <c r="DA132" s="53"/>
    </row>
    <row r="133" spans="1:106" ht="12" customHeight="1" thickBot="1" x14ac:dyDescent="0.25">
      <c r="A133" s="5"/>
      <c r="B133" s="1288"/>
      <c r="C133" s="1288"/>
      <c r="D133" s="1288"/>
      <c r="E133" s="1288"/>
      <c r="F133" s="1288"/>
      <c r="G133" s="1288"/>
      <c r="H133" s="1288"/>
      <c r="I133" s="1288"/>
      <c r="J133" s="1288"/>
      <c r="K133" s="1288"/>
      <c r="L133" s="1288"/>
      <c r="M133" s="1288"/>
      <c r="N133" s="1288"/>
      <c r="O133" s="1288"/>
      <c r="P133" s="1288"/>
      <c r="Q133" s="1288"/>
      <c r="R133" s="1288"/>
      <c r="S133" s="1288"/>
      <c r="T133" s="1288"/>
      <c r="U133" s="1288"/>
      <c r="V133" s="1288"/>
      <c r="W133" s="1288"/>
      <c r="X133" s="1288"/>
      <c r="Y133" s="1288"/>
      <c r="Z133" s="1288"/>
      <c r="AA133" s="1288"/>
      <c r="AB133" s="212"/>
      <c r="AC133" s="1277"/>
      <c r="AD133" s="1278"/>
      <c r="AE133" s="1278"/>
      <c r="AF133" s="1278"/>
      <c r="AG133" s="1278"/>
      <c r="AH133" s="1278"/>
      <c r="AI133" s="1278"/>
      <c r="AJ133" s="1278"/>
      <c r="AK133" s="1278"/>
      <c r="AL133" s="1278"/>
      <c r="AM133" s="1278"/>
      <c r="AN133" s="1278"/>
      <c r="AO133" s="1278"/>
      <c r="AP133" s="1278"/>
      <c r="AQ133" s="1278"/>
      <c r="AR133" s="1278"/>
      <c r="AS133" s="1278"/>
      <c r="AT133" s="1278"/>
      <c r="AU133" s="1278"/>
      <c r="AV133" s="1278"/>
      <c r="AW133" s="1278"/>
      <c r="AX133" s="1278"/>
      <c r="AY133" s="1278"/>
      <c r="AZ133" s="1278"/>
      <c r="BA133" s="1278"/>
      <c r="BB133" s="1279"/>
      <c r="BC133" s="132"/>
      <c r="BD133" s="486"/>
      <c r="BE133" s="1282"/>
      <c r="BF133" s="1282"/>
      <c r="BG133" s="1282"/>
      <c r="BH133" s="1282"/>
      <c r="BI133" s="1282"/>
      <c r="BJ133" s="1282"/>
      <c r="BK133" s="1282"/>
      <c r="BL133" s="1282"/>
      <c r="BM133" s="1282"/>
      <c r="BN133" s="1282"/>
      <c r="BO133" s="1282"/>
      <c r="BP133" s="1282"/>
      <c r="BQ133" s="1282"/>
      <c r="BR133" s="1282"/>
      <c r="BS133" s="1282"/>
      <c r="BT133" s="1282"/>
      <c r="BU133" s="1282"/>
      <c r="BV133" s="1282"/>
      <c r="BW133" s="1282"/>
      <c r="BX133" s="1282"/>
      <c r="BY133" s="1282"/>
      <c r="BZ133" s="1282"/>
      <c r="CA133" s="1282"/>
      <c r="CB133" s="1282"/>
      <c r="CC133" s="1282"/>
      <c r="CD133" s="1282"/>
      <c r="CE133" s="1282"/>
      <c r="CF133" s="1282"/>
      <c r="CG133" s="1282"/>
      <c r="CH133" s="1282"/>
      <c r="CI133" s="1282"/>
      <c r="CJ133" s="1282"/>
      <c r="CK133" s="1282"/>
      <c r="CL133" s="1282"/>
      <c r="CM133" s="1282"/>
      <c r="CN133" s="1282"/>
      <c r="CO133" s="1282"/>
      <c r="CP133" s="1282"/>
      <c r="CQ133" s="1282"/>
      <c r="CR133" s="1282"/>
      <c r="CS133" s="1282"/>
      <c r="CT133" s="1282"/>
      <c r="CU133" s="1283"/>
      <c r="CV133" s="5"/>
      <c r="CY133" s="6">
        <f>CY131+1</f>
        <v>51</v>
      </c>
      <c r="CZ133" s="53"/>
      <c r="DA133" s="53"/>
    </row>
    <row r="134" spans="1:106" ht="12" customHeight="1" x14ac:dyDescent="0.2">
      <c r="A134" s="5"/>
      <c r="B134" s="1289"/>
      <c r="C134" s="1289"/>
      <c r="D134" s="1289"/>
      <c r="E134" s="1289"/>
      <c r="F134" s="1289"/>
      <c r="G134" s="1289"/>
      <c r="H134" s="1289"/>
      <c r="I134" s="1289"/>
      <c r="J134" s="1289"/>
      <c r="K134" s="1289"/>
      <c r="L134" s="1289"/>
      <c r="M134" s="1289"/>
      <c r="N134" s="1289"/>
      <c r="O134" s="1289"/>
      <c r="P134" s="1289"/>
      <c r="Q134" s="1289"/>
      <c r="R134" s="1289"/>
      <c r="S134" s="1289"/>
      <c r="T134" s="1289"/>
      <c r="U134" s="1289"/>
      <c r="V134" s="1289"/>
      <c r="W134" s="1289"/>
      <c r="X134" s="1289"/>
      <c r="Y134" s="1289"/>
      <c r="Z134" s="1289"/>
      <c r="AA134" s="1289"/>
      <c r="AB134" s="212"/>
      <c r="AC134" s="378"/>
      <c r="AD134" s="330"/>
      <c r="AE134" s="330"/>
      <c r="AF134" s="330"/>
      <c r="AG134" s="330"/>
      <c r="AH134" s="330"/>
      <c r="AI134" s="330"/>
      <c r="AJ134" s="330"/>
      <c r="AK134" s="330"/>
      <c r="AL134" s="330"/>
      <c r="AM134" s="330"/>
      <c r="AN134" s="330"/>
      <c r="AO134" s="330"/>
      <c r="AP134" s="330"/>
      <c r="AQ134" s="330"/>
      <c r="AR134" s="330"/>
      <c r="AS134" s="330"/>
      <c r="AT134" s="330"/>
      <c r="AU134" s="330"/>
      <c r="AV134" s="330"/>
      <c r="AW134" s="330"/>
      <c r="AX134" s="330"/>
      <c r="AY134" s="330"/>
      <c r="AZ134" s="330"/>
      <c r="BA134" s="330"/>
      <c r="BB134" s="379"/>
      <c r="BC134" s="132"/>
      <c r="BD134" s="486"/>
      <c r="BE134" s="1282"/>
      <c r="BF134" s="1282"/>
      <c r="BG134" s="1282"/>
      <c r="BH134" s="1282"/>
      <c r="BI134" s="1282"/>
      <c r="BJ134" s="1282"/>
      <c r="BK134" s="1282"/>
      <c r="BL134" s="1282"/>
      <c r="BM134" s="1282"/>
      <c r="BN134" s="1282"/>
      <c r="BO134" s="1282"/>
      <c r="BP134" s="1282"/>
      <c r="BQ134" s="1282"/>
      <c r="BR134" s="1282"/>
      <c r="BS134" s="1282"/>
      <c r="BT134" s="1282"/>
      <c r="BU134" s="1282"/>
      <c r="BV134" s="1282"/>
      <c r="BW134" s="1282"/>
      <c r="BX134" s="1282"/>
      <c r="BY134" s="1282"/>
      <c r="BZ134" s="1282"/>
      <c r="CA134" s="1282"/>
      <c r="CB134" s="1282"/>
      <c r="CC134" s="1282"/>
      <c r="CD134" s="1282"/>
      <c r="CE134" s="1282"/>
      <c r="CF134" s="1282"/>
      <c r="CG134" s="1282"/>
      <c r="CH134" s="1282"/>
      <c r="CI134" s="1282"/>
      <c r="CJ134" s="1282"/>
      <c r="CK134" s="1282"/>
      <c r="CL134" s="1282"/>
      <c r="CM134" s="1282"/>
      <c r="CN134" s="1282"/>
      <c r="CO134" s="1282"/>
      <c r="CP134" s="1282"/>
      <c r="CQ134" s="1282"/>
      <c r="CR134" s="1282"/>
      <c r="CS134" s="1282"/>
      <c r="CT134" s="1282"/>
      <c r="CU134" s="1283"/>
      <c r="CV134" s="5"/>
      <c r="CZ134" s="53"/>
      <c r="DA134" s="53"/>
    </row>
    <row r="135" spans="1:106" ht="12" customHeight="1" x14ac:dyDescent="0.2">
      <c r="A135" s="5"/>
      <c r="B135" s="1288"/>
      <c r="C135" s="1288"/>
      <c r="D135" s="1288"/>
      <c r="E135" s="1288"/>
      <c r="F135" s="1288"/>
      <c r="G135" s="1288"/>
      <c r="H135" s="1288"/>
      <c r="I135" s="1288"/>
      <c r="J135" s="1288"/>
      <c r="K135" s="1288"/>
      <c r="L135" s="1288"/>
      <c r="M135" s="1288"/>
      <c r="N135" s="1288"/>
      <c r="O135" s="1288"/>
      <c r="P135" s="1288"/>
      <c r="Q135" s="1288"/>
      <c r="R135" s="1288"/>
      <c r="S135" s="1288"/>
      <c r="T135" s="1288"/>
      <c r="U135" s="1288"/>
      <c r="V135" s="1288"/>
      <c r="W135" s="1288"/>
      <c r="X135" s="1288"/>
      <c r="Y135" s="1288"/>
      <c r="Z135" s="1288"/>
      <c r="AA135" s="1288"/>
      <c r="AB135" s="212"/>
      <c r="AC135" s="1308" t="str">
        <f>IF(CharacterLevel="","",IF(CharacterBackgroundIdeal=SelectText,"",CharacterBackgroundIdeal))</f>
        <v/>
      </c>
      <c r="AD135" s="1309"/>
      <c r="AE135" s="1309"/>
      <c r="AF135" s="1309"/>
      <c r="AG135" s="1309"/>
      <c r="AH135" s="1309"/>
      <c r="AI135" s="1309"/>
      <c r="AJ135" s="1309"/>
      <c r="AK135" s="1309"/>
      <c r="AL135" s="1309"/>
      <c r="AM135" s="1309"/>
      <c r="AN135" s="1309"/>
      <c r="AO135" s="1309"/>
      <c r="AP135" s="1309"/>
      <c r="AQ135" s="1309"/>
      <c r="AR135" s="1309"/>
      <c r="AS135" s="1309"/>
      <c r="AT135" s="1309"/>
      <c r="AU135" s="1309"/>
      <c r="AV135" s="1309"/>
      <c r="AW135" s="1309"/>
      <c r="AX135" s="1309"/>
      <c r="AY135" s="1309"/>
      <c r="AZ135" s="1309"/>
      <c r="BA135" s="1309"/>
      <c r="BB135" s="1310"/>
      <c r="BC135" s="132"/>
      <c r="BD135" s="486"/>
      <c r="BE135" s="1282"/>
      <c r="BF135" s="1282"/>
      <c r="BG135" s="1282"/>
      <c r="BH135" s="1282"/>
      <c r="BI135" s="1282"/>
      <c r="BJ135" s="1282"/>
      <c r="BK135" s="1282"/>
      <c r="BL135" s="1282"/>
      <c r="BM135" s="1282"/>
      <c r="BN135" s="1282"/>
      <c r="BO135" s="1282"/>
      <c r="BP135" s="1282"/>
      <c r="BQ135" s="1282"/>
      <c r="BR135" s="1282"/>
      <c r="BS135" s="1282"/>
      <c r="BT135" s="1282"/>
      <c r="BU135" s="1282"/>
      <c r="BV135" s="1282"/>
      <c r="BW135" s="1282"/>
      <c r="BX135" s="1282"/>
      <c r="BY135" s="1282"/>
      <c r="BZ135" s="1282"/>
      <c r="CA135" s="1282"/>
      <c r="CB135" s="1282"/>
      <c r="CC135" s="1282"/>
      <c r="CD135" s="1282"/>
      <c r="CE135" s="1282"/>
      <c r="CF135" s="1282"/>
      <c r="CG135" s="1282"/>
      <c r="CH135" s="1282"/>
      <c r="CI135" s="1282"/>
      <c r="CJ135" s="1282"/>
      <c r="CK135" s="1282"/>
      <c r="CL135" s="1282"/>
      <c r="CM135" s="1282"/>
      <c r="CN135" s="1282"/>
      <c r="CO135" s="1282"/>
      <c r="CP135" s="1282"/>
      <c r="CQ135" s="1282"/>
      <c r="CR135" s="1282"/>
      <c r="CS135" s="1282"/>
      <c r="CT135" s="1282"/>
      <c r="CU135" s="1283"/>
      <c r="CV135" s="5"/>
      <c r="CY135" s="6">
        <f>CY133+1</f>
        <v>52</v>
      </c>
      <c r="CZ135" s="53"/>
      <c r="DA135" s="53"/>
    </row>
    <row r="136" spans="1:106" ht="12" customHeight="1" x14ac:dyDescent="0.2">
      <c r="A136" s="5"/>
      <c r="B136" s="1289"/>
      <c r="C136" s="1289"/>
      <c r="D136" s="1289"/>
      <c r="E136" s="1289"/>
      <c r="F136" s="1289"/>
      <c r="G136" s="1289"/>
      <c r="H136" s="1289"/>
      <c r="I136" s="1289"/>
      <c r="J136" s="1289"/>
      <c r="K136" s="1289"/>
      <c r="L136" s="1289"/>
      <c r="M136" s="1289"/>
      <c r="N136" s="1289"/>
      <c r="O136" s="1289"/>
      <c r="P136" s="1289"/>
      <c r="Q136" s="1289"/>
      <c r="R136" s="1289"/>
      <c r="S136" s="1289"/>
      <c r="T136" s="1289"/>
      <c r="U136" s="1289"/>
      <c r="V136" s="1289"/>
      <c r="W136" s="1289"/>
      <c r="X136" s="1289"/>
      <c r="Y136" s="1289"/>
      <c r="Z136" s="1289"/>
      <c r="AA136" s="1289"/>
      <c r="AB136" s="212"/>
      <c r="AC136" s="1308"/>
      <c r="AD136" s="1309"/>
      <c r="AE136" s="1309"/>
      <c r="AF136" s="1309"/>
      <c r="AG136" s="1309"/>
      <c r="AH136" s="1309"/>
      <c r="AI136" s="1309"/>
      <c r="AJ136" s="1309"/>
      <c r="AK136" s="1309"/>
      <c r="AL136" s="1309"/>
      <c r="AM136" s="1309"/>
      <c r="AN136" s="1309"/>
      <c r="AO136" s="1309"/>
      <c r="AP136" s="1309"/>
      <c r="AQ136" s="1309"/>
      <c r="AR136" s="1309"/>
      <c r="AS136" s="1309"/>
      <c r="AT136" s="1309"/>
      <c r="AU136" s="1309"/>
      <c r="AV136" s="1309"/>
      <c r="AW136" s="1309"/>
      <c r="AX136" s="1309"/>
      <c r="AY136" s="1309"/>
      <c r="AZ136" s="1309"/>
      <c r="BA136" s="1309"/>
      <c r="BB136" s="1310"/>
      <c r="BC136" s="132"/>
      <c r="BD136" s="486"/>
      <c r="BE136" s="1282"/>
      <c r="BF136" s="1282"/>
      <c r="BG136" s="1282"/>
      <c r="BH136" s="1282"/>
      <c r="BI136" s="1282"/>
      <c r="BJ136" s="1282"/>
      <c r="BK136" s="1282"/>
      <c r="BL136" s="1282"/>
      <c r="BM136" s="1282"/>
      <c r="BN136" s="1282"/>
      <c r="BO136" s="1282"/>
      <c r="BP136" s="1282"/>
      <c r="BQ136" s="1282"/>
      <c r="BR136" s="1282"/>
      <c r="BS136" s="1282"/>
      <c r="BT136" s="1282"/>
      <c r="BU136" s="1282"/>
      <c r="BV136" s="1282"/>
      <c r="BW136" s="1282"/>
      <c r="BX136" s="1282"/>
      <c r="BY136" s="1282"/>
      <c r="BZ136" s="1282"/>
      <c r="CA136" s="1282"/>
      <c r="CB136" s="1282"/>
      <c r="CC136" s="1282"/>
      <c r="CD136" s="1282"/>
      <c r="CE136" s="1282"/>
      <c r="CF136" s="1282"/>
      <c r="CG136" s="1282"/>
      <c r="CH136" s="1282"/>
      <c r="CI136" s="1282"/>
      <c r="CJ136" s="1282"/>
      <c r="CK136" s="1282"/>
      <c r="CL136" s="1282"/>
      <c r="CM136" s="1282"/>
      <c r="CN136" s="1282"/>
      <c r="CO136" s="1282"/>
      <c r="CP136" s="1282"/>
      <c r="CQ136" s="1282"/>
      <c r="CR136" s="1282"/>
      <c r="CS136" s="1282"/>
      <c r="CT136" s="1282"/>
      <c r="CU136" s="1283"/>
      <c r="CV136" s="5"/>
      <c r="CZ136" s="53"/>
      <c r="DA136" s="53"/>
    </row>
    <row r="137" spans="1:106" ht="12" customHeight="1" x14ac:dyDescent="0.2">
      <c r="A137" s="5"/>
      <c r="B137" s="1288"/>
      <c r="C137" s="1288"/>
      <c r="D137" s="1288"/>
      <c r="E137" s="1288"/>
      <c r="F137" s="1288"/>
      <c r="G137" s="1288"/>
      <c r="H137" s="1288"/>
      <c r="I137" s="1288"/>
      <c r="J137" s="1288"/>
      <c r="K137" s="1288"/>
      <c r="L137" s="1288"/>
      <c r="M137" s="1288"/>
      <c r="N137" s="1288"/>
      <c r="O137" s="1288"/>
      <c r="P137" s="1288"/>
      <c r="Q137" s="1288"/>
      <c r="R137" s="1288"/>
      <c r="S137" s="1288"/>
      <c r="T137" s="1288"/>
      <c r="U137" s="1288"/>
      <c r="V137" s="1288"/>
      <c r="W137" s="1288"/>
      <c r="X137" s="1288"/>
      <c r="Y137" s="1288"/>
      <c r="Z137" s="1288"/>
      <c r="AA137" s="1288"/>
      <c r="AB137" s="212"/>
      <c r="AC137" s="1308"/>
      <c r="AD137" s="1309"/>
      <c r="AE137" s="1309"/>
      <c r="AF137" s="1309"/>
      <c r="AG137" s="1309"/>
      <c r="AH137" s="1309"/>
      <c r="AI137" s="1309"/>
      <c r="AJ137" s="1309"/>
      <c r="AK137" s="1309"/>
      <c r="AL137" s="1309"/>
      <c r="AM137" s="1309"/>
      <c r="AN137" s="1309"/>
      <c r="AO137" s="1309"/>
      <c r="AP137" s="1309"/>
      <c r="AQ137" s="1309"/>
      <c r="AR137" s="1309"/>
      <c r="AS137" s="1309"/>
      <c r="AT137" s="1309"/>
      <c r="AU137" s="1309"/>
      <c r="AV137" s="1309"/>
      <c r="AW137" s="1309"/>
      <c r="AX137" s="1309"/>
      <c r="AY137" s="1309"/>
      <c r="AZ137" s="1309"/>
      <c r="BA137" s="1309"/>
      <c r="BB137" s="1310"/>
      <c r="BC137" s="132"/>
      <c r="BD137" s="486"/>
      <c r="BE137" s="1282"/>
      <c r="BF137" s="1282"/>
      <c r="BG137" s="1282"/>
      <c r="BH137" s="1282"/>
      <c r="BI137" s="1282"/>
      <c r="BJ137" s="1282"/>
      <c r="BK137" s="1282"/>
      <c r="BL137" s="1282"/>
      <c r="BM137" s="1282"/>
      <c r="BN137" s="1282"/>
      <c r="BO137" s="1282"/>
      <c r="BP137" s="1282"/>
      <c r="BQ137" s="1282"/>
      <c r="BR137" s="1282"/>
      <c r="BS137" s="1282"/>
      <c r="BT137" s="1282"/>
      <c r="BU137" s="1282"/>
      <c r="BV137" s="1282"/>
      <c r="BW137" s="1282"/>
      <c r="BX137" s="1282"/>
      <c r="BY137" s="1282"/>
      <c r="BZ137" s="1282"/>
      <c r="CA137" s="1282"/>
      <c r="CB137" s="1282"/>
      <c r="CC137" s="1282"/>
      <c r="CD137" s="1282"/>
      <c r="CE137" s="1282"/>
      <c r="CF137" s="1282"/>
      <c r="CG137" s="1282"/>
      <c r="CH137" s="1282"/>
      <c r="CI137" s="1282"/>
      <c r="CJ137" s="1282"/>
      <c r="CK137" s="1282"/>
      <c r="CL137" s="1282"/>
      <c r="CM137" s="1282"/>
      <c r="CN137" s="1282"/>
      <c r="CO137" s="1282"/>
      <c r="CP137" s="1282"/>
      <c r="CQ137" s="1282"/>
      <c r="CR137" s="1282"/>
      <c r="CS137" s="1282"/>
      <c r="CT137" s="1282"/>
      <c r="CU137" s="1283"/>
      <c r="CV137" s="5"/>
      <c r="CY137" s="6">
        <f>CY135+1</f>
        <v>53</v>
      </c>
      <c r="CZ137" s="53"/>
      <c r="DA137" s="53"/>
    </row>
    <row r="138" spans="1:106" ht="12" customHeight="1" x14ac:dyDescent="0.2">
      <c r="A138" s="5"/>
      <c r="B138" s="1289"/>
      <c r="C138" s="1289"/>
      <c r="D138" s="1289"/>
      <c r="E138" s="1289"/>
      <c r="F138" s="1289"/>
      <c r="G138" s="1289"/>
      <c r="H138" s="1289"/>
      <c r="I138" s="1289"/>
      <c r="J138" s="1289"/>
      <c r="K138" s="1289"/>
      <c r="L138" s="1289"/>
      <c r="M138" s="1289"/>
      <c r="N138" s="1289"/>
      <c r="O138" s="1289"/>
      <c r="P138" s="1289"/>
      <c r="Q138" s="1289"/>
      <c r="R138" s="1289"/>
      <c r="S138" s="1289"/>
      <c r="T138" s="1289"/>
      <c r="U138" s="1289"/>
      <c r="V138" s="1289"/>
      <c r="W138" s="1289"/>
      <c r="X138" s="1289"/>
      <c r="Y138" s="1289"/>
      <c r="Z138" s="1289"/>
      <c r="AA138" s="1289"/>
      <c r="AB138" s="212"/>
      <c r="AC138" s="1308"/>
      <c r="AD138" s="1309"/>
      <c r="AE138" s="1309"/>
      <c r="AF138" s="1309"/>
      <c r="AG138" s="1309"/>
      <c r="AH138" s="1309"/>
      <c r="AI138" s="1309"/>
      <c r="AJ138" s="1309"/>
      <c r="AK138" s="1309"/>
      <c r="AL138" s="1309"/>
      <c r="AM138" s="1309"/>
      <c r="AN138" s="1309"/>
      <c r="AO138" s="1309"/>
      <c r="AP138" s="1309"/>
      <c r="AQ138" s="1309"/>
      <c r="AR138" s="1309"/>
      <c r="AS138" s="1309"/>
      <c r="AT138" s="1309"/>
      <c r="AU138" s="1309"/>
      <c r="AV138" s="1309"/>
      <c r="AW138" s="1309"/>
      <c r="AX138" s="1309"/>
      <c r="AY138" s="1309"/>
      <c r="AZ138" s="1309"/>
      <c r="BA138" s="1309"/>
      <c r="BB138" s="1310"/>
      <c r="BC138" s="2"/>
      <c r="BD138" s="486"/>
      <c r="BE138" s="1282"/>
      <c r="BF138" s="1282"/>
      <c r="BG138" s="1282"/>
      <c r="BH138" s="1282"/>
      <c r="BI138" s="1282"/>
      <c r="BJ138" s="1282"/>
      <c r="BK138" s="1282"/>
      <c r="BL138" s="1282"/>
      <c r="BM138" s="1282"/>
      <c r="BN138" s="1282"/>
      <c r="BO138" s="1282"/>
      <c r="BP138" s="1282"/>
      <c r="BQ138" s="1282"/>
      <c r="BR138" s="1282"/>
      <c r="BS138" s="1282"/>
      <c r="BT138" s="1282"/>
      <c r="BU138" s="1282"/>
      <c r="BV138" s="1282"/>
      <c r="BW138" s="1282"/>
      <c r="BX138" s="1282"/>
      <c r="BY138" s="1282"/>
      <c r="BZ138" s="1282"/>
      <c r="CA138" s="1282"/>
      <c r="CB138" s="1282"/>
      <c r="CC138" s="1282"/>
      <c r="CD138" s="1282"/>
      <c r="CE138" s="1282"/>
      <c r="CF138" s="1282"/>
      <c r="CG138" s="1282"/>
      <c r="CH138" s="1282"/>
      <c r="CI138" s="1282"/>
      <c r="CJ138" s="1282"/>
      <c r="CK138" s="1282"/>
      <c r="CL138" s="1282"/>
      <c r="CM138" s="1282"/>
      <c r="CN138" s="1282"/>
      <c r="CO138" s="1282"/>
      <c r="CP138" s="1282"/>
      <c r="CQ138" s="1282"/>
      <c r="CR138" s="1282"/>
      <c r="CS138" s="1282"/>
      <c r="CT138" s="1282"/>
      <c r="CU138" s="1283"/>
      <c r="CV138" s="5"/>
      <c r="CZ138" s="53"/>
      <c r="DA138" s="53"/>
    </row>
    <row r="139" spans="1:106" ht="12" customHeight="1" x14ac:dyDescent="0.2">
      <c r="A139" s="5"/>
      <c r="B139" s="1288"/>
      <c r="C139" s="1288"/>
      <c r="D139" s="1288"/>
      <c r="E139" s="1288"/>
      <c r="F139" s="1288"/>
      <c r="G139" s="1288"/>
      <c r="H139" s="1288"/>
      <c r="I139" s="1288"/>
      <c r="J139" s="1288"/>
      <c r="K139" s="1288"/>
      <c r="L139" s="1288"/>
      <c r="M139" s="1288"/>
      <c r="N139" s="1288"/>
      <c r="O139" s="1288"/>
      <c r="P139" s="1288"/>
      <c r="Q139" s="1288"/>
      <c r="R139" s="1288"/>
      <c r="S139" s="1288"/>
      <c r="T139" s="1288"/>
      <c r="U139" s="1288"/>
      <c r="V139" s="1288"/>
      <c r="W139" s="1288"/>
      <c r="X139" s="1288"/>
      <c r="Y139" s="1288"/>
      <c r="Z139" s="1288"/>
      <c r="AA139" s="1288"/>
      <c r="AB139" s="217"/>
      <c r="AC139" s="1308"/>
      <c r="AD139" s="1309"/>
      <c r="AE139" s="1309"/>
      <c r="AF139" s="1309"/>
      <c r="AG139" s="1309"/>
      <c r="AH139" s="1309"/>
      <c r="AI139" s="1309"/>
      <c r="AJ139" s="1309"/>
      <c r="AK139" s="1309"/>
      <c r="AL139" s="1309"/>
      <c r="AM139" s="1309"/>
      <c r="AN139" s="1309"/>
      <c r="AO139" s="1309"/>
      <c r="AP139" s="1309"/>
      <c r="AQ139" s="1309"/>
      <c r="AR139" s="1309"/>
      <c r="AS139" s="1309"/>
      <c r="AT139" s="1309"/>
      <c r="AU139" s="1309"/>
      <c r="AV139" s="1309"/>
      <c r="AW139" s="1309"/>
      <c r="AX139" s="1309"/>
      <c r="AY139" s="1309"/>
      <c r="AZ139" s="1309"/>
      <c r="BA139" s="1309"/>
      <c r="BB139" s="1310"/>
      <c r="BC139" s="2"/>
      <c r="BD139" s="486"/>
      <c r="BE139" s="1282"/>
      <c r="BF139" s="1282"/>
      <c r="BG139" s="1282"/>
      <c r="BH139" s="1282"/>
      <c r="BI139" s="1282"/>
      <c r="BJ139" s="1282"/>
      <c r="BK139" s="1282"/>
      <c r="BL139" s="1282"/>
      <c r="BM139" s="1282"/>
      <c r="BN139" s="1282"/>
      <c r="BO139" s="1282"/>
      <c r="BP139" s="1282"/>
      <c r="BQ139" s="1282"/>
      <c r="BR139" s="1282"/>
      <c r="BS139" s="1282"/>
      <c r="BT139" s="1282"/>
      <c r="BU139" s="1282"/>
      <c r="BV139" s="1282"/>
      <c r="BW139" s="1282"/>
      <c r="BX139" s="1282"/>
      <c r="BY139" s="1282"/>
      <c r="BZ139" s="1282"/>
      <c r="CA139" s="1282"/>
      <c r="CB139" s="1282"/>
      <c r="CC139" s="1282"/>
      <c r="CD139" s="1282"/>
      <c r="CE139" s="1282"/>
      <c r="CF139" s="1282"/>
      <c r="CG139" s="1282"/>
      <c r="CH139" s="1282"/>
      <c r="CI139" s="1282"/>
      <c r="CJ139" s="1282"/>
      <c r="CK139" s="1282"/>
      <c r="CL139" s="1282"/>
      <c r="CM139" s="1282"/>
      <c r="CN139" s="1282"/>
      <c r="CO139" s="1282"/>
      <c r="CP139" s="1282"/>
      <c r="CQ139" s="1282"/>
      <c r="CR139" s="1282"/>
      <c r="CS139" s="1282"/>
      <c r="CT139" s="1282"/>
      <c r="CU139" s="1283"/>
      <c r="CV139" s="5"/>
      <c r="CY139" s="6">
        <f>CY137+1</f>
        <v>54</v>
      </c>
      <c r="CZ139" s="53"/>
      <c r="DA139" s="53"/>
    </row>
    <row r="140" spans="1:106" ht="12" customHeight="1" thickBot="1" x14ac:dyDescent="0.25">
      <c r="A140" s="5"/>
      <c r="B140" s="1289"/>
      <c r="C140" s="1289"/>
      <c r="D140" s="1289"/>
      <c r="E140" s="1289"/>
      <c r="F140" s="1289"/>
      <c r="G140" s="1289"/>
      <c r="H140" s="1289"/>
      <c r="I140" s="1289"/>
      <c r="J140" s="1289"/>
      <c r="K140" s="1289"/>
      <c r="L140" s="1289"/>
      <c r="M140" s="1289"/>
      <c r="N140" s="1289"/>
      <c r="O140" s="1289"/>
      <c r="P140" s="1289"/>
      <c r="Q140" s="1289"/>
      <c r="R140" s="1289"/>
      <c r="S140" s="1289"/>
      <c r="T140" s="1289"/>
      <c r="U140" s="1289"/>
      <c r="V140" s="1289"/>
      <c r="W140" s="1289"/>
      <c r="X140" s="1289"/>
      <c r="Y140" s="1289"/>
      <c r="Z140" s="1289"/>
      <c r="AA140" s="1289"/>
      <c r="AB140" s="212"/>
      <c r="AC140" s="1316"/>
      <c r="AD140" s="1317"/>
      <c r="AE140" s="1317"/>
      <c r="AF140" s="1317"/>
      <c r="AG140" s="1317"/>
      <c r="AH140" s="1317"/>
      <c r="AI140" s="1317"/>
      <c r="AJ140" s="1317"/>
      <c r="AK140" s="1317"/>
      <c r="AL140" s="1317"/>
      <c r="AM140" s="1317"/>
      <c r="AN140" s="1317"/>
      <c r="AO140" s="1317"/>
      <c r="AP140" s="1317"/>
      <c r="AQ140" s="1317"/>
      <c r="AR140" s="1317"/>
      <c r="AS140" s="1317"/>
      <c r="AT140" s="1317"/>
      <c r="AU140" s="1317"/>
      <c r="AV140" s="1317"/>
      <c r="AW140" s="1317"/>
      <c r="AX140" s="1317"/>
      <c r="AY140" s="1317"/>
      <c r="AZ140" s="1317"/>
      <c r="BA140" s="1317"/>
      <c r="BB140" s="1318"/>
      <c r="BC140" s="2"/>
      <c r="BD140" s="486"/>
      <c r="BE140" s="1282"/>
      <c r="BF140" s="1282"/>
      <c r="BG140" s="1282"/>
      <c r="BH140" s="1282"/>
      <c r="BI140" s="1282"/>
      <c r="BJ140" s="1282"/>
      <c r="BK140" s="1282"/>
      <c r="BL140" s="1282"/>
      <c r="BM140" s="1282"/>
      <c r="BN140" s="1282"/>
      <c r="BO140" s="1282"/>
      <c r="BP140" s="1282"/>
      <c r="BQ140" s="1282"/>
      <c r="BR140" s="1282"/>
      <c r="BS140" s="1282"/>
      <c r="BT140" s="1282"/>
      <c r="BU140" s="1282"/>
      <c r="BV140" s="1282"/>
      <c r="BW140" s="1282"/>
      <c r="BX140" s="1282"/>
      <c r="BY140" s="1282"/>
      <c r="BZ140" s="1282"/>
      <c r="CA140" s="1282"/>
      <c r="CB140" s="1282"/>
      <c r="CC140" s="1282"/>
      <c r="CD140" s="1282"/>
      <c r="CE140" s="1282"/>
      <c r="CF140" s="1282"/>
      <c r="CG140" s="1282"/>
      <c r="CH140" s="1282"/>
      <c r="CI140" s="1282"/>
      <c r="CJ140" s="1282"/>
      <c r="CK140" s="1282"/>
      <c r="CL140" s="1282"/>
      <c r="CM140" s="1282"/>
      <c r="CN140" s="1282"/>
      <c r="CO140" s="1282"/>
      <c r="CP140" s="1282"/>
      <c r="CQ140" s="1282"/>
      <c r="CR140" s="1282"/>
      <c r="CS140" s="1282"/>
      <c r="CT140" s="1282"/>
      <c r="CU140" s="1283"/>
      <c r="CV140" s="5"/>
      <c r="CZ140" s="53"/>
      <c r="DA140" s="53"/>
    </row>
    <row r="141" spans="1:106" ht="12" customHeight="1" x14ac:dyDescent="0.2">
      <c r="A141" s="5"/>
      <c r="B141" s="1288"/>
      <c r="C141" s="1288"/>
      <c r="D141" s="1288"/>
      <c r="E141" s="1288"/>
      <c r="F141" s="1288"/>
      <c r="G141" s="1288"/>
      <c r="H141" s="1288"/>
      <c r="I141" s="1288"/>
      <c r="J141" s="1288"/>
      <c r="K141" s="1288"/>
      <c r="L141" s="1288"/>
      <c r="M141" s="1288"/>
      <c r="N141" s="1288"/>
      <c r="O141" s="1288"/>
      <c r="P141" s="1288"/>
      <c r="Q141" s="1288"/>
      <c r="R141" s="1288"/>
      <c r="S141" s="1288"/>
      <c r="T141" s="1288"/>
      <c r="U141" s="1288"/>
      <c r="V141" s="1288"/>
      <c r="W141" s="1288"/>
      <c r="X141" s="1288"/>
      <c r="Y141" s="1288"/>
      <c r="Z141" s="1288"/>
      <c r="AA141" s="1288"/>
      <c r="AB141" s="217"/>
      <c r="AC141" s="1314" t="s">
        <v>1009</v>
      </c>
      <c r="AD141" s="1303"/>
      <c r="AE141" s="1303"/>
      <c r="AF141" s="1303"/>
      <c r="AG141" s="1303"/>
      <c r="AH141" s="1303"/>
      <c r="AI141" s="1303"/>
      <c r="AJ141" s="1303"/>
      <c r="AK141" s="1303"/>
      <c r="AL141" s="1303"/>
      <c r="AM141" s="1303"/>
      <c r="AN141" s="1303"/>
      <c r="AO141" s="1303"/>
      <c r="AP141" s="1303"/>
      <c r="AQ141" s="1303"/>
      <c r="AR141" s="1303"/>
      <c r="AS141" s="1303"/>
      <c r="AT141" s="1303"/>
      <c r="AU141" s="1303"/>
      <c r="AV141" s="1303"/>
      <c r="AW141" s="1303"/>
      <c r="AX141" s="1303"/>
      <c r="AY141" s="1303"/>
      <c r="AZ141" s="1303"/>
      <c r="BA141" s="1303"/>
      <c r="BB141" s="1315"/>
      <c r="BC141" s="2"/>
      <c r="BD141" s="486"/>
      <c r="BE141" s="1282"/>
      <c r="BF141" s="1282"/>
      <c r="BG141" s="1282"/>
      <c r="BH141" s="1282"/>
      <c r="BI141" s="1282"/>
      <c r="BJ141" s="1282"/>
      <c r="BK141" s="1282"/>
      <c r="BL141" s="1282"/>
      <c r="BM141" s="1282"/>
      <c r="BN141" s="1282"/>
      <c r="BO141" s="1282"/>
      <c r="BP141" s="1282"/>
      <c r="BQ141" s="1282"/>
      <c r="BR141" s="1282"/>
      <c r="BS141" s="1282"/>
      <c r="BT141" s="1282"/>
      <c r="BU141" s="1282"/>
      <c r="BV141" s="1282"/>
      <c r="BW141" s="1282"/>
      <c r="BX141" s="1282"/>
      <c r="BY141" s="1282"/>
      <c r="BZ141" s="1282"/>
      <c r="CA141" s="1282"/>
      <c r="CB141" s="1282"/>
      <c r="CC141" s="1282"/>
      <c r="CD141" s="1282"/>
      <c r="CE141" s="1282"/>
      <c r="CF141" s="1282"/>
      <c r="CG141" s="1282"/>
      <c r="CH141" s="1282"/>
      <c r="CI141" s="1282"/>
      <c r="CJ141" s="1282"/>
      <c r="CK141" s="1282"/>
      <c r="CL141" s="1282"/>
      <c r="CM141" s="1282"/>
      <c r="CN141" s="1282"/>
      <c r="CO141" s="1282"/>
      <c r="CP141" s="1282"/>
      <c r="CQ141" s="1282"/>
      <c r="CR141" s="1282"/>
      <c r="CS141" s="1282"/>
      <c r="CT141" s="1282"/>
      <c r="CU141" s="1283"/>
      <c r="CV141" s="5"/>
      <c r="CY141" s="6">
        <f>CY139+1</f>
        <v>55</v>
      </c>
      <c r="CZ141" s="53"/>
      <c r="DA141" s="53"/>
    </row>
    <row r="142" spans="1:106" ht="12" customHeight="1" thickBot="1" x14ac:dyDescent="0.25">
      <c r="A142" s="5"/>
      <c r="B142" s="1289"/>
      <c r="C142" s="1289"/>
      <c r="D142" s="1289"/>
      <c r="E142" s="1289"/>
      <c r="F142" s="1289"/>
      <c r="G142" s="1289"/>
      <c r="H142" s="1289"/>
      <c r="I142" s="1289"/>
      <c r="J142" s="1289"/>
      <c r="K142" s="1289"/>
      <c r="L142" s="1289"/>
      <c r="M142" s="1289"/>
      <c r="N142" s="1289"/>
      <c r="O142" s="1289"/>
      <c r="P142" s="1289"/>
      <c r="Q142" s="1289"/>
      <c r="R142" s="1289"/>
      <c r="S142" s="1289"/>
      <c r="T142" s="1289"/>
      <c r="U142" s="1289"/>
      <c r="V142" s="1289"/>
      <c r="W142" s="1289"/>
      <c r="X142" s="1289"/>
      <c r="Y142" s="1289"/>
      <c r="Z142" s="1289"/>
      <c r="AA142" s="1289"/>
      <c r="AB142" s="212"/>
      <c r="AC142" s="1277"/>
      <c r="AD142" s="1278"/>
      <c r="AE142" s="1278"/>
      <c r="AF142" s="1278"/>
      <c r="AG142" s="1278"/>
      <c r="AH142" s="1278"/>
      <c r="AI142" s="1278"/>
      <c r="AJ142" s="1278"/>
      <c r="AK142" s="1278"/>
      <c r="AL142" s="1278"/>
      <c r="AM142" s="1278"/>
      <c r="AN142" s="1278"/>
      <c r="AO142" s="1278"/>
      <c r="AP142" s="1278"/>
      <c r="AQ142" s="1278"/>
      <c r="AR142" s="1278"/>
      <c r="AS142" s="1278"/>
      <c r="AT142" s="1278"/>
      <c r="AU142" s="1278"/>
      <c r="AV142" s="1278"/>
      <c r="AW142" s="1278"/>
      <c r="AX142" s="1278"/>
      <c r="AY142" s="1278"/>
      <c r="AZ142" s="1278"/>
      <c r="BA142" s="1278"/>
      <c r="BB142" s="1279"/>
      <c r="BC142" s="2"/>
      <c r="BD142" s="486"/>
      <c r="BE142" s="1282"/>
      <c r="BF142" s="1282"/>
      <c r="BG142" s="1282"/>
      <c r="BH142" s="1282"/>
      <c r="BI142" s="1282"/>
      <c r="BJ142" s="1282"/>
      <c r="BK142" s="1282"/>
      <c r="BL142" s="1282"/>
      <c r="BM142" s="1282"/>
      <c r="BN142" s="1282"/>
      <c r="BO142" s="1282"/>
      <c r="BP142" s="1282"/>
      <c r="BQ142" s="1282"/>
      <c r="BR142" s="1282"/>
      <c r="BS142" s="1282"/>
      <c r="BT142" s="1282"/>
      <c r="BU142" s="1282"/>
      <c r="BV142" s="1282"/>
      <c r="BW142" s="1282"/>
      <c r="BX142" s="1282"/>
      <c r="BY142" s="1282"/>
      <c r="BZ142" s="1282"/>
      <c r="CA142" s="1282"/>
      <c r="CB142" s="1282"/>
      <c r="CC142" s="1282"/>
      <c r="CD142" s="1282"/>
      <c r="CE142" s="1282"/>
      <c r="CF142" s="1282"/>
      <c r="CG142" s="1282"/>
      <c r="CH142" s="1282"/>
      <c r="CI142" s="1282"/>
      <c r="CJ142" s="1282"/>
      <c r="CK142" s="1282"/>
      <c r="CL142" s="1282"/>
      <c r="CM142" s="1282"/>
      <c r="CN142" s="1282"/>
      <c r="CO142" s="1282"/>
      <c r="CP142" s="1282"/>
      <c r="CQ142" s="1282"/>
      <c r="CR142" s="1282"/>
      <c r="CS142" s="1282"/>
      <c r="CT142" s="1282"/>
      <c r="CU142" s="1283"/>
      <c r="CV142" s="54"/>
      <c r="CZ142" s="53"/>
      <c r="DA142" s="53"/>
      <c r="DB142" s="53"/>
    </row>
    <row r="143" spans="1:106" ht="12" customHeight="1" x14ac:dyDescent="0.2">
      <c r="A143" s="5"/>
      <c r="B143" s="1288"/>
      <c r="C143" s="1288"/>
      <c r="D143" s="1288"/>
      <c r="E143" s="1288"/>
      <c r="F143" s="1288"/>
      <c r="G143" s="1288"/>
      <c r="H143" s="1288"/>
      <c r="I143" s="1288"/>
      <c r="J143" s="1288"/>
      <c r="K143" s="1288"/>
      <c r="L143" s="1288"/>
      <c r="M143" s="1288"/>
      <c r="N143" s="1288"/>
      <c r="O143" s="1288"/>
      <c r="P143" s="1288"/>
      <c r="Q143" s="1288"/>
      <c r="R143" s="1288"/>
      <c r="S143" s="1288"/>
      <c r="T143" s="1288"/>
      <c r="U143" s="1288"/>
      <c r="V143" s="1288"/>
      <c r="W143" s="1288"/>
      <c r="X143" s="1288"/>
      <c r="Y143" s="1288"/>
      <c r="Z143" s="1288"/>
      <c r="AA143" s="1288"/>
      <c r="AB143" s="217"/>
      <c r="AC143" s="378"/>
      <c r="AD143" s="330"/>
      <c r="AE143" s="330"/>
      <c r="AF143" s="330"/>
      <c r="AG143" s="330"/>
      <c r="AH143" s="330"/>
      <c r="AI143" s="330"/>
      <c r="AJ143" s="330"/>
      <c r="AK143" s="330"/>
      <c r="AL143" s="330"/>
      <c r="AM143" s="330"/>
      <c r="AN143" s="330"/>
      <c r="AO143" s="330"/>
      <c r="AP143" s="330"/>
      <c r="AQ143" s="330"/>
      <c r="AR143" s="330"/>
      <c r="AS143" s="330"/>
      <c r="AT143" s="330"/>
      <c r="AU143" s="330"/>
      <c r="AV143" s="330"/>
      <c r="AW143" s="330"/>
      <c r="AX143" s="330"/>
      <c r="AY143" s="330"/>
      <c r="AZ143" s="330"/>
      <c r="BA143" s="330"/>
      <c r="BB143" s="379"/>
      <c r="BC143" s="2"/>
      <c r="BD143" s="486"/>
      <c r="BE143" s="1282"/>
      <c r="BF143" s="1282"/>
      <c r="BG143" s="1282"/>
      <c r="BH143" s="1282"/>
      <c r="BI143" s="1282"/>
      <c r="BJ143" s="1282"/>
      <c r="BK143" s="1282"/>
      <c r="BL143" s="1282"/>
      <c r="BM143" s="1282"/>
      <c r="BN143" s="1282"/>
      <c r="BO143" s="1282"/>
      <c r="BP143" s="1282"/>
      <c r="BQ143" s="1282"/>
      <c r="BR143" s="1282"/>
      <c r="BS143" s="1282"/>
      <c r="BT143" s="1282"/>
      <c r="BU143" s="1282"/>
      <c r="BV143" s="1282"/>
      <c r="BW143" s="1282"/>
      <c r="BX143" s="1282"/>
      <c r="BY143" s="1282"/>
      <c r="BZ143" s="1282"/>
      <c r="CA143" s="1282"/>
      <c r="CB143" s="1282"/>
      <c r="CC143" s="1282"/>
      <c r="CD143" s="1282"/>
      <c r="CE143" s="1282"/>
      <c r="CF143" s="1282"/>
      <c r="CG143" s="1282"/>
      <c r="CH143" s="1282"/>
      <c r="CI143" s="1282"/>
      <c r="CJ143" s="1282"/>
      <c r="CK143" s="1282"/>
      <c r="CL143" s="1282"/>
      <c r="CM143" s="1282"/>
      <c r="CN143" s="1282"/>
      <c r="CO143" s="1282"/>
      <c r="CP143" s="1282"/>
      <c r="CQ143" s="1282"/>
      <c r="CR143" s="1282"/>
      <c r="CS143" s="1282"/>
      <c r="CT143" s="1282"/>
      <c r="CU143" s="1283"/>
      <c r="CV143" s="54"/>
      <c r="CY143" s="6">
        <f>CY141+1</f>
        <v>56</v>
      </c>
      <c r="CZ143" s="53"/>
      <c r="DA143" s="53"/>
      <c r="DB143" s="53"/>
    </row>
    <row r="144" spans="1:106" ht="12" customHeight="1" x14ac:dyDescent="0.2">
      <c r="A144" s="5"/>
      <c r="B144" s="1289"/>
      <c r="C144" s="1289"/>
      <c r="D144" s="1289"/>
      <c r="E144" s="1289"/>
      <c r="F144" s="1289"/>
      <c r="G144" s="1289"/>
      <c r="H144" s="1289"/>
      <c r="I144" s="1289"/>
      <c r="J144" s="1289"/>
      <c r="K144" s="1289"/>
      <c r="L144" s="1289"/>
      <c r="M144" s="1289"/>
      <c r="N144" s="1289"/>
      <c r="O144" s="1289"/>
      <c r="P144" s="1289"/>
      <c r="Q144" s="1289"/>
      <c r="R144" s="1289"/>
      <c r="S144" s="1289"/>
      <c r="T144" s="1289"/>
      <c r="U144" s="1289"/>
      <c r="V144" s="1289"/>
      <c r="W144" s="1289"/>
      <c r="X144" s="1289"/>
      <c r="Y144" s="1289"/>
      <c r="Z144" s="1289"/>
      <c r="AA144" s="1289"/>
      <c r="AB144" s="212"/>
      <c r="AC144" s="1308" t="str">
        <f>IF(CharacterLevel="","",IF(CharacterBackgroundBond=SelectText,"",CharacterBackgroundBond))</f>
        <v/>
      </c>
      <c r="AD144" s="1309"/>
      <c r="AE144" s="1309"/>
      <c r="AF144" s="1309"/>
      <c r="AG144" s="1309"/>
      <c r="AH144" s="1309"/>
      <c r="AI144" s="1309"/>
      <c r="AJ144" s="1309"/>
      <c r="AK144" s="1309"/>
      <c r="AL144" s="1309"/>
      <c r="AM144" s="1309"/>
      <c r="AN144" s="1309"/>
      <c r="AO144" s="1309"/>
      <c r="AP144" s="1309"/>
      <c r="AQ144" s="1309"/>
      <c r="AR144" s="1309"/>
      <c r="AS144" s="1309"/>
      <c r="AT144" s="1309"/>
      <c r="AU144" s="1309"/>
      <c r="AV144" s="1309"/>
      <c r="AW144" s="1309"/>
      <c r="AX144" s="1309"/>
      <c r="AY144" s="1309"/>
      <c r="AZ144" s="1309"/>
      <c r="BA144" s="1309"/>
      <c r="BB144" s="1310"/>
      <c r="BC144" s="2"/>
      <c r="BD144" s="486"/>
      <c r="BE144" s="1282"/>
      <c r="BF144" s="1282"/>
      <c r="BG144" s="1282"/>
      <c r="BH144" s="1282"/>
      <c r="BI144" s="1282"/>
      <c r="BJ144" s="1282"/>
      <c r="BK144" s="1282"/>
      <c r="BL144" s="1282"/>
      <c r="BM144" s="1282"/>
      <c r="BN144" s="1282"/>
      <c r="BO144" s="1282"/>
      <c r="BP144" s="1282"/>
      <c r="BQ144" s="1282"/>
      <c r="BR144" s="1282"/>
      <c r="BS144" s="1282"/>
      <c r="BT144" s="1282"/>
      <c r="BU144" s="1282"/>
      <c r="BV144" s="1282"/>
      <c r="BW144" s="1282"/>
      <c r="BX144" s="1282"/>
      <c r="BY144" s="1282"/>
      <c r="BZ144" s="1282"/>
      <c r="CA144" s="1282"/>
      <c r="CB144" s="1282"/>
      <c r="CC144" s="1282"/>
      <c r="CD144" s="1282"/>
      <c r="CE144" s="1282"/>
      <c r="CF144" s="1282"/>
      <c r="CG144" s="1282"/>
      <c r="CH144" s="1282"/>
      <c r="CI144" s="1282"/>
      <c r="CJ144" s="1282"/>
      <c r="CK144" s="1282"/>
      <c r="CL144" s="1282"/>
      <c r="CM144" s="1282"/>
      <c r="CN144" s="1282"/>
      <c r="CO144" s="1282"/>
      <c r="CP144" s="1282"/>
      <c r="CQ144" s="1282"/>
      <c r="CR144" s="1282"/>
      <c r="CS144" s="1282"/>
      <c r="CT144" s="1282"/>
      <c r="CU144" s="1283"/>
      <c r="CV144" s="54"/>
      <c r="CZ144" s="53"/>
      <c r="DA144" s="53"/>
      <c r="DB144" s="53"/>
    </row>
    <row r="145" spans="1:106" ht="12" customHeight="1" x14ac:dyDescent="0.2">
      <c r="A145" s="5"/>
      <c r="B145" s="1288"/>
      <c r="C145" s="1288"/>
      <c r="D145" s="1288"/>
      <c r="E145" s="1288"/>
      <c r="F145" s="1288"/>
      <c r="G145" s="1288"/>
      <c r="H145" s="1288"/>
      <c r="I145" s="1288"/>
      <c r="J145" s="1288"/>
      <c r="K145" s="1288"/>
      <c r="L145" s="1288"/>
      <c r="M145" s="1288"/>
      <c r="N145" s="1288"/>
      <c r="O145" s="1288"/>
      <c r="P145" s="1288"/>
      <c r="Q145" s="1288"/>
      <c r="R145" s="1288"/>
      <c r="S145" s="1288"/>
      <c r="T145" s="1288"/>
      <c r="U145" s="1288"/>
      <c r="V145" s="1288"/>
      <c r="W145" s="1288"/>
      <c r="X145" s="1288"/>
      <c r="Y145" s="1288"/>
      <c r="Z145" s="1288"/>
      <c r="AA145" s="1288"/>
      <c r="AB145" s="217"/>
      <c r="AC145" s="1308"/>
      <c r="AD145" s="1309"/>
      <c r="AE145" s="1309"/>
      <c r="AF145" s="1309"/>
      <c r="AG145" s="1309"/>
      <c r="AH145" s="1309"/>
      <c r="AI145" s="1309"/>
      <c r="AJ145" s="1309"/>
      <c r="AK145" s="1309"/>
      <c r="AL145" s="1309"/>
      <c r="AM145" s="1309"/>
      <c r="AN145" s="1309"/>
      <c r="AO145" s="1309"/>
      <c r="AP145" s="1309"/>
      <c r="AQ145" s="1309"/>
      <c r="AR145" s="1309"/>
      <c r="AS145" s="1309"/>
      <c r="AT145" s="1309"/>
      <c r="AU145" s="1309"/>
      <c r="AV145" s="1309"/>
      <c r="AW145" s="1309"/>
      <c r="AX145" s="1309"/>
      <c r="AY145" s="1309"/>
      <c r="AZ145" s="1309"/>
      <c r="BA145" s="1309"/>
      <c r="BB145" s="1310"/>
      <c r="BC145" s="2"/>
      <c r="BD145" s="486"/>
      <c r="BE145" s="1282"/>
      <c r="BF145" s="1282"/>
      <c r="BG145" s="1282"/>
      <c r="BH145" s="1282"/>
      <c r="BI145" s="1282"/>
      <c r="BJ145" s="1282"/>
      <c r="BK145" s="1282"/>
      <c r="BL145" s="1282"/>
      <c r="BM145" s="1282"/>
      <c r="BN145" s="1282"/>
      <c r="BO145" s="1282"/>
      <c r="BP145" s="1282"/>
      <c r="BQ145" s="1282"/>
      <c r="BR145" s="1282"/>
      <c r="BS145" s="1282"/>
      <c r="BT145" s="1282"/>
      <c r="BU145" s="1282"/>
      <c r="BV145" s="1282"/>
      <c r="BW145" s="1282"/>
      <c r="BX145" s="1282"/>
      <c r="BY145" s="1282"/>
      <c r="BZ145" s="1282"/>
      <c r="CA145" s="1282"/>
      <c r="CB145" s="1282"/>
      <c r="CC145" s="1282"/>
      <c r="CD145" s="1282"/>
      <c r="CE145" s="1282"/>
      <c r="CF145" s="1282"/>
      <c r="CG145" s="1282"/>
      <c r="CH145" s="1282"/>
      <c r="CI145" s="1282"/>
      <c r="CJ145" s="1282"/>
      <c r="CK145" s="1282"/>
      <c r="CL145" s="1282"/>
      <c r="CM145" s="1282"/>
      <c r="CN145" s="1282"/>
      <c r="CO145" s="1282"/>
      <c r="CP145" s="1282"/>
      <c r="CQ145" s="1282"/>
      <c r="CR145" s="1282"/>
      <c r="CS145" s="1282"/>
      <c r="CT145" s="1282"/>
      <c r="CU145" s="1283"/>
      <c r="CV145" s="5"/>
      <c r="CY145" s="6">
        <f>CY143+1</f>
        <v>57</v>
      </c>
      <c r="CZ145" s="53"/>
      <c r="DA145" s="53"/>
      <c r="DB145" s="53"/>
    </row>
    <row r="146" spans="1:106" ht="12" customHeight="1" x14ac:dyDescent="0.2">
      <c r="A146" s="5"/>
      <c r="B146" s="1289"/>
      <c r="C146" s="1289"/>
      <c r="D146" s="1289"/>
      <c r="E146" s="1289"/>
      <c r="F146" s="1289"/>
      <c r="G146" s="1289"/>
      <c r="H146" s="1289"/>
      <c r="I146" s="1289"/>
      <c r="J146" s="1289"/>
      <c r="K146" s="1289"/>
      <c r="L146" s="1289"/>
      <c r="M146" s="1289"/>
      <c r="N146" s="1289"/>
      <c r="O146" s="1289"/>
      <c r="P146" s="1289"/>
      <c r="Q146" s="1289"/>
      <c r="R146" s="1289"/>
      <c r="S146" s="1289"/>
      <c r="T146" s="1289"/>
      <c r="U146" s="1289"/>
      <c r="V146" s="1289"/>
      <c r="W146" s="1289"/>
      <c r="X146" s="1289"/>
      <c r="Y146" s="1289"/>
      <c r="Z146" s="1289"/>
      <c r="AA146" s="1289"/>
      <c r="AB146" s="212"/>
      <c r="AC146" s="1308"/>
      <c r="AD146" s="1309"/>
      <c r="AE146" s="1309"/>
      <c r="AF146" s="1309"/>
      <c r="AG146" s="1309"/>
      <c r="AH146" s="1309"/>
      <c r="AI146" s="1309"/>
      <c r="AJ146" s="1309"/>
      <c r="AK146" s="1309"/>
      <c r="AL146" s="1309"/>
      <c r="AM146" s="1309"/>
      <c r="AN146" s="1309"/>
      <c r="AO146" s="1309"/>
      <c r="AP146" s="1309"/>
      <c r="AQ146" s="1309"/>
      <c r="AR146" s="1309"/>
      <c r="AS146" s="1309"/>
      <c r="AT146" s="1309"/>
      <c r="AU146" s="1309"/>
      <c r="AV146" s="1309"/>
      <c r="AW146" s="1309"/>
      <c r="AX146" s="1309"/>
      <c r="AY146" s="1309"/>
      <c r="AZ146" s="1309"/>
      <c r="BA146" s="1309"/>
      <c r="BB146" s="1310"/>
      <c r="BC146" s="2"/>
      <c r="BD146" s="486"/>
      <c r="BE146" s="1282"/>
      <c r="BF146" s="1282"/>
      <c r="BG146" s="1282"/>
      <c r="BH146" s="1282"/>
      <c r="BI146" s="1282"/>
      <c r="BJ146" s="1282"/>
      <c r="BK146" s="1282"/>
      <c r="BL146" s="1282"/>
      <c r="BM146" s="1282"/>
      <c r="BN146" s="1282"/>
      <c r="BO146" s="1282"/>
      <c r="BP146" s="1282"/>
      <c r="BQ146" s="1282"/>
      <c r="BR146" s="1282"/>
      <c r="BS146" s="1282"/>
      <c r="BT146" s="1282"/>
      <c r="BU146" s="1282"/>
      <c r="BV146" s="1282"/>
      <c r="BW146" s="1282"/>
      <c r="BX146" s="1282"/>
      <c r="BY146" s="1282"/>
      <c r="BZ146" s="1282"/>
      <c r="CA146" s="1282"/>
      <c r="CB146" s="1282"/>
      <c r="CC146" s="1282"/>
      <c r="CD146" s="1282"/>
      <c r="CE146" s="1282"/>
      <c r="CF146" s="1282"/>
      <c r="CG146" s="1282"/>
      <c r="CH146" s="1282"/>
      <c r="CI146" s="1282"/>
      <c r="CJ146" s="1282"/>
      <c r="CK146" s="1282"/>
      <c r="CL146" s="1282"/>
      <c r="CM146" s="1282"/>
      <c r="CN146" s="1282"/>
      <c r="CO146" s="1282"/>
      <c r="CP146" s="1282"/>
      <c r="CQ146" s="1282"/>
      <c r="CR146" s="1282"/>
      <c r="CS146" s="1282"/>
      <c r="CT146" s="1282"/>
      <c r="CU146" s="1283"/>
      <c r="CV146" s="5"/>
      <c r="CY146" s="53"/>
      <c r="CZ146" s="53"/>
      <c r="DA146" s="53"/>
      <c r="DB146" s="53"/>
    </row>
    <row r="147" spans="1:106" ht="12" customHeight="1" x14ac:dyDescent="0.2">
      <c r="A147" s="5"/>
      <c r="B147" s="1288"/>
      <c r="C147" s="1288"/>
      <c r="D147" s="1288"/>
      <c r="E147" s="1288"/>
      <c r="F147" s="1288"/>
      <c r="G147" s="1288"/>
      <c r="H147" s="1288"/>
      <c r="I147" s="1288"/>
      <c r="J147" s="1288"/>
      <c r="K147" s="1288"/>
      <c r="L147" s="1288"/>
      <c r="M147" s="1288"/>
      <c r="N147" s="1288"/>
      <c r="O147" s="1288"/>
      <c r="P147" s="1288"/>
      <c r="Q147" s="1288"/>
      <c r="R147" s="1288"/>
      <c r="S147" s="1288"/>
      <c r="T147" s="1288"/>
      <c r="U147" s="1288"/>
      <c r="V147" s="1288"/>
      <c r="W147" s="1288"/>
      <c r="X147" s="1288"/>
      <c r="Y147" s="1288"/>
      <c r="Z147" s="1288"/>
      <c r="AA147" s="1288"/>
      <c r="AB147" s="217"/>
      <c r="AC147" s="1308"/>
      <c r="AD147" s="1309"/>
      <c r="AE147" s="1309"/>
      <c r="AF147" s="1309"/>
      <c r="AG147" s="1309"/>
      <c r="AH147" s="1309"/>
      <c r="AI147" s="1309"/>
      <c r="AJ147" s="1309"/>
      <c r="AK147" s="1309"/>
      <c r="AL147" s="1309"/>
      <c r="AM147" s="1309"/>
      <c r="AN147" s="1309"/>
      <c r="AO147" s="1309"/>
      <c r="AP147" s="1309"/>
      <c r="AQ147" s="1309"/>
      <c r="AR147" s="1309"/>
      <c r="AS147" s="1309"/>
      <c r="AT147" s="1309"/>
      <c r="AU147" s="1309"/>
      <c r="AV147" s="1309"/>
      <c r="AW147" s="1309"/>
      <c r="AX147" s="1309"/>
      <c r="AY147" s="1309"/>
      <c r="AZ147" s="1309"/>
      <c r="BA147" s="1309"/>
      <c r="BB147" s="1310"/>
      <c r="BC147" s="2"/>
      <c r="BD147" s="486"/>
      <c r="BE147" s="1282"/>
      <c r="BF147" s="1282"/>
      <c r="BG147" s="1282"/>
      <c r="BH147" s="1282"/>
      <c r="BI147" s="1282"/>
      <c r="BJ147" s="1282"/>
      <c r="BK147" s="1282"/>
      <c r="BL147" s="1282"/>
      <c r="BM147" s="1282"/>
      <c r="BN147" s="1282"/>
      <c r="BO147" s="1282"/>
      <c r="BP147" s="1282"/>
      <c r="BQ147" s="1282"/>
      <c r="BR147" s="1282"/>
      <c r="BS147" s="1282"/>
      <c r="BT147" s="1282"/>
      <c r="BU147" s="1282"/>
      <c r="BV147" s="1282"/>
      <c r="BW147" s="1282"/>
      <c r="BX147" s="1282"/>
      <c r="BY147" s="1282"/>
      <c r="BZ147" s="1282"/>
      <c r="CA147" s="1282"/>
      <c r="CB147" s="1282"/>
      <c r="CC147" s="1282"/>
      <c r="CD147" s="1282"/>
      <c r="CE147" s="1282"/>
      <c r="CF147" s="1282"/>
      <c r="CG147" s="1282"/>
      <c r="CH147" s="1282"/>
      <c r="CI147" s="1282"/>
      <c r="CJ147" s="1282"/>
      <c r="CK147" s="1282"/>
      <c r="CL147" s="1282"/>
      <c r="CM147" s="1282"/>
      <c r="CN147" s="1282"/>
      <c r="CO147" s="1282"/>
      <c r="CP147" s="1282"/>
      <c r="CQ147" s="1282"/>
      <c r="CR147" s="1282"/>
      <c r="CS147" s="1282"/>
      <c r="CT147" s="1282"/>
      <c r="CU147" s="1283"/>
      <c r="CV147" s="5"/>
      <c r="CY147" s="53"/>
      <c r="CZ147" s="53"/>
      <c r="DA147" s="53"/>
      <c r="DB147" s="53"/>
    </row>
    <row r="148" spans="1:106" ht="12" customHeight="1" x14ac:dyDescent="0.2">
      <c r="A148" s="5"/>
      <c r="B148" s="1289"/>
      <c r="C148" s="1289"/>
      <c r="D148" s="1289"/>
      <c r="E148" s="1289"/>
      <c r="F148" s="1289"/>
      <c r="G148" s="1289"/>
      <c r="H148" s="1289"/>
      <c r="I148" s="1289"/>
      <c r="J148" s="1289"/>
      <c r="K148" s="1289"/>
      <c r="L148" s="1289"/>
      <c r="M148" s="1289"/>
      <c r="N148" s="1289"/>
      <c r="O148" s="1289"/>
      <c r="P148" s="1289"/>
      <c r="Q148" s="1289"/>
      <c r="R148" s="1289"/>
      <c r="S148" s="1289"/>
      <c r="T148" s="1289"/>
      <c r="U148" s="1289"/>
      <c r="V148" s="1289"/>
      <c r="W148" s="1289"/>
      <c r="X148" s="1289"/>
      <c r="Y148" s="1289"/>
      <c r="Z148" s="1289"/>
      <c r="AA148" s="1289"/>
      <c r="AB148" s="212"/>
      <c r="AC148" s="1308"/>
      <c r="AD148" s="1309"/>
      <c r="AE148" s="1309"/>
      <c r="AF148" s="1309"/>
      <c r="AG148" s="1309"/>
      <c r="AH148" s="1309"/>
      <c r="AI148" s="1309"/>
      <c r="AJ148" s="1309"/>
      <c r="AK148" s="1309"/>
      <c r="AL148" s="1309"/>
      <c r="AM148" s="1309"/>
      <c r="AN148" s="1309"/>
      <c r="AO148" s="1309"/>
      <c r="AP148" s="1309"/>
      <c r="AQ148" s="1309"/>
      <c r="AR148" s="1309"/>
      <c r="AS148" s="1309"/>
      <c r="AT148" s="1309"/>
      <c r="AU148" s="1309"/>
      <c r="AV148" s="1309"/>
      <c r="AW148" s="1309"/>
      <c r="AX148" s="1309"/>
      <c r="AY148" s="1309"/>
      <c r="AZ148" s="1309"/>
      <c r="BA148" s="1309"/>
      <c r="BB148" s="1310"/>
      <c r="BC148" s="2"/>
      <c r="BD148" s="486"/>
      <c r="BE148" s="1282"/>
      <c r="BF148" s="1282"/>
      <c r="BG148" s="1282"/>
      <c r="BH148" s="1282"/>
      <c r="BI148" s="1282"/>
      <c r="BJ148" s="1282"/>
      <c r="BK148" s="1282"/>
      <c r="BL148" s="1282"/>
      <c r="BM148" s="1282"/>
      <c r="BN148" s="1282"/>
      <c r="BO148" s="1282"/>
      <c r="BP148" s="1282"/>
      <c r="BQ148" s="1282"/>
      <c r="BR148" s="1282"/>
      <c r="BS148" s="1282"/>
      <c r="BT148" s="1282"/>
      <c r="BU148" s="1282"/>
      <c r="BV148" s="1282"/>
      <c r="BW148" s="1282"/>
      <c r="BX148" s="1282"/>
      <c r="BY148" s="1282"/>
      <c r="BZ148" s="1282"/>
      <c r="CA148" s="1282"/>
      <c r="CB148" s="1282"/>
      <c r="CC148" s="1282"/>
      <c r="CD148" s="1282"/>
      <c r="CE148" s="1282"/>
      <c r="CF148" s="1282"/>
      <c r="CG148" s="1282"/>
      <c r="CH148" s="1282"/>
      <c r="CI148" s="1282"/>
      <c r="CJ148" s="1282"/>
      <c r="CK148" s="1282"/>
      <c r="CL148" s="1282"/>
      <c r="CM148" s="1282"/>
      <c r="CN148" s="1282"/>
      <c r="CO148" s="1282"/>
      <c r="CP148" s="1282"/>
      <c r="CQ148" s="1282"/>
      <c r="CR148" s="1282"/>
      <c r="CS148" s="1282"/>
      <c r="CT148" s="1282"/>
      <c r="CU148" s="1283"/>
      <c r="CV148" s="5"/>
      <c r="CW148" s="53"/>
      <c r="CX148" s="53"/>
      <c r="CY148" s="53"/>
      <c r="CZ148" s="53"/>
      <c r="DA148" s="53"/>
      <c r="DB148" s="53"/>
    </row>
    <row r="149" spans="1:106" ht="12" customHeight="1" thickBot="1" x14ac:dyDescent="0.25">
      <c r="A149" s="5"/>
      <c r="B149" s="1288"/>
      <c r="C149" s="1288"/>
      <c r="D149" s="1288"/>
      <c r="E149" s="1288"/>
      <c r="F149" s="1288"/>
      <c r="G149" s="1288"/>
      <c r="H149" s="1288"/>
      <c r="I149" s="1288"/>
      <c r="J149" s="1288"/>
      <c r="K149" s="1288"/>
      <c r="L149" s="1288"/>
      <c r="M149" s="1288"/>
      <c r="N149" s="1288"/>
      <c r="O149" s="1288"/>
      <c r="P149" s="1288"/>
      <c r="Q149" s="1288"/>
      <c r="R149" s="1288"/>
      <c r="S149" s="1288"/>
      <c r="T149" s="1288"/>
      <c r="U149" s="1288"/>
      <c r="V149" s="1288"/>
      <c r="W149" s="1288"/>
      <c r="X149" s="1288"/>
      <c r="Y149" s="1288"/>
      <c r="Z149" s="1288"/>
      <c r="AA149" s="1288"/>
      <c r="AB149" s="217"/>
      <c r="AC149" s="1316"/>
      <c r="AD149" s="1317"/>
      <c r="AE149" s="1317"/>
      <c r="AF149" s="1317"/>
      <c r="AG149" s="1317"/>
      <c r="AH149" s="1317"/>
      <c r="AI149" s="1317"/>
      <c r="AJ149" s="1317"/>
      <c r="AK149" s="1317"/>
      <c r="AL149" s="1317"/>
      <c r="AM149" s="1317"/>
      <c r="AN149" s="1317"/>
      <c r="AO149" s="1317"/>
      <c r="AP149" s="1317"/>
      <c r="AQ149" s="1317"/>
      <c r="AR149" s="1317"/>
      <c r="AS149" s="1317"/>
      <c r="AT149" s="1317"/>
      <c r="AU149" s="1317"/>
      <c r="AV149" s="1317"/>
      <c r="AW149" s="1317"/>
      <c r="AX149" s="1317"/>
      <c r="AY149" s="1317"/>
      <c r="AZ149" s="1317"/>
      <c r="BA149" s="1317"/>
      <c r="BB149" s="1318"/>
      <c r="BC149" s="2"/>
      <c r="BD149" s="486"/>
      <c r="BE149" s="1282"/>
      <c r="BF149" s="1282"/>
      <c r="BG149" s="1282"/>
      <c r="BH149" s="1282"/>
      <c r="BI149" s="1282"/>
      <c r="BJ149" s="1282"/>
      <c r="BK149" s="1282"/>
      <c r="BL149" s="1282"/>
      <c r="BM149" s="1282"/>
      <c r="BN149" s="1282"/>
      <c r="BO149" s="1282"/>
      <c r="BP149" s="1282"/>
      <c r="BQ149" s="1282"/>
      <c r="BR149" s="1282"/>
      <c r="BS149" s="1282"/>
      <c r="BT149" s="1282"/>
      <c r="BU149" s="1282"/>
      <c r="BV149" s="1282"/>
      <c r="BW149" s="1282"/>
      <c r="BX149" s="1282"/>
      <c r="BY149" s="1282"/>
      <c r="BZ149" s="1282"/>
      <c r="CA149" s="1282"/>
      <c r="CB149" s="1282"/>
      <c r="CC149" s="1282"/>
      <c r="CD149" s="1282"/>
      <c r="CE149" s="1282"/>
      <c r="CF149" s="1282"/>
      <c r="CG149" s="1282"/>
      <c r="CH149" s="1282"/>
      <c r="CI149" s="1282"/>
      <c r="CJ149" s="1282"/>
      <c r="CK149" s="1282"/>
      <c r="CL149" s="1282"/>
      <c r="CM149" s="1282"/>
      <c r="CN149" s="1282"/>
      <c r="CO149" s="1282"/>
      <c r="CP149" s="1282"/>
      <c r="CQ149" s="1282"/>
      <c r="CR149" s="1282"/>
      <c r="CS149" s="1282"/>
      <c r="CT149" s="1282"/>
      <c r="CU149" s="1283"/>
      <c r="CV149" s="5"/>
      <c r="CW149" s="53"/>
      <c r="CX149" s="53"/>
      <c r="CY149" s="53"/>
      <c r="CZ149" s="53"/>
      <c r="DA149" s="53"/>
      <c r="DB149" s="53"/>
    </row>
    <row r="150" spans="1:106" ht="12" customHeight="1" x14ac:dyDescent="0.2">
      <c r="A150" s="5"/>
      <c r="B150" s="1289"/>
      <c r="C150" s="1289"/>
      <c r="D150" s="1289"/>
      <c r="E150" s="1289"/>
      <c r="F150" s="1289"/>
      <c r="G150" s="1289"/>
      <c r="H150" s="1289"/>
      <c r="I150" s="1289"/>
      <c r="J150" s="1289"/>
      <c r="K150" s="1289"/>
      <c r="L150" s="1289"/>
      <c r="M150" s="1289"/>
      <c r="N150" s="1289"/>
      <c r="O150" s="1289"/>
      <c r="P150" s="1289"/>
      <c r="Q150" s="1289"/>
      <c r="R150" s="1289"/>
      <c r="S150" s="1289"/>
      <c r="T150" s="1289"/>
      <c r="U150" s="1289"/>
      <c r="V150" s="1289"/>
      <c r="W150" s="1289"/>
      <c r="X150" s="1289"/>
      <c r="Y150" s="1289"/>
      <c r="Z150" s="1289"/>
      <c r="AA150" s="1289"/>
      <c r="AB150" s="212"/>
      <c r="AC150" s="1314" t="s">
        <v>1010</v>
      </c>
      <c r="AD150" s="1303"/>
      <c r="AE150" s="1303"/>
      <c r="AF150" s="1303"/>
      <c r="AG150" s="1303"/>
      <c r="AH150" s="1303"/>
      <c r="AI150" s="1303"/>
      <c r="AJ150" s="1303"/>
      <c r="AK150" s="1303"/>
      <c r="AL150" s="1303"/>
      <c r="AM150" s="1303"/>
      <c r="AN150" s="1303"/>
      <c r="AO150" s="1303"/>
      <c r="AP150" s="1303"/>
      <c r="AQ150" s="1303"/>
      <c r="AR150" s="1303"/>
      <c r="AS150" s="1303"/>
      <c r="AT150" s="1303"/>
      <c r="AU150" s="1303"/>
      <c r="AV150" s="1303"/>
      <c r="AW150" s="1303"/>
      <c r="AX150" s="1303"/>
      <c r="AY150" s="1303"/>
      <c r="AZ150" s="1303"/>
      <c r="BA150" s="1303"/>
      <c r="BB150" s="1315"/>
      <c r="BC150" s="2"/>
      <c r="BD150" s="486"/>
      <c r="BE150" s="1282"/>
      <c r="BF150" s="1282"/>
      <c r="BG150" s="1282"/>
      <c r="BH150" s="1282"/>
      <c r="BI150" s="1282"/>
      <c r="BJ150" s="1282"/>
      <c r="BK150" s="1282"/>
      <c r="BL150" s="1282"/>
      <c r="BM150" s="1282"/>
      <c r="BN150" s="1282"/>
      <c r="BO150" s="1282"/>
      <c r="BP150" s="1282"/>
      <c r="BQ150" s="1282"/>
      <c r="BR150" s="1282"/>
      <c r="BS150" s="1282"/>
      <c r="BT150" s="1282"/>
      <c r="BU150" s="1282"/>
      <c r="BV150" s="1282"/>
      <c r="BW150" s="1282"/>
      <c r="BX150" s="1282"/>
      <c r="BY150" s="1282"/>
      <c r="BZ150" s="1282"/>
      <c r="CA150" s="1282"/>
      <c r="CB150" s="1282"/>
      <c r="CC150" s="1282"/>
      <c r="CD150" s="1282"/>
      <c r="CE150" s="1282"/>
      <c r="CF150" s="1282"/>
      <c r="CG150" s="1282"/>
      <c r="CH150" s="1282"/>
      <c r="CI150" s="1282"/>
      <c r="CJ150" s="1282"/>
      <c r="CK150" s="1282"/>
      <c r="CL150" s="1282"/>
      <c r="CM150" s="1282"/>
      <c r="CN150" s="1282"/>
      <c r="CO150" s="1282"/>
      <c r="CP150" s="1282"/>
      <c r="CQ150" s="1282"/>
      <c r="CR150" s="1282"/>
      <c r="CS150" s="1282"/>
      <c r="CT150" s="1282"/>
      <c r="CU150" s="1283"/>
      <c r="CV150" s="5"/>
      <c r="CW150" s="53"/>
      <c r="CX150" s="53"/>
      <c r="CY150" s="53"/>
      <c r="CZ150" s="53"/>
      <c r="DA150" s="53"/>
      <c r="DB150" s="53"/>
    </row>
    <row r="151" spans="1:106" ht="12" customHeight="1" thickBot="1" x14ac:dyDescent="0.25">
      <c r="A151" s="5"/>
      <c r="B151" s="1288"/>
      <c r="C151" s="1288"/>
      <c r="D151" s="1288"/>
      <c r="E151" s="1288"/>
      <c r="F151" s="1288"/>
      <c r="G151" s="1288"/>
      <c r="H151" s="1288"/>
      <c r="I151" s="1288"/>
      <c r="J151" s="1288"/>
      <c r="K151" s="1288"/>
      <c r="L151" s="1288"/>
      <c r="M151" s="1288"/>
      <c r="N151" s="1288"/>
      <c r="O151" s="1288"/>
      <c r="P151" s="1288"/>
      <c r="Q151" s="1288"/>
      <c r="R151" s="1288"/>
      <c r="S151" s="1288"/>
      <c r="T151" s="1288"/>
      <c r="U151" s="1288"/>
      <c r="V151" s="1288"/>
      <c r="W151" s="1288"/>
      <c r="X151" s="1288"/>
      <c r="Y151" s="1288"/>
      <c r="Z151" s="1288"/>
      <c r="AA151" s="1288"/>
      <c r="AB151" s="217"/>
      <c r="AC151" s="1300"/>
      <c r="AD151" s="997"/>
      <c r="AE151" s="997"/>
      <c r="AF151" s="997"/>
      <c r="AG151" s="997"/>
      <c r="AH151" s="997"/>
      <c r="AI151" s="997"/>
      <c r="AJ151" s="997"/>
      <c r="AK151" s="997"/>
      <c r="AL151" s="997"/>
      <c r="AM151" s="997"/>
      <c r="AN151" s="997"/>
      <c r="AO151" s="997"/>
      <c r="AP151" s="997"/>
      <c r="AQ151" s="997"/>
      <c r="AR151" s="997"/>
      <c r="AS151" s="997"/>
      <c r="AT151" s="997"/>
      <c r="AU151" s="997"/>
      <c r="AV151" s="997"/>
      <c r="AW151" s="997"/>
      <c r="AX151" s="997"/>
      <c r="AY151" s="997"/>
      <c r="AZ151" s="997"/>
      <c r="BA151" s="997"/>
      <c r="BB151" s="1301"/>
      <c r="BC151" s="2"/>
      <c r="BD151" s="486"/>
      <c r="BE151" s="1282"/>
      <c r="BF151" s="1282"/>
      <c r="BG151" s="1282"/>
      <c r="BH151" s="1282"/>
      <c r="BI151" s="1282"/>
      <c r="BJ151" s="1282"/>
      <c r="BK151" s="1282"/>
      <c r="BL151" s="1282"/>
      <c r="BM151" s="1282"/>
      <c r="BN151" s="1282"/>
      <c r="BO151" s="1282"/>
      <c r="BP151" s="1282"/>
      <c r="BQ151" s="1282"/>
      <c r="BR151" s="1282"/>
      <c r="BS151" s="1282"/>
      <c r="BT151" s="1282"/>
      <c r="BU151" s="1282"/>
      <c r="BV151" s="1282"/>
      <c r="BW151" s="1282"/>
      <c r="BX151" s="1282"/>
      <c r="BY151" s="1282"/>
      <c r="BZ151" s="1282"/>
      <c r="CA151" s="1282"/>
      <c r="CB151" s="1282"/>
      <c r="CC151" s="1282"/>
      <c r="CD151" s="1282"/>
      <c r="CE151" s="1282"/>
      <c r="CF151" s="1282"/>
      <c r="CG151" s="1282"/>
      <c r="CH151" s="1282"/>
      <c r="CI151" s="1282"/>
      <c r="CJ151" s="1282"/>
      <c r="CK151" s="1282"/>
      <c r="CL151" s="1282"/>
      <c r="CM151" s="1282"/>
      <c r="CN151" s="1282"/>
      <c r="CO151" s="1282"/>
      <c r="CP151" s="1282"/>
      <c r="CQ151" s="1282"/>
      <c r="CR151" s="1282"/>
      <c r="CS151" s="1282"/>
      <c r="CT151" s="1282"/>
      <c r="CU151" s="1283"/>
      <c r="CV151" s="5"/>
    </row>
    <row r="152" spans="1:106" ht="12" customHeight="1" x14ac:dyDescent="0.2">
      <c r="A152" s="5"/>
      <c r="B152" s="1289"/>
      <c r="C152" s="1289"/>
      <c r="D152" s="1289"/>
      <c r="E152" s="1289"/>
      <c r="F152" s="1289"/>
      <c r="G152" s="1289"/>
      <c r="H152" s="1289"/>
      <c r="I152" s="1289"/>
      <c r="J152" s="1289"/>
      <c r="K152" s="1289"/>
      <c r="L152" s="1289"/>
      <c r="M152" s="1289"/>
      <c r="N152" s="1289"/>
      <c r="O152" s="1289"/>
      <c r="P152" s="1289"/>
      <c r="Q152" s="1289"/>
      <c r="R152" s="1289"/>
      <c r="S152" s="1289"/>
      <c r="T152" s="1289"/>
      <c r="U152" s="1289"/>
      <c r="V152" s="1289"/>
      <c r="W152" s="1289"/>
      <c r="X152" s="1289"/>
      <c r="Y152" s="1289"/>
      <c r="Z152" s="1289"/>
      <c r="AA152" s="1289"/>
      <c r="AB152" s="212"/>
      <c r="AC152" s="378"/>
      <c r="AD152" s="330"/>
      <c r="AE152" s="330"/>
      <c r="AF152" s="330"/>
      <c r="AG152" s="330"/>
      <c r="AH152" s="330"/>
      <c r="AI152" s="330"/>
      <c r="AJ152" s="330"/>
      <c r="AK152" s="330"/>
      <c r="AL152" s="330"/>
      <c r="AM152" s="330"/>
      <c r="AN152" s="330"/>
      <c r="AO152" s="330"/>
      <c r="AP152" s="330"/>
      <c r="AQ152" s="330"/>
      <c r="AR152" s="330"/>
      <c r="AS152" s="330"/>
      <c r="AT152" s="330"/>
      <c r="AU152" s="330"/>
      <c r="AV152" s="330"/>
      <c r="AW152" s="330"/>
      <c r="AX152" s="330"/>
      <c r="AY152" s="330"/>
      <c r="AZ152" s="330"/>
      <c r="BA152" s="330"/>
      <c r="BB152" s="379"/>
      <c r="BC152" s="2"/>
      <c r="BD152" s="486"/>
      <c r="BE152" s="1282"/>
      <c r="BF152" s="1282"/>
      <c r="BG152" s="1282"/>
      <c r="BH152" s="1282"/>
      <c r="BI152" s="1282"/>
      <c r="BJ152" s="1282"/>
      <c r="BK152" s="1282"/>
      <c r="BL152" s="1282"/>
      <c r="BM152" s="1282"/>
      <c r="BN152" s="1282"/>
      <c r="BO152" s="1282"/>
      <c r="BP152" s="1282"/>
      <c r="BQ152" s="1282"/>
      <c r="BR152" s="1282"/>
      <c r="BS152" s="1282"/>
      <c r="BT152" s="1282"/>
      <c r="BU152" s="1282"/>
      <c r="BV152" s="1282"/>
      <c r="BW152" s="1282"/>
      <c r="BX152" s="1282"/>
      <c r="BY152" s="1282"/>
      <c r="BZ152" s="1282"/>
      <c r="CA152" s="1282"/>
      <c r="CB152" s="1282"/>
      <c r="CC152" s="1282"/>
      <c r="CD152" s="1282"/>
      <c r="CE152" s="1282"/>
      <c r="CF152" s="1282"/>
      <c r="CG152" s="1282"/>
      <c r="CH152" s="1282"/>
      <c r="CI152" s="1282"/>
      <c r="CJ152" s="1282"/>
      <c r="CK152" s="1282"/>
      <c r="CL152" s="1282"/>
      <c r="CM152" s="1282"/>
      <c r="CN152" s="1282"/>
      <c r="CO152" s="1282"/>
      <c r="CP152" s="1282"/>
      <c r="CQ152" s="1282"/>
      <c r="CR152" s="1282"/>
      <c r="CS152" s="1282"/>
      <c r="CT152" s="1282"/>
      <c r="CU152" s="1283"/>
      <c r="CV152" s="5"/>
    </row>
    <row r="153" spans="1:106" ht="12" customHeight="1" x14ac:dyDescent="0.2">
      <c r="A153" s="5"/>
      <c r="B153" s="1288"/>
      <c r="C153" s="1288"/>
      <c r="D153" s="1288"/>
      <c r="E153" s="1288"/>
      <c r="F153" s="1288"/>
      <c r="G153" s="1288"/>
      <c r="H153" s="1288"/>
      <c r="I153" s="1288"/>
      <c r="J153" s="1288"/>
      <c r="K153" s="1288"/>
      <c r="L153" s="1288"/>
      <c r="M153" s="1288"/>
      <c r="N153" s="1288"/>
      <c r="O153" s="1288"/>
      <c r="P153" s="1288"/>
      <c r="Q153" s="1288"/>
      <c r="R153" s="1288"/>
      <c r="S153" s="1288"/>
      <c r="T153" s="1288"/>
      <c r="U153" s="1288"/>
      <c r="V153" s="1288"/>
      <c r="W153" s="1288"/>
      <c r="X153" s="1288"/>
      <c r="Y153" s="1288"/>
      <c r="Z153" s="1288"/>
      <c r="AA153" s="1288"/>
      <c r="AB153" s="212"/>
      <c r="AC153" s="1308" t="str">
        <f>IF(CharacterLevel="","",IF(CharacterBackgroundFlaw=SelectText,"",CharacterBackgroundFlaw))</f>
        <v/>
      </c>
      <c r="AD153" s="1309"/>
      <c r="AE153" s="1309"/>
      <c r="AF153" s="1309"/>
      <c r="AG153" s="1309"/>
      <c r="AH153" s="1309"/>
      <c r="AI153" s="1309"/>
      <c r="AJ153" s="1309"/>
      <c r="AK153" s="1309"/>
      <c r="AL153" s="1309"/>
      <c r="AM153" s="1309"/>
      <c r="AN153" s="1309"/>
      <c r="AO153" s="1309"/>
      <c r="AP153" s="1309"/>
      <c r="AQ153" s="1309"/>
      <c r="AR153" s="1309"/>
      <c r="AS153" s="1309"/>
      <c r="AT153" s="1309"/>
      <c r="AU153" s="1309"/>
      <c r="AV153" s="1309"/>
      <c r="AW153" s="1309"/>
      <c r="AX153" s="1309"/>
      <c r="AY153" s="1309"/>
      <c r="AZ153" s="1309"/>
      <c r="BA153" s="1309"/>
      <c r="BB153" s="1310"/>
      <c r="BC153" s="2"/>
      <c r="BD153" s="486"/>
      <c r="BE153" s="1282"/>
      <c r="BF153" s="1282"/>
      <c r="BG153" s="1282"/>
      <c r="BH153" s="1282"/>
      <c r="BI153" s="1282"/>
      <c r="BJ153" s="1282"/>
      <c r="BK153" s="1282"/>
      <c r="BL153" s="1282"/>
      <c r="BM153" s="1282"/>
      <c r="BN153" s="1282"/>
      <c r="BO153" s="1282"/>
      <c r="BP153" s="1282"/>
      <c r="BQ153" s="1282"/>
      <c r="BR153" s="1282"/>
      <c r="BS153" s="1282"/>
      <c r="BT153" s="1282"/>
      <c r="BU153" s="1282"/>
      <c r="BV153" s="1282"/>
      <c r="BW153" s="1282"/>
      <c r="BX153" s="1282"/>
      <c r="BY153" s="1282"/>
      <c r="BZ153" s="1282"/>
      <c r="CA153" s="1282"/>
      <c r="CB153" s="1282"/>
      <c r="CC153" s="1282"/>
      <c r="CD153" s="1282"/>
      <c r="CE153" s="1282"/>
      <c r="CF153" s="1282"/>
      <c r="CG153" s="1282"/>
      <c r="CH153" s="1282"/>
      <c r="CI153" s="1282"/>
      <c r="CJ153" s="1282"/>
      <c r="CK153" s="1282"/>
      <c r="CL153" s="1282"/>
      <c r="CM153" s="1282"/>
      <c r="CN153" s="1282"/>
      <c r="CO153" s="1282"/>
      <c r="CP153" s="1282"/>
      <c r="CQ153" s="1282"/>
      <c r="CR153" s="1282"/>
      <c r="CS153" s="1282"/>
      <c r="CT153" s="1282"/>
      <c r="CU153" s="1283"/>
      <c r="CV153" s="5"/>
    </row>
    <row r="154" spans="1:106" ht="12" customHeight="1" x14ac:dyDescent="0.2">
      <c r="A154" s="5"/>
      <c r="B154" s="1289"/>
      <c r="C154" s="1289"/>
      <c r="D154" s="1289"/>
      <c r="E154" s="1289"/>
      <c r="F154" s="1289"/>
      <c r="G154" s="1289"/>
      <c r="H154" s="1289"/>
      <c r="I154" s="1289"/>
      <c r="J154" s="1289"/>
      <c r="K154" s="1289"/>
      <c r="L154" s="1289"/>
      <c r="M154" s="1289"/>
      <c r="N154" s="1289"/>
      <c r="O154" s="1289"/>
      <c r="P154" s="1289"/>
      <c r="Q154" s="1289"/>
      <c r="R154" s="1289"/>
      <c r="S154" s="1289"/>
      <c r="T154" s="1289"/>
      <c r="U154" s="1289"/>
      <c r="V154" s="1289"/>
      <c r="W154" s="1289"/>
      <c r="X154" s="1289"/>
      <c r="Y154" s="1289"/>
      <c r="Z154" s="1289"/>
      <c r="AA154" s="1289"/>
      <c r="AB154" s="212"/>
      <c r="AC154" s="1308"/>
      <c r="AD154" s="1309"/>
      <c r="AE154" s="1309"/>
      <c r="AF154" s="1309"/>
      <c r="AG154" s="1309"/>
      <c r="AH154" s="1309"/>
      <c r="AI154" s="1309"/>
      <c r="AJ154" s="1309"/>
      <c r="AK154" s="1309"/>
      <c r="AL154" s="1309"/>
      <c r="AM154" s="1309"/>
      <c r="AN154" s="1309"/>
      <c r="AO154" s="1309"/>
      <c r="AP154" s="1309"/>
      <c r="AQ154" s="1309"/>
      <c r="AR154" s="1309"/>
      <c r="AS154" s="1309"/>
      <c r="AT154" s="1309"/>
      <c r="AU154" s="1309"/>
      <c r="AV154" s="1309"/>
      <c r="AW154" s="1309"/>
      <c r="AX154" s="1309"/>
      <c r="AY154" s="1309"/>
      <c r="AZ154" s="1309"/>
      <c r="BA154" s="1309"/>
      <c r="BB154" s="1310"/>
      <c r="BC154" s="2"/>
      <c r="BD154" s="486"/>
      <c r="BE154" s="1282"/>
      <c r="BF154" s="1282"/>
      <c r="BG154" s="1282"/>
      <c r="BH154" s="1282"/>
      <c r="BI154" s="1282"/>
      <c r="BJ154" s="1282"/>
      <c r="BK154" s="1282"/>
      <c r="BL154" s="1282"/>
      <c r="BM154" s="1282"/>
      <c r="BN154" s="1282"/>
      <c r="BO154" s="1282"/>
      <c r="BP154" s="1282"/>
      <c r="BQ154" s="1282"/>
      <c r="BR154" s="1282"/>
      <c r="BS154" s="1282"/>
      <c r="BT154" s="1282"/>
      <c r="BU154" s="1282"/>
      <c r="BV154" s="1282"/>
      <c r="BW154" s="1282"/>
      <c r="BX154" s="1282"/>
      <c r="BY154" s="1282"/>
      <c r="BZ154" s="1282"/>
      <c r="CA154" s="1282"/>
      <c r="CB154" s="1282"/>
      <c r="CC154" s="1282"/>
      <c r="CD154" s="1282"/>
      <c r="CE154" s="1282"/>
      <c r="CF154" s="1282"/>
      <c r="CG154" s="1282"/>
      <c r="CH154" s="1282"/>
      <c r="CI154" s="1282"/>
      <c r="CJ154" s="1282"/>
      <c r="CK154" s="1282"/>
      <c r="CL154" s="1282"/>
      <c r="CM154" s="1282"/>
      <c r="CN154" s="1282"/>
      <c r="CO154" s="1282"/>
      <c r="CP154" s="1282"/>
      <c r="CQ154" s="1282"/>
      <c r="CR154" s="1282"/>
      <c r="CS154" s="1282"/>
      <c r="CT154" s="1282"/>
      <c r="CU154" s="1283"/>
      <c r="CV154" s="5"/>
    </row>
    <row r="155" spans="1:106" ht="12" customHeight="1" x14ac:dyDescent="0.2">
      <c r="A155" s="5"/>
      <c r="B155" s="1288"/>
      <c r="C155" s="1288"/>
      <c r="D155" s="1288"/>
      <c r="E155" s="1288"/>
      <c r="F155" s="1288"/>
      <c r="G155" s="1288"/>
      <c r="H155" s="1288"/>
      <c r="I155" s="1288"/>
      <c r="J155" s="1288"/>
      <c r="K155" s="1288"/>
      <c r="L155" s="1288"/>
      <c r="M155" s="1288"/>
      <c r="N155" s="1288"/>
      <c r="O155" s="1288"/>
      <c r="P155" s="1288"/>
      <c r="Q155" s="1288"/>
      <c r="R155" s="1288"/>
      <c r="S155" s="1288"/>
      <c r="T155" s="1288"/>
      <c r="U155" s="1288"/>
      <c r="V155" s="1288"/>
      <c r="W155" s="1288"/>
      <c r="X155" s="1288"/>
      <c r="Y155" s="1288"/>
      <c r="Z155" s="1288"/>
      <c r="AA155" s="1288"/>
      <c r="AB155" s="217"/>
      <c r="AC155" s="1308"/>
      <c r="AD155" s="1309"/>
      <c r="AE155" s="1309"/>
      <c r="AF155" s="1309"/>
      <c r="AG155" s="1309"/>
      <c r="AH155" s="1309"/>
      <c r="AI155" s="1309"/>
      <c r="AJ155" s="1309"/>
      <c r="AK155" s="1309"/>
      <c r="AL155" s="1309"/>
      <c r="AM155" s="1309"/>
      <c r="AN155" s="1309"/>
      <c r="AO155" s="1309"/>
      <c r="AP155" s="1309"/>
      <c r="AQ155" s="1309"/>
      <c r="AR155" s="1309"/>
      <c r="AS155" s="1309"/>
      <c r="AT155" s="1309"/>
      <c r="AU155" s="1309"/>
      <c r="AV155" s="1309"/>
      <c r="AW155" s="1309"/>
      <c r="AX155" s="1309"/>
      <c r="AY155" s="1309"/>
      <c r="AZ155" s="1309"/>
      <c r="BA155" s="1309"/>
      <c r="BB155" s="1310"/>
      <c r="BC155" s="2"/>
      <c r="BD155" s="486"/>
      <c r="BE155" s="1282"/>
      <c r="BF155" s="1282"/>
      <c r="BG155" s="1282"/>
      <c r="BH155" s="1282"/>
      <c r="BI155" s="1282"/>
      <c r="BJ155" s="1282"/>
      <c r="BK155" s="1282"/>
      <c r="BL155" s="1282"/>
      <c r="BM155" s="1282"/>
      <c r="BN155" s="1282"/>
      <c r="BO155" s="1282"/>
      <c r="BP155" s="1282"/>
      <c r="BQ155" s="1282"/>
      <c r="BR155" s="1282"/>
      <c r="BS155" s="1282"/>
      <c r="BT155" s="1282"/>
      <c r="BU155" s="1282"/>
      <c r="BV155" s="1282"/>
      <c r="BW155" s="1282"/>
      <c r="BX155" s="1282"/>
      <c r="BY155" s="1282"/>
      <c r="BZ155" s="1282"/>
      <c r="CA155" s="1282"/>
      <c r="CB155" s="1282"/>
      <c r="CC155" s="1282"/>
      <c r="CD155" s="1282"/>
      <c r="CE155" s="1282"/>
      <c r="CF155" s="1282"/>
      <c r="CG155" s="1282"/>
      <c r="CH155" s="1282"/>
      <c r="CI155" s="1282"/>
      <c r="CJ155" s="1282"/>
      <c r="CK155" s="1282"/>
      <c r="CL155" s="1282"/>
      <c r="CM155" s="1282"/>
      <c r="CN155" s="1282"/>
      <c r="CO155" s="1282"/>
      <c r="CP155" s="1282"/>
      <c r="CQ155" s="1282"/>
      <c r="CR155" s="1282"/>
      <c r="CS155" s="1282"/>
      <c r="CT155" s="1282"/>
      <c r="CU155" s="1283"/>
      <c r="CV155" s="5"/>
    </row>
    <row r="156" spans="1:106" ht="12" customHeight="1" x14ac:dyDescent="0.2">
      <c r="A156" s="5"/>
      <c r="B156" s="1289"/>
      <c r="C156" s="1289"/>
      <c r="D156" s="1289"/>
      <c r="E156" s="1289"/>
      <c r="F156" s="1289"/>
      <c r="G156" s="1289"/>
      <c r="H156" s="1289"/>
      <c r="I156" s="1289"/>
      <c r="J156" s="1289"/>
      <c r="K156" s="1289"/>
      <c r="L156" s="1289"/>
      <c r="M156" s="1289"/>
      <c r="N156" s="1289"/>
      <c r="O156" s="1289"/>
      <c r="P156" s="1289"/>
      <c r="Q156" s="1289"/>
      <c r="R156" s="1289"/>
      <c r="S156" s="1289"/>
      <c r="T156" s="1289"/>
      <c r="U156" s="1289"/>
      <c r="V156" s="1289"/>
      <c r="W156" s="1289"/>
      <c r="X156" s="1289"/>
      <c r="Y156" s="1289"/>
      <c r="Z156" s="1289"/>
      <c r="AA156" s="1289"/>
      <c r="AB156" s="212"/>
      <c r="AC156" s="1308"/>
      <c r="AD156" s="1309"/>
      <c r="AE156" s="1309"/>
      <c r="AF156" s="1309"/>
      <c r="AG156" s="1309"/>
      <c r="AH156" s="1309"/>
      <c r="AI156" s="1309"/>
      <c r="AJ156" s="1309"/>
      <c r="AK156" s="1309"/>
      <c r="AL156" s="1309"/>
      <c r="AM156" s="1309"/>
      <c r="AN156" s="1309"/>
      <c r="AO156" s="1309"/>
      <c r="AP156" s="1309"/>
      <c r="AQ156" s="1309"/>
      <c r="AR156" s="1309"/>
      <c r="AS156" s="1309"/>
      <c r="AT156" s="1309"/>
      <c r="AU156" s="1309"/>
      <c r="AV156" s="1309"/>
      <c r="AW156" s="1309"/>
      <c r="AX156" s="1309"/>
      <c r="AY156" s="1309"/>
      <c r="AZ156" s="1309"/>
      <c r="BA156" s="1309"/>
      <c r="BB156" s="1310"/>
      <c r="BC156" s="2"/>
      <c r="BD156" s="486"/>
      <c r="BE156" s="1282"/>
      <c r="BF156" s="1282"/>
      <c r="BG156" s="1282"/>
      <c r="BH156" s="1282"/>
      <c r="BI156" s="1282"/>
      <c r="BJ156" s="1282"/>
      <c r="BK156" s="1282"/>
      <c r="BL156" s="1282"/>
      <c r="BM156" s="1282"/>
      <c r="BN156" s="1282"/>
      <c r="BO156" s="1282"/>
      <c r="BP156" s="1282"/>
      <c r="BQ156" s="1282"/>
      <c r="BR156" s="1282"/>
      <c r="BS156" s="1282"/>
      <c r="BT156" s="1282"/>
      <c r="BU156" s="1282"/>
      <c r="BV156" s="1282"/>
      <c r="BW156" s="1282"/>
      <c r="BX156" s="1282"/>
      <c r="BY156" s="1282"/>
      <c r="BZ156" s="1282"/>
      <c r="CA156" s="1282"/>
      <c r="CB156" s="1282"/>
      <c r="CC156" s="1282"/>
      <c r="CD156" s="1282"/>
      <c r="CE156" s="1282"/>
      <c r="CF156" s="1282"/>
      <c r="CG156" s="1282"/>
      <c r="CH156" s="1282"/>
      <c r="CI156" s="1282"/>
      <c r="CJ156" s="1282"/>
      <c r="CK156" s="1282"/>
      <c r="CL156" s="1282"/>
      <c r="CM156" s="1282"/>
      <c r="CN156" s="1282"/>
      <c r="CO156" s="1282"/>
      <c r="CP156" s="1282"/>
      <c r="CQ156" s="1282"/>
      <c r="CR156" s="1282"/>
      <c r="CS156" s="1282"/>
      <c r="CT156" s="1282"/>
      <c r="CU156" s="1283"/>
      <c r="CV156" s="5"/>
    </row>
    <row r="157" spans="1:106" ht="12" customHeight="1" x14ac:dyDescent="0.2">
      <c r="A157" s="5"/>
      <c r="B157" s="1288"/>
      <c r="C157" s="1288"/>
      <c r="D157" s="1288"/>
      <c r="E157" s="1288"/>
      <c r="F157" s="1288"/>
      <c r="G157" s="1288"/>
      <c r="H157" s="1288"/>
      <c r="I157" s="1288"/>
      <c r="J157" s="1288"/>
      <c r="K157" s="1288"/>
      <c r="L157" s="1288"/>
      <c r="M157" s="1288"/>
      <c r="N157" s="1288"/>
      <c r="O157" s="1288"/>
      <c r="P157" s="1288"/>
      <c r="Q157" s="1288"/>
      <c r="R157" s="1288"/>
      <c r="S157" s="1288"/>
      <c r="T157" s="1288"/>
      <c r="U157" s="1288"/>
      <c r="V157" s="1288"/>
      <c r="W157" s="1288"/>
      <c r="X157" s="1288"/>
      <c r="Y157" s="1288"/>
      <c r="Z157" s="1288"/>
      <c r="AA157" s="1288"/>
      <c r="AB157" s="217"/>
      <c r="AC157" s="1308"/>
      <c r="AD157" s="1309"/>
      <c r="AE157" s="1309"/>
      <c r="AF157" s="1309"/>
      <c r="AG157" s="1309"/>
      <c r="AH157" s="1309"/>
      <c r="AI157" s="1309"/>
      <c r="AJ157" s="1309"/>
      <c r="AK157" s="1309"/>
      <c r="AL157" s="1309"/>
      <c r="AM157" s="1309"/>
      <c r="AN157" s="1309"/>
      <c r="AO157" s="1309"/>
      <c r="AP157" s="1309"/>
      <c r="AQ157" s="1309"/>
      <c r="AR157" s="1309"/>
      <c r="AS157" s="1309"/>
      <c r="AT157" s="1309"/>
      <c r="AU157" s="1309"/>
      <c r="AV157" s="1309"/>
      <c r="AW157" s="1309"/>
      <c r="AX157" s="1309"/>
      <c r="AY157" s="1309"/>
      <c r="AZ157" s="1309"/>
      <c r="BA157" s="1309"/>
      <c r="BB157" s="1310"/>
      <c r="BC157" s="2"/>
      <c r="BD157" s="486"/>
      <c r="BE157" s="1282"/>
      <c r="BF157" s="1282"/>
      <c r="BG157" s="1282"/>
      <c r="BH157" s="1282"/>
      <c r="BI157" s="1282"/>
      <c r="BJ157" s="1282"/>
      <c r="BK157" s="1282"/>
      <c r="BL157" s="1282"/>
      <c r="BM157" s="1282"/>
      <c r="BN157" s="1282"/>
      <c r="BO157" s="1282"/>
      <c r="BP157" s="1282"/>
      <c r="BQ157" s="1282"/>
      <c r="BR157" s="1282"/>
      <c r="BS157" s="1282"/>
      <c r="BT157" s="1282"/>
      <c r="BU157" s="1282"/>
      <c r="BV157" s="1282"/>
      <c r="BW157" s="1282"/>
      <c r="BX157" s="1282"/>
      <c r="BY157" s="1282"/>
      <c r="BZ157" s="1282"/>
      <c r="CA157" s="1282"/>
      <c r="CB157" s="1282"/>
      <c r="CC157" s="1282"/>
      <c r="CD157" s="1282"/>
      <c r="CE157" s="1282"/>
      <c r="CF157" s="1282"/>
      <c r="CG157" s="1282"/>
      <c r="CH157" s="1282"/>
      <c r="CI157" s="1282"/>
      <c r="CJ157" s="1282"/>
      <c r="CK157" s="1282"/>
      <c r="CL157" s="1282"/>
      <c r="CM157" s="1282"/>
      <c r="CN157" s="1282"/>
      <c r="CO157" s="1282"/>
      <c r="CP157" s="1282"/>
      <c r="CQ157" s="1282"/>
      <c r="CR157" s="1282"/>
      <c r="CS157" s="1282"/>
      <c r="CT157" s="1282"/>
      <c r="CU157" s="1283"/>
      <c r="CV157" s="5"/>
    </row>
    <row r="158" spans="1:106" ht="12" customHeight="1" x14ac:dyDescent="0.2">
      <c r="A158" s="5"/>
      <c r="B158" s="1289"/>
      <c r="C158" s="1289"/>
      <c r="D158" s="1289"/>
      <c r="E158" s="1289"/>
      <c r="F158" s="1289"/>
      <c r="G158" s="1289"/>
      <c r="H158" s="1289"/>
      <c r="I158" s="1289"/>
      <c r="J158" s="1289"/>
      <c r="K158" s="1289"/>
      <c r="L158" s="1289"/>
      <c r="M158" s="1289"/>
      <c r="N158" s="1289"/>
      <c r="O158" s="1289"/>
      <c r="P158" s="1289"/>
      <c r="Q158" s="1289"/>
      <c r="R158" s="1289"/>
      <c r="S158" s="1289"/>
      <c r="T158" s="1289"/>
      <c r="U158" s="1289"/>
      <c r="V158" s="1289"/>
      <c r="W158" s="1289"/>
      <c r="X158" s="1289"/>
      <c r="Y158" s="1289"/>
      <c r="Z158" s="1289"/>
      <c r="AA158" s="1289"/>
      <c r="AB158" s="212"/>
      <c r="AC158" s="1311"/>
      <c r="AD158" s="1312"/>
      <c r="AE158" s="1312"/>
      <c r="AF158" s="1312"/>
      <c r="AG158" s="1312"/>
      <c r="AH158" s="1312"/>
      <c r="AI158" s="1312"/>
      <c r="AJ158" s="1312"/>
      <c r="AK158" s="1312"/>
      <c r="AL158" s="1312"/>
      <c r="AM158" s="1312"/>
      <c r="AN158" s="1312"/>
      <c r="AO158" s="1312"/>
      <c r="AP158" s="1312"/>
      <c r="AQ158" s="1312"/>
      <c r="AR158" s="1312"/>
      <c r="AS158" s="1312"/>
      <c r="AT158" s="1312"/>
      <c r="AU158" s="1312"/>
      <c r="AV158" s="1312"/>
      <c r="AW158" s="1312"/>
      <c r="AX158" s="1312"/>
      <c r="AY158" s="1312"/>
      <c r="AZ158" s="1312"/>
      <c r="BA158" s="1312"/>
      <c r="BB158" s="1313"/>
      <c r="BC158" s="2"/>
      <c r="BD158" s="487"/>
      <c r="BE158" s="1284"/>
      <c r="BF158" s="1284"/>
      <c r="BG158" s="1284"/>
      <c r="BH158" s="1284"/>
      <c r="BI158" s="1284"/>
      <c r="BJ158" s="1284"/>
      <c r="BK158" s="1284"/>
      <c r="BL158" s="1284"/>
      <c r="BM158" s="1284"/>
      <c r="BN158" s="1284"/>
      <c r="BO158" s="1284"/>
      <c r="BP158" s="1284"/>
      <c r="BQ158" s="1284"/>
      <c r="BR158" s="1284"/>
      <c r="BS158" s="1284"/>
      <c r="BT158" s="1284"/>
      <c r="BU158" s="1284"/>
      <c r="BV158" s="1284"/>
      <c r="BW158" s="1284"/>
      <c r="BX158" s="1284"/>
      <c r="BY158" s="1284"/>
      <c r="BZ158" s="1284"/>
      <c r="CA158" s="1284"/>
      <c r="CB158" s="1284"/>
      <c r="CC158" s="1284"/>
      <c r="CD158" s="1284"/>
      <c r="CE158" s="1284"/>
      <c r="CF158" s="1284"/>
      <c r="CG158" s="1284"/>
      <c r="CH158" s="1284"/>
      <c r="CI158" s="1284"/>
      <c r="CJ158" s="1284"/>
      <c r="CK158" s="1284"/>
      <c r="CL158" s="1284"/>
      <c r="CM158" s="1284"/>
      <c r="CN158" s="1284"/>
      <c r="CO158" s="1284"/>
      <c r="CP158" s="1284"/>
      <c r="CQ158" s="1284"/>
      <c r="CR158" s="1284"/>
      <c r="CS158" s="1284"/>
      <c r="CT158" s="1284"/>
      <c r="CU158" s="1285"/>
      <c r="CV158" s="5"/>
    </row>
    <row r="159" spans="1:106" ht="12" customHeight="1" x14ac:dyDescent="0.25">
      <c r="A159" s="5"/>
      <c r="B159" s="133"/>
      <c r="C159" s="133"/>
      <c r="D159" s="133"/>
      <c r="E159" s="133"/>
      <c r="F159" s="133"/>
      <c r="G159" s="133"/>
      <c r="H159" s="133"/>
      <c r="I159" s="133"/>
      <c r="J159" s="133"/>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4"/>
      <c r="AK159" s="134"/>
      <c r="AL159" s="134"/>
      <c r="AM159" s="134"/>
      <c r="AN159" s="134"/>
      <c r="AO159" s="134"/>
      <c r="AP159" s="225"/>
      <c r="AQ159" s="134"/>
      <c r="AR159" s="134"/>
      <c r="AS159" s="134"/>
      <c r="AT159" s="134"/>
      <c r="AU159" s="134"/>
      <c r="AV159" s="134"/>
      <c r="AW159" s="225"/>
      <c r="AX159" s="134"/>
      <c r="AY159" s="134"/>
      <c r="AZ159" s="134"/>
      <c r="BA159" s="134"/>
      <c r="BB159" s="134"/>
      <c r="BC159" s="2"/>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Y159" s="124"/>
      <c r="BZ159" s="124"/>
      <c r="CA159" s="161"/>
      <c r="CB159" s="161"/>
      <c r="CC159" s="161"/>
      <c r="CD159" s="161"/>
      <c r="CE159" s="161"/>
      <c r="CF159" s="161"/>
      <c r="CG159" s="161"/>
      <c r="CH159" s="161"/>
      <c r="CI159" s="161"/>
      <c r="CJ159" s="161"/>
      <c r="CK159" s="128"/>
      <c r="CL159" s="135"/>
      <c r="CM159" s="135"/>
      <c r="CN159" s="135"/>
      <c r="CO159" s="135"/>
      <c r="CP159" s="135"/>
      <c r="CQ159" s="135"/>
      <c r="CR159" s="135"/>
      <c r="CS159" s="135"/>
      <c r="CT159" s="135"/>
      <c r="CU159" s="135"/>
      <c r="CV159" s="5"/>
    </row>
    <row r="160" spans="1:106" ht="12" customHeight="1" x14ac:dyDescent="0.2">
      <c r="A160" s="54"/>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row>
    <row r="161" spans="1:55" ht="12" customHeight="1" x14ac:dyDescent="0.2">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4"/>
    </row>
    <row r="162" spans="1:55" ht="12" customHeight="1" x14ac:dyDescent="0.2">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BC162" s="53"/>
    </row>
    <row r="163" spans="1:55" ht="12" customHeight="1" x14ac:dyDescent="0.2">
      <c r="A163" s="53"/>
      <c r="B163" s="53"/>
      <c r="C163" s="53"/>
      <c r="D163" s="53"/>
      <c r="E163" s="53"/>
      <c r="F163" s="53"/>
      <c r="G163" s="53"/>
      <c r="H163" s="53"/>
      <c r="I163" s="53"/>
      <c r="J163" s="53"/>
      <c r="K163" s="53"/>
      <c r="L163" s="53"/>
    </row>
    <row r="164" spans="1:55" ht="12" customHeight="1" x14ac:dyDescent="0.2">
      <c r="A164" s="53"/>
      <c r="B164" s="53"/>
      <c r="C164" s="53"/>
      <c r="D164" s="53"/>
      <c r="E164" s="53"/>
      <c r="F164" s="53"/>
      <c r="G164" s="53"/>
      <c r="H164" s="53"/>
      <c r="I164" s="53"/>
      <c r="J164" s="53"/>
      <c r="K164" s="53"/>
      <c r="L164" s="53"/>
    </row>
    <row r="165" spans="1:55" ht="12" customHeight="1" x14ac:dyDescent="0.2">
      <c r="A165" s="53"/>
      <c r="B165" s="53"/>
      <c r="C165" s="53"/>
      <c r="D165" s="53"/>
      <c r="E165" s="53"/>
      <c r="F165" s="53"/>
      <c r="G165" s="53"/>
      <c r="H165" s="53"/>
      <c r="I165" s="53"/>
      <c r="J165" s="53"/>
      <c r="K165" s="53"/>
      <c r="L165" s="53"/>
    </row>
    <row r="166" spans="1:55" ht="12" customHeight="1" x14ac:dyDescent="0.2">
      <c r="A166" s="53"/>
      <c r="B166" s="53"/>
      <c r="C166" s="53"/>
      <c r="D166" s="53"/>
      <c r="E166" s="53"/>
      <c r="F166" s="53"/>
      <c r="G166" s="53"/>
      <c r="H166" s="53"/>
      <c r="I166" s="53"/>
      <c r="J166" s="53"/>
      <c r="K166" s="53"/>
      <c r="L166" s="53"/>
    </row>
    <row r="167" spans="1:55" ht="12" customHeight="1" x14ac:dyDescent="0.2">
      <c r="A167" s="53"/>
      <c r="B167" s="53"/>
      <c r="C167" s="53"/>
      <c r="D167" s="53"/>
      <c r="E167" s="53"/>
      <c r="F167" s="53"/>
      <c r="G167" s="53"/>
      <c r="H167" s="53"/>
      <c r="I167" s="53"/>
      <c r="J167" s="53"/>
      <c r="K167" s="53"/>
      <c r="L167" s="53"/>
    </row>
    <row r="168" spans="1:55" ht="12" customHeight="1" x14ac:dyDescent="0.2">
      <c r="A168" s="53"/>
      <c r="B168" s="53"/>
      <c r="C168" s="53"/>
      <c r="D168" s="53"/>
      <c r="E168" s="53"/>
      <c r="F168" s="53"/>
      <c r="G168" s="53"/>
      <c r="H168" s="53"/>
      <c r="I168" s="53"/>
      <c r="J168" s="53"/>
      <c r="K168" s="53"/>
      <c r="L168" s="53"/>
    </row>
    <row r="169" spans="1:55" ht="12" customHeight="1" x14ac:dyDescent="0.2">
      <c r="A169" s="53"/>
      <c r="B169" s="53"/>
      <c r="C169" s="53"/>
      <c r="D169" s="53"/>
      <c r="E169" s="53"/>
      <c r="F169" s="53"/>
      <c r="G169" s="53"/>
      <c r="H169" s="53"/>
      <c r="I169" s="53"/>
      <c r="J169" s="53"/>
      <c r="K169" s="53"/>
      <c r="L169" s="53"/>
    </row>
    <row r="170" spans="1:55" ht="12" customHeight="1" x14ac:dyDescent="0.2">
      <c r="A170" s="53"/>
      <c r="B170" s="53"/>
      <c r="C170" s="53"/>
      <c r="D170" s="53"/>
      <c r="E170" s="53"/>
      <c r="F170" s="53"/>
      <c r="G170" s="53"/>
      <c r="H170" s="53"/>
      <c r="I170" s="53"/>
      <c r="J170" s="53"/>
      <c r="K170" s="53"/>
      <c r="L170" s="53"/>
    </row>
    <row r="171" spans="1:55" ht="12" customHeight="1" x14ac:dyDescent="0.2">
      <c r="A171" s="53"/>
      <c r="B171" s="53"/>
      <c r="C171" s="53"/>
      <c r="D171" s="53"/>
      <c r="E171" s="53"/>
      <c r="F171" s="53"/>
      <c r="G171" s="53"/>
      <c r="H171" s="53"/>
      <c r="I171" s="53"/>
      <c r="J171" s="53"/>
      <c r="K171" s="53"/>
      <c r="L171" s="53"/>
    </row>
    <row r="172" spans="1:55" ht="12" customHeight="1" x14ac:dyDescent="0.2">
      <c r="A172" s="53"/>
      <c r="B172" s="53"/>
      <c r="C172" s="53"/>
      <c r="D172" s="53"/>
      <c r="E172" s="53"/>
      <c r="F172" s="53"/>
      <c r="G172" s="53"/>
      <c r="H172" s="53"/>
      <c r="I172" s="53"/>
      <c r="J172" s="53"/>
      <c r="K172" s="53"/>
      <c r="L172" s="53"/>
    </row>
    <row r="173" spans="1:55" ht="12" customHeight="1" x14ac:dyDescent="0.2">
      <c r="A173" s="53"/>
      <c r="B173" s="53"/>
      <c r="C173" s="53"/>
      <c r="D173" s="53"/>
      <c r="E173" s="53"/>
      <c r="F173" s="53"/>
      <c r="G173" s="53"/>
      <c r="H173" s="53"/>
      <c r="I173" s="53"/>
      <c r="J173" s="53"/>
      <c r="K173" s="53"/>
      <c r="L173" s="53"/>
    </row>
    <row r="174" spans="1:55" ht="12" customHeight="1" x14ac:dyDescent="0.2">
      <c r="A174" s="53"/>
      <c r="B174" s="53"/>
      <c r="C174" s="53"/>
      <c r="D174" s="53"/>
      <c r="E174" s="53"/>
      <c r="F174" s="53"/>
      <c r="G174" s="53"/>
      <c r="H174" s="53"/>
      <c r="I174" s="53"/>
      <c r="J174" s="53"/>
      <c r="K174" s="53"/>
      <c r="L174" s="53"/>
    </row>
    <row r="175" spans="1:55" ht="12" customHeight="1" x14ac:dyDescent="0.2">
      <c r="A175" s="53"/>
      <c r="B175" s="53"/>
      <c r="C175" s="53"/>
      <c r="D175" s="53"/>
      <c r="E175" s="53"/>
      <c r="F175" s="53"/>
      <c r="G175" s="53"/>
      <c r="H175" s="53"/>
      <c r="I175" s="53"/>
      <c r="J175" s="53"/>
      <c r="K175" s="53"/>
      <c r="L175" s="53"/>
    </row>
    <row r="176" spans="1:55" ht="12" customHeight="1" x14ac:dyDescent="0.2">
      <c r="A176" s="53"/>
      <c r="B176" s="53"/>
      <c r="C176" s="53"/>
      <c r="D176" s="53"/>
      <c r="E176" s="53"/>
      <c r="F176" s="53"/>
      <c r="G176" s="53"/>
      <c r="H176" s="53"/>
      <c r="I176" s="53"/>
      <c r="J176" s="53"/>
      <c r="K176" s="53"/>
      <c r="L176" s="53"/>
    </row>
    <row r="177" spans="1:99" ht="12" customHeight="1" x14ac:dyDescent="0.2">
      <c r="A177" s="53"/>
      <c r="B177" s="53"/>
      <c r="C177" s="53"/>
      <c r="D177" s="53"/>
      <c r="E177" s="53"/>
      <c r="F177" s="53"/>
      <c r="G177" s="53"/>
      <c r="H177" s="53"/>
      <c r="I177" s="53"/>
      <c r="J177" s="53"/>
      <c r="K177" s="53"/>
      <c r="L177" s="53"/>
    </row>
    <row r="178" spans="1:99" ht="12" customHeight="1" x14ac:dyDescent="0.2">
      <c r="A178" s="53"/>
      <c r="B178" s="53"/>
      <c r="C178" s="53"/>
      <c r="D178" s="53"/>
      <c r="E178" s="53"/>
      <c r="F178" s="53"/>
      <c r="G178" s="53"/>
      <c r="H178" s="53"/>
      <c r="I178" s="53"/>
      <c r="J178" s="53"/>
      <c r="K178" s="53"/>
      <c r="L178" s="53"/>
    </row>
    <row r="179" spans="1:99" ht="12" customHeight="1" x14ac:dyDescent="0.2">
      <c r="A179" s="53"/>
      <c r="B179" s="53"/>
      <c r="C179" s="53"/>
      <c r="D179" s="53"/>
      <c r="E179" s="53"/>
      <c r="F179" s="53"/>
      <c r="G179" s="53"/>
      <c r="H179" s="53"/>
      <c r="I179" s="53"/>
      <c r="J179" s="53"/>
      <c r="K179" s="53"/>
      <c r="L179" s="53"/>
    </row>
    <row r="180" spans="1:99" ht="12" customHeight="1" x14ac:dyDescent="0.2">
      <c r="A180" s="53"/>
      <c r="B180" s="53"/>
      <c r="C180" s="53"/>
      <c r="D180" s="53"/>
      <c r="E180" s="53"/>
      <c r="F180" s="53"/>
      <c r="G180" s="53"/>
      <c r="H180" s="53"/>
      <c r="I180" s="53"/>
      <c r="J180" s="53"/>
      <c r="K180" s="53"/>
      <c r="L180" s="53"/>
    </row>
    <row r="181" spans="1:99" ht="12" customHeight="1" x14ac:dyDescent="0.2">
      <c r="A181" s="53"/>
      <c r="B181" s="53"/>
      <c r="C181" s="53"/>
      <c r="D181" s="53"/>
      <c r="E181" s="53"/>
      <c r="F181" s="53"/>
      <c r="G181" s="53"/>
      <c r="H181" s="53"/>
      <c r="I181" s="53"/>
      <c r="J181" s="53"/>
      <c r="K181" s="53"/>
      <c r="L181" s="53"/>
    </row>
    <row r="182" spans="1:99" ht="12" customHeight="1" x14ac:dyDescent="0.2">
      <c r="A182" s="53"/>
      <c r="B182" s="53"/>
      <c r="C182" s="53"/>
      <c r="D182" s="53"/>
      <c r="E182" s="53"/>
      <c r="F182" s="53"/>
      <c r="G182" s="53"/>
      <c r="H182" s="53"/>
      <c r="I182" s="53"/>
      <c r="J182" s="53"/>
      <c r="K182" s="53"/>
      <c r="L182" s="53"/>
    </row>
    <row r="183" spans="1:99" ht="12" customHeight="1" x14ac:dyDescent="0.2">
      <c r="A183" s="53"/>
      <c r="B183" s="53"/>
      <c r="C183" s="53"/>
      <c r="D183" s="53"/>
      <c r="E183" s="53"/>
      <c r="F183" s="53"/>
      <c r="G183" s="53"/>
      <c r="H183" s="53"/>
      <c r="I183" s="53"/>
      <c r="J183" s="53"/>
      <c r="K183" s="53"/>
      <c r="L183" s="53"/>
    </row>
    <row r="184" spans="1:99" ht="12" customHeight="1" x14ac:dyDescent="0.2">
      <c r="A184" s="53"/>
      <c r="B184" s="53"/>
      <c r="C184" s="53"/>
      <c r="D184" s="53"/>
      <c r="E184" s="53"/>
      <c r="F184" s="53"/>
      <c r="G184" s="53"/>
      <c r="H184" s="53"/>
      <c r="I184" s="53"/>
      <c r="J184" s="53"/>
      <c r="K184" s="53"/>
      <c r="L184" s="53"/>
    </row>
    <row r="185" spans="1:99" ht="12" customHeight="1" x14ac:dyDescent="0.2">
      <c r="A185" s="53"/>
      <c r="B185" s="53"/>
      <c r="C185" s="53"/>
      <c r="D185" s="53"/>
      <c r="E185" s="53"/>
      <c r="F185" s="53"/>
      <c r="G185" s="53"/>
      <c r="H185" s="53"/>
      <c r="I185" s="53"/>
      <c r="J185" s="53"/>
      <c r="K185" s="53"/>
      <c r="L185" s="53"/>
    </row>
    <row r="186" spans="1:99" ht="12" customHeight="1" x14ac:dyDescent="0.2">
      <c r="A186" s="53"/>
      <c r="B186" s="53"/>
      <c r="C186" s="53"/>
      <c r="D186" s="53"/>
      <c r="E186" s="53"/>
      <c r="F186" s="53"/>
      <c r="G186" s="53"/>
      <c r="H186" s="53"/>
      <c r="I186" s="53"/>
      <c r="J186" s="53"/>
      <c r="K186" s="53"/>
      <c r="L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row>
    <row r="187" spans="1:99" ht="12" customHeight="1" x14ac:dyDescent="0.2">
      <c r="A187" s="53"/>
      <c r="B187" s="53"/>
      <c r="C187" s="53"/>
      <c r="D187" s="53"/>
      <c r="E187" s="53"/>
      <c r="F187" s="53"/>
      <c r="G187" s="53"/>
      <c r="H187" s="53"/>
      <c r="I187" s="53"/>
      <c r="J187" s="53"/>
      <c r="K187" s="53"/>
      <c r="L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row>
    <row r="188" spans="1:99" ht="12" customHeight="1" x14ac:dyDescent="0.2">
      <c r="A188" s="53"/>
      <c r="B188" s="53"/>
      <c r="C188" s="53"/>
      <c r="D188" s="53"/>
      <c r="E188" s="53"/>
      <c r="F188" s="53"/>
      <c r="G188" s="53"/>
      <c r="H188" s="53"/>
      <c r="I188" s="53"/>
      <c r="J188" s="53"/>
      <c r="K188" s="53"/>
      <c r="L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row>
    <row r="189" spans="1:99" ht="12" customHeight="1" x14ac:dyDescent="0.2">
      <c r="A189" s="53"/>
      <c r="B189" s="53"/>
      <c r="C189" s="53"/>
      <c r="D189" s="53"/>
      <c r="E189" s="53"/>
      <c r="F189" s="53"/>
      <c r="G189" s="53"/>
      <c r="H189" s="53"/>
      <c r="I189" s="53"/>
      <c r="J189" s="53"/>
      <c r="K189" s="53"/>
      <c r="L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row>
    <row r="190" spans="1:99" ht="12" customHeight="1" x14ac:dyDescent="0.2">
      <c r="A190" s="53"/>
      <c r="B190" s="53"/>
      <c r="C190" s="53"/>
      <c r="D190" s="53"/>
      <c r="E190" s="53"/>
      <c r="F190" s="53"/>
      <c r="G190" s="53"/>
      <c r="H190" s="53"/>
      <c r="I190" s="53"/>
      <c r="J190" s="53"/>
      <c r="K190" s="53"/>
      <c r="L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row>
    <row r="191" spans="1:99" ht="12" customHeight="1" x14ac:dyDescent="0.2">
      <c r="A191" s="53"/>
      <c r="B191" s="53"/>
      <c r="C191" s="53"/>
      <c r="D191" s="53"/>
      <c r="E191" s="53"/>
      <c r="F191" s="53"/>
      <c r="G191" s="53"/>
      <c r="H191" s="53"/>
      <c r="I191" s="53"/>
      <c r="J191" s="53"/>
      <c r="K191" s="53"/>
      <c r="L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row>
    <row r="192" spans="1:99" ht="12" customHeight="1" x14ac:dyDescent="0.2">
      <c r="A192" s="53"/>
      <c r="B192" s="53"/>
      <c r="C192" s="53"/>
      <c r="D192" s="53"/>
      <c r="E192" s="53"/>
      <c r="F192" s="53"/>
      <c r="G192" s="53"/>
      <c r="H192" s="53"/>
      <c r="I192" s="53"/>
      <c r="J192" s="53"/>
      <c r="K192" s="53"/>
      <c r="L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row>
    <row r="193" spans="1:99" ht="12" customHeight="1" x14ac:dyDescent="0.2">
      <c r="A193" s="53"/>
      <c r="B193" s="53"/>
      <c r="C193" s="53"/>
      <c r="D193" s="53"/>
      <c r="E193" s="53"/>
      <c r="F193" s="53"/>
      <c r="G193" s="53"/>
      <c r="H193" s="53"/>
      <c r="I193" s="53"/>
      <c r="J193" s="53"/>
      <c r="K193" s="53"/>
      <c r="L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row>
    <row r="194" spans="1:99" ht="12" customHeight="1" x14ac:dyDescent="0.2">
      <c r="A194" s="53"/>
      <c r="B194" s="53"/>
      <c r="C194" s="53"/>
      <c r="D194" s="53"/>
      <c r="E194" s="53"/>
      <c r="F194" s="53"/>
      <c r="G194" s="53"/>
      <c r="H194" s="53"/>
      <c r="I194" s="53"/>
      <c r="J194" s="53"/>
      <c r="K194" s="53"/>
      <c r="L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row>
    <row r="195" spans="1:99" ht="12" customHeight="1" x14ac:dyDescent="0.2">
      <c r="A195" s="53"/>
      <c r="B195" s="53"/>
      <c r="C195" s="53"/>
      <c r="D195" s="53"/>
      <c r="E195" s="53"/>
      <c r="F195" s="53"/>
      <c r="G195" s="53"/>
      <c r="H195" s="53"/>
      <c r="I195" s="53"/>
      <c r="J195" s="53"/>
      <c r="K195" s="53"/>
      <c r="L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row>
    <row r="196" spans="1:99" ht="12" customHeight="1" x14ac:dyDescent="0.2">
      <c r="A196" s="53"/>
      <c r="B196" s="53"/>
      <c r="C196" s="53"/>
      <c r="D196" s="53"/>
      <c r="E196" s="53"/>
      <c r="F196" s="53"/>
      <c r="G196" s="53"/>
      <c r="H196" s="53"/>
      <c r="I196" s="53"/>
      <c r="J196" s="53"/>
      <c r="K196" s="53"/>
      <c r="L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row>
    <row r="197" spans="1:99" ht="12" customHeight="1" x14ac:dyDescent="0.2">
      <c r="A197" s="53"/>
      <c r="B197" s="53"/>
      <c r="C197" s="53"/>
      <c r="D197" s="53"/>
      <c r="E197" s="53"/>
      <c r="F197" s="53"/>
      <c r="G197" s="53"/>
      <c r="H197" s="53"/>
      <c r="I197" s="53"/>
      <c r="J197" s="53"/>
      <c r="K197" s="53"/>
      <c r="L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row>
    <row r="198" spans="1:99" ht="12" customHeight="1" x14ac:dyDescent="0.2">
      <c r="A198" s="53"/>
      <c r="B198" s="53"/>
      <c r="C198" s="53"/>
      <c r="D198" s="53"/>
      <c r="E198" s="53"/>
      <c r="F198" s="53"/>
      <c r="G198" s="53"/>
      <c r="H198" s="53"/>
      <c r="I198" s="53"/>
      <c r="J198" s="53"/>
      <c r="K198" s="53"/>
      <c r="L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row>
    <row r="199" spans="1:99" ht="12" customHeight="1" x14ac:dyDescent="0.2">
      <c r="A199" s="53"/>
      <c r="B199" s="53"/>
      <c r="C199" s="53"/>
      <c r="D199" s="53"/>
      <c r="E199" s="53"/>
      <c r="F199" s="53"/>
      <c r="G199" s="53"/>
      <c r="H199" s="53"/>
      <c r="I199" s="53"/>
      <c r="J199" s="53"/>
      <c r="K199" s="53"/>
      <c r="L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row>
    <row r="200" spans="1:99" ht="12" customHeight="1" x14ac:dyDescent="0.2">
      <c r="A200" s="53"/>
      <c r="B200" s="53"/>
      <c r="C200" s="53"/>
      <c r="D200" s="53"/>
      <c r="E200" s="53"/>
      <c r="F200" s="53"/>
      <c r="G200" s="53"/>
      <c r="H200" s="53"/>
      <c r="I200" s="53"/>
      <c r="J200" s="53"/>
      <c r="K200" s="53"/>
      <c r="L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row>
    <row r="201" spans="1:99" ht="12" customHeight="1" x14ac:dyDescent="0.2">
      <c r="A201" s="53"/>
      <c r="B201" s="53"/>
      <c r="C201" s="53"/>
      <c r="D201" s="53"/>
      <c r="E201" s="53"/>
      <c r="F201" s="53"/>
      <c r="G201" s="53"/>
      <c r="H201" s="53"/>
      <c r="I201" s="53"/>
      <c r="J201" s="53"/>
      <c r="K201" s="53"/>
      <c r="L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row>
    <row r="202" spans="1:99" ht="12" customHeight="1" x14ac:dyDescent="0.2">
      <c r="A202" s="53"/>
      <c r="B202" s="53"/>
      <c r="C202" s="53"/>
      <c r="D202" s="53"/>
      <c r="E202" s="53"/>
      <c r="F202" s="53"/>
      <c r="G202" s="53"/>
      <c r="H202" s="53"/>
      <c r="I202" s="53"/>
      <c r="J202" s="53"/>
      <c r="K202" s="53"/>
      <c r="L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row>
    <row r="203" spans="1:99" ht="12" customHeight="1" x14ac:dyDescent="0.2">
      <c r="A203" s="53"/>
      <c r="B203" s="53"/>
      <c r="C203" s="53"/>
      <c r="D203" s="53"/>
      <c r="E203" s="53"/>
      <c r="F203" s="53"/>
      <c r="G203" s="53"/>
      <c r="H203" s="53"/>
      <c r="I203" s="53"/>
      <c r="J203" s="53"/>
      <c r="K203" s="53"/>
      <c r="L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row>
    <row r="204" spans="1:99" ht="12" customHeight="1" x14ac:dyDescent="0.2">
      <c r="A204" s="53"/>
      <c r="B204" s="53"/>
      <c r="C204" s="53"/>
      <c r="D204" s="53"/>
      <c r="E204" s="53"/>
      <c r="F204" s="53"/>
      <c r="G204" s="53"/>
      <c r="H204" s="53"/>
      <c r="I204" s="53"/>
      <c r="J204" s="53"/>
      <c r="K204" s="53"/>
      <c r="L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row>
    <row r="205" spans="1:99" ht="12" customHeight="1" x14ac:dyDescent="0.2">
      <c r="A205" s="53"/>
      <c r="B205" s="53"/>
      <c r="C205" s="53"/>
      <c r="D205" s="53"/>
      <c r="E205" s="53"/>
      <c r="F205" s="53"/>
      <c r="G205" s="53"/>
      <c r="H205" s="53"/>
      <c r="I205" s="53"/>
      <c r="J205" s="53"/>
      <c r="K205" s="53"/>
      <c r="L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row>
    <row r="206" spans="1:99" ht="12" customHeight="1" x14ac:dyDescent="0.2">
      <c r="A206" s="53"/>
      <c r="B206" s="53"/>
      <c r="C206" s="53"/>
      <c r="D206" s="53"/>
      <c r="E206" s="53"/>
      <c r="F206" s="53"/>
      <c r="G206" s="53"/>
      <c r="H206" s="53"/>
      <c r="I206" s="53"/>
      <c r="J206" s="53"/>
      <c r="K206" s="53"/>
      <c r="L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row>
    <row r="207" spans="1:99" ht="12" customHeight="1" x14ac:dyDescent="0.2">
      <c r="A207" s="53"/>
      <c r="B207" s="53"/>
      <c r="C207" s="53"/>
      <c r="D207" s="53"/>
      <c r="E207" s="53"/>
      <c r="F207" s="53"/>
      <c r="G207" s="53"/>
      <c r="H207" s="53"/>
      <c r="I207" s="53"/>
      <c r="J207" s="53"/>
      <c r="K207" s="53"/>
      <c r="L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row>
    <row r="208" spans="1:99" ht="12" customHeight="1" x14ac:dyDescent="0.2">
      <c r="A208" s="53"/>
      <c r="B208" s="53"/>
      <c r="C208" s="53"/>
      <c r="D208" s="53"/>
      <c r="E208" s="53"/>
      <c r="F208" s="53"/>
      <c r="G208" s="53"/>
      <c r="H208" s="53"/>
      <c r="I208" s="53"/>
      <c r="J208" s="53"/>
      <c r="K208" s="53"/>
      <c r="L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row>
    <row r="209" spans="1:99" ht="12" customHeight="1" x14ac:dyDescent="0.2">
      <c r="A209" s="53"/>
      <c r="B209" s="53"/>
      <c r="C209" s="53"/>
      <c r="D209" s="53"/>
      <c r="E209" s="53"/>
      <c r="F209" s="53"/>
      <c r="G209" s="53"/>
      <c r="H209" s="53"/>
      <c r="I209" s="53"/>
      <c r="J209" s="53"/>
      <c r="K209" s="53"/>
      <c r="L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row>
    <row r="210" spans="1:99" ht="12" customHeight="1" x14ac:dyDescent="0.2">
      <c r="A210" s="53"/>
      <c r="B210" s="53"/>
      <c r="C210" s="53"/>
      <c r="D210" s="53"/>
      <c r="E210" s="53"/>
      <c r="F210" s="53"/>
      <c r="G210" s="53"/>
      <c r="H210" s="53"/>
      <c r="I210" s="53"/>
      <c r="J210" s="53"/>
      <c r="K210" s="53"/>
      <c r="L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row>
    <row r="211" spans="1:99" ht="12" customHeight="1" x14ac:dyDescent="0.2">
      <c r="A211" s="53"/>
      <c r="B211" s="53"/>
      <c r="C211" s="53"/>
      <c r="D211" s="53"/>
      <c r="E211" s="53"/>
      <c r="F211" s="53"/>
      <c r="G211" s="53"/>
      <c r="H211" s="53"/>
      <c r="I211" s="53"/>
      <c r="J211" s="53"/>
      <c r="K211" s="53"/>
      <c r="L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row>
    <row r="212" spans="1:99" ht="12" customHeight="1" x14ac:dyDescent="0.2">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row>
    <row r="213" spans="1:99" ht="12" customHeight="1" x14ac:dyDescent="0.2">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53"/>
      <c r="CS213" s="53"/>
      <c r="CT213" s="53"/>
      <c r="CU213" s="53"/>
    </row>
    <row r="214" spans="1:99" ht="12" customHeight="1"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row>
    <row r="215" spans="1:99" ht="12" customHeight="1" x14ac:dyDescent="0.2">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row>
    <row r="216" spans="1:99" ht="12" customHeight="1" x14ac:dyDescent="0.2">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row>
    <row r="217" spans="1:99" ht="12" customHeight="1" x14ac:dyDescent="0.2">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row>
    <row r="218" spans="1:99" ht="12" customHeight="1" x14ac:dyDescent="0.2">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row>
    <row r="219" spans="1:99" ht="12" customHeight="1" x14ac:dyDescent="0.2">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row>
    <row r="220" spans="1:99" ht="12" customHeight="1" x14ac:dyDescent="0.2">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row>
    <row r="221" spans="1:99" ht="12" customHeight="1" x14ac:dyDescent="0.2">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row>
    <row r="222" spans="1:99" ht="12" customHeight="1" x14ac:dyDescent="0.2">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row>
    <row r="223" spans="1:99" ht="12" customHeight="1" x14ac:dyDescent="0.2">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row>
    <row r="224" spans="1:99" ht="12" customHeight="1" x14ac:dyDescent="0.2">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row>
    <row r="225" spans="1:99" ht="12" customHeight="1" x14ac:dyDescent="0.2">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row>
    <row r="226" spans="1:99" ht="12" customHeight="1" x14ac:dyDescent="0.2">
      <c r="A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row>
    <row r="227" spans="1:99" ht="12" customHeight="1" x14ac:dyDescent="0.2">
      <c r="A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row>
    <row r="228" spans="1:99" ht="12" customHeight="1" x14ac:dyDescent="0.2">
      <c r="A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53"/>
      <c r="CS228" s="53"/>
      <c r="CT228" s="53"/>
      <c r="CU228" s="53"/>
    </row>
    <row r="229" spans="1:99" ht="12" customHeight="1" x14ac:dyDescent="0.2">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row>
    <row r="230" spans="1:99" ht="12" customHeight="1" x14ac:dyDescent="0.2">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row>
    <row r="245" spans="1:1" ht="12" customHeight="1" x14ac:dyDescent="0.2">
      <c r="A245" s="10"/>
    </row>
  </sheetData>
  <sheetProtection password="DEEC" sheet="1" objects="1" scenarios="1" selectLockedCells="1"/>
  <mergeCells count="367">
    <mergeCell ref="AB89:AB90"/>
    <mergeCell ref="AB91:AB92"/>
    <mergeCell ref="AB93:AB94"/>
    <mergeCell ref="AB95:AB96"/>
    <mergeCell ref="AB97:AB98"/>
    <mergeCell ref="AB99:AB100"/>
    <mergeCell ref="AB101:AB102"/>
    <mergeCell ref="AB103:AB104"/>
    <mergeCell ref="AB105:AB106"/>
    <mergeCell ref="AT101:AT102"/>
    <mergeCell ref="AT103:AT104"/>
    <mergeCell ref="AT105:AT106"/>
    <mergeCell ref="AT107:AT108"/>
    <mergeCell ref="AF89:AF90"/>
    <mergeCell ref="AF91:AF92"/>
    <mergeCell ref="AF93:AF94"/>
    <mergeCell ref="AF95:AF96"/>
    <mergeCell ref="AF97:AF98"/>
    <mergeCell ref="AF99:AF100"/>
    <mergeCell ref="AF101:AF102"/>
    <mergeCell ref="AF103:AF104"/>
    <mergeCell ref="AF105:AF106"/>
    <mergeCell ref="AF107:AF108"/>
    <mergeCell ref="AF76:AF77"/>
    <mergeCell ref="AF78:AF79"/>
    <mergeCell ref="AF80:AF81"/>
    <mergeCell ref="AT76:AT77"/>
    <mergeCell ref="AT78:AT79"/>
    <mergeCell ref="AT80:AT81"/>
    <mergeCell ref="AT89:AT90"/>
    <mergeCell ref="AT91:AT92"/>
    <mergeCell ref="AT93:AT94"/>
    <mergeCell ref="AB30:AB31"/>
    <mergeCell ref="AB32:AB33"/>
    <mergeCell ref="AB34:AB35"/>
    <mergeCell ref="AB36:AB37"/>
    <mergeCell ref="AB38:AB39"/>
    <mergeCell ref="AB40:AB41"/>
    <mergeCell ref="AB42:AB43"/>
    <mergeCell ref="AB44:AB45"/>
    <mergeCell ref="AB46:AB47"/>
    <mergeCell ref="AB8:AB9"/>
    <mergeCell ref="AB10:AB11"/>
    <mergeCell ref="AB12:AB13"/>
    <mergeCell ref="AB14:AB15"/>
    <mergeCell ref="AB16:AB17"/>
    <mergeCell ref="AB18:AB19"/>
    <mergeCell ref="AB20:AB21"/>
    <mergeCell ref="AB22:AB23"/>
    <mergeCell ref="AB24:AB25"/>
    <mergeCell ref="AF30:AF31"/>
    <mergeCell ref="AF32:AF33"/>
    <mergeCell ref="AF34:AF35"/>
    <mergeCell ref="AF36:AF37"/>
    <mergeCell ref="AF38:AF39"/>
    <mergeCell ref="AF40:AF41"/>
    <mergeCell ref="AF42:AF43"/>
    <mergeCell ref="AF44:AF45"/>
    <mergeCell ref="AF46:AF47"/>
    <mergeCell ref="AF8:AF9"/>
    <mergeCell ref="AF10:AF11"/>
    <mergeCell ref="AF12:AF13"/>
    <mergeCell ref="AF14:AF15"/>
    <mergeCell ref="AF16:AF17"/>
    <mergeCell ref="AF18:AF19"/>
    <mergeCell ref="AF20:AF21"/>
    <mergeCell ref="AF22:AF23"/>
    <mergeCell ref="AF24:AF25"/>
    <mergeCell ref="AT28:AT29"/>
    <mergeCell ref="AT30:AT31"/>
    <mergeCell ref="AT32:AT33"/>
    <mergeCell ref="AT34:AT35"/>
    <mergeCell ref="AT36:AT37"/>
    <mergeCell ref="AT38:AT39"/>
    <mergeCell ref="AT40:AT41"/>
    <mergeCell ref="AT44:AT45"/>
    <mergeCell ref="AT46:AT47"/>
    <mergeCell ref="AT10:AT11"/>
    <mergeCell ref="AT12:AT13"/>
    <mergeCell ref="AT14:AT15"/>
    <mergeCell ref="AT16:AT17"/>
    <mergeCell ref="AT18:AT19"/>
    <mergeCell ref="AT20:AT21"/>
    <mergeCell ref="AT22:AT23"/>
    <mergeCell ref="AT24:AT25"/>
    <mergeCell ref="AT26:AT27"/>
    <mergeCell ref="AC153:BB158"/>
    <mergeCell ref="B153:AA154"/>
    <mergeCell ref="AC132:BB133"/>
    <mergeCell ref="B125:AA126"/>
    <mergeCell ref="B127:AA128"/>
    <mergeCell ref="B129:AA130"/>
    <mergeCell ref="B131:AA132"/>
    <mergeCell ref="B133:AA134"/>
    <mergeCell ref="B135:AA136"/>
    <mergeCell ref="AC150:BB151"/>
    <mergeCell ref="B143:AA144"/>
    <mergeCell ref="B145:AA146"/>
    <mergeCell ref="AC141:BB142"/>
    <mergeCell ref="B139:AA140"/>
    <mergeCell ref="B141:AA142"/>
    <mergeCell ref="B137:AA138"/>
    <mergeCell ref="AC116:BB131"/>
    <mergeCell ref="AC135:BB140"/>
    <mergeCell ref="AC144:BB149"/>
    <mergeCell ref="B123:AA124"/>
    <mergeCell ref="B151:AA152"/>
    <mergeCell ref="B155:AA156"/>
    <mergeCell ref="B147:AA148"/>
    <mergeCell ref="AC103:AE104"/>
    <mergeCell ref="AC105:AE106"/>
    <mergeCell ref="AC107:AE108"/>
    <mergeCell ref="AG110:AS111"/>
    <mergeCell ref="AU110:BB111"/>
    <mergeCell ref="AG107:AS108"/>
    <mergeCell ref="AU107:BB108"/>
    <mergeCell ref="B117:AA118"/>
    <mergeCell ref="B121:AA122"/>
    <mergeCell ref="B119:AA120"/>
    <mergeCell ref="B113:AA114"/>
    <mergeCell ref="B107:AA108"/>
    <mergeCell ref="B115:AA116"/>
    <mergeCell ref="B103:AA104"/>
    <mergeCell ref="AG103:AS104"/>
    <mergeCell ref="AB107:AB108"/>
    <mergeCell ref="BD2:CU3"/>
    <mergeCell ref="AU10:BB11"/>
    <mergeCell ref="AU6:BB7"/>
    <mergeCell ref="B6:AB7"/>
    <mergeCell ref="AG6:AT7"/>
    <mergeCell ref="B16:AA17"/>
    <mergeCell ref="AG16:AS17"/>
    <mergeCell ref="AU16:BB17"/>
    <mergeCell ref="AC10:AE11"/>
    <mergeCell ref="AC12:AE13"/>
    <mergeCell ref="AC14:AE15"/>
    <mergeCell ref="AC16:AE17"/>
    <mergeCell ref="AG10:AS11"/>
    <mergeCell ref="B12:AA13"/>
    <mergeCell ref="AG12:AS13"/>
    <mergeCell ref="AU12:BB13"/>
    <mergeCell ref="B14:AA15"/>
    <mergeCell ref="B2:BB3"/>
    <mergeCell ref="AC6:AE7"/>
    <mergeCell ref="B4:AA5"/>
    <mergeCell ref="B10:AA11"/>
    <mergeCell ref="AG14:AS15"/>
    <mergeCell ref="AC8:AE9"/>
    <mergeCell ref="AG8:AS9"/>
    <mergeCell ref="B99:AA100"/>
    <mergeCell ref="AG99:AS100"/>
    <mergeCell ref="AU99:BB100"/>
    <mergeCell ref="AU97:BB98"/>
    <mergeCell ref="AC91:AE92"/>
    <mergeCell ref="AC99:AE100"/>
    <mergeCell ref="AG91:AS92"/>
    <mergeCell ref="AU91:BB92"/>
    <mergeCell ref="AC95:AE96"/>
    <mergeCell ref="AC97:AE98"/>
    <mergeCell ref="AU93:BB94"/>
    <mergeCell ref="B93:AA94"/>
    <mergeCell ref="AG93:AS94"/>
    <mergeCell ref="B91:AA92"/>
    <mergeCell ref="B97:AA98"/>
    <mergeCell ref="AG97:AS98"/>
    <mergeCell ref="AC93:AE94"/>
    <mergeCell ref="AT95:AT96"/>
    <mergeCell ref="AT97:AT98"/>
    <mergeCell ref="AT99:AT100"/>
    <mergeCell ref="AU18:BB19"/>
    <mergeCell ref="AU36:BB37"/>
    <mergeCell ref="AC40:AE41"/>
    <mergeCell ref="AU95:BB96"/>
    <mergeCell ref="B73:AA74"/>
    <mergeCell ref="AU40:BB41"/>
    <mergeCell ref="AU44:BB45"/>
    <mergeCell ref="AG52:AS53"/>
    <mergeCell ref="AU52:BB53"/>
    <mergeCell ref="AG54:AS55"/>
    <mergeCell ref="AU54:BB55"/>
    <mergeCell ref="AC52:AE53"/>
    <mergeCell ref="AC54:AE55"/>
    <mergeCell ref="B38:AA39"/>
    <mergeCell ref="AG38:AS39"/>
    <mergeCell ref="AU38:BB39"/>
    <mergeCell ref="B30:AA31"/>
    <mergeCell ref="AG30:AS31"/>
    <mergeCell ref="AC38:AE39"/>
    <mergeCell ref="AC64:AE65"/>
    <mergeCell ref="B95:AA96"/>
    <mergeCell ref="AG95:AS96"/>
    <mergeCell ref="B42:AA43"/>
    <mergeCell ref="B26:AA27"/>
    <mergeCell ref="AU8:BB9"/>
    <mergeCell ref="B8:AA9"/>
    <mergeCell ref="AC24:AE25"/>
    <mergeCell ref="AC26:AE27"/>
    <mergeCell ref="B36:AA37"/>
    <mergeCell ref="AG36:AS37"/>
    <mergeCell ref="AU30:BB31"/>
    <mergeCell ref="B32:AA33"/>
    <mergeCell ref="AG32:AS33"/>
    <mergeCell ref="AU32:BB33"/>
    <mergeCell ref="B34:AA35"/>
    <mergeCell ref="AG34:AS35"/>
    <mergeCell ref="AU34:BB35"/>
    <mergeCell ref="AC30:AE31"/>
    <mergeCell ref="AC32:AE33"/>
    <mergeCell ref="AC34:AE35"/>
    <mergeCell ref="AC36:AE37"/>
    <mergeCell ref="AU26:BB27"/>
    <mergeCell ref="AU14:BB15"/>
    <mergeCell ref="AU28:BB29"/>
    <mergeCell ref="AU20:BB21"/>
    <mergeCell ref="AU22:BB23"/>
    <mergeCell ref="AC18:AE19"/>
    <mergeCell ref="AU24:BB25"/>
    <mergeCell ref="AG26:AS27"/>
    <mergeCell ref="B28:AA29"/>
    <mergeCell ref="AG28:AS29"/>
    <mergeCell ref="AG20:AS21"/>
    <mergeCell ref="B22:AA23"/>
    <mergeCell ref="AG22:AS23"/>
    <mergeCell ref="B24:AA25"/>
    <mergeCell ref="AG24:AS25"/>
    <mergeCell ref="B20:AA21"/>
    <mergeCell ref="AC28:AE29"/>
    <mergeCell ref="AC20:AE21"/>
    <mergeCell ref="AC22:AE23"/>
    <mergeCell ref="AF26:AF27"/>
    <mergeCell ref="AF28:AF29"/>
    <mergeCell ref="AB26:AB27"/>
    <mergeCell ref="AB28:AB29"/>
    <mergeCell ref="B18:AA19"/>
    <mergeCell ref="AG18:AS19"/>
    <mergeCell ref="AC50:AE51"/>
    <mergeCell ref="AU56:BB57"/>
    <mergeCell ref="AU70:BB71"/>
    <mergeCell ref="AC78:AE79"/>
    <mergeCell ref="B56:AA57"/>
    <mergeCell ref="B60:AA61"/>
    <mergeCell ref="B52:AA53"/>
    <mergeCell ref="B54:AA55"/>
    <mergeCell ref="AG70:AS71"/>
    <mergeCell ref="AG78:AS79"/>
    <mergeCell ref="AU78:BB79"/>
    <mergeCell ref="B76:AA77"/>
    <mergeCell ref="AC70:AE71"/>
    <mergeCell ref="B66:AA67"/>
    <mergeCell ref="AC56:AE57"/>
    <mergeCell ref="AG56:AS57"/>
    <mergeCell ref="AC73:AE74"/>
    <mergeCell ref="AG73:AS74"/>
    <mergeCell ref="AU73:BB74"/>
    <mergeCell ref="AC66:AE67"/>
    <mergeCell ref="B46:AA47"/>
    <mergeCell ref="AG46:AS47"/>
    <mergeCell ref="AC89:AE90"/>
    <mergeCell ref="AU89:BB90"/>
    <mergeCell ref="B58:AA59"/>
    <mergeCell ref="AG58:AS59"/>
    <mergeCell ref="AU58:BB59"/>
    <mergeCell ref="B64:AA65"/>
    <mergeCell ref="AG64:AS65"/>
    <mergeCell ref="AU64:BB65"/>
    <mergeCell ref="AU80:BB81"/>
    <mergeCell ref="AC83:AS84"/>
    <mergeCell ref="AG60:AS61"/>
    <mergeCell ref="AC58:AE59"/>
    <mergeCell ref="AC60:AE61"/>
    <mergeCell ref="AC62:AE63"/>
    <mergeCell ref="B70:AA71"/>
    <mergeCell ref="AC76:AE77"/>
    <mergeCell ref="AU83:BB84"/>
    <mergeCell ref="AG76:AS77"/>
    <mergeCell ref="AU76:BB77"/>
    <mergeCell ref="AC80:AE81"/>
    <mergeCell ref="AC87:AE88"/>
    <mergeCell ref="B85:AA86"/>
    <mergeCell ref="AB76:AB77"/>
    <mergeCell ref="AB78:AB79"/>
    <mergeCell ref="B40:AA41"/>
    <mergeCell ref="AG40:AS41"/>
    <mergeCell ref="AC42:AE43"/>
    <mergeCell ref="AC44:AE45"/>
    <mergeCell ref="AC46:AE47"/>
    <mergeCell ref="AG50:AS51"/>
    <mergeCell ref="AP85:BB86"/>
    <mergeCell ref="B80:AA81"/>
    <mergeCell ref="AG80:AS81"/>
    <mergeCell ref="AU46:BB47"/>
    <mergeCell ref="B48:AA49"/>
    <mergeCell ref="AG48:AS49"/>
    <mergeCell ref="AU48:BB49"/>
    <mergeCell ref="B50:AA51"/>
    <mergeCell ref="AU42:BB43"/>
    <mergeCell ref="B44:AA45"/>
    <mergeCell ref="AG44:AS45"/>
    <mergeCell ref="AU50:BB51"/>
    <mergeCell ref="AC48:AE49"/>
    <mergeCell ref="AG42:AS43"/>
    <mergeCell ref="AT42:AT43"/>
    <mergeCell ref="AF48:AF49"/>
    <mergeCell ref="AB48:AB49"/>
    <mergeCell ref="AB80:AB81"/>
    <mergeCell ref="AC101:AE102"/>
    <mergeCell ref="AC113:BB114"/>
    <mergeCell ref="AU103:BB104"/>
    <mergeCell ref="AG101:AS102"/>
    <mergeCell ref="AU101:BB102"/>
    <mergeCell ref="B78:AA79"/>
    <mergeCell ref="B105:AA106"/>
    <mergeCell ref="B101:AA102"/>
    <mergeCell ref="BE4:CU158"/>
    <mergeCell ref="AU66:BB67"/>
    <mergeCell ref="AG105:AS106"/>
    <mergeCell ref="AU105:BB106"/>
    <mergeCell ref="B87:AB88"/>
    <mergeCell ref="AG87:AT88"/>
    <mergeCell ref="AU87:BB88"/>
    <mergeCell ref="B89:AA90"/>
    <mergeCell ref="AG89:AS90"/>
    <mergeCell ref="AU60:BB61"/>
    <mergeCell ref="B62:AA63"/>
    <mergeCell ref="AG62:AS63"/>
    <mergeCell ref="AU62:BB63"/>
    <mergeCell ref="AG66:AS67"/>
    <mergeCell ref="B157:AA158"/>
    <mergeCell ref="B149:AA150"/>
    <mergeCell ref="B68:AA69"/>
    <mergeCell ref="AC68:AE69"/>
    <mergeCell ref="AG68:AS69"/>
    <mergeCell ref="AU68:BB69"/>
    <mergeCell ref="AB50:AB51"/>
    <mergeCell ref="AB52:AB53"/>
    <mergeCell ref="AB54:AB55"/>
    <mergeCell ref="AB56:AB57"/>
    <mergeCell ref="AB58:AB59"/>
    <mergeCell ref="AB60:AB61"/>
    <mergeCell ref="AB62:AB63"/>
    <mergeCell ref="AB64:AB65"/>
    <mergeCell ref="AB66:AB67"/>
    <mergeCell ref="AB68:AB69"/>
    <mergeCell ref="AT66:AT67"/>
    <mergeCell ref="AT68:AT69"/>
    <mergeCell ref="AB70:AB71"/>
    <mergeCell ref="AF50:AF51"/>
    <mergeCell ref="AF52:AF53"/>
    <mergeCell ref="AF54:AF55"/>
    <mergeCell ref="AF56:AF57"/>
    <mergeCell ref="AF58:AF59"/>
    <mergeCell ref="AF60:AF61"/>
    <mergeCell ref="AF62:AF63"/>
    <mergeCell ref="AF64:AF65"/>
    <mergeCell ref="AF66:AF67"/>
    <mergeCell ref="AF68:AF69"/>
    <mergeCell ref="AF70:AF71"/>
    <mergeCell ref="AT70:AT71"/>
    <mergeCell ref="AT48:AT49"/>
    <mergeCell ref="AT50:AT51"/>
    <mergeCell ref="AT52:AT53"/>
    <mergeCell ref="AT54:AT55"/>
    <mergeCell ref="AT56:AT57"/>
    <mergeCell ref="AT58:AT59"/>
    <mergeCell ref="AT60:AT61"/>
    <mergeCell ref="AT62:AT63"/>
    <mergeCell ref="AT64:AT65"/>
  </mergeCells>
  <printOptions horizontalCentered="1"/>
  <pageMargins left="0.19685039370078741" right="0.19685039370078741" top="0.19685039370078741" bottom="0.19685039370078741" header="0" footer="0"/>
  <pageSetup scale="4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I290"/>
  <sheetViews>
    <sheetView showGridLines="0" showRowColHeaders="0" showOutlineSymbols="0" topLeftCell="A196" zoomScaleNormal="100" zoomScaleSheetLayoutView="100" workbookViewId="0">
      <selection activeCell="DA12" sqref="DA12:DD14"/>
    </sheetView>
  </sheetViews>
  <sheetFormatPr defaultColWidth="0" defaultRowHeight="9.75" customHeight="1" x14ac:dyDescent="0.2"/>
  <cols>
    <col min="1" max="1" width="1" style="6" customWidth="1"/>
    <col min="2" max="148" width="1.7109375" style="6" customWidth="1"/>
    <col min="149" max="149" width="1" style="6" customWidth="1"/>
    <col min="150" max="150" width="1.85546875" style="6" customWidth="1"/>
    <col min="151" max="16384" width="2.5703125" style="6" hidden="1"/>
  </cols>
  <sheetData>
    <row r="1" spans="1:149" s="1" customFormat="1" ht="5.25" customHeight="1" x14ac:dyDescent="0.2">
      <c r="A1" s="2"/>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362"/>
    </row>
    <row r="2" spans="1:149" s="1" customFormat="1" ht="9.75" customHeight="1" x14ac:dyDescent="0.2">
      <c r="A2" s="2"/>
      <c r="B2" s="997" t="s">
        <v>752</v>
      </c>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7"/>
      <c r="AM2" s="997"/>
      <c r="AN2" s="997"/>
      <c r="AO2" s="997"/>
      <c r="AP2" s="997"/>
      <c r="AQ2" s="997"/>
      <c r="AR2" s="997"/>
      <c r="AS2" s="997"/>
      <c r="AT2" s="997"/>
      <c r="AU2" s="997"/>
      <c r="AV2" s="997"/>
      <c r="AW2" s="997"/>
      <c r="AX2" s="997"/>
      <c r="AY2" s="997"/>
      <c r="AZ2" s="997"/>
      <c r="BA2" s="997"/>
      <c r="BB2" s="997"/>
      <c r="BC2" s="997"/>
      <c r="BD2" s="997"/>
      <c r="BE2" s="997"/>
      <c r="BF2" s="997"/>
      <c r="BG2" s="997"/>
      <c r="BH2" s="997"/>
      <c r="BI2" s="997"/>
      <c r="BJ2" s="997"/>
      <c r="BK2" s="997"/>
      <c r="BL2" s="997"/>
      <c r="BM2" s="997"/>
      <c r="BN2" s="997"/>
      <c r="BO2" s="997"/>
      <c r="BP2" s="997"/>
      <c r="BQ2" s="997"/>
      <c r="BR2" s="997"/>
      <c r="BS2" s="997"/>
      <c r="BT2" s="997"/>
      <c r="BU2" s="997"/>
      <c r="BV2" s="997"/>
      <c r="BW2" s="997"/>
      <c r="BX2" s="997"/>
      <c r="BY2" s="997"/>
      <c r="BZ2" s="997"/>
      <c r="CA2" s="997"/>
      <c r="CB2" s="997"/>
      <c r="CC2" s="997"/>
      <c r="CD2" s="997"/>
      <c r="CE2" s="997"/>
      <c r="CF2" s="997"/>
      <c r="CG2" s="997"/>
      <c r="CH2" s="997"/>
      <c r="CI2" s="997"/>
      <c r="CJ2" s="997"/>
      <c r="CK2" s="997"/>
      <c r="CL2" s="997"/>
      <c r="CM2" s="997"/>
      <c r="CN2" s="997"/>
      <c r="CO2" s="997"/>
      <c r="CP2" s="997"/>
      <c r="CQ2" s="997"/>
      <c r="CR2" s="997"/>
      <c r="CS2" s="997"/>
      <c r="CT2" s="997"/>
      <c r="CU2" s="997"/>
      <c r="CV2" s="997"/>
      <c r="CW2" s="997"/>
      <c r="CX2" s="997"/>
      <c r="CY2" s="997"/>
      <c r="CZ2" s="997"/>
      <c r="DA2" s="997"/>
      <c r="DB2" s="997"/>
      <c r="DC2" s="997"/>
      <c r="DD2" s="997"/>
      <c r="DE2" s="997"/>
      <c r="DF2" s="997"/>
      <c r="DG2" s="997"/>
      <c r="DH2" s="997"/>
      <c r="DI2" s="997"/>
      <c r="DJ2" s="997"/>
      <c r="DK2" s="997"/>
      <c r="DL2" s="997"/>
      <c r="DM2" s="997"/>
      <c r="DN2" s="997"/>
      <c r="DO2" s="997"/>
      <c r="DP2" s="997"/>
      <c r="DQ2" s="997"/>
      <c r="DR2" s="997"/>
      <c r="DS2" s="997"/>
      <c r="DT2" s="997"/>
      <c r="DU2" s="997"/>
      <c r="DV2" s="997"/>
      <c r="DW2" s="997"/>
      <c r="DX2" s="997"/>
      <c r="DY2" s="997"/>
      <c r="DZ2" s="997"/>
      <c r="EA2" s="997"/>
      <c r="EB2" s="997"/>
      <c r="EC2" s="997"/>
      <c r="ED2" s="997"/>
      <c r="EE2" s="997"/>
      <c r="EF2" s="997"/>
      <c r="EG2" s="997"/>
      <c r="EH2" s="997"/>
      <c r="EI2" s="997"/>
      <c r="EJ2" s="997"/>
      <c r="EK2" s="997"/>
      <c r="EL2" s="997"/>
      <c r="EM2" s="997"/>
      <c r="EN2" s="997"/>
      <c r="EO2" s="997"/>
      <c r="EP2" s="997"/>
      <c r="EQ2" s="997"/>
      <c r="ER2" s="997"/>
      <c r="ES2" s="362"/>
    </row>
    <row r="3" spans="1:149" s="1" customFormat="1" ht="9.75" customHeight="1" x14ac:dyDescent="0.2">
      <c r="A3" s="2"/>
      <c r="B3" s="997"/>
      <c r="C3" s="997"/>
      <c r="D3" s="997"/>
      <c r="E3" s="997"/>
      <c r="F3" s="997"/>
      <c r="G3" s="997"/>
      <c r="H3" s="997"/>
      <c r="I3" s="997"/>
      <c r="J3" s="997"/>
      <c r="K3" s="997"/>
      <c r="L3" s="997"/>
      <c r="M3" s="997"/>
      <c r="N3" s="997"/>
      <c r="O3" s="997"/>
      <c r="P3" s="997"/>
      <c r="Q3" s="997"/>
      <c r="R3" s="997"/>
      <c r="S3" s="997"/>
      <c r="T3" s="997"/>
      <c r="U3" s="997"/>
      <c r="V3" s="997"/>
      <c r="W3" s="997"/>
      <c r="X3" s="997"/>
      <c r="Y3" s="997"/>
      <c r="Z3" s="997"/>
      <c r="AA3" s="997"/>
      <c r="AB3" s="997"/>
      <c r="AC3" s="997"/>
      <c r="AD3" s="997"/>
      <c r="AE3" s="997"/>
      <c r="AF3" s="997"/>
      <c r="AG3" s="997"/>
      <c r="AH3" s="997"/>
      <c r="AI3" s="997"/>
      <c r="AJ3" s="997"/>
      <c r="AK3" s="997"/>
      <c r="AL3" s="997"/>
      <c r="AM3" s="997"/>
      <c r="AN3" s="997"/>
      <c r="AO3" s="997"/>
      <c r="AP3" s="997"/>
      <c r="AQ3" s="997"/>
      <c r="AR3" s="997"/>
      <c r="AS3" s="997"/>
      <c r="AT3" s="997"/>
      <c r="AU3" s="997"/>
      <c r="AV3" s="997"/>
      <c r="AW3" s="997"/>
      <c r="AX3" s="997"/>
      <c r="AY3" s="997"/>
      <c r="AZ3" s="997"/>
      <c r="BA3" s="997"/>
      <c r="BB3" s="997"/>
      <c r="BC3" s="997"/>
      <c r="BD3" s="997"/>
      <c r="BE3" s="997"/>
      <c r="BF3" s="997"/>
      <c r="BG3" s="997"/>
      <c r="BH3" s="997"/>
      <c r="BI3" s="997"/>
      <c r="BJ3" s="997"/>
      <c r="BK3" s="997"/>
      <c r="BL3" s="997"/>
      <c r="BM3" s="997"/>
      <c r="BN3" s="997"/>
      <c r="BO3" s="997"/>
      <c r="BP3" s="997"/>
      <c r="BQ3" s="997"/>
      <c r="BR3" s="997"/>
      <c r="BS3" s="997"/>
      <c r="BT3" s="997"/>
      <c r="BU3" s="997"/>
      <c r="BV3" s="997"/>
      <c r="BW3" s="997"/>
      <c r="BX3" s="997"/>
      <c r="BY3" s="997"/>
      <c r="BZ3" s="997"/>
      <c r="CA3" s="997"/>
      <c r="CB3" s="997"/>
      <c r="CC3" s="997"/>
      <c r="CD3" s="997"/>
      <c r="CE3" s="997"/>
      <c r="CF3" s="997"/>
      <c r="CG3" s="997"/>
      <c r="CH3" s="997"/>
      <c r="CI3" s="997"/>
      <c r="CJ3" s="997"/>
      <c r="CK3" s="997"/>
      <c r="CL3" s="997"/>
      <c r="CM3" s="997"/>
      <c r="CN3" s="997"/>
      <c r="CO3" s="997"/>
      <c r="CP3" s="997"/>
      <c r="CQ3" s="997"/>
      <c r="CR3" s="997"/>
      <c r="CS3" s="997"/>
      <c r="CT3" s="997"/>
      <c r="CU3" s="997"/>
      <c r="CV3" s="997"/>
      <c r="CW3" s="997"/>
      <c r="CX3" s="997"/>
      <c r="CY3" s="997"/>
      <c r="CZ3" s="997"/>
      <c r="DA3" s="997"/>
      <c r="DB3" s="997"/>
      <c r="DC3" s="997"/>
      <c r="DD3" s="997"/>
      <c r="DE3" s="997"/>
      <c r="DF3" s="997"/>
      <c r="DG3" s="997"/>
      <c r="DH3" s="997"/>
      <c r="DI3" s="997"/>
      <c r="DJ3" s="997"/>
      <c r="DK3" s="997"/>
      <c r="DL3" s="997"/>
      <c r="DM3" s="997"/>
      <c r="DN3" s="997"/>
      <c r="DO3" s="997"/>
      <c r="DP3" s="997"/>
      <c r="DQ3" s="997"/>
      <c r="DR3" s="997"/>
      <c r="DS3" s="997"/>
      <c r="DT3" s="997"/>
      <c r="DU3" s="997"/>
      <c r="DV3" s="997"/>
      <c r="DW3" s="997"/>
      <c r="DX3" s="997"/>
      <c r="DY3" s="997"/>
      <c r="DZ3" s="997"/>
      <c r="EA3" s="997"/>
      <c r="EB3" s="997"/>
      <c r="EC3" s="997"/>
      <c r="ED3" s="997"/>
      <c r="EE3" s="997"/>
      <c r="EF3" s="997"/>
      <c r="EG3" s="997"/>
      <c r="EH3" s="997"/>
      <c r="EI3" s="997"/>
      <c r="EJ3" s="997"/>
      <c r="EK3" s="997"/>
      <c r="EL3" s="997"/>
      <c r="EM3" s="997"/>
      <c r="EN3" s="997"/>
      <c r="EO3" s="997"/>
      <c r="EP3" s="997"/>
      <c r="EQ3" s="997"/>
      <c r="ER3" s="997"/>
      <c r="ES3" s="362"/>
    </row>
    <row r="4" spans="1:149" s="1" customFormat="1" ht="9.75" customHeight="1" thickBot="1" x14ac:dyDescent="0.25">
      <c r="A4" s="2"/>
      <c r="B4" s="1278"/>
      <c r="C4" s="1278"/>
      <c r="D4" s="1278"/>
      <c r="E4" s="1278"/>
      <c r="F4" s="1278"/>
      <c r="G4" s="1278"/>
      <c r="H4" s="1278"/>
      <c r="I4" s="1278"/>
      <c r="J4" s="1278"/>
      <c r="K4" s="1278"/>
      <c r="L4" s="1278"/>
      <c r="M4" s="1278"/>
      <c r="N4" s="1278"/>
      <c r="O4" s="1278"/>
      <c r="P4" s="1278"/>
      <c r="Q4" s="1278"/>
      <c r="R4" s="1278"/>
      <c r="S4" s="1278"/>
      <c r="T4" s="1278"/>
      <c r="U4" s="1278"/>
      <c r="V4" s="1278"/>
      <c r="W4" s="1278"/>
      <c r="X4" s="1278"/>
      <c r="Y4" s="1278"/>
      <c r="Z4" s="1278"/>
      <c r="AA4" s="1278"/>
      <c r="AB4" s="1278"/>
      <c r="AC4" s="1278"/>
      <c r="AD4" s="1278"/>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8"/>
      <c r="BC4" s="1278"/>
      <c r="BD4" s="1278"/>
      <c r="BE4" s="1278"/>
      <c r="BF4" s="1278"/>
      <c r="BG4" s="1278"/>
      <c r="BH4" s="1278"/>
      <c r="BI4" s="1278"/>
      <c r="BJ4" s="1278"/>
      <c r="BK4" s="1278"/>
      <c r="BL4" s="1278"/>
      <c r="BM4" s="1278"/>
      <c r="BN4" s="1278"/>
      <c r="BO4" s="1278"/>
      <c r="BP4" s="1278"/>
      <c r="BQ4" s="1278"/>
      <c r="BR4" s="1278"/>
      <c r="BS4" s="1278"/>
      <c r="BT4" s="1278"/>
      <c r="BU4" s="1278"/>
      <c r="BV4" s="1278"/>
      <c r="BW4" s="1278"/>
      <c r="BX4" s="1278"/>
      <c r="BY4" s="1278"/>
      <c r="BZ4" s="1278"/>
      <c r="CA4" s="1278"/>
      <c r="CB4" s="1278"/>
      <c r="CC4" s="1278"/>
      <c r="CD4" s="1278"/>
      <c r="CE4" s="1278"/>
      <c r="CF4" s="1278"/>
      <c r="CG4" s="1278"/>
      <c r="CH4" s="1278"/>
      <c r="CI4" s="1278"/>
      <c r="CJ4" s="1278"/>
      <c r="CK4" s="1278"/>
      <c r="CL4" s="1278"/>
      <c r="CM4" s="1278"/>
      <c r="CN4" s="1278"/>
      <c r="CO4" s="1278"/>
      <c r="CP4" s="1278"/>
      <c r="CQ4" s="1278"/>
      <c r="CR4" s="1278"/>
      <c r="CS4" s="1278"/>
      <c r="CT4" s="1278"/>
      <c r="CU4" s="1278"/>
      <c r="CV4" s="1278"/>
      <c r="CW4" s="1278"/>
      <c r="CX4" s="1278"/>
      <c r="CY4" s="1278"/>
      <c r="CZ4" s="1278"/>
      <c r="DA4" s="1278"/>
      <c r="DB4" s="1278"/>
      <c r="DC4" s="1278"/>
      <c r="DD4" s="1278"/>
      <c r="DE4" s="1278"/>
      <c r="DF4" s="1278"/>
      <c r="DG4" s="1278"/>
      <c r="DH4" s="1278"/>
      <c r="DI4" s="1278"/>
      <c r="DJ4" s="1278"/>
      <c r="DK4" s="1278"/>
      <c r="DL4" s="1278"/>
      <c r="DM4" s="1278"/>
      <c r="DN4" s="1278"/>
      <c r="DO4" s="1278"/>
      <c r="DP4" s="1278"/>
      <c r="DQ4" s="1278"/>
      <c r="DR4" s="1278"/>
      <c r="DS4" s="1278"/>
      <c r="DT4" s="1278"/>
      <c r="DU4" s="1278"/>
      <c r="DV4" s="1278"/>
      <c r="DW4" s="1278"/>
      <c r="DX4" s="1278"/>
      <c r="DY4" s="1278"/>
      <c r="DZ4" s="1278"/>
      <c r="EA4" s="1278"/>
      <c r="EB4" s="1278"/>
      <c r="EC4" s="1278"/>
      <c r="ED4" s="1278"/>
      <c r="EE4" s="1278"/>
      <c r="EF4" s="1278"/>
      <c r="EG4" s="1278"/>
      <c r="EH4" s="1278"/>
      <c r="EI4" s="1278"/>
      <c r="EJ4" s="1278"/>
      <c r="EK4" s="1278"/>
      <c r="EL4" s="1278"/>
      <c r="EM4" s="1278"/>
      <c r="EN4" s="1278"/>
      <c r="EO4" s="1278"/>
      <c r="EP4" s="1278"/>
      <c r="EQ4" s="1278"/>
      <c r="ER4" s="1278"/>
      <c r="ES4" s="362"/>
    </row>
    <row r="5" spans="1:149" s="1" customFormat="1" ht="9.75" customHeight="1" x14ac:dyDescent="0.25">
      <c r="A5" s="2"/>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L5" s="5"/>
      <c r="CM5" s="5"/>
      <c r="CN5" s="5"/>
      <c r="CO5" s="5"/>
      <c r="CP5" s="5"/>
      <c r="CQ5" s="5"/>
      <c r="CR5" s="5"/>
      <c r="CS5" s="5"/>
      <c r="CT5" s="5"/>
      <c r="CU5" s="5"/>
      <c r="CV5" s="5"/>
      <c r="CW5" s="5"/>
      <c r="CX5" s="5"/>
      <c r="CY5" s="5"/>
      <c r="CZ5" s="5"/>
      <c r="DA5" s="1377">
        <v>1</v>
      </c>
      <c r="DB5" s="1377"/>
      <c r="DC5" s="1377"/>
      <c r="DD5" s="1377"/>
      <c r="DE5" s="38"/>
      <c r="DF5" s="1379">
        <v>2</v>
      </c>
      <c r="DG5" s="1379"/>
      <c r="DH5" s="1379"/>
      <c r="DI5" s="1379"/>
      <c r="DJ5" s="38"/>
      <c r="DK5" s="1327">
        <v>3</v>
      </c>
      <c r="DL5" s="1327"/>
      <c r="DM5" s="1327"/>
      <c r="DN5" s="1327"/>
      <c r="DO5" s="38"/>
      <c r="DP5" s="1329">
        <v>4</v>
      </c>
      <c r="DQ5" s="1329"/>
      <c r="DR5" s="1329"/>
      <c r="DS5" s="1329"/>
      <c r="DT5" s="38"/>
      <c r="DU5" s="1329">
        <v>5</v>
      </c>
      <c r="DV5" s="1329"/>
      <c r="DW5" s="1329"/>
      <c r="DX5" s="1329"/>
      <c r="DY5" s="38"/>
      <c r="DZ5" s="1329">
        <v>6</v>
      </c>
      <c r="EA5" s="1329"/>
      <c r="EB5" s="1329"/>
      <c r="EC5" s="1329"/>
      <c r="ED5" s="38"/>
      <c r="EE5" s="1329">
        <v>7</v>
      </c>
      <c r="EF5" s="1329"/>
      <c r="EG5" s="1329"/>
      <c r="EH5" s="1329"/>
      <c r="EI5" s="38"/>
      <c r="EJ5" s="1329">
        <v>8</v>
      </c>
      <c r="EK5" s="1329"/>
      <c r="EL5" s="1329"/>
      <c r="EM5" s="1329"/>
      <c r="EN5" s="172"/>
      <c r="EO5" s="1329">
        <v>9</v>
      </c>
      <c r="EP5" s="1329"/>
      <c r="EQ5" s="1329"/>
      <c r="ER5" s="1329"/>
      <c r="ES5" s="362"/>
    </row>
    <row r="6" spans="1:149" s="1" customFormat="1" ht="9.75" customHeight="1" x14ac:dyDescent="0.25">
      <c r="A6" s="2"/>
      <c r="B6" s="1373" t="str">
        <f>IF(OR(CharacterLevel="",Class=""),"",Tables!BO2)</f>
        <v/>
      </c>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2"/>
      <c r="AN6" s="1373" t="str">
        <f>IF(OR(CharacterLevel="",SubClass="",B6=""),"",SubClass)</f>
        <v/>
      </c>
      <c r="AO6" s="1373"/>
      <c r="AP6" s="1373"/>
      <c r="AQ6" s="1373"/>
      <c r="AR6" s="1373"/>
      <c r="AS6" s="1373"/>
      <c r="AT6" s="1373"/>
      <c r="AU6" s="1373"/>
      <c r="AV6" s="1373"/>
      <c r="AW6" s="1373"/>
      <c r="AX6" s="1373"/>
      <c r="AY6" s="1373"/>
      <c r="AZ6" s="1373"/>
      <c r="BA6" s="1373"/>
      <c r="BB6" s="1373"/>
      <c r="BC6" s="1373"/>
      <c r="BD6" s="1373"/>
      <c r="BE6" s="1373"/>
      <c r="BF6" s="1373"/>
      <c r="BG6" s="1373"/>
      <c r="BH6" s="1373"/>
      <c r="BI6" s="1373"/>
      <c r="BJ6" s="1373"/>
      <c r="BK6" s="1373"/>
      <c r="BL6" s="1373"/>
      <c r="BM6" s="1373"/>
      <c r="BN6" s="1373"/>
      <c r="BO6" s="1373"/>
      <c r="BP6" s="1373"/>
      <c r="BQ6" s="1373"/>
      <c r="BR6" s="1373"/>
      <c r="BS6" s="1373"/>
      <c r="BT6" s="1373"/>
      <c r="BU6" s="1373"/>
      <c r="BV6" s="1373"/>
      <c r="BW6" s="1373"/>
      <c r="BX6" s="1373"/>
      <c r="BY6" s="1373"/>
      <c r="BZ6" s="1373"/>
      <c r="CA6" s="1373"/>
      <c r="CB6" s="1373"/>
      <c r="CC6" s="1373"/>
      <c r="CD6" s="1373"/>
      <c r="CE6" s="1373"/>
      <c r="CF6" s="1373"/>
      <c r="CG6" s="1373"/>
      <c r="CH6" s="2"/>
      <c r="CI6" s="2"/>
      <c r="CL6" s="5"/>
      <c r="CM6" s="5"/>
      <c r="CN6" s="5"/>
      <c r="CO6" s="5"/>
      <c r="CP6" s="5"/>
      <c r="CQ6" s="5"/>
      <c r="CR6" s="5"/>
      <c r="CS6" s="5"/>
      <c r="CT6" s="5"/>
      <c r="CU6" s="5"/>
      <c r="CV6" s="5"/>
      <c r="CW6" s="5"/>
      <c r="CX6" s="5"/>
      <c r="CY6" s="5"/>
      <c r="CZ6" s="5"/>
      <c r="DA6" s="1377"/>
      <c r="DB6" s="1377"/>
      <c r="DC6" s="1377"/>
      <c r="DD6" s="1377"/>
      <c r="DE6" s="38"/>
      <c r="DF6" s="1379"/>
      <c r="DG6" s="1379"/>
      <c r="DH6" s="1379"/>
      <c r="DI6" s="1379"/>
      <c r="DJ6" s="38"/>
      <c r="DK6" s="1327"/>
      <c r="DL6" s="1327"/>
      <c r="DM6" s="1327"/>
      <c r="DN6" s="1327"/>
      <c r="DO6" s="38"/>
      <c r="DP6" s="1329"/>
      <c r="DQ6" s="1329"/>
      <c r="DR6" s="1329"/>
      <c r="DS6" s="1329"/>
      <c r="DT6" s="38"/>
      <c r="DU6" s="1329"/>
      <c r="DV6" s="1329"/>
      <c r="DW6" s="1329"/>
      <c r="DX6" s="1329"/>
      <c r="DY6" s="38"/>
      <c r="DZ6" s="1329"/>
      <c r="EA6" s="1329"/>
      <c r="EB6" s="1329"/>
      <c r="EC6" s="1329"/>
      <c r="ED6" s="38"/>
      <c r="EE6" s="1329"/>
      <c r="EF6" s="1329"/>
      <c r="EG6" s="1329"/>
      <c r="EH6" s="1329"/>
      <c r="EI6" s="38"/>
      <c r="EJ6" s="1329"/>
      <c r="EK6" s="1329"/>
      <c r="EL6" s="1329"/>
      <c r="EM6" s="1329"/>
      <c r="EN6" s="172"/>
      <c r="EO6" s="1329"/>
      <c r="EP6" s="1329"/>
      <c r="EQ6" s="1329"/>
      <c r="ER6" s="1329"/>
      <c r="ES6" s="362"/>
    </row>
    <row r="7" spans="1:149" s="1" customFormat="1" ht="9.75" customHeight="1" thickBot="1" x14ac:dyDescent="0.25">
      <c r="A7" s="2"/>
      <c r="B7" s="1373"/>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373"/>
      <c r="AF7" s="1373"/>
      <c r="AG7" s="1373"/>
      <c r="AH7" s="1373"/>
      <c r="AI7" s="1373"/>
      <c r="AJ7" s="1373"/>
      <c r="AK7" s="1373"/>
      <c r="AL7" s="1373"/>
      <c r="AM7" s="2"/>
      <c r="AN7" s="1373"/>
      <c r="AO7" s="1373"/>
      <c r="AP7" s="1373"/>
      <c r="AQ7" s="1373"/>
      <c r="AR7" s="1373"/>
      <c r="AS7" s="1373"/>
      <c r="AT7" s="1373"/>
      <c r="AU7" s="1373"/>
      <c r="AV7" s="1373"/>
      <c r="AW7" s="1373"/>
      <c r="AX7" s="1373"/>
      <c r="AY7" s="1373"/>
      <c r="AZ7" s="1373"/>
      <c r="BA7" s="1373"/>
      <c r="BB7" s="1373"/>
      <c r="BC7" s="1373"/>
      <c r="BD7" s="1373"/>
      <c r="BE7" s="1373"/>
      <c r="BF7" s="1373"/>
      <c r="BG7" s="1373"/>
      <c r="BH7" s="1373"/>
      <c r="BI7" s="1373"/>
      <c r="BJ7" s="1373"/>
      <c r="BK7" s="1373"/>
      <c r="BL7" s="1373"/>
      <c r="BM7" s="1373"/>
      <c r="BN7" s="1373"/>
      <c r="BO7" s="1373"/>
      <c r="BP7" s="1373"/>
      <c r="BQ7" s="1373"/>
      <c r="BR7" s="1373"/>
      <c r="BS7" s="1373"/>
      <c r="BT7" s="1373"/>
      <c r="BU7" s="1373"/>
      <c r="BV7" s="1373"/>
      <c r="BW7" s="1373"/>
      <c r="BX7" s="1373"/>
      <c r="BY7" s="1373"/>
      <c r="BZ7" s="1373"/>
      <c r="CA7" s="1373"/>
      <c r="CB7" s="1373"/>
      <c r="CC7" s="1373"/>
      <c r="CD7" s="1373"/>
      <c r="CE7" s="1373"/>
      <c r="CF7" s="1373"/>
      <c r="CG7" s="1373"/>
      <c r="CH7" s="2"/>
      <c r="CI7" s="2"/>
      <c r="CL7" s="5"/>
      <c r="CM7" s="5"/>
      <c r="CN7" s="5"/>
      <c r="CO7" s="5"/>
      <c r="CP7" s="5"/>
      <c r="CQ7" s="5"/>
      <c r="CR7" s="5"/>
      <c r="CS7" s="5"/>
      <c r="CT7" s="5"/>
      <c r="CU7" s="5"/>
      <c r="CV7" s="5"/>
      <c r="CW7" s="5"/>
      <c r="CX7" s="5"/>
      <c r="CY7" s="5"/>
      <c r="CZ7" s="5"/>
      <c r="DA7" s="1378"/>
      <c r="DB7" s="1378"/>
      <c r="DC7" s="1378"/>
      <c r="DD7" s="1378"/>
      <c r="DE7" s="2"/>
      <c r="DF7" s="1380"/>
      <c r="DG7" s="1380"/>
      <c r="DH7" s="1380"/>
      <c r="DI7" s="1380"/>
      <c r="DJ7" s="2"/>
      <c r="DK7" s="1328"/>
      <c r="DL7" s="1328"/>
      <c r="DM7" s="1328"/>
      <c r="DN7" s="1328"/>
      <c r="DO7" s="2"/>
      <c r="DP7" s="1330"/>
      <c r="DQ7" s="1330"/>
      <c r="DR7" s="1330"/>
      <c r="DS7" s="1330"/>
      <c r="DT7" s="2"/>
      <c r="DU7" s="1330"/>
      <c r="DV7" s="1330"/>
      <c r="DW7" s="1330"/>
      <c r="DX7" s="1330"/>
      <c r="DY7" s="2"/>
      <c r="DZ7" s="1330"/>
      <c r="EA7" s="1330"/>
      <c r="EB7" s="1330"/>
      <c r="EC7" s="1330"/>
      <c r="ED7" s="2"/>
      <c r="EE7" s="1330"/>
      <c r="EF7" s="1330"/>
      <c r="EG7" s="1330"/>
      <c r="EH7" s="1330"/>
      <c r="EI7" s="2"/>
      <c r="EJ7" s="1330"/>
      <c r="EK7" s="1330"/>
      <c r="EL7" s="1330"/>
      <c r="EM7" s="1330"/>
      <c r="EN7" s="2"/>
      <c r="EO7" s="1330"/>
      <c r="EP7" s="1330"/>
      <c r="EQ7" s="1330"/>
      <c r="ER7" s="1330"/>
      <c r="ES7" s="362"/>
    </row>
    <row r="8" spans="1:149" s="1" customFormat="1" ht="9.75" customHeight="1" x14ac:dyDescent="0.35">
      <c r="A8" s="2"/>
      <c r="B8" s="1374"/>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1374"/>
      <c r="AM8" s="2"/>
      <c r="AN8" s="1374"/>
      <c r="AO8" s="1374"/>
      <c r="AP8" s="1374"/>
      <c r="AQ8" s="1374"/>
      <c r="AR8" s="1374"/>
      <c r="AS8" s="1374"/>
      <c r="AT8" s="1374"/>
      <c r="AU8" s="1374"/>
      <c r="AV8" s="1374"/>
      <c r="AW8" s="1374"/>
      <c r="AX8" s="1374"/>
      <c r="AY8" s="1374"/>
      <c r="AZ8" s="1374"/>
      <c r="BA8" s="1374"/>
      <c r="BB8" s="1374"/>
      <c r="BC8" s="1374"/>
      <c r="BD8" s="1374"/>
      <c r="BE8" s="1374"/>
      <c r="BF8" s="1374"/>
      <c r="BG8" s="1374"/>
      <c r="BH8" s="1374"/>
      <c r="BI8" s="1374"/>
      <c r="BJ8" s="1374"/>
      <c r="BK8" s="1374"/>
      <c r="BL8" s="1374"/>
      <c r="BM8" s="1374"/>
      <c r="BN8" s="1374"/>
      <c r="BO8" s="1374"/>
      <c r="BP8" s="1374"/>
      <c r="BQ8" s="1374"/>
      <c r="BR8" s="1374"/>
      <c r="BS8" s="1374"/>
      <c r="BT8" s="1374"/>
      <c r="BU8" s="1374"/>
      <c r="BV8" s="1374"/>
      <c r="BW8" s="1374"/>
      <c r="BX8" s="1374"/>
      <c r="BY8" s="1374"/>
      <c r="BZ8" s="1374"/>
      <c r="CA8" s="1374"/>
      <c r="CB8" s="1374"/>
      <c r="CC8" s="1374"/>
      <c r="CD8" s="1374"/>
      <c r="CE8" s="1374"/>
      <c r="CF8" s="1374"/>
      <c r="CG8" s="1374"/>
      <c r="CH8" s="2"/>
      <c r="CI8" s="2"/>
      <c r="CL8" s="1349" t="s">
        <v>3109</v>
      </c>
      <c r="CM8" s="1349"/>
      <c r="CN8" s="1349"/>
      <c r="CO8" s="1349"/>
      <c r="CP8" s="1349"/>
      <c r="CQ8" s="1349"/>
      <c r="CR8" s="1349"/>
      <c r="CS8" s="1349"/>
      <c r="CT8" s="1349"/>
      <c r="CU8" s="1349"/>
      <c r="CV8" s="1349"/>
      <c r="CW8" s="1349"/>
      <c r="CX8" s="1349"/>
      <c r="CY8" s="1349"/>
      <c r="CZ8" s="1349"/>
      <c r="DA8" s="1340" t="str">
        <f ca="1">IF(CharacterLevel="","",Spellcasting!C17)</f>
        <v>-</v>
      </c>
      <c r="DB8" s="1341"/>
      <c r="DC8" s="1341"/>
      <c r="DD8" s="1342"/>
      <c r="DE8" s="371"/>
      <c r="DF8" s="1340" t="str">
        <f ca="1">IF(CharacterLevel="","",Spellcasting!E17)</f>
        <v>-</v>
      </c>
      <c r="DG8" s="1341"/>
      <c r="DH8" s="1341"/>
      <c r="DI8" s="1342"/>
      <c r="DJ8" s="371"/>
      <c r="DK8" s="1340" t="str">
        <f ca="1">IF(CharacterLevel="","",Spellcasting!G17)</f>
        <v>-</v>
      </c>
      <c r="DL8" s="1341"/>
      <c r="DM8" s="1341"/>
      <c r="DN8" s="1342"/>
      <c r="DO8" s="371"/>
      <c r="DP8" s="1340" t="str">
        <f ca="1">IF(CharacterLevel="","",Spellcasting!I17)</f>
        <v>-</v>
      </c>
      <c r="DQ8" s="1341"/>
      <c r="DR8" s="1341"/>
      <c r="DS8" s="1342"/>
      <c r="DT8" s="371"/>
      <c r="DU8" s="1340" t="str">
        <f ca="1">IF(CharacterLevel="","",Spellcasting!K17)</f>
        <v>-</v>
      </c>
      <c r="DV8" s="1341"/>
      <c r="DW8" s="1341"/>
      <c r="DX8" s="1342"/>
      <c r="DY8" s="371"/>
      <c r="DZ8" s="1340" t="str">
        <f ca="1">IF(CharacterLevel="","",Spellcasting!M17)</f>
        <v>-</v>
      </c>
      <c r="EA8" s="1341"/>
      <c r="EB8" s="1341"/>
      <c r="EC8" s="1342"/>
      <c r="ED8" s="371"/>
      <c r="EE8" s="1340" t="str">
        <f ca="1">IF(CharacterLevel="","",Spellcasting!O17)</f>
        <v>-</v>
      </c>
      <c r="EF8" s="1341"/>
      <c r="EG8" s="1341"/>
      <c r="EH8" s="1342"/>
      <c r="EI8" s="371"/>
      <c r="EJ8" s="1340" t="str">
        <f ca="1">IF(CharacterLevel="","",Spellcasting!Q17)</f>
        <v>-</v>
      </c>
      <c r="EK8" s="1341"/>
      <c r="EL8" s="1341"/>
      <c r="EM8" s="1342"/>
      <c r="EN8" s="173"/>
      <c r="EO8" s="1340" t="str">
        <f ca="1">IF(CharacterLevel="","",Spellcasting!S17)</f>
        <v>-</v>
      </c>
      <c r="EP8" s="1341"/>
      <c r="EQ8" s="1341"/>
      <c r="ER8" s="1342"/>
      <c r="ES8" s="362"/>
    </row>
    <row r="9" spans="1:149" s="1" customFormat="1" ht="9.75" customHeight="1" x14ac:dyDescent="0.35">
      <c r="A9" s="2"/>
      <c r="B9" s="1372" t="s">
        <v>445</v>
      </c>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266"/>
      <c r="AN9" s="1372" t="s">
        <v>446</v>
      </c>
      <c r="AO9" s="1372"/>
      <c r="AP9" s="1372"/>
      <c r="AQ9" s="1372"/>
      <c r="AR9" s="1372"/>
      <c r="AS9" s="1372"/>
      <c r="AT9" s="1372"/>
      <c r="AU9" s="1372"/>
      <c r="AV9" s="1372"/>
      <c r="AW9" s="1372"/>
      <c r="AX9" s="1372"/>
      <c r="AY9" s="1372"/>
      <c r="AZ9" s="1372"/>
      <c r="BA9" s="1372"/>
      <c r="BB9" s="1372"/>
      <c r="BC9" s="1372"/>
      <c r="BD9" s="1372"/>
      <c r="BE9" s="1372"/>
      <c r="BF9" s="1372"/>
      <c r="BG9" s="1372"/>
      <c r="BH9" s="1372"/>
      <c r="BI9" s="1372"/>
      <c r="BJ9" s="1372"/>
      <c r="BK9" s="1372"/>
      <c r="BL9" s="1372"/>
      <c r="BM9" s="1372"/>
      <c r="BN9" s="1372"/>
      <c r="BO9" s="1372"/>
      <c r="BP9" s="1372"/>
      <c r="BQ9" s="1372"/>
      <c r="BR9" s="1372"/>
      <c r="BS9" s="1372"/>
      <c r="BT9" s="1372"/>
      <c r="BU9" s="1372"/>
      <c r="BV9" s="1372"/>
      <c r="BW9" s="1372"/>
      <c r="BX9" s="1372"/>
      <c r="BY9" s="1372"/>
      <c r="BZ9" s="1372"/>
      <c r="CA9" s="1372"/>
      <c r="CB9" s="1372"/>
      <c r="CC9" s="1372"/>
      <c r="CD9" s="1372"/>
      <c r="CE9" s="1372"/>
      <c r="CF9" s="1372"/>
      <c r="CG9" s="1372"/>
      <c r="CH9" s="2"/>
      <c r="CI9" s="2"/>
      <c r="CL9" s="1349"/>
      <c r="CM9" s="1349"/>
      <c r="CN9" s="1349"/>
      <c r="CO9" s="1349"/>
      <c r="CP9" s="1349"/>
      <c r="CQ9" s="1349"/>
      <c r="CR9" s="1349"/>
      <c r="CS9" s="1349"/>
      <c r="CT9" s="1349"/>
      <c r="CU9" s="1349"/>
      <c r="CV9" s="1349"/>
      <c r="CW9" s="1349"/>
      <c r="CX9" s="1349"/>
      <c r="CY9" s="1349"/>
      <c r="CZ9" s="1349"/>
      <c r="DA9" s="1343"/>
      <c r="DB9" s="1344"/>
      <c r="DC9" s="1344"/>
      <c r="DD9" s="1345"/>
      <c r="DE9" s="371"/>
      <c r="DF9" s="1343"/>
      <c r="DG9" s="1344"/>
      <c r="DH9" s="1344"/>
      <c r="DI9" s="1345"/>
      <c r="DJ9" s="371"/>
      <c r="DK9" s="1343"/>
      <c r="DL9" s="1344"/>
      <c r="DM9" s="1344"/>
      <c r="DN9" s="1345"/>
      <c r="DO9" s="371"/>
      <c r="DP9" s="1343"/>
      <c r="DQ9" s="1344"/>
      <c r="DR9" s="1344"/>
      <c r="DS9" s="1345"/>
      <c r="DT9" s="371"/>
      <c r="DU9" s="1343"/>
      <c r="DV9" s="1344"/>
      <c r="DW9" s="1344"/>
      <c r="DX9" s="1345"/>
      <c r="DY9" s="371"/>
      <c r="DZ9" s="1343"/>
      <c r="EA9" s="1344"/>
      <c r="EB9" s="1344"/>
      <c r="EC9" s="1345"/>
      <c r="ED9" s="371"/>
      <c r="EE9" s="1343"/>
      <c r="EF9" s="1344"/>
      <c r="EG9" s="1344"/>
      <c r="EH9" s="1345"/>
      <c r="EI9" s="371"/>
      <c r="EJ9" s="1343"/>
      <c r="EK9" s="1344"/>
      <c r="EL9" s="1344"/>
      <c r="EM9" s="1345"/>
      <c r="EN9" s="173"/>
      <c r="EO9" s="1343"/>
      <c r="EP9" s="1344"/>
      <c r="EQ9" s="1344"/>
      <c r="ER9" s="1345"/>
      <c r="ES9" s="362"/>
    </row>
    <row r="10" spans="1:149" s="1" customFormat="1" ht="9.75" customHeight="1" thickBot="1" x14ac:dyDescent="0.4">
      <c r="A10" s="2"/>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262"/>
      <c r="AN10" s="1064"/>
      <c r="AO10" s="1064"/>
      <c r="AP10" s="1064"/>
      <c r="AQ10" s="1064"/>
      <c r="AR10" s="1064"/>
      <c r="AS10" s="1064"/>
      <c r="AT10" s="1064"/>
      <c r="AU10" s="1064"/>
      <c r="AV10" s="1064"/>
      <c r="AW10" s="1064"/>
      <c r="AX10" s="1064"/>
      <c r="AY10" s="1064"/>
      <c r="AZ10" s="1064"/>
      <c r="BA10" s="1064"/>
      <c r="BB10" s="1064"/>
      <c r="BC10" s="1064"/>
      <c r="BD10" s="1064"/>
      <c r="BE10" s="1064"/>
      <c r="BF10" s="1064"/>
      <c r="BG10" s="1064"/>
      <c r="BH10" s="1064"/>
      <c r="BI10" s="1064"/>
      <c r="BJ10" s="1064"/>
      <c r="BK10" s="1064"/>
      <c r="BL10" s="1064"/>
      <c r="BM10" s="1064"/>
      <c r="BN10" s="1064"/>
      <c r="BO10" s="1064"/>
      <c r="BP10" s="1064"/>
      <c r="BQ10" s="1064"/>
      <c r="BR10" s="1064"/>
      <c r="BS10" s="1064"/>
      <c r="BT10" s="1064"/>
      <c r="BU10" s="1064"/>
      <c r="BV10" s="1064"/>
      <c r="BW10" s="1064"/>
      <c r="BX10" s="1064"/>
      <c r="BY10" s="1064"/>
      <c r="BZ10" s="1064"/>
      <c r="CA10" s="1064"/>
      <c r="CB10" s="1064"/>
      <c r="CC10" s="1064"/>
      <c r="CD10" s="1064"/>
      <c r="CE10" s="1064"/>
      <c r="CF10" s="1064"/>
      <c r="CG10" s="1064"/>
      <c r="CH10" s="2"/>
      <c r="CI10" s="2"/>
      <c r="CL10" s="1349"/>
      <c r="CM10" s="1349"/>
      <c r="CN10" s="1349"/>
      <c r="CO10" s="1349"/>
      <c r="CP10" s="1349"/>
      <c r="CQ10" s="1349"/>
      <c r="CR10" s="1349"/>
      <c r="CS10" s="1349"/>
      <c r="CT10" s="1349"/>
      <c r="CU10" s="1349"/>
      <c r="CV10" s="1349"/>
      <c r="CW10" s="1349"/>
      <c r="CX10" s="1349"/>
      <c r="CY10" s="1349"/>
      <c r="CZ10" s="1349"/>
      <c r="DA10" s="1346"/>
      <c r="DB10" s="1347"/>
      <c r="DC10" s="1347"/>
      <c r="DD10" s="1348"/>
      <c r="DE10" s="371"/>
      <c r="DF10" s="1346"/>
      <c r="DG10" s="1347"/>
      <c r="DH10" s="1347"/>
      <c r="DI10" s="1348"/>
      <c r="DJ10" s="371"/>
      <c r="DK10" s="1346"/>
      <c r="DL10" s="1347"/>
      <c r="DM10" s="1347"/>
      <c r="DN10" s="1348"/>
      <c r="DO10" s="371"/>
      <c r="DP10" s="1346"/>
      <c r="DQ10" s="1347"/>
      <c r="DR10" s="1347"/>
      <c r="DS10" s="1348"/>
      <c r="DT10" s="371"/>
      <c r="DU10" s="1346"/>
      <c r="DV10" s="1347"/>
      <c r="DW10" s="1347"/>
      <c r="DX10" s="1348"/>
      <c r="DY10" s="371"/>
      <c r="DZ10" s="1346"/>
      <c r="EA10" s="1347"/>
      <c r="EB10" s="1347"/>
      <c r="EC10" s="1348"/>
      <c r="ED10" s="371"/>
      <c r="EE10" s="1346"/>
      <c r="EF10" s="1347"/>
      <c r="EG10" s="1347"/>
      <c r="EH10" s="1348"/>
      <c r="EI10" s="371"/>
      <c r="EJ10" s="1346"/>
      <c r="EK10" s="1347"/>
      <c r="EL10" s="1347"/>
      <c r="EM10" s="1348"/>
      <c r="EN10" s="173"/>
      <c r="EO10" s="1346"/>
      <c r="EP10" s="1347"/>
      <c r="EQ10" s="1347"/>
      <c r="ER10" s="1348"/>
      <c r="ES10" s="3"/>
    </row>
    <row r="11" spans="1:149" s="1" customFormat="1" ht="9.75" customHeight="1" thickBot="1" x14ac:dyDescent="0.4">
      <c r="A11" s="2"/>
      <c r="B11" s="1381" t="str">
        <f ca="1">IF(CharacterLevel="","",Spellcasting!J4)</f>
        <v>-</v>
      </c>
      <c r="C11" s="1381"/>
      <c r="D11" s="1381"/>
      <c r="E11" s="1381"/>
      <c r="F11" s="1381"/>
      <c r="G11" s="1381"/>
      <c r="H11" s="1381"/>
      <c r="I11" s="1381"/>
      <c r="J11" s="1381"/>
      <c r="K11" s="1381"/>
      <c r="L11" s="1381"/>
      <c r="M11" s="184"/>
      <c r="N11" s="1370" t="str">
        <f ca="1">IF(CharacterLevel="","",Spellcasting!R5)</f>
        <v/>
      </c>
      <c r="O11" s="1370"/>
      <c r="P11" s="1370"/>
      <c r="Q11" s="1370"/>
      <c r="R11" s="1370"/>
      <c r="S11" s="1370"/>
      <c r="T11" s="1370"/>
      <c r="U11" s="1370"/>
      <c r="V11" s="1370"/>
      <c r="W11" s="1370"/>
      <c r="X11" s="1370"/>
      <c r="Y11" s="1370"/>
      <c r="Z11" s="1370"/>
      <c r="AA11" s="1370"/>
      <c r="AB11" s="2"/>
      <c r="AC11" s="1370" t="str">
        <f ca="1">IF(CharacterLevel="","",Spellcasting!R10)</f>
        <v/>
      </c>
      <c r="AD11" s="1370"/>
      <c r="AE11" s="1370"/>
      <c r="AF11" s="1370"/>
      <c r="AG11" s="1370"/>
      <c r="AH11" s="1370"/>
      <c r="AI11" s="1370"/>
      <c r="AJ11" s="1370"/>
      <c r="AK11" s="1370"/>
      <c r="AL11" s="1370"/>
      <c r="AM11" s="1370"/>
      <c r="AN11" s="1370"/>
      <c r="AO11" s="1370"/>
      <c r="AP11" s="1370"/>
      <c r="AQ11" s="371"/>
      <c r="AR11" s="1387" t="str">
        <f ca="1">IF(CharacterLevel="","",Spellcasting!Q10)</f>
        <v/>
      </c>
      <c r="AS11" s="1387"/>
      <c r="AT11" s="1387"/>
      <c r="AU11" s="1387"/>
      <c r="AV11" s="1387"/>
      <c r="AW11" s="1387"/>
      <c r="AX11" s="1387"/>
      <c r="AY11" s="1387"/>
      <c r="AZ11" s="1387"/>
      <c r="BA11" s="1387"/>
      <c r="BB11" s="1387"/>
      <c r="BC11" s="1387"/>
      <c r="BD11" s="1387"/>
      <c r="BE11" s="1387"/>
      <c r="BF11" s="371"/>
      <c r="BG11" s="1383" t="str">
        <f>IF(OR(CharacterLevel="",B6=""),"",ProfBonus)</f>
        <v/>
      </c>
      <c r="BH11" s="1383"/>
      <c r="BI11" s="1383"/>
      <c r="BJ11" s="1383"/>
      <c r="BK11" s="1383"/>
      <c r="BL11" s="1383"/>
      <c r="BM11" s="1383"/>
      <c r="BN11" s="1383"/>
      <c r="BO11" s="1383"/>
      <c r="BP11" s="1383"/>
      <c r="BQ11" s="1383"/>
      <c r="BR11" s="1383"/>
      <c r="BS11" s="1383"/>
      <c r="BT11" s="365"/>
      <c r="BU11" s="1370" t="str">
        <f ca="1">IF(CharacterLevel="","",Spellcasting!S10)</f>
        <v/>
      </c>
      <c r="BV11" s="1370"/>
      <c r="BW11" s="1370"/>
      <c r="BX11" s="1370"/>
      <c r="BY11" s="1370"/>
      <c r="BZ11" s="1370"/>
      <c r="CA11" s="1370"/>
      <c r="CB11" s="1370"/>
      <c r="CC11" s="1370"/>
      <c r="CD11" s="1370"/>
      <c r="CE11" s="1370"/>
      <c r="CF11" s="1370"/>
      <c r="CG11" s="1370"/>
      <c r="CH11" s="2"/>
      <c r="CI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171"/>
    </row>
    <row r="12" spans="1:149" s="1" customFormat="1" ht="9.75" customHeight="1" x14ac:dyDescent="0.35">
      <c r="A12" s="2"/>
      <c r="B12" s="1381"/>
      <c r="C12" s="1381"/>
      <c r="D12" s="1381"/>
      <c r="E12" s="1381"/>
      <c r="F12" s="1381"/>
      <c r="G12" s="1381"/>
      <c r="H12" s="1381"/>
      <c r="I12" s="1381"/>
      <c r="J12" s="1381"/>
      <c r="K12" s="1381"/>
      <c r="L12" s="1381"/>
      <c r="M12" s="166"/>
      <c r="N12" s="1370"/>
      <c r="O12" s="1370"/>
      <c r="P12" s="1370"/>
      <c r="Q12" s="1370"/>
      <c r="R12" s="1370"/>
      <c r="S12" s="1370"/>
      <c r="T12" s="1370"/>
      <c r="U12" s="1370"/>
      <c r="V12" s="1370"/>
      <c r="W12" s="1370"/>
      <c r="X12" s="1370"/>
      <c r="Y12" s="1370"/>
      <c r="Z12" s="1370"/>
      <c r="AA12" s="1370"/>
      <c r="AB12" s="2"/>
      <c r="AC12" s="1370"/>
      <c r="AD12" s="1370"/>
      <c r="AE12" s="1370"/>
      <c r="AF12" s="1370"/>
      <c r="AG12" s="1370"/>
      <c r="AH12" s="1370"/>
      <c r="AI12" s="1370"/>
      <c r="AJ12" s="1370"/>
      <c r="AK12" s="1370"/>
      <c r="AL12" s="1370"/>
      <c r="AM12" s="1370"/>
      <c r="AN12" s="1370"/>
      <c r="AO12" s="1370"/>
      <c r="AP12" s="1370"/>
      <c r="AQ12" s="371"/>
      <c r="AR12" s="1387"/>
      <c r="AS12" s="1387"/>
      <c r="AT12" s="1387"/>
      <c r="AU12" s="1387"/>
      <c r="AV12" s="1387"/>
      <c r="AW12" s="1387"/>
      <c r="AX12" s="1387"/>
      <c r="AY12" s="1387"/>
      <c r="AZ12" s="1387"/>
      <c r="BA12" s="1387"/>
      <c r="BB12" s="1387"/>
      <c r="BC12" s="1387"/>
      <c r="BD12" s="1387"/>
      <c r="BE12" s="1387"/>
      <c r="BF12" s="371"/>
      <c r="BG12" s="1383"/>
      <c r="BH12" s="1383"/>
      <c r="BI12" s="1383"/>
      <c r="BJ12" s="1383"/>
      <c r="BK12" s="1383"/>
      <c r="BL12" s="1383"/>
      <c r="BM12" s="1383"/>
      <c r="BN12" s="1383"/>
      <c r="BO12" s="1383"/>
      <c r="BP12" s="1383"/>
      <c r="BQ12" s="1383"/>
      <c r="BR12" s="1383"/>
      <c r="BS12" s="1383"/>
      <c r="BT12" s="365"/>
      <c r="BU12" s="1370"/>
      <c r="BV12" s="1370"/>
      <c r="BW12" s="1370"/>
      <c r="BX12" s="1370"/>
      <c r="BY12" s="1370"/>
      <c r="BZ12" s="1370"/>
      <c r="CA12" s="1370"/>
      <c r="CB12" s="1370"/>
      <c r="CC12" s="1370"/>
      <c r="CD12" s="1370"/>
      <c r="CE12" s="1370"/>
      <c r="CF12" s="1370"/>
      <c r="CG12" s="1370"/>
      <c r="CH12" s="2"/>
      <c r="CI12" s="2"/>
      <c r="CL12" s="1349"/>
      <c r="CM12" s="1349"/>
      <c r="CN12" s="1349"/>
      <c r="CO12" s="1349"/>
      <c r="CP12" s="1349"/>
      <c r="CQ12" s="1349"/>
      <c r="CR12" s="1349"/>
      <c r="CS12" s="1349"/>
      <c r="CT12" s="1349"/>
      <c r="CU12" s="1349"/>
      <c r="CV12" s="1349"/>
      <c r="CW12" s="1349"/>
      <c r="CX12" s="1349"/>
      <c r="CY12" s="1349"/>
      <c r="CZ12" s="1349"/>
      <c r="DA12" s="1331"/>
      <c r="DB12" s="1332"/>
      <c r="DC12" s="1332"/>
      <c r="DD12" s="1333"/>
      <c r="DE12" s="371"/>
      <c r="DF12" s="1331"/>
      <c r="DG12" s="1332"/>
      <c r="DH12" s="1332"/>
      <c r="DI12" s="1333"/>
      <c r="DJ12" s="371"/>
      <c r="DK12" s="1331"/>
      <c r="DL12" s="1332"/>
      <c r="DM12" s="1332"/>
      <c r="DN12" s="1333"/>
      <c r="DO12" s="371"/>
      <c r="DP12" s="1331"/>
      <c r="DQ12" s="1332"/>
      <c r="DR12" s="1332"/>
      <c r="DS12" s="1333"/>
      <c r="DT12" s="371"/>
      <c r="DU12" s="1331"/>
      <c r="DV12" s="1332"/>
      <c r="DW12" s="1332"/>
      <c r="DX12" s="1333"/>
      <c r="DY12" s="371"/>
      <c r="DZ12" s="1331"/>
      <c r="EA12" s="1332"/>
      <c r="EB12" s="1332"/>
      <c r="EC12" s="1333"/>
      <c r="ED12" s="371"/>
      <c r="EE12" s="1331"/>
      <c r="EF12" s="1332"/>
      <c r="EG12" s="1332"/>
      <c r="EH12" s="1333"/>
      <c r="EI12" s="371"/>
      <c r="EJ12" s="1331"/>
      <c r="EK12" s="1332"/>
      <c r="EL12" s="1332"/>
      <c r="EM12" s="1333"/>
      <c r="EN12" s="173"/>
      <c r="EO12" s="1331"/>
      <c r="EP12" s="1332"/>
      <c r="EQ12" s="1332"/>
      <c r="ER12" s="1333"/>
      <c r="ES12" s="171"/>
    </row>
    <row r="13" spans="1:149" s="1" customFormat="1" ht="9.75" customHeight="1" x14ac:dyDescent="0.35">
      <c r="A13" s="2"/>
      <c r="B13" s="1382"/>
      <c r="C13" s="1382"/>
      <c r="D13" s="1382"/>
      <c r="E13" s="1382"/>
      <c r="F13" s="1382"/>
      <c r="G13" s="1382"/>
      <c r="H13" s="1382"/>
      <c r="I13" s="1382"/>
      <c r="J13" s="1382"/>
      <c r="K13" s="1382"/>
      <c r="L13" s="1382"/>
      <c r="M13" s="166"/>
      <c r="N13" s="1371"/>
      <c r="O13" s="1371"/>
      <c r="P13" s="1371"/>
      <c r="Q13" s="1371"/>
      <c r="R13" s="1371"/>
      <c r="S13" s="1371"/>
      <c r="T13" s="1371"/>
      <c r="U13" s="1371"/>
      <c r="V13" s="1371"/>
      <c r="W13" s="1371"/>
      <c r="X13" s="1371"/>
      <c r="Y13" s="1371"/>
      <c r="Z13" s="1371"/>
      <c r="AA13" s="1371"/>
      <c r="AB13" s="2"/>
      <c r="AC13" s="1371"/>
      <c r="AD13" s="1371"/>
      <c r="AE13" s="1371"/>
      <c r="AF13" s="1371"/>
      <c r="AG13" s="1371"/>
      <c r="AH13" s="1371"/>
      <c r="AI13" s="1371"/>
      <c r="AJ13" s="1371"/>
      <c r="AK13" s="1371"/>
      <c r="AL13" s="1371"/>
      <c r="AM13" s="1371"/>
      <c r="AN13" s="1371"/>
      <c r="AO13" s="1371"/>
      <c r="AP13" s="1371"/>
      <c r="AQ13" s="371"/>
      <c r="AR13" s="1388"/>
      <c r="AS13" s="1388"/>
      <c r="AT13" s="1388"/>
      <c r="AU13" s="1388"/>
      <c r="AV13" s="1388"/>
      <c r="AW13" s="1388"/>
      <c r="AX13" s="1388"/>
      <c r="AY13" s="1388"/>
      <c r="AZ13" s="1388"/>
      <c r="BA13" s="1388"/>
      <c r="BB13" s="1388"/>
      <c r="BC13" s="1388"/>
      <c r="BD13" s="1388"/>
      <c r="BE13" s="1388"/>
      <c r="BF13" s="371"/>
      <c r="BG13" s="1384"/>
      <c r="BH13" s="1384"/>
      <c r="BI13" s="1384"/>
      <c r="BJ13" s="1384"/>
      <c r="BK13" s="1384"/>
      <c r="BL13" s="1384"/>
      <c r="BM13" s="1384"/>
      <c r="BN13" s="1384"/>
      <c r="BO13" s="1384"/>
      <c r="BP13" s="1384"/>
      <c r="BQ13" s="1384"/>
      <c r="BR13" s="1384"/>
      <c r="BS13" s="1384"/>
      <c r="BT13" s="365"/>
      <c r="BU13" s="1371"/>
      <c r="BV13" s="1371"/>
      <c r="BW13" s="1371"/>
      <c r="BX13" s="1371"/>
      <c r="BY13" s="1371"/>
      <c r="BZ13" s="1371"/>
      <c r="CA13" s="1371"/>
      <c r="CB13" s="1371"/>
      <c r="CC13" s="1371"/>
      <c r="CD13" s="1371"/>
      <c r="CE13" s="1371"/>
      <c r="CF13" s="1371"/>
      <c r="CG13" s="1371"/>
      <c r="CH13" s="2"/>
      <c r="CI13" s="2"/>
      <c r="CL13" s="1349"/>
      <c r="CM13" s="1349"/>
      <c r="CN13" s="1349"/>
      <c r="CO13" s="1349"/>
      <c r="CP13" s="1349"/>
      <c r="CQ13" s="1349"/>
      <c r="CR13" s="1349"/>
      <c r="CS13" s="1349"/>
      <c r="CT13" s="1349"/>
      <c r="CU13" s="1349"/>
      <c r="CV13" s="1349"/>
      <c r="CW13" s="1349"/>
      <c r="CX13" s="1349"/>
      <c r="CY13" s="1349"/>
      <c r="CZ13" s="1349"/>
      <c r="DA13" s="1334"/>
      <c r="DB13" s="1335"/>
      <c r="DC13" s="1335"/>
      <c r="DD13" s="1336"/>
      <c r="DE13" s="371"/>
      <c r="DF13" s="1334"/>
      <c r="DG13" s="1335"/>
      <c r="DH13" s="1335"/>
      <c r="DI13" s="1336"/>
      <c r="DJ13" s="371"/>
      <c r="DK13" s="1334"/>
      <c r="DL13" s="1335"/>
      <c r="DM13" s="1335"/>
      <c r="DN13" s="1336"/>
      <c r="DO13" s="371"/>
      <c r="DP13" s="1334"/>
      <c r="DQ13" s="1335"/>
      <c r="DR13" s="1335"/>
      <c r="DS13" s="1336"/>
      <c r="DT13" s="371"/>
      <c r="DU13" s="1334"/>
      <c r="DV13" s="1335"/>
      <c r="DW13" s="1335"/>
      <c r="DX13" s="1336"/>
      <c r="DY13" s="371"/>
      <c r="DZ13" s="1334"/>
      <c r="EA13" s="1335"/>
      <c r="EB13" s="1335"/>
      <c r="EC13" s="1336"/>
      <c r="ED13" s="371"/>
      <c r="EE13" s="1334"/>
      <c r="EF13" s="1335"/>
      <c r="EG13" s="1335"/>
      <c r="EH13" s="1336"/>
      <c r="EI13" s="371"/>
      <c r="EJ13" s="1334"/>
      <c r="EK13" s="1335"/>
      <c r="EL13" s="1335"/>
      <c r="EM13" s="1336"/>
      <c r="EN13" s="173"/>
      <c r="EO13" s="1334"/>
      <c r="EP13" s="1335"/>
      <c r="EQ13" s="1335"/>
      <c r="ER13" s="1336"/>
      <c r="ES13" s="2"/>
    </row>
    <row r="14" spans="1:149" ht="9.75" customHeight="1" thickBot="1" x14ac:dyDescent="0.4">
      <c r="A14" s="7"/>
      <c r="B14" s="1372" t="s">
        <v>327</v>
      </c>
      <c r="C14" s="1372"/>
      <c r="D14" s="1372"/>
      <c r="E14" s="1372"/>
      <c r="F14" s="1372"/>
      <c r="G14" s="1372"/>
      <c r="H14" s="1372"/>
      <c r="I14" s="1372"/>
      <c r="J14" s="1372"/>
      <c r="K14" s="1372"/>
      <c r="L14" s="1372"/>
      <c r="M14" s="361"/>
      <c r="N14" s="1048" t="s">
        <v>1872</v>
      </c>
      <c r="O14" s="1048"/>
      <c r="P14" s="1048"/>
      <c r="Q14" s="1048"/>
      <c r="R14" s="1048"/>
      <c r="S14" s="1048"/>
      <c r="T14" s="1048"/>
      <c r="U14" s="1048"/>
      <c r="V14" s="1048"/>
      <c r="W14" s="1048"/>
      <c r="X14" s="1048"/>
      <c r="Y14" s="1048"/>
      <c r="Z14" s="1048"/>
      <c r="AA14" s="1048"/>
      <c r="AB14" s="372"/>
      <c r="AC14" s="1386" t="s">
        <v>877</v>
      </c>
      <c r="AD14" s="1386"/>
      <c r="AE14" s="1386"/>
      <c r="AF14" s="1386"/>
      <c r="AG14" s="1386"/>
      <c r="AH14" s="1386"/>
      <c r="AI14" s="1386"/>
      <c r="AJ14" s="1386"/>
      <c r="AK14" s="1386"/>
      <c r="AL14" s="1386"/>
      <c r="AM14" s="1386"/>
      <c r="AN14" s="1386"/>
      <c r="AO14" s="1386"/>
      <c r="AP14" s="1386"/>
      <c r="AQ14" s="372"/>
      <c r="AR14" s="1046" t="s">
        <v>878</v>
      </c>
      <c r="AS14" s="1046"/>
      <c r="AT14" s="1046"/>
      <c r="AU14" s="1046"/>
      <c r="AV14" s="1046"/>
      <c r="AW14" s="1046"/>
      <c r="AX14" s="1046"/>
      <c r="AY14" s="1046"/>
      <c r="AZ14" s="1046"/>
      <c r="BA14" s="1046"/>
      <c r="BB14" s="1046"/>
      <c r="BC14" s="1046"/>
      <c r="BD14" s="1046"/>
      <c r="BE14" s="1046"/>
      <c r="BF14" s="372"/>
      <c r="BG14" s="1385" t="s">
        <v>76</v>
      </c>
      <c r="BH14" s="1385"/>
      <c r="BI14" s="1385"/>
      <c r="BJ14" s="1385"/>
      <c r="BK14" s="1385"/>
      <c r="BL14" s="1385"/>
      <c r="BM14" s="1385"/>
      <c r="BN14" s="1385"/>
      <c r="BO14" s="1385"/>
      <c r="BP14" s="1385"/>
      <c r="BQ14" s="1385"/>
      <c r="BR14" s="1385"/>
      <c r="BS14" s="1385"/>
      <c r="BT14" s="361"/>
      <c r="BU14" s="1386" t="s">
        <v>330</v>
      </c>
      <c r="BV14" s="1386"/>
      <c r="BW14" s="1386"/>
      <c r="BX14" s="1386"/>
      <c r="BY14" s="1386"/>
      <c r="BZ14" s="1386"/>
      <c r="CA14" s="1386"/>
      <c r="CB14" s="1386"/>
      <c r="CC14" s="1386"/>
      <c r="CD14" s="1386"/>
      <c r="CE14" s="1386"/>
      <c r="CF14" s="1386"/>
      <c r="CG14" s="1386"/>
      <c r="CH14" s="5"/>
      <c r="CI14" s="5"/>
      <c r="CL14" s="1349"/>
      <c r="CM14" s="1349"/>
      <c r="CN14" s="1349"/>
      <c r="CO14" s="1349"/>
      <c r="CP14" s="1349"/>
      <c r="CQ14" s="1349"/>
      <c r="CR14" s="1349"/>
      <c r="CS14" s="1349"/>
      <c r="CT14" s="1349"/>
      <c r="CU14" s="1349"/>
      <c r="CV14" s="1349"/>
      <c r="CW14" s="1349"/>
      <c r="CX14" s="1349"/>
      <c r="CY14" s="1349"/>
      <c r="CZ14" s="1349"/>
      <c r="DA14" s="1337"/>
      <c r="DB14" s="1338"/>
      <c r="DC14" s="1338"/>
      <c r="DD14" s="1339"/>
      <c r="DE14" s="371"/>
      <c r="DF14" s="1337"/>
      <c r="DG14" s="1338"/>
      <c r="DH14" s="1338"/>
      <c r="DI14" s="1339"/>
      <c r="DJ14" s="371"/>
      <c r="DK14" s="1337"/>
      <c r="DL14" s="1338"/>
      <c r="DM14" s="1338"/>
      <c r="DN14" s="1339"/>
      <c r="DO14" s="371"/>
      <c r="DP14" s="1337"/>
      <c r="DQ14" s="1338"/>
      <c r="DR14" s="1338"/>
      <c r="DS14" s="1339"/>
      <c r="DT14" s="371"/>
      <c r="DU14" s="1337"/>
      <c r="DV14" s="1338"/>
      <c r="DW14" s="1338"/>
      <c r="DX14" s="1339"/>
      <c r="DY14" s="371"/>
      <c r="DZ14" s="1337"/>
      <c r="EA14" s="1338"/>
      <c r="EB14" s="1338"/>
      <c r="EC14" s="1339"/>
      <c r="ED14" s="371"/>
      <c r="EE14" s="1337"/>
      <c r="EF14" s="1338"/>
      <c r="EG14" s="1338"/>
      <c r="EH14" s="1339"/>
      <c r="EI14" s="371"/>
      <c r="EJ14" s="1337"/>
      <c r="EK14" s="1338"/>
      <c r="EL14" s="1338"/>
      <c r="EM14" s="1339"/>
      <c r="EN14" s="173"/>
      <c r="EO14" s="1337"/>
      <c r="EP14" s="1338"/>
      <c r="EQ14" s="1338"/>
      <c r="ER14" s="1339"/>
      <c r="ES14" s="5"/>
    </row>
    <row r="15" spans="1:149" ht="9.75" customHeight="1" x14ac:dyDescent="0.25">
      <c r="A15" s="7"/>
      <c r="B15" s="1064"/>
      <c r="C15" s="1064"/>
      <c r="D15" s="1064"/>
      <c r="E15" s="1064"/>
      <c r="F15" s="1064"/>
      <c r="G15" s="1064"/>
      <c r="H15" s="1064"/>
      <c r="I15" s="1064"/>
      <c r="J15" s="1064"/>
      <c r="K15" s="1064"/>
      <c r="L15" s="1064"/>
      <c r="M15" s="361"/>
      <c r="N15" s="1048"/>
      <c r="O15" s="1048"/>
      <c r="P15" s="1048"/>
      <c r="Q15" s="1048"/>
      <c r="R15" s="1048"/>
      <c r="S15" s="1048"/>
      <c r="T15" s="1048"/>
      <c r="U15" s="1048"/>
      <c r="V15" s="1048"/>
      <c r="W15" s="1048"/>
      <c r="X15" s="1048"/>
      <c r="Y15" s="1048"/>
      <c r="Z15" s="1048"/>
      <c r="AA15" s="1048"/>
      <c r="AB15" s="373"/>
      <c r="AC15" s="1048"/>
      <c r="AD15" s="1048"/>
      <c r="AE15" s="1048"/>
      <c r="AF15" s="1048"/>
      <c r="AG15" s="1048"/>
      <c r="AH15" s="1048"/>
      <c r="AI15" s="1048"/>
      <c r="AJ15" s="1048"/>
      <c r="AK15" s="1048"/>
      <c r="AL15" s="1048"/>
      <c r="AM15" s="1048"/>
      <c r="AN15" s="1048"/>
      <c r="AO15" s="1048"/>
      <c r="AP15" s="1048"/>
      <c r="AQ15" s="373"/>
      <c r="AR15" s="1046"/>
      <c r="AS15" s="1046"/>
      <c r="AT15" s="1046"/>
      <c r="AU15" s="1046"/>
      <c r="AV15" s="1046"/>
      <c r="AW15" s="1046"/>
      <c r="AX15" s="1046"/>
      <c r="AY15" s="1046"/>
      <c r="AZ15" s="1046"/>
      <c r="BA15" s="1046"/>
      <c r="BB15" s="1046"/>
      <c r="BC15" s="1046"/>
      <c r="BD15" s="1046"/>
      <c r="BE15" s="1046"/>
      <c r="BF15" s="373"/>
      <c r="BG15" s="1063"/>
      <c r="BH15" s="1063"/>
      <c r="BI15" s="1063"/>
      <c r="BJ15" s="1063"/>
      <c r="BK15" s="1063"/>
      <c r="BL15" s="1063"/>
      <c r="BM15" s="1063"/>
      <c r="BN15" s="1063"/>
      <c r="BO15" s="1063"/>
      <c r="BP15" s="1063"/>
      <c r="BQ15" s="1063"/>
      <c r="BR15" s="1063"/>
      <c r="BS15" s="1063"/>
      <c r="BT15" s="361"/>
      <c r="BU15" s="1048"/>
      <c r="BV15" s="1048"/>
      <c r="BW15" s="1048"/>
      <c r="BX15" s="1048"/>
      <c r="BY15" s="1048"/>
      <c r="BZ15" s="1048"/>
      <c r="CA15" s="1048"/>
      <c r="CB15" s="1048"/>
      <c r="CC15" s="1048"/>
      <c r="CD15" s="1048"/>
      <c r="CE15" s="1048"/>
      <c r="CF15" s="1048"/>
      <c r="CG15" s="1048"/>
      <c r="CH15" s="5"/>
      <c r="CI15" s="5"/>
      <c r="CJ15" s="5"/>
      <c r="CK15" s="5"/>
      <c r="CL15" s="1366" t="str">
        <f ca="1">IF(OR(CharacterLevel="",SorcererLevel&gt;0,CasterLevel=""),"SORCERY POINT COST ","")</f>
        <v/>
      </c>
      <c r="CM15" s="1366"/>
      <c r="CN15" s="1366"/>
      <c r="CO15" s="1366"/>
      <c r="CP15" s="1366"/>
      <c r="CQ15" s="1366"/>
      <c r="CR15" s="1366"/>
      <c r="CS15" s="1366"/>
      <c r="CT15" s="1366"/>
      <c r="CU15" s="1366"/>
      <c r="CV15" s="1366"/>
      <c r="CW15" s="1366"/>
      <c r="CX15" s="1366"/>
      <c r="CY15" s="1366"/>
      <c r="CZ15" s="1366"/>
      <c r="DA15" s="1364" t="str">
        <f ca="1">IF(OR(CharacterLevel="",SorcererLevel&gt;0,CasterLevel=""),2,"")</f>
        <v/>
      </c>
      <c r="DB15" s="1364"/>
      <c r="DC15" s="1364"/>
      <c r="DD15" s="1364"/>
      <c r="DE15" s="376"/>
      <c r="DF15" s="1364" t="str">
        <f ca="1">IF(OR(CharacterLevel="",SorcererLevel&gt;0,CasterLevel=""),3,"")</f>
        <v/>
      </c>
      <c r="DG15" s="1364"/>
      <c r="DH15" s="1364"/>
      <c r="DI15" s="1364"/>
      <c r="DJ15" s="376"/>
      <c r="DK15" s="1364" t="str">
        <f ca="1">IF(OR(CharacterLevel="",SorcererLevel&gt;0,CasterLevel=""),5,"")</f>
        <v/>
      </c>
      <c r="DL15" s="1364"/>
      <c r="DM15" s="1364"/>
      <c r="DN15" s="1364"/>
      <c r="DO15" s="376"/>
      <c r="DP15" s="1364" t="str">
        <f ca="1">IF(OR(CharacterLevel="",SorcererLevel&gt;0,CasterLevel=""),6,"")</f>
        <v/>
      </c>
      <c r="DQ15" s="1364"/>
      <c r="DR15" s="1364"/>
      <c r="DS15" s="1364"/>
      <c r="DT15" s="559"/>
      <c r="DU15" s="1364"/>
      <c r="DV15" s="1364"/>
      <c r="DW15" s="1364"/>
      <c r="DX15" s="1364"/>
      <c r="DY15" s="240"/>
      <c r="DZ15" s="1368" t="str">
        <f>IF(OR(CharacterLevel="",WarlockLevel&gt;=11),"└───── MYSTIC ARCANUM ──────┘","")</f>
        <v/>
      </c>
      <c r="EA15" s="1368"/>
      <c r="EB15" s="1368"/>
      <c r="EC15" s="1368"/>
      <c r="ED15" s="1368"/>
      <c r="EE15" s="1368"/>
      <c r="EF15" s="1368"/>
      <c r="EG15" s="1368"/>
      <c r="EH15" s="1368"/>
      <c r="EI15" s="1368"/>
      <c r="EJ15" s="1368"/>
      <c r="EK15" s="1368"/>
      <c r="EL15" s="1368"/>
      <c r="EM15" s="1368"/>
      <c r="EN15" s="1368"/>
      <c r="EO15" s="1368"/>
      <c r="EP15" s="1368"/>
      <c r="EQ15" s="1368"/>
      <c r="ER15" s="1368"/>
      <c r="ES15" s="5"/>
    </row>
    <row r="16" spans="1:149" ht="9.75" customHeight="1" x14ac:dyDescent="0.25">
      <c r="A16" s="5"/>
      <c r="B16" s="183"/>
      <c r="C16" s="183"/>
      <c r="D16" s="183"/>
      <c r="E16" s="183"/>
      <c r="F16" s="183"/>
      <c r="G16" s="183"/>
      <c r="H16" s="183"/>
      <c r="I16" s="183"/>
      <c r="J16" s="183"/>
      <c r="K16" s="183"/>
      <c r="L16" s="183"/>
      <c r="M16" s="166"/>
      <c r="N16" s="223"/>
      <c r="O16" s="223"/>
      <c r="P16" s="223"/>
      <c r="Q16" s="223"/>
      <c r="R16" s="223"/>
      <c r="S16" s="223"/>
      <c r="T16" s="223"/>
      <c r="U16" s="223"/>
      <c r="V16" s="223"/>
      <c r="W16" s="223"/>
      <c r="X16" s="223"/>
      <c r="Y16" s="223"/>
      <c r="Z16" s="223"/>
      <c r="AA16" s="223"/>
      <c r="AB16" s="5"/>
      <c r="AC16" s="223"/>
      <c r="AD16" s="223"/>
      <c r="AE16" s="223"/>
      <c r="AF16" s="223"/>
      <c r="AG16" s="223"/>
      <c r="AH16" s="223"/>
      <c r="AI16" s="223"/>
      <c r="AJ16" s="223"/>
      <c r="AK16" s="223"/>
      <c r="AL16" s="223"/>
      <c r="AM16" s="223"/>
      <c r="AN16" s="223"/>
      <c r="AO16" s="223"/>
      <c r="AP16" s="223"/>
      <c r="AQ16" s="5"/>
      <c r="AR16" s="360"/>
      <c r="AS16" s="360"/>
      <c r="AT16" s="360"/>
      <c r="AU16" s="360"/>
      <c r="AV16" s="360"/>
      <c r="AW16" s="360"/>
      <c r="AX16" s="360"/>
      <c r="AY16" s="360"/>
      <c r="AZ16" s="360"/>
      <c r="BA16" s="360"/>
      <c r="BB16" s="360"/>
      <c r="BC16" s="360"/>
      <c r="BD16" s="360"/>
      <c r="BE16" s="360"/>
      <c r="BF16" s="5"/>
      <c r="BG16" s="374"/>
      <c r="BH16" s="374"/>
      <c r="BI16" s="374"/>
      <c r="BJ16" s="374"/>
      <c r="BK16" s="374"/>
      <c r="BL16" s="374"/>
      <c r="BM16" s="374"/>
      <c r="BN16" s="374"/>
      <c r="BO16" s="374"/>
      <c r="BP16" s="374"/>
      <c r="BQ16" s="5"/>
      <c r="BR16" s="223"/>
      <c r="BS16" s="223"/>
      <c r="BT16" s="223"/>
      <c r="BU16" s="223"/>
      <c r="BV16" s="223"/>
      <c r="BW16" s="2"/>
      <c r="BX16" s="5"/>
      <c r="BY16" s="5"/>
      <c r="BZ16" s="5"/>
      <c r="CA16" s="5"/>
      <c r="CB16" s="5"/>
      <c r="CC16" s="5"/>
      <c r="CD16" s="5"/>
      <c r="CE16" s="5"/>
      <c r="CF16" s="5"/>
      <c r="CG16" s="5"/>
      <c r="CH16" s="5"/>
      <c r="CI16" s="5"/>
      <c r="CJ16" s="5"/>
      <c r="CK16" s="5"/>
      <c r="CL16" s="1366"/>
      <c r="CM16" s="1366"/>
      <c r="CN16" s="1366"/>
      <c r="CO16" s="1366"/>
      <c r="CP16" s="1366"/>
      <c r="CQ16" s="1366"/>
      <c r="CR16" s="1366"/>
      <c r="CS16" s="1366"/>
      <c r="CT16" s="1366"/>
      <c r="CU16" s="1366"/>
      <c r="CV16" s="1366"/>
      <c r="CW16" s="1366"/>
      <c r="CX16" s="1366"/>
      <c r="CY16" s="1366"/>
      <c r="CZ16" s="1366"/>
      <c r="DA16" s="1365"/>
      <c r="DB16" s="1365"/>
      <c r="DC16" s="1365"/>
      <c r="DD16" s="1365"/>
      <c r="DE16" s="560"/>
      <c r="DF16" s="1365"/>
      <c r="DG16" s="1365"/>
      <c r="DH16" s="1365"/>
      <c r="DI16" s="1365"/>
      <c r="DJ16" s="560"/>
      <c r="DK16" s="1365"/>
      <c r="DL16" s="1365"/>
      <c r="DM16" s="1365"/>
      <c r="DN16" s="1365"/>
      <c r="DO16" s="560"/>
      <c r="DP16" s="1365"/>
      <c r="DQ16" s="1365"/>
      <c r="DR16" s="1365"/>
      <c r="DS16" s="1365"/>
      <c r="DT16" s="560"/>
      <c r="DU16" s="1365"/>
      <c r="DV16" s="1365"/>
      <c r="DW16" s="1365"/>
      <c r="DX16" s="1365"/>
      <c r="DY16" s="240"/>
      <c r="DZ16" s="1368"/>
      <c r="EA16" s="1368"/>
      <c r="EB16" s="1368"/>
      <c r="EC16" s="1368"/>
      <c r="ED16" s="1368"/>
      <c r="EE16" s="1368"/>
      <c r="EF16" s="1368"/>
      <c r="EG16" s="1368"/>
      <c r="EH16" s="1368"/>
      <c r="EI16" s="1368"/>
      <c r="EJ16" s="1368"/>
      <c r="EK16" s="1368"/>
      <c r="EL16" s="1368"/>
      <c r="EM16" s="1368"/>
      <c r="EN16" s="1368"/>
      <c r="EO16" s="1368"/>
      <c r="EP16" s="1368"/>
      <c r="EQ16" s="1368"/>
      <c r="ER16" s="1368"/>
      <c r="ES16" s="5"/>
    </row>
    <row r="17" spans="1:165" ht="9.75" customHeight="1" x14ac:dyDescent="0.2">
      <c r="A17" s="5"/>
      <c r="B17" s="1409" t="s">
        <v>467</v>
      </c>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09"/>
      <c r="BT17" s="1409"/>
      <c r="BU17" s="1409"/>
      <c r="BV17" s="1409"/>
      <c r="BW17" s="5"/>
      <c r="BX17" s="5"/>
      <c r="BY17" s="5"/>
      <c r="BZ17" s="5"/>
      <c r="CA17" s="5"/>
      <c r="CB17" s="5"/>
      <c r="CC17" s="5"/>
      <c r="CD17" s="5"/>
      <c r="CE17" s="5"/>
      <c r="CF17" s="5"/>
      <c r="CG17" s="5"/>
      <c r="CH17" s="5"/>
      <c r="CI17" s="5"/>
      <c r="ES17" s="5"/>
    </row>
    <row r="18" spans="1:165" ht="9.75" customHeight="1" x14ac:dyDescent="0.25">
      <c r="A18" s="5"/>
      <c r="B18" s="1409"/>
      <c r="C18" s="1409"/>
      <c r="D18" s="1409"/>
      <c r="E18" s="1409"/>
      <c r="F18" s="1409"/>
      <c r="G18" s="1409"/>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C18" s="1409"/>
      <c r="BD18" s="1409"/>
      <c r="BE18" s="1409"/>
      <c r="BF18" s="1409"/>
      <c r="BG18" s="1409"/>
      <c r="BH18" s="1409"/>
      <c r="BI18" s="1409"/>
      <c r="BJ18" s="1409"/>
      <c r="BK18" s="1409"/>
      <c r="BL18" s="1409"/>
      <c r="BM18" s="1409"/>
      <c r="BN18" s="1409"/>
      <c r="BO18" s="1409"/>
      <c r="BP18" s="1409"/>
      <c r="BQ18" s="1409"/>
      <c r="BR18" s="1409"/>
      <c r="BS18" s="1409"/>
      <c r="BT18" s="1409"/>
      <c r="BU18" s="1409"/>
      <c r="BV18" s="1409"/>
      <c r="BW18" s="5"/>
      <c r="BX18" s="5"/>
      <c r="BY18" s="5"/>
      <c r="BZ18" s="5"/>
      <c r="CA18" s="5"/>
      <c r="CB18" s="5"/>
      <c r="CC18" s="5"/>
      <c r="CD18" s="5"/>
      <c r="CE18" s="5"/>
      <c r="CF18" s="5"/>
      <c r="CG18" s="5"/>
      <c r="CH18" s="5"/>
      <c r="CI18" s="5"/>
      <c r="CJ18" s="5"/>
      <c r="CK18" s="5"/>
      <c r="CL18" s="1367" t="str">
        <f ca="1">IF(OR(CharacterLevel="",SorcererLevel&gt;0,CasterLevel=""),Spellcasting!O18,"")</f>
        <v/>
      </c>
      <c r="CM18" s="1367"/>
      <c r="CN18" s="1367"/>
      <c r="CO18" s="1367"/>
      <c r="CP18" s="1367"/>
      <c r="CQ18" s="1367"/>
      <c r="CR18" s="1367"/>
      <c r="CS18" s="1367"/>
      <c r="CT18" s="1367"/>
      <c r="CU18" s="1367"/>
      <c r="CV18" s="1367"/>
      <c r="CW18" s="1367"/>
      <c r="CX18" s="1367"/>
      <c r="CY18" s="1367"/>
      <c r="CZ18" s="1367"/>
      <c r="DA18" s="1357" t="str">
        <f>IF(CharacterLevel="","",Spellcasting!$U$18)</f>
        <v/>
      </c>
      <c r="DB18" s="1358"/>
      <c r="DC18" s="1359"/>
      <c r="DD18" s="240"/>
      <c r="DE18" s="1356" t="str">
        <f ca="1">IF(OR(CharacterLevel="",SorcererLevel&gt;0,CasterLevel=""),"USED","")</f>
        <v/>
      </c>
      <c r="DF18" s="1356"/>
      <c r="DG18" s="1356"/>
      <c r="DH18" s="1356"/>
      <c r="DI18" s="1350"/>
      <c r="DJ18" s="1351"/>
      <c r="DK18" s="1352"/>
      <c r="DS18" s="1363" t="str">
        <f ca="1">IF(OR(CharacterLevel="",WizardLevel&gt;0,DruidLandLevel&gt;=2,CasterLevel=""),Spellcasting!C18,"")</f>
        <v/>
      </c>
      <c r="DT18" s="1363"/>
      <c r="DU18" s="1363"/>
      <c r="DV18" s="1363"/>
      <c r="DW18" s="1363"/>
      <c r="DX18" s="1363"/>
      <c r="DY18" s="1363"/>
      <c r="DZ18" s="1363"/>
      <c r="EA18" s="1363"/>
      <c r="EB18" s="1363"/>
      <c r="EC18" s="1363"/>
      <c r="ED18" s="1363"/>
      <c r="EE18" s="1363"/>
      <c r="EF18" s="1363"/>
      <c r="EG18" s="1363"/>
      <c r="EH18" s="1357" t="str">
        <f ca="1">IF(CharacterLevel="","",Spellcasting!$K$18)</f>
        <v/>
      </c>
      <c r="EI18" s="1358"/>
      <c r="EJ18" s="1359"/>
      <c r="EK18" s="240"/>
      <c r="EL18" s="1356" t="str">
        <f ca="1">IF(OR(CharacterLevel="",WizardLevel&gt;0,DruidLandLevel&gt;=2,CasterLevel=""),"USED","")</f>
        <v/>
      </c>
      <c r="EM18" s="1356"/>
      <c r="EN18" s="1356"/>
      <c r="EO18" s="1356"/>
      <c r="EP18" s="1350"/>
      <c r="EQ18" s="1351"/>
      <c r="ER18" s="1352"/>
      <c r="ES18" s="5"/>
      <c r="FB18" s="8" t="e">
        <f>#REF!</f>
        <v>#REF!</v>
      </c>
      <c r="FC18" s="8" t="e">
        <f>#REF!</f>
        <v>#REF!</v>
      </c>
      <c r="FD18" s="8" t="e">
        <f>#REF!</f>
        <v>#REF!</v>
      </c>
      <c r="FE18" s="8" t="e">
        <f>#REF!</f>
        <v>#REF!</v>
      </c>
      <c r="FF18" s="8" t="e">
        <f>NaturalArmor</f>
        <v>#NAME?</v>
      </c>
      <c r="FG18" s="8" t="e">
        <f>VALUE(#REF!)</f>
        <v>#REF!</v>
      </c>
      <c r="FH18" s="8" t="e">
        <f>VALUE(ACMisc)</f>
        <v>#NAME?</v>
      </c>
    </row>
    <row r="19" spans="1:165" ht="9.75" customHeight="1" x14ac:dyDescent="0.25">
      <c r="A19" s="5"/>
      <c r="BW19" s="5"/>
      <c r="BX19" s="1369" t="s">
        <v>461</v>
      </c>
      <c r="BY19" s="1369"/>
      <c r="BZ19" s="1369"/>
      <c r="CA19" s="1369"/>
      <c r="CB19" s="1369"/>
      <c r="CC19" s="1369"/>
      <c r="CD19" s="1369"/>
      <c r="CE19" s="1369"/>
      <c r="CF19" s="1369"/>
      <c r="CG19" s="5"/>
      <c r="CH19" s="5"/>
      <c r="CI19" s="5"/>
      <c r="CJ19" s="5"/>
      <c r="CK19" s="5"/>
      <c r="CL19" s="1367"/>
      <c r="CM19" s="1367"/>
      <c r="CN19" s="1367"/>
      <c r="CO19" s="1367"/>
      <c r="CP19" s="1367"/>
      <c r="CQ19" s="1367"/>
      <c r="CR19" s="1367"/>
      <c r="CS19" s="1367"/>
      <c r="CT19" s="1367"/>
      <c r="CU19" s="1367"/>
      <c r="CV19" s="1367"/>
      <c r="CW19" s="1367"/>
      <c r="CX19" s="1367"/>
      <c r="CY19" s="1367"/>
      <c r="CZ19" s="1367"/>
      <c r="DA19" s="1360"/>
      <c r="DB19" s="1361"/>
      <c r="DC19" s="1362"/>
      <c r="DD19" s="240"/>
      <c r="DE19" s="1356"/>
      <c r="DF19" s="1356"/>
      <c r="DG19" s="1356"/>
      <c r="DH19" s="1356"/>
      <c r="DI19" s="1353"/>
      <c r="DJ19" s="1354"/>
      <c r="DK19" s="1355"/>
      <c r="DO19" s="5"/>
      <c r="DP19" s="5"/>
      <c r="DQ19" s="240"/>
      <c r="DR19" s="5"/>
      <c r="DS19" s="1363"/>
      <c r="DT19" s="1363"/>
      <c r="DU19" s="1363"/>
      <c r="DV19" s="1363"/>
      <c r="DW19" s="1363"/>
      <c r="DX19" s="1363"/>
      <c r="DY19" s="1363"/>
      <c r="DZ19" s="1363"/>
      <c r="EA19" s="1363"/>
      <c r="EB19" s="1363"/>
      <c r="EC19" s="1363"/>
      <c r="ED19" s="1363"/>
      <c r="EE19" s="1363"/>
      <c r="EF19" s="1363"/>
      <c r="EG19" s="1363"/>
      <c r="EH19" s="1360"/>
      <c r="EI19" s="1361"/>
      <c r="EJ19" s="1362"/>
      <c r="EK19" s="240"/>
      <c r="EL19" s="1356"/>
      <c r="EM19" s="1356"/>
      <c r="EN19" s="1356"/>
      <c r="EO19" s="1356"/>
      <c r="EP19" s="1353"/>
      <c r="EQ19" s="1354"/>
      <c r="ER19" s="1355"/>
      <c r="ES19" s="5"/>
      <c r="FB19" s="6" t="e">
        <f>IF(FB18,TEXT(FB18,"+0;-0")&amp;" armor","")</f>
        <v>#REF!</v>
      </c>
      <c r="FC19" s="6" t="e">
        <f>IF(FC18,TEXT(FC18,"+0;-0")&amp;" shield","")</f>
        <v>#REF!</v>
      </c>
      <c r="FD19" s="6" t="e">
        <f>IF(FD18,TEXT(FD18,"+0;-0")&amp;" dex","")</f>
        <v>#REF!</v>
      </c>
      <c r="FE19" s="6" t="e">
        <f>IF(FE18,TEXT(FE18,"+0;-0")&amp;" size","")</f>
        <v>#REF!</v>
      </c>
      <c r="FF19" s="6" t="e">
        <f>IF(FF18,TEXT(FF18,"+0;-0")&amp;" natural","")</f>
        <v>#NAME?</v>
      </c>
      <c r="FG19" s="6" t="e">
        <f>IF(FG18,TEXT(FG18,"+0;-0")&amp;" deflection","")</f>
        <v>#REF!</v>
      </c>
      <c r="FH19" s="6" t="e">
        <f>IF(FH18,TEXT(FH18,"+0;-0")&amp;" misc","")</f>
        <v>#NAME?</v>
      </c>
    </row>
    <row r="20" spans="1:165" ht="9.75" customHeight="1" x14ac:dyDescent="0.35">
      <c r="A20" s="5"/>
      <c r="B20" s="1405" t="str">
        <f>IF(OR(CharacterLevel="",Spellcasting!N23=""),"",Spellcasting!N23)</f>
        <v/>
      </c>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547"/>
      <c r="AF20" s="1407" t="str">
        <f>IF(OR(CharacterLevel="",Spellcasting!F23=SelectText),"",Spellcasting!F23&amp;" ("&amp;Spellcasting!F26&amp;")")</f>
        <v/>
      </c>
      <c r="AG20" s="1407"/>
      <c r="AH20" s="1407"/>
      <c r="AI20" s="1407"/>
      <c r="AJ20" s="1407"/>
      <c r="AK20" s="1407"/>
      <c r="AL20" s="1407"/>
      <c r="AM20" s="1407"/>
      <c r="AN20" s="1407"/>
      <c r="AO20" s="1407"/>
      <c r="AP20" s="1407"/>
      <c r="AQ20" s="1407"/>
      <c r="AR20" s="1407"/>
      <c r="AS20" s="1407"/>
      <c r="AT20" s="1407"/>
      <c r="AU20" s="1407"/>
      <c r="AV20" s="1407"/>
      <c r="AW20" s="1407"/>
      <c r="AY20" s="1407" t="str">
        <f>IF(OR(CharacterLevel="",Spellcasting!F27=""),"",Spellcasting!F27)</f>
        <v/>
      </c>
      <c r="AZ20" s="1407"/>
      <c r="BA20" s="1407"/>
      <c r="BB20" s="1407"/>
      <c r="BC20" s="1407"/>
      <c r="BD20" s="1407"/>
      <c r="BE20" s="1407"/>
      <c r="BF20" s="1407"/>
      <c r="BG20" s="546"/>
      <c r="BH20" s="1407" t="str">
        <f>IF(CharacterLevel="","",Spellcasting!F28)</f>
        <v/>
      </c>
      <c r="BI20" s="1407"/>
      <c r="BJ20" s="1407"/>
      <c r="BK20" s="1407"/>
      <c r="BL20" s="1407"/>
      <c r="BM20" s="1407"/>
      <c r="BN20" s="1407"/>
      <c r="BO20" s="1407"/>
      <c r="BP20" s="1407"/>
      <c r="BQ20" s="1407"/>
      <c r="BR20" s="1407"/>
      <c r="BS20" s="1407"/>
      <c r="BT20" s="1407"/>
      <c r="BU20" s="1407"/>
      <c r="BV20" s="1407"/>
      <c r="BW20" s="163"/>
      <c r="BX20" s="1369"/>
      <c r="BY20" s="1369"/>
      <c r="BZ20" s="1369"/>
      <c r="CA20" s="1369"/>
      <c r="CB20" s="1369"/>
      <c r="CC20" s="1369"/>
      <c r="CD20" s="1369"/>
      <c r="CE20" s="1369"/>
      <c r="CF20" s="1369"/>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FB20" s="6" t="e">
        <f>FB19</f>
        <v>#REF!</v>
      </c>
      <c r="FC20" s="6" t="e">
        <f t="shared" ref="FC20:FH20" si="0">IF(AND(FB20&lt;&gt;"",FC19&lt;&gt;""),FB20&amp;", "&amp;FC19,FB20&amp;FC19)</f>
        <v>#REF!</v>
      </c>
      <c r="FD20" s="6" t="e">
        <f t="shared" si="0"/>
        <v>#REF!</v>
      </c>
      <c r="FE20" s="6" t="e">
        <f t="shared" si="0"/>
        <v>#REF!</v>
      </c>
      <c r="FF20" s="6" t="e">
        <f t="shared" si="0"/>
        <v>#REF!</v>
      </c>
      <c r="FG20" s="6" t="e">
        <f t="shared" si="0"/>
        <v>#REF!</v>
      </c>
      <c r="FH20" s="6" t="e">
        <f t="shared" si="0"/>
        <v>#REF!</v>
      </c>
      <c r="FI20" s="6" t="e">
        <f>IF(FH20&lt;&gt;"","("&amp;FH20&amp;"), ","")&amp;"touch "&amp;TouchAC&amp;", flat-footed "&amp;FlatFootedAC</f>
        <v>#REF!</v>
      </c>
    </row>
    <row r="21" spans="1:165" ht="9.75" customHeight="1" x14ac:dyDescent="0.35">
      <c r="A21" s="5"/>
      <c r="B21" s="1406"/>
      <c r="C21" s="1406"/>
      <c r="D21" s="1406"/>
      <c r="E21" s="1406"/>
      <c r="F21" s="1406"/>
      <c r="G21" s="1406"/>
      <c r="H21" s="1406"/>
      <c r="I21" s="1406"/>
      <c r="J21" s="1406"/>
      <c r="K21" s="1406"/>
      <c r="L21" s="1406"/>
      <c r="M21" s="1406"/>
      <c r="N21" s="1406"/>
      <c r="O21" s="1406"/>
      <c r="P21" s="1406"/>
      <c r="Q21" s="1406"/>
      <c r="R21" s="1406"/>
      <c r="S21" s="1406"/>
      <c r="T21" s="1406"/>
      <c r="U21" s="1406"/>
      <c r="V21" s="1406"/>
      <c r="W21" s="1406"/>
      <c r="X21" s="1406"/>
      <c r="Y21" s="1406"/>
      <c r="Z21" s="1406"/>
      <c r="AA21" s="1406"/>
      <c r="AB21" s="1406"/>
      <c r="AC21" s="1406"/>
      <c r="AD21" s="1406"/>
      <c r="AE21" s="547"/>
      <c r="AF21" s="1408"/>
      <c r="AG21" s="1408"/>
      <c r="AH21" s="1408"/>
      <c r="AI21" s="1408"/>
      <c r="AJ21" s="1408"/>
      <c r="AK21" s="1408"/>
      <c r="AL21" s="1408"/>
      <c r="AM21" s="1408"/>
      <c r="AN21" s="1408"/>
      <c r="AO21" s="1408"/>
      <c r="AP21" s="1408"/>
      <c r="AQ21" s="1408"/>
      <c r="AR21" s="1408"/>
      <c r="AS21" s="1408"/>
      <c r="AT21" s="1408"/>
      <c r="AU21" s="1408"/>
      <c r="AV21" s="1408"/>
      <c r="AW21" s="1408"/>
      <c r="AY21" s="1408"/>
      <c r="AZ21" s="1408"/>
      <c r="BA21" s="1408"/>
      <c r="BB21" s="1408"/>
      <c r="BC21" s="1408"/>
      <c r="BD21" s="1408"/>
      <c r="BE21" s="1408"/>
      <c r="BF21" s="1408"/>
      <c r="BG21" s="546"/>
      <c r="BH21" s="1408"/>
      <c r="BI21" s="1408"/>
      <c r="BJ21" s="1408"/>
      <c r="BK21" s="1408"/>
      <c r="BL21" s="1408"/>
      <c r="BM21" s="1408"/>
      <c r="BN21" s="1408"/>
      <c r="BO21" s="1408"/>
      <c r="BP21" s="1408"/>
      <c r="BQ21" s="1408"/>
      <c r="BR21" s="1408"/>
      <c r="BS21" s="1408"/>
      <c r="BT21" s="1408"/>
      <c r="BU21" s="1408"/>
      <c r="BV21" s="1408"/>
      <c r="BW21" s="163"/>
      <c r="BX21" s="857" t="s">
        <v>455</v>
      </c>
      <c r="BY21" s="857"/>
      <c r="BZ21" s="857"/>
      <c r="CA21" s="857" t="s">
        <v>456</v>
      </c>
      <c r="CB21" s="857"/>
      <c r="CC21" s="857"/>
      <c r="CD21" s="857"/>
      <c r="CE21" s="857"/>
      <c r="CF21" s="857"/>
      <c r="CG21" s="857"/>
      <c r="CH21" s="857"/>
      <c r="CI21" s="857"/>
      <c r="CJ21" s="857"/>
      <c r="CK21" s="857"/>
      <c r="CL21" s="857"/>
      <c r="CM21" s="857"/>
      <c r="CN21" s="857"/>
      <c r="CO21" s="857"/>
      <c r="CP21" s="857"/>
      <c r="CQ21" s="377"/>
      <c r="CR21" s="848" t="s">
        <v>452</v>
      </c>
      <c r="CS21" s="848"/>
      <c r="CT21" s="848"/>
      <c r="CU21" s="848"/>
      <c r="CV21" s="848"/>
      <c r="CW21" s="377"/>
      <c r="CX21" s="848" t="s">
        <v>48</v>
      </c>
      <c r="CY21" s="848"/>
      <c r="CZ21" s="848"/>
      <c r="DA21" s="848"/>
      <c r="DB21" s="377"/>
      <c r="DC21" s="848" t="s">
        <v>453</v>
      </c>
      <c r="DD21" s="848"/>
      <c r="DE21" s="848"/>
      <c r="DF21" s="848"/>
      <c r="DG21" s="848"/>
      <c r="DH21" s="848"/>
      <c r="DI21" s="848" t="s">
        <v>454</v>
      </c>
      <c r="DJ21" s="848"/>
      <c r="DK21" s="848"/>
      <c r="DL21" s="848"/>
      <c r="DM21" s="848"/>
      <c r="DN21" s="848"/>
      <c r="DO21" s="848" t="s">
        <v>9</v>
      </c>
      <c r="DP21" s="848"/>
      <c r="DQ21" s="848"/>
      <c r="DR21" s="848"/>
      <c r="DS21" s="259"/>
      <c r="DT21" s="946" t="s">
        <v>457</v>
      </c>
      <c r="DU21" s="946"/>
      <c r="DV21" s="946"/>
      <c r="DW21" s="946"/>
      <c r="DX21" s="946"/>
      <c r="DY21" s="946"/>
      <c r="DZ21" s="946"/>
      <c r="EA21" s="946"/>
      <c r="EB21" s="946"/>
      <c r="EC21" s="946"/>
      <c r="ED21" s="946"/>
      <c r="EE21" s="946"/>
      <c r="EF21" s="946"/>
      <c r="EG21" s="946"/>
      <c r="EH21" s="946"/>
      <c r="EI21" s="946"/>
      <c r="EJ21" s="946"/>
      <c r="EK21" s="946"/>
      <c r="EL21" s="946"/>
      <c r="EM21" s="946"/>
      <c r="EN21" s="946"/>
      <c r="EO21" s="946"/>
      <c r="EP21" s="946"/>
      <c r="EQ21" s="946"/>
      <c r="ER21" s="946"/>
    </row>
    <row r="22" spans="1:165" ht="9.75" customHeight="1" x14ac:dyDescent="0.35">
      <c r="A22" s="5"/>
      <c r="B22" s="1375" t="s">
        <v>468</v>
      </c>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75"/>
      <c r="AA22" s="1375"/>
      <c r="AB22" s="1375"/>
      <c r="AC22" s="1375"/>
      <c r="AD22" s="1375"/>
      <c r="AE22" s="547"/>
      <c r="AF22" s="1375" t="s">
        <v>9</v>
      </c>
      <c r="AG22" s="1375"/>
      <c r="AH22" s="1375"/>
      <c r="AI22" s="1375"/>
      <c r="AJ22" s="1375"/>
      <c r="AK22" s="1375"/>
      <c r="AL22" s="1375"/>
      <c r="AM22" s="1375"/>
      <c r="AN22" s="1375"/>
      <c r="AO22" s="1375"/>
      <c r="AP22" s="1375"/>
      <c r="AQ22" s="1375"/>
      <c r="AR22" s="1375"/>
      <c r="AS22" s="1375"/>
      <c r="AT22" s="1375"/>
      <c r="AU22" s="1375"/>
      <c r="AV22" s="1375"/>
      <c r="AW22" s="1375"/>
      <c r="AY22" s="1376" t="s">
        <v>8</v>
      </c>
      <c r="AZ22" s="1376"/>
      <c r="BA22" s="1376"/>
      <c r="BB22" s="1376"/>
      <c r="BC22" s="1376"/>
      <c r="BD22" s="1376"/>
      <c r="BE22" s="1376"/>
      <c r="BF22" s="1376"/>
      <c r="BG22" s="546"/>
      <c r="BH22" s="1376" t="s">
        <v>18</v>
      </c>
      <c r="BI22" s="1376"/>
      <c r="BJ22" s="1376"/>
      <c r="BK22" s="1376"/>
      <c r="BL22" s="1376"/>
      <c r="BM22" s="1376"/>
      <c r="BN22" s="1376"/>
      <c r="BO22" s="1376"/>
      <c r="BP22" s="1376"/>
      <c r="BQ22" s="1376"/>
      <c r="BR22" s="1376"/>
      <c r="BS22" s="1376"/>
      <c r="BT22" s="1376"/>
      <c r="BU22" s="1376"/>
      <c r="BV22" s="1376"/>
      <c r="BW22" s="163"/>
      <c r="BX22" s="857"/>
      <c r="BY22" s="857"/>
      <c r="BZ22" s="857"/>
      <c r="CA22" s="857"/>
      <c r="CB22" s="857"/>
      <c r="CC22" s="857"/>
      <c r="CD22" s="857"/>
      <c r="CE22" s="857"/>
      <c r="CF22" s="857"/>
      <c r="CG22" s="857"/>
      <c r="CH22" s="857"/>
      <c r="CI22" s="857"/>
      <c r="CJ22" s="857"/>
      <c r="CK22" s="857"/>
      <c r="CL22" s="857"/>
      <c r="CM22" s="857"/>
      <c r="CN22" s="857"/>
      <c r="CO22" s="857"/>
      <c r="CP22" s="857"/>
      <c r="CQ22" s="377"/>
      <c r="CR22" s="848"/>
      <c r="CS22" s="848"/>
      <c r="CT22" s="848"/>
      <c r="CU22" s="848"/>
      <c r="CV22" s="848"/>
      <c r="CW22" s="377"/>
      <c r="CX22" s="848"/>
      <c r="CY22" s="848"/>
      <c r="CZ22" s="848"/>
      <c r="DA22" s="848"/>
      <c r="DB22" s="377"/>
      <c r="DC22" s="848"/>
      <c r="DD22" s="848"/>
      <c r="DE22" s="848"/>
      <c r="DF22" s="848"/>
      <c r="DG22" s="848"/>
      <c r="DH22" s="848"/>
      <c r="DI22" s="848"/>
      <c r="DJ22" s="848"/>
      <c r="DK22" s="848"/>
      <c r="DL22" s="848"/>
      <c r="DM22" s="848"/>
      <c r="DN22" s="848"/>
      <c r="DO22" s="848"/>
      <c r="DP22" s="848"/>
      <c r="DQ22" s="848"/>
      <c r="DR22" s="848"/>
      <c r="DS22" s="260"/>
      <c r="DT22" s="946"/>
      <c r="DU22" s="946"/>
      <c r="DV22" s="946"/>
      <c r="DW22" s="946"/>
      <c r="DX22" s="946"/>
      <c r="DY22" s="946"/>
      <c r="DZ22" s="946"/>
      <c r="EA22" s="946"/>
      <c r="EB22" s="946"/>
      <c r="EC22" s="946"/>
      <c r="ED22" s="946"/>
      <c r="EE22" s="946"/>
      <c r="EF22" s="946"/>
      <c r="EG22" s="946"/>
      <c r="EH22" s="946"/>
      <c r="EI22" s="946"/>
      <c r="EJ22" s="946"/>
      <c r="EK22" s="946"/>
      <c r="EL22" s="946"/>
      <c r="EM22" s="946"/>
      <c r="EN22" s="946"/>
      <c r="EO22" s="946"/>
      <c r="EP22" s="946"/>
      <c r="EQ22" s="946"/>
      <c r="ER22" s="946"/>
    </row>
    <row r="23" spans="1:165" ht="9.75" customHeight="1" x14ac:dyDescent="0.2">
      <c r="A23" s="5"/>
      <c r="B23" s="1375"/>
      <c r="C23" s="1375"/>
      <c r="D23" s="1375"/>
      <c r="E23" s="1375"/>
      <c r="F23" s="1375"/>
      <c r="G23" s="1375"/>
      <c r="H23" s="1375"/>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1375"/>
      <c r="AE23" s="327"/>
      <c r="AF23" s="1375"/>
      <c r="AG23" s="1375"/>
      <c r="AH23" s="1375"/>
      <c r="AI23" s="1375"/>
      <c r="AJ23" s="1375"/>
      <c r="AK23" s="1375"/>
      <c r="AL23" s="1375"/>
      <c r="AM23" s="1375"/>
      <c r="AN23" s="1375"/>
      <c r="AO23" s="1375"/>
      <c r="AP23" s="1375"/>
      <c r="AQ23" s="1375"/>
      <c r="AR23" s="1375"/>
      <c r="AS23" s="1375"/>
      <c r="AT23" s="1375"/>
      <c r="AU23" s="1375"/>
      <c r="AV23" s="1375"/>
      <c r="AW23" s="1375"/>
      <c r="AX23" s="327"/>
      <c r="AY23" s="1375"/>
      <c r="AZ23" s="1375"/>
      <c r="BA23" s="1375"/>
      <c r="BB23" s="1375"/>
      <c r="BC23" s="1375"/>
      <c r="BD23" s="1375"/>
      <c r="BE23" s="1375"/>
      <c r="BF23" s="1375"/>
      <c r="BG23" s="327"/>
      <c r="BH23" s="1375"/>
      <c r="BI23" s="1375"/>
      <c r="BJ23" s="1375"/>
      <c r="BK23" s="1375"/>
      <c r="BL23" s="1375"/>
      <c r="BM23" s="1375"/>
      <c r="BN23" s="1375"/>
      <c r="BO23" s="1375"/>
      <c r="BP23" s="1375"/>
      <c r="BQ23" s="1375"/>
      <c r="BR23" s="1375"/>
      <c r="BS23" s="1375"/>
      <c r="BT23" s="1375"/>
      <c r="BU23" s="1375"/>
      <c r="BV23" s="1375"/>
      <c r="BW23" s="163"/>
      <c r="BX23" s="1324" t="str">
        <f>IF(CharacterLevel="",'Character Sheet III'!$CF$202,IF(Spellcasting!CE6="•",'Character Sheet III'!$BX$202,'Character Sheet III'!$CF$202))</f>
        <v>□</v>
      </c>
      <c r="BY23" s="1324"/>
      <c r="BZ23" s="1324"/>
      <c r="CA23" s="1319" t="str">
        <f>IF(OR(CharacterLevel="",Spellcasting!CG$6=""),"",VLOOKUP(Spellcasting!CG$6,Tables!$TK:$UB,Tables!$TN$1,FALSE))</f>
        <v/>
      </c>
      <c r="CB23" s="1319"/>
      <c r="CC23" s="1319"/>
      <c r="CD23" s="1319"/>
      <c r="CE23" s="1319"/>
      <c r="CF23" s="1319"/>
      <c r="CG23" s="1319"/>
      <c r="CH23" s="1319"/>
      <c r="CI23" s="1319"/>
      <c r="CJ23" s="1319"/>
      <c r="CK23" s="1319"/>
      <c r="CL23" s="1319"/>
      <c r="CM23" s="1319"/>
      <c r="CN23" s="1319"/>
      <c r="CO23" s="1319"/>
      <c r="CP23" s="1319"/>
      <c r="CQ23" s="263"/>
      <c r="CR23" s="1048" t="str">
        <f>IF(OR(CharacterLevel="",Spellcasting!CG$6=""),"",VLOOKUP(Spellcasting!CG$6,Tables!$TK:$UB,Tables!$TT$1,FALSE))</f>
        <v/>
      </c>
      <c r="CS23" s="1048"/>
      <c r="CT23" s="1048"/>
      <c r="CU23" s="1048"/>
      <c r="CV23" s="1048"/>
      <c r="CW23" s="263"/>
      <c r="CX23" s="1048" t="str">
        <f>IF(OR(CharacterLevel="",Spellcasting!CG$6=""),"",VLOOKUP(Spellcasting!CG$6,Tables!$TK:$UB,Tables!$TU$1,FALSE))</f>
        <v/>
      </c>
      <c r="CY23" s="1048"/>
      <c r="CZ23" s="1048"/>
      <c r="DA23" s="1048"/>
      <c r="DB23" s="263"/>
      <c r="DC23" s="1048" t="str">
        <f>IF(OR(CharacterLevel="",Spellcasting!CG$6=""),"",VLOOKUP(Spellcasting!CG$6,Tables!$TK:$UB,Tables!$TV$1,FALSE))</f>
        <v/>
      </c>
      <c r="DD23" s="1048"/>
      <c r="DE23" s="1048"/>
      <c r="DF23" s="1048"/>
      <c r="DG23" s="1048"/>
      <c r="DH23" s="1048"/>
      <c r="DI23" s="261"/>
      <c r="DJ23" s="1048" t="str">
        <f>IF(OR(CharacterLevel="",Spellcasting!CG$6=""),"",VLOOKUP(Spellcasting!CG$6,Tables!$TK:$UB,Tables!$TW$1,FALSE))</f>
        <v/>
      </c>
      <c r="DK23" s="1048"/>
      <c r="DL23" s="1048"/>
      <c r="DM23" s="1048"/>
      <c r="DN23" s="261"/>
      <c r="DO23" s="1048" t="str">
        <f>IF(OR(CharacterLevel="",Spellcasting!CG$6=""),"",VLOOKUP(Spellcasting!CG$6,Tables!$TK:$UB,Tables!$TZ$1,FALSE))</f>
        <v/>
      </c>
      <c r="DP23" s="1048"/>
      <c r="DQ23" s="1048"/>
      <c r="DR23" s="1048"/>
      <c r="DS23" s="261"/>
      <c r="DT23" s="1319" t="str">
        <f>IF(OR(CharacterLevel="",Spellcasting!CG$6=""),"",VLOOKUP(Spellcasting!CG$6,Tables!$TK:$UB,Tables!$UB$1,FALSE))</f>
        <v/>
      </c>
      <c r="DU23" s="1319"/>
      <c r="DV23" s="1319"/>
      <c r="DW23" s="1319"/>
      <c r="DX23" s="1319"/>
      <c r="DY23" s="1319"/>
      <c r="DZ23" s="1319"/>
      <c r="EA23" s="1319"/>
      <c r="EB23" s="1319"/>
      <c r="EC23" s="1319"/>
      <c r="ED23" s="1319"/>
      <c r="EE23" s="1319"/>
      <c r="EF23" s="1319"/>
      <c r="EG23" s="1319"/>
      <c r="EH23" s="1319"/>
      <c r="EI23" s="1319"/>
      <c r="EJ23" s="1319"/>
      <c r="EK23" s="1319"/>
      <c r="EL23" s="1319"/>
      <c r="EM23" s="1319"/>
      <c r="EN23" s="1319"/>
      <c r="EO23" s="1319"/>
      <c r="EP23" s="1319"/>
      <c r="EQ23" s="1319"/>
      <c r="ER23" s="1319"/>
    </row>
    <row r="24" spans="1:165" ht="9.75" customHeight="1" x14ac:dyDescent="0.35">
      <c r="A24" s="5"/>
      <c r="B24" s="1397" t="str">
        <f>IF(CharacterLevel="","",Spellcasting!C25)</f>
        <v/>
      </c>
      <c r="C24" s="1397"/>
      <c r="D24" s="1397"/>
      <c r="E24" s="1397"/>
      <c r="F24" s="1397"/>
      <c r="G24" s="1397"/>
      <c r="H24" s="1397"/>
      <c r="I24" s="465"/>
      <c r="J24" s="466"/>
      <c r="K24" s="467"/>
      <c r="L24" s="1397" t="str">
        <f>IF(CharacterLevel="","",Spellcasting!F25)</f>
        <v/>
      </c>
      <c r="M24" s="1397"/>
      <c r="N24" s="1397"/>
      <c r="O24" s="1397"/>
      <c r="P24" s="1397"/>
      <c r="Q24" s="1397"/>
      <c r="R24" s="1397"/>
      <c r="S24" s="466"/>
      <c r="T24" s="466"/>
      <c r="U24" s="466"/>
      <c r="V24" s="1391" t="str">
        <f>IF(CharacterLevel="","",Spellcasting!I25)</f>
        <v/>
      </c>
      <c r="W24" s="1391"/>
      <c r="X24" s="1391"/>
      <c r="Y24" s="1391"/>
      <c r="Z24" s="1395" t="str">
        <f>IF(V24="","","("&amp;TEXT(INT((V24-10)/2),"+0;-0")&amp;")")</f>
        <v/>
      </c>
      <c r="AA24" s="1395"/>
      <c r="AB24" s="1395"/>
      <c r="AC24" s="1395"/>
      <c r="AD24" s="468"/>
      <c r="AE24" s="1391" t="str">
        <f>IF(CharacterLevel="","",Spellcasting!K25)</f>
        <v/>
      </c>
      <c r="AF24" s="1391"/>
      <c r="AG24" s="1391"/>
      <c r="AH24" s="1391"/>
      <c r="AI24" s="1395" t="str">
        <f>IF(AE24="","","("&amp;TEXT(INT((AE24-10)/2),"+0;-0")&amp;")")</f>
        <v/>
      </c>
      <c r="AJ24" s="1395"/>
      <c r="AK24" s="1395"/>
      <c r="AL24" s="1395"/>
      <c r="AM24" s="468"/>
      <c r="AN24" s="1391" t="str">
        <f>IF(CharacterLevel="","",Spellcasting!M25)</f>
        <v/>
      </c>
      <c r="AO24" s="1391"/>
      <c r="AP24" s="1391"/>
      <c r="AQ24" s="1391"/>
      <c r="AR24" s="1395" t="str">
        <f>IF(AN24="","","("&amp;TEXT(INT((AN24-10)/2),"+0;-0")&amp;")")</f>
        <v/>
      </c>
      <c r="AS24" s="1395"/>
      <c r="AT24" s="1395"/>
      <c r="AU24" s="1395"/>
      <c r="AV24" s="468"/>
      <c r="AW24" s="1391" t="str">
        <f>IF(CharacterLevel="","",Spellcasting!O25)</f>
        <v/>
      </c>
      <c r="AX24" s="1391"/>
      <c r="AY24" s="1391"/>
      <c r="AZ24" s="1391"/>
      <c r="BA24" s="1395" t="str">
        <f>IF(AW24="","","("&amp;TEXT(INT((AW24-10)/2),"+0;-0")&amp;")")</f>
        <v/>
      </c>
      <c r="BB24" s="1395"/>
      <c r="BC24" s="1395"/>
      <c r="BD24" s="1395"/>
      <c r="BE24" s="468"/>
      <c r="BF24" s="1391" t="str">
        <f>IF(CharacterLevel="","",Spellcasting!Q25)</f>
        <v/>
      </c>
      <c r="BG24" s="1391"/>
      <c r="BH24" s="1391"/>
      <c r="BI24" s="1391"/>
      <c r="BJ24" s="1395" t="str">
        <f>IF(BF24="","","("&amp;TEXT(INT((BF24-10)/2),"+0;-0")&amp;")")</f>
        <v/>
      </c>
      <c r="BK24" s="1395"/>
      <c r="BL24" s="1395"/>
      <c r="BM24" s="1395"/>
      <c r="BN24" s="468"/>
      <c r="BO24" s="1391" t="str">
        <f>IF(CharacterLevel="","",Spellcasting!S25)</f>
        <v/>
      </c>
      <c r="BP24" s="1391"/>
      <c r="BQ24" s="1391"/>
      <c r="BR24" s="1391"/>
      <c r="BS24" s="1395" t="str">
        <f>IF(BO24="","","("&amp;TEXT(INT((BO24-10)/2),"+0;-0")&amp;")")</f>
        <v/>
      </c>
      <c r="BT24" s="1395"/>
      <c r="BU24" s="1395"/>
      <c r="BV24" s="1395"/>
      <c r="BW24" s="5"/>
      <c r="BX24" s="1324"/>
      <c r="BY24" s="1324"/>
      <c r="BZ24" s="1324"/>
      <c r="CA24" s="1320"/>
      <c r="CB24" s="1320"/>
      <c r="CC24" s="1320"/>
      <c r="CD24" s="1320"/>
      <c r="CE24" s="1320"/>
      <c r="CF24" s="1320"/>
      <c r="CG24" s="1320"/>
      <c r="CH24" s="1320"/>
      <c r="CI24" s="1320"/>
      <c r="CJ24" s="1320"/>
      <c r="CK24" s="1320"/>
      <c r="CL24" s="1320"/>
      <c r="CM24" s="1320"/>
      <c r="CN24" s="1320"/>
      <c r="CO24" s="1320"/>
      <c r="CP24" s="1320"/>
      <c r="CQ24" s="263"/>
      <c r="CR24" s="1321"/>
      <c r="CS24" s="1321"/>
      <c r="CT24" s="1321"/>
      <c r="CU24" s="1321"/>
      <c r="CV24" s="1321"/>
      <c r="CW24" s="5"/>
      <c r="CX24" s="1321"/>
      <c r="CY24" s="1321"/>
      <c r="CZ24" s="1321"/>
      <c r="DA24" s="1321"/>
      <c r="DB24" s="5"/>
      <c r="DC24" s="1321"/>
      <c r="DD24" s="1321"/>
      <c r="DE24" s="1321"/>
      <c r="DF24" s="1321"/>
      <c r="DG24" s="1321"/>
      <c r="DH24" s="1321"/>
      <c r="DI24" s="5"/>
      <c r="DJ24" s="1321"/>
      <c r="DK24" s="1321"/>
      <c r="DL24" s="1321"/>
      <c r="DM24" s="1321"/>
      <c r="DN24" s="5"/>
      <c r="DO24" s="1321"/>
      <c r="DP24" s="1321"/>
      <c r="DQ24" s="1321"/>
      <c r="DR24" s="1321"/>
      <c r="DS24" s="5"/>
      <c r="DT24" s="1320"/>
      <c r="DU24" s="1320"/>
      <c r="DV24" s="1320"/>
      <c r="DW24" s="1320"/>
      <c r="DX24" s="1320"/>
      <c r="DY24" s="1320"/>
      <c r="DZ24" s="1320"/>
      <c r="EA24" s="1320"/>
      <c r="EB24" s="1320"/>
      <c r="EC24" s="1320"/>
      <c r="ED24" s="1320"/>
      <c r="EE24" s="1320"/>
      <c r="EF24" s="1320"/>
      <c r="EG24" s="1320"/>
      <c r="EH24" s="1320"/>
      <c r="EI24" s="1320"/>
      <c r="EJ24" s="1320"/>
      <c r="EK24" s="1320"/>
      <c r="EL24" s="1320"/>
      <c r="EM24" s="1320"/>
      <c r="EN24" s="1320"/>
      <c r="EO24" s="1320"/>
      <c r="EP24" s="1320"/>
      <c r="EQ24" s="1320"/>
      <c r="ER24" s="1320"/>
    </row>
    <row r="25" spans="1:165" ht="9.75" customHeight="1" x14ac:dyDescent="0.35">
      <c r="A25" s="5"/>
      <c r="B25" s="1397"/>
      <c r="C25" s="1397"/>
      <c r="D25" s="1397"/>
      <c r="E25" s="1397"/>
      <c r="F25" s="1397"/>
      <c r="G25" s="1397"/>
      <c r="H25" s="1397"/>
      <c r="I25" s="465"/>
      <c r="J25" s="466"/>
      <c r="K25" s="467"/>
      <c r="L25" s="1397"/>
      <c r="M25" s="1397"/>
      <c r="N25" s="1397"/>
      <c r="O25" s="1397"/>
      <c r="P25" s="1397"/>
      <c r="Q25" s="1397"/>
      <c r="R25" s="1397"/>
      <c r="S25" s="466"/>
      <c r="T25" s="466"/>
      <c r="U25" s="466"/>
      <c r="V25" s="1391"/>
      <c r="W25" s="1391"/>
      <c r="X25" s="1391"/>
      <c r="Y25" s="1391"/>
      <c r="Z25" s="1395"/>
      <c r="AA25" s="1395"/>
      <c r="AB25" s="1395"/>
      <c r="AC25" s="1395"/>
      <c r="AD25" s="468"/>
      <c r="AE25" s="1391"/>
      <c r="AF25" s="1391"/>
      <c r="AG25" s="1391"/>
      <c r="AH25" s="1391"/>
      <c r="AI25" s="1395"/>
      <c r="AJ25" s="1395"/>
      <c r="AK25" s="1395"/>
      <c r="AL25" s="1395"/>
      <c r="AM25" s="468"/>
      <c r="AN25" s="1391"/>
      <c r="AO25" s="1391"/>
      <c r="AP25" s="1391"/>
      <c r="AQ25" s="1391"/>
      <c r="AR25" s="1395"/>
      <c r="AS25" s="1395"/>
      <c r="AT25" s="1395"/>
      <c r="AU25" s="1395"/>
      <c r="AV25" s="468"/>
      <c r="AW25" s="1391"/>
      <c r="AX25" s="1391"/>
      <c r="AY25" s="1391"/>
      <c r="AZ25" s="1391"/>
      <c r="BA25" s="1395"/>
      <c r="BB25" s="1395"/>
      <c r="BC25" s="1395"/>
      <c r="BD25" s="1395"/>
      <c r="BE25" s="468"/>
      <c r="BF25" s="1391"/>
      <c r="BG25" s="1391"/>
      <c r="BH25" s="1391"/>
      <c r="BI25" s="1391"/>
      <c r="BJ25" s="1395"/>
      <c r="BK25" s="1395"/>
      <c r="BL25" s="1395"/>
      <c r="BM25" s="1395"/>
      <c r="BN25" s="468"/>
      <c r="BO25" s="1391"/>
      <c r="BP25" s="1391"/>
      <c r="BQ25" s="1391"/>
      <c r="BR25" s="1391"/>
      <c r="BS25" s="1395"/>
      <c r="BT25" s="1395"/>
      <c r="BU25" s="1395"/>
      <c r="BV25" s="1395"/>
      <c r="BW25" s="5"/>
      <c r="BX25" s="1324" t="str">
        <f>IF(CharacterLevel="",'Character Sheet III'!$CF$202,IF(Spellcasting!CE7="•",'Character Sheet III'!$BX$202,'Character Sheet III'!$CF$202))</f>
        <v>□</v>
      </c>
      <c r="BY25" s="1324"/>
      <c r="BZ25" s="1324"/>
      <c r="CA25" s="1325" t="str">
        <f>IF(OR(CharacterLevel="",Spellcasting!CG$7=""),"",VLOOKUP(Spellcasting!CG$7,Tables!$TK:$UB,Tables!$TN$1,FALSE))</f>
        <v/>
      </c>
      <c r="CB25" s="1325"/>
      <c r="CC25" s="1325"/>
      <c r="CD25" s="1325"/>
      <c r="CE25" s="1325"/>
      <c r="CF25" s="1325"/>
      <c r="CG25" s="1325"/>
      <c r="CH25" s="1325"/>
      <c r="CI25" s="1325"/>
      <c r="CJ25" s="1325"/>
      <c r="CK25" s="1325"/>
      <c r="CL25" s="1325"/>
      <c r="CM25" s="1325"/>
      <c r="CN25" s="1325"/>
      <c r="CO25" s="1325"/>
      <c r="CP25" s="1325"/>
      <c r="CQ25" s="263"/>
      <c r="CR25" s="1048" t="str">
        <f>IF(OR(CharacterLevel="",Spellcasting!CG$7=""),"",VLOOKUP(Spellcasting!CG$7,Tables!$TK:$UB,Tables!$TT$1,FALSE))</f>
        <v/>
      </c>
      <c r="CS25" s="1048"/>
      <c r="CT25" s="1048"/>
      <c r="CU25" s="1048"/>
      <c r="CV25" s="1048"/>
      <c r="CW25" s="263"/>
      <c r="CX25" s="1048" t="str">
        <f>IF(OR(CharacterLevel="",Spellcasting!CG$7=""),"",VLOOKUP(Spellcasting!CG$7,Tables!$TK:$UB,Tables!$TU$1,FALSE))</f>
        <v/>
      </c>
      <c r="CY25" s="1048"/>
      <c r="CZ25" s="1048"/>
      <c r="DA25" s="1048"/>
      <c r="DB25" s="263"/>
      <c r="DC25" s="1048" t="str">
        <f>IF(OR(CharacterLevel="",Spellcasting!CG$7=""),"",VLOOKUP(Spellcasting!CG$7,Tables!$TK:$UB,Tables!$TV$1,FALSE))</f>
        <v/>
      </c>
      <c r="DD25" s="1048"/>
      <c r="DE25" s="1048"/>
      <c r="DF25" s="1048"/>
      <c r="DG25" s="1048"/>
      <c r="DH25" s="1048"/>
      <c r="DI25" s="261"/>
      <c r="DJ25" s="1048" t="str">
        <f>IF(OR(CharacterLevel="",Spellcasting!CG$7=""),"",VLOOKUP(Spellcasting!CG$7,Tables!$TK:$UB,Tables!$TW$1,FALSE))</f>
        <v/>
      </c>
      <c r="DK25" s="1048"/>
      <c r="DL25" s="1048"/>
      <c r="DM25" s="1048"/>
      <c r="DN25" s="261"/>
      <c r="DO25" s="1048" t="str">
        <f>IF(OR(CharacterLevel="",Spellcasting!CG$7=""),"",VLOOKUP(Spellcasting!CG$7,Tables!$TK:$UB,Tables!$TZ$1,FALSE))</f>
        <v/>
      </c>
      <c r="DP25" s="1048"/>
      <c r="DQ25" s="1048"/>
      <c r="DR25" s="1048"/>
      <c r="DS25" s="261"/>
      <c r="DT25" s="1319" t="str">
        <f>IF(OR(CharacterLevel="",Spellcasting!CG$7=""),"",VLOOKUP(Spellcasting!CG$7,Tables!$TK:$UB,Tables!$UB$1,FALSE))</f>
        <v/>
      </c>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row>
    <row r="26" spans="1:165" ht="9.75" customHeight="1" x14ac:dyDescent="0.35">
      <c r="A26" s="5"/>
      <c r="B26" s="1398"/>
      <c r="C26" s="1398"/>
      <c r="D26" s="1398"/>
      <c r="E26" s="1398"/>
      <c r="F26" s="1398"/>
      <c r="G26" s="1398"/>
      <c r="H26" s="1398"/>
      <c r="I26" s="465"/>
      <c r="J26" s="466"/>
      <c r="K26" s="467"/>
      <c r="L26" s="1398"/>
      <c r="M26" s="1398"/>
      <c r="N26" s="1398"/>
      <c r="O26" s="1398"/>
      <c r="P26" s="1398"/>
      <c r="Q26" s="1398"/>
      <c r="R26" s="1398"/>
      <c r="S26" s="466"/>
      <c r="T26" s="466"/>
      <c r="U26" s="466"/>
      <c r="V26" s="1392"/>
      <c r="W26" s="1392"/>
      <c r="X26" s="1392"/>
      <c r="Y26" s="1392"/>
      <c r="Z26" s="1396"/>
      <c r="AA26" s="1396"/>
      <c r="AB26" s="1396"/>
      <c r="AC26" s="1396"/>
      <c r="AD26" s="468"/>
      <c r="AE26" s="1392"/>
      <c r="AF26" s="1392"/>
      <c r="AG26" s="1392"/>
      <c r="AH26" s="1392"/>
      <c r="AI26" s="1396"/>
      <c r="AJ26" s="1396"/>
      <c r="AK26" s="1396"/>
      <c r="AL26" s="1396"/>
      <c r="AM26" s="468"/>
      <c r="AN26" s="1392"/>
      <c r="AO26" s="1392"/>
      <c r="AP26" s="1392"/>
      <c r="AQ26" s="1392"/>
      <c r="AR26" s="1396"/>
      <c r="AS26" s="1396"/>
      <c r="AT26" s="1396"/>
      <c r="AU26" s="1396"/>
      <c r="AV26" s="468"/>
      <c r="AW26" s="1392"/>
      <c r="AX26" s="1392"/>
      <c r="AY26" s="1392"/>
      <c r="AZ26" s="1392"/>
      <c r="BA26" s="1396"/>
      <c r="BB26" s="1396"/>
      <c r="BC26" s="1396"/>
      <c r="BD26" s="1396"/>
      <c r="BE26" s="468"/>
      <c r="BF26" s="1392"/>
      <c r="BG26" s="1392"/>
      <c r="BH26" s="1392"/>
      <c r="BI26" s="1392"/>
      <c r="BJ26" s="1396"/>
      <c r="BK26" s="1396"/>
      <c r="BL26" s="1396"/>
      <c r="BM26" s="1396"/>
      <c r="BN26" s="468"/>
      <c r="BO26" s="1392"/>
      <c r="BP26" s="1392"/>
      <c r="BQ26" s="1392"/>
      <c r="BR26" s="1392"/>
      <c r="BS26" s="1396"/>
      <c r="BT26" s="1396"/>
      <c r="BU26" s="1396"/>
      <c r="BV26" s="1396"/>
      <c r="BW26" s="5"/>
      <c r="BX26" s="1324"/>
      <c r="BY26" s="1324"/>
      <c r="BZ26" s="1324"/>
      <c r="CA26" s="1325"/>
      <c r="CB26" s="1325"/>
      <c r="CC26" s="1325"/>
      <c r="CD26" s="1325"/>
      <c r="CE26" s="1325"/>
      <c r="CF26" s="1325"/>
      <c r="CG26" s="1325"/>
      <c r="CH26" s="1325"/>
      <c r="CI26" s="1325"/>
      <c r="CJ26" s="1325"/>
      <c r="CK26" s="1325"/>
      <c r="CL26" s="1325"/>
      <c r="CM26" s="1325"/>
      <c r="CN26" s="1325"/>
      <c r="CO26" s="1325"/>
      <c r="CP26" s="1325"/>
      <c r="CQ26" s="263"/>
      <c r="CR26" s="1321"/>
      <c r="CS26" s="1321"/>
      <c r="CT26" s="1321"/>
      <c r="CU26" s="1321"/>
      <c r="CV26" s="1321"/>
      <c r="CW26" s="5"/>
      <c r="CX26" s="1321"/>
      <c r="CY26" s="1321"/>
      <c r="CZ26" s="1321"/>
      <c r="DA26" s="1321"/>
      <c r="DB26" s="5"/>
      <c r="DC26" s="1321"/>
      <c r="DD26" s="1321"/>
      <c r="DE26" s="1321"/>
      <c r="DF26" s="1321"/>
      <c r="DG26" s="1321"/>
      <c r="DH26" s="1321"/>
      <c r="DI26" s="5"/>
      <c r="DJ26" s="1321"/>
      <c r="DK26" s="1321"/>
      <c r="DL26" s="1321"/>
      <c r="DM26" s="1321"/>
      <c r="DN26" s="5"/>
      <c r="DO26" s="1321"/>
      <c r="DP26" s="1321"/>
      <c r="DQ26" s="1321"/>
      <c r="DR26" s="1321"/>
      <c r="DS26" s="5"/>
      <c r="DT26" s="1320"/>
      <c r="DU26" s="1320"/>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row>
    <row r="27" spans="1:165" ht="9.75" customHeight="1" x14ac:dyDescent="0.2">
      <c r="A27" s="5"/>
      <c r="B27" s="1376" t="s">
        <v>28</v>
      </c>
      <c r="C27" s="1376"/>
      <c r="D27" s="1376"/>
      <c r="E27" s="1376"/>
      <c r="F27" s="1376"/>
      <c r="G27" s="1376"/>
      <c r="H27" s="1376"/>
      <c r="I27" s="327"/>
      <c r="J27" s="426"/>
      <c r="L27" s="1393" t="s">
        <v>22</v>
      </c>
      <c r="M27" s="1393"/>
      <c r="N27" s="1393"/>
      <c r="O27" s="1393"/>
      <c r="P27" s="1393"/>
      <c r="Q27" s="1393"/>
      <c r="R27" s="1393"/>
      <c r="S27" s="426"/>
      <c r="T27" s="426"/>
      <c r="U27" s="426"/>
      <c r="V27" s="1393" t="s">
        <v>21</v>
      </c>
      <c r="W27" s="1393"/>
      <c r="X27" s="1393"/>
      <c r="Y27" s="1393"/>
      <c r="Z27" s="1393"/>
      <c r="AA27" s="1393"/>
      <c r="AB27" s="1393"/>
      <c r="AC27" s="1393"/>
      <c r="AD27" s="424"/>
      <c r="AE27" s="1393" t="s">
        <v>27</v>
      </c>
      <c r="AF27" s="1393"/>
      <c r="AG27" s="1393"/>
      <c r="AH27" s="1393"/>
      <c r="AI27" s="1393"/>
      <c r="AJ27" s="1393"/>
      <c r="AK27" s="1393"/>
      <c r="AL27" s="1393"/>
      <c r="AM27" s="424"/>
      <c r="AN27" s="1393" t="s">
        <v>32</v>
      </c>
      <c r="AO27" s="1393"/>
      <c r="AP27" s="1393"/>
      <c r="AQ27" s="1393"/>
      <c r="AR27" s="1393"/>
      <c r="AS27" s="1393"/>
      <c r="AT27" s="1393"/>
      <c r="AU27" s="1393"/>
      <c r="AV27" s="424"/>
      <c r="AW27" s="1393" t="s">
        <v>38</v>
      </c>
      <c r="AX27" s="1393"/>
      <c r="AY27" s="1393"/>
      <c r="AZ27" s="1393"/>
      <c r="BA27" s="1393"/>
      <c r="BB27" s="1393"/>
      <c r="BC27" s="1393"/>
      <c r="BD27" s="1393"/>
      <c r="BE27" s="424"/>
      <c r="BF27" s="1393" t="s">
        <v>40</v>
      </c>
      <c r="BG27" s="1393"/>
      <c r="BH27" s="1393"/>
      <c r="BI27" s="1393"/>
      <c r="BJ27" s="1393"/>
      <c r="BK27" s="1393"/>
      <c r="BL27" s="1393"/>
      <c r="BM27" s="1393"/>
      <c r="BN27" s="424"/>
      <c r="BO27" s="1393" t="s">
        <v>44</v>
      </c>
      <c r="BP27" s="1393"/>
      <c r="BQ27" s="1393"/>
      <c r="BR27" s="1393"/>
      <c r="BS27" s="1393"/>
      <c r="BT27" s="1393"/>
      <c r="BU27" s="1393"/>
      <c r="BV27" s="1393"/>
      <c r="BW27" s="5"/>
      <c r="BX27" s="1324" t="str">
        <f>IF(CharacterLevel="",'Character Sheet III'!$CF$202,IF(Spellcasting!CE8="•",'Character Sheet III'!$BX$202,'Character Sheet III'!$CF$202))</f>
        <v>□</v>
      </c>
      <c r="BY27" s="1324"/>
      <c r="BZ27" s="1324"/>
      <c r="CA27" s="1325" t="str">
        <f>IF(OR(CharacterLevel="",Spellcasting!CG$8=""),"",VLOOKUP(Spellcasting!CG$8,Tables!$TK:$UB,Tables!$TN$1,FALSE))</f>
        <v/>
      </c>
      <c r="CB27" s="1325"/>
      <c r="CC27" s="1325"/>
      <c r="CD27" s="1325"/>
      <c r="CE27" s="1325"/>
      <c r="CF27" s="1325"/>
      <c r="CG27" s="1325"/>
      <c r="CH27" s="1325"/>
      <c r="CI27" s="1325"/>
      <c r="CJ27" s="1325"/>
      <c r="CK27" s="1325"/>
      <c r="CL27" s="1325"/>
      <c r="CM27" s="1325"/>
      <c r="CN27" s="1325"/>
      <c r="CO27" s="1325"/>
      <c r="CP27" s="1325"/>
      <c r="CQ27" s="263"/>
      <c r="CR27" s="1048" t="str">
        <f>IF(OR(CharacterLevel="",Spellcasting!CG$8=""),"",VLOOKUP(Spellcasting!CG$8,Tables!$TK:$UB,Tables!$TT$1,FALSE))</f>
        <v/>
      </c>
      <c r="CS27" s="1048"/>
      <c r="CT27" s="1048"/>
      <c r="CU27" s="1048"/>
      <c r="CV27" s="1048"/>
      <c r="CW27" s="263"/>
      <c r="CX27" s="1048" t="str">
        <f>IF(OR(CharacterLevel="",Spellcasting!CG$8=""),"",VLOOKUP(Spellcasting!CG$8,Tables!$TK:$UB,Tables!$TU$1,FALSE))</f>
        <v/>
      </c>
      <c r="CY27" s="1048"/>
      <c r="CZ27" s="1048"/>
      <c r="DA27" s="1048"/>
      <c r="DB27" s="263"/>
      <c r="DC27" s="1048" t="str">
        <f>IF(OR(CharacterLevel="",Spellcasting!CG$8=""),"",VLOOKUP(Spellcasting!CG$8,Tables!$TK:$UB,Tables!$TV$1,FALSE))</f>
        <v/>
      </c>
      <c r="DD27" s="1048"/>
      <c r="DE27" s="1048"/>
      <c r="DF27" s="1048"/>
      <c r="DG27" s="1048"/>
      <c r="DH27" s="1048"/>
      <c r="DI27" s="261"/>
      <c r="DJ27" s="1048" t="str">
        <f>IF(OR(CharacterLevel="",Spellcasting!CG$8=""),"",VLOOKUP(Spellcasting!CG$8,Tables!$TK:$UB,Tables!$TW$1,FALSE))</f>
        <v/>
      </c>
      <c r="DK27" s="1048"/>
      <c r="DL27" s="1048"/>
      <c r="DM27" s="1048"/>
      <c r="DN27" s="261"/>
      <c r="DO27" s="1048" t="str">
        <f>IF(OR(CharacterLevel="",Spellcasting!CG$8=""),"",VLOOKUP(Spellcasting!CG$8,Tables!$TK:$UB,Tables!$TZ$1,FALSE))</f>
        <v/>
      </c>
      <c r="DP27" s="1048"/>
      <c r="DQ27" s="1048"/>
      <c r="DR27" s="1048"/>
      <c r="DS27" s="261"/>
      <c r="DT27" s="1319" t="str">
        <f>IF(OR(CharacterLevel="",Spellcasting!CG$8=""),"",VLOOKUP(Spellcasting!CG$8,Tables!$TK:$UB,Tables!$UB$1,FALSE))</f>
        <v/>
      </c>
      <c r="DU27" s="1319"/>
      <c r="DV27" s="1319"/>
      <c r="DW27" s="1319"/>
      <c r="DX27" s="1319"/>
      <c r="DY27" s="1319"/>
      <c r="DZ27" s="1319"/>
      <c r="EA27" s="1319"/>
      <c r="EB27" s="1319"/>
      <c r="EC27" s="1319"/>
      <c r="ED27" s="1319"/>
      <c r="EE27" s="1319"/>
      <c r="EF27" s="1319"/>
      <c r="EG27" s="1319"/>
      <c r="EH27" s="1319"/>
      <c r="EI27" s="1319"/>
      <c r="EJ27" s="1319"/>
      <c r="EK27" s="1319"/>
      <c r="EL27" s="1319"/>
      <c r="EM27" s="1319"/>
      <c r="EN27" s="1319"/>
      <c r="EO27" s="1319"/>
      <c r="EP27" s="1319"/>
      <c r="EQ27" s="1319"/>
      <c r="ER27" s="1319"/>
    </row>
    <row r="28" spans="1:165" ht="9.75" customHeight="1" x14ac:dyDescent="0.2">
      <c r="A28" s="5"/>
      <c r="B28" s="1375"/>
      <c r="C28" s="1375"/>
      <c r="D28" s="1375"/>
      <c r="E28" s="1375"/>
      <c r="F28" s="1375"/>
      <c r="G28" s="1375"/>
      <c r="H28" s="1375"/>
      <c r="I28" s="327"/>
      <c r="J28" s="426"/>
      <c r="K28" s="327"/>
      <c r="L28" s="1394"/>
      <c r="M28" s="1394"/>
      <c r="N28" s="1394"/>
      <c r="O28" s="1394"/>
      <c r="P28" s="1394"/>
      <c r="Q28" s="1394"/>
      <c r="R28" s="1394"/>
      <c r="S28" s="426"/>
      <c r="T28" s="426"/>
      <c r="U28" s="426"/>
      <c r="V28" s="1394"/>
      <c r="W28" s="1394"/>
      <c r="X28" s="1394"/>
      <c r="Y28" s="1394"/>
      <c r="Z28" s="1394"/>
      <c r="AA28" s="1394"/>
      <c r="AB28" s="1394"/>
      <c r="AC28" s="1394"/>
      <c r="AD28" s="424"/>
      <c r="AE28" s="1394"/>
      <c r="AF28" s="1394"/>
      <c r="AG28" s="1394"/>
      <c r="AH28" s="1394"/>
      <c r="AI28" s="1394"/>
      <c r="AJ28" s="1394"/>
      <c r="AK28" s="1394"/>
      <c r="AL28" s="1394"/>
      <c r="AM28" s="424"/>
      <c r="AN28" s="1394"/>
      <c r="AO28" s="1394"/>
      <c r="AP28" s="1394"/>
      <c r="AQ28" s="1394"/>
      <c r="AR28" s="1394"/>
      <c r="AS28" s="1394"/>
      <c r="AT28" s="1394"/>
      <c r="AU28" s="1394"/>
      <c r="AV28" s="424"/>
      <c r="AW28" s="1394"/>
      <c r="AX28" s="1394"/>
      <c r="AY28" s="1394"/>
      <c r="AZ28" s="1394"/>
      <c r="BA28" s="1394"/>
      <c r="BB28" s="1394"/>
      <c r="BC28" s="1394"/>
      <c r="BD28" s="1394"/>
      <c r="BE28" s="424"/>
      <c r="BF28" s="1394"/>
      <c r="BG28" s="1394"/>
      <c r="BH28" s="1394"/>
      <c r="BI28" s="1394"/>
      <c r="BJ28" s="1394"/>
      <c r="BK28" s="1394"/>
      <c r="BL28" s="1394"/>
      <c r="BM28" s="1394"/>
      <c r="BN28" s="424"/>
      <c r="BO28" s="1394"/>
      <c r="BP28" s="1394"/>
      <c r="BQ28" s="1394"/>
      <c r="BR28" s="1394"/>
      <c r="BS28" s="1394"/>
      <c r="BT28" s="1394"/>
      <c r="BU28" s="1394"/>
      <c r="BV28" s="1394"/>
      <c r="BW28" s="5"/>
      <c r="BX28" s="1324"/>
      <c r="BY28" s="1324"/>
      <c r="BZ28" s="1324"/>
      <c r="CA28" s="1325"/>
      <c r="CB28" s="1325"/>
      <c r="CC28" s="1325"/>
      <c r="CD28" s="1325"/>
      <c r="CE28" s="1325"/>
      <c r="CF28" s="1325"/>
      <c r="CG28" s="1325"/>
      <c r="CH28" s="1325"/>
      <c r="CI28" s="1325"/>
      <c r="CJ28" s="1325"/>
      <c r="CK28" s="1325"/>
      <c r="CL28" s="1325"/>
      <c r="CM28" s="1325"/>
      <c r="CN28" s="1325"/>
      <c r="CO28" s="1325"/>
      <c r="CP28" s="1325"/>
      <c r="CQ28" s="263"/>
      <c r="CR28" s="1321"/>
      <c r="CS28" s="1321"/>
      <c r="CT28" s="1321"/>
      <c r="CU28" s="1321"/>
      <c r="CV28" s="1321"/>
      <c r="CW28" s="5"/>
      <c r="CX28" s="1321"/>
      <c r="CY28" s="1321"/>
      <c r="CZ28" s="1321"/>
      <c r="DA28" s="1321"/>
      <c r="DB28" s="5"/>
      <c r="DC28" s="1321"/>
      <c r="DD28" s="1321"/>
      <c r="DE28" s="1321"/>
      <c r="DF28" s="1321"/>
      <c r="DG28" s="1321"/>
      <c r="DH28" s="1321"/>
      <c r="DI28" s="5"/>
      <c r="DJ28" s="1321"/>
      <c r="DK28" s="1321"/>
      <c r="DL28" s="1321"/>
      <c r="DM28" s="1321"/>
      <c r="DN28" s="5"/>
      <c r="DO28" s="1321"/>
      <c r="DP28" s="1321"/>
      <c r="DQ28" s="1321"/>
      <c r="DR28" s="1321"/>
      <c r="DS28" s="5"/>
      <c r="DT28" s="1320"/>
      <c r="DU28" s="1320"/>
      <c r="DV28" s="1320"/>
      <c r="DW28" s="1320"/>
      <c r="DX28" s="1320"/>
      <c r="DY28" s="1320"/>
      <c r="DZ28" s="1320"/>
      <c r="EA28" s="1320"/>
      <c r="EB28" s="1320"/>
      <c r="EC28" s="1320"/>
      <c r="ED28" s="1320"/>
      <c r="EE28" s="1320"/>
      <c r="EF28" s="1320"/>
      <c r="EG28" s="1320"/>
      <c r="EH28" s="1320"/>
      <c r="EI28" s="1320"/>
      <c r="EJ28" s="1320"/>
      <c r="EK28" s="1320"/>
      <c r="EL28" s="1320"/>
      <c r="EM28" s="1320"/>
      <c r="EN28" s="1320"/>
      <c r="EO28" s="1320"/>
      <c r="EP28" s="1320"/>
      <c r="EQ28" s="1320"/>
      <c r="ER28" s="1320"/>
    </row>
    <row r="29" spans="1:165" ht="9.75" customHeight="1" x14ac:dyDescent="0.2">
      <c r="A29" s="5"/>
      <c r="B29" s="1401" t="str">
        <f>IF(CharacterLevel="","",Spellcasting!F30)</f>
        <v/>
      </c>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688"/>
      <c r="AA29" s="1401" t="str">
        <f>IF(CharacterLevel="","",Spellcasting!F29)</f>
        <v/>
      </c>
      <c r="AB29" s="1401"/>
      <c r="AC29" s="1401"/>
      <c r="AD29" s="1401"/>
      <c r="AE29" s="1401"/>
      <c r="AF29" s="1401"/>
      <c r="AG29" s="1401"/>
      <c r="AH29" s="1401"/>
      <c r="AI29" s="1401"/>
      <c r="AJ29" s="1401"/>
      <c r="AK29" s="1401"/>
      <c r="AL29" s="1401"/>
      <c r="AM29" s="1401"/>
      <c r="AN29" s="1401"/>
      <c r="AO29" s="1401"/>
      <c r="AP29" s="1401"/>
      <c r="AQ29" s="1401"/>
      <c r="AR29" s="1401"/>
      <c r="AS29" s="1401"/>
      <c r="AT29" s="1401"/>
      <c r="AU29" s="1401"/>
      <c r="AV29" s="1401"/>
      <c r="AW29" s="688"/>
      <c r="AX29" s="1399" t="str">
        <f>IF(CharacterLevel="","",Spellcasting!F31)</f>
        <v/>
      </c>
      <c r="AY29" s="1399"/>
      <c r="AZ29" s="1399"/>
      <c r="BA29" s="1399"/>
      <c r="BB29" s="1399"/>
      <c r="BC29" s="1399"/>
      <c r="BD29" s="1399"/>
      <c r="BE29" s="1399"/>
      <c r="BF29" s="1399"/>
      <c r="BG29" s="1399"/>
      <c r="BH29" s="1399"/>
      <c r="BI29" s="1399"/>
      <c r="BJ29" s="1399"/>
      <c r="BK29" s="1399"/>
      <c r="BL29" s="1399"/>
      <c r="BM29" s="1399"/>
      <c r="BN29" s="1399"/>
      <c r="BO29" s="1399"/>
      <c r="BP29" s="1399"/>
      <c r="BQ29" s="1399"/>
      <c r="BR29" s="1399"/>
      <c r="BS29" s="1399"/>
      <c r="BT29" s="1399"/>
      <c r="BU29" s="1399"/>
      <c r="BV29" s="1399"/>
      <c r="BW29" s="5"/>
      <c r="BX29" s="1324" t="str">
        <f>IF(CharacterLevel="",'Character Sheet III'!$CF$202,IF(Spellcasting!CE9="•",'Character Sheet III'!$BX$202,'Character Sheet III'!$CF$202))</f>
        <v>□</v>
      </c>
      <c r="BY29" s="1324"/>
      <c r="BZ29" s="1324"/>
      <c r="CA29" s="1325" t="str">
        <f>IF(OR(CharacterLevel="",Spellcasting!CG$9=""),"",VLOOKUP(Spellcasting!CG$9,Tables!$TK:$UB,Tables!$TN$1,FALSE))</f>
        <v/>
      </c>
      <c r="CB29" s="1325"/>
      <c r="CC29" s="1325"/>
      <c r="CD29" s="1325"/>
      <c r="CE29" s="1325"/>
      <c r="CF29" s="1325"/>
      <c r="CG29" s="1325"/>
      <c r="CH29" s="1325"/>
      <c r="CI29" s="1325"/>
      <c r="CJ29" s="1325"/>
      <c r="CK29" s="1325"/>
      <c r="CL29" s="1325"/>
      <c r="CM29" s="1325"/>
      <c r="CN29" s="1325"/>
      <c r="CO29" s="1325"/>
      <c r="CP29" s="1325"/>
      <c r="CQ29" s="263"/>
      <c r="CR29" s="1048" t="str">
        <f>IF(OR(CharacterLevel="",Spellcasting!CG$9=""),"",VLOOKUP(Spellcasting!CG$9,Tables!$TK:$UB,Tables!$TT$1,FALSE))</f>
        <v/>
      </c>
      <c r="CS29" s="1048"/>
      <c r="CT29" s="1048"/>
      <c r="CU29" s="1048"/>
      <c r="CV29" s="1048"/>
      <c r="CW29" s="263"/>
      <c r="CX29" s="1048" t="str">
        <f>IF(OR(CharacterLevel="",Spellcasting!CG$9=""),"",VLOOKUP(Spellcasting!CG$9,Tables!$TK:$UB,Tables!$TU$1,FALSE))</f>
        <v/>
      </c>
      <c r="CY29" s="1048"/>
      <c r="CZ29" s="1048"/>
      <c r="DA29" s="1048"/>
      <c r="DB29" s="263"/>
      <c r="DC29" s="1048" t="str">
        <f>IF(OR(CharacterLevel="",Spellcasting!CG$9=""),"",VLOOKUP(Spellcasting!CG$9,Tables!$TK:$UB,Tables!$TV$1,FALSE))</f>
        <v/>
      </c>
      <c r="DD29" s="1048"/>
      <c r="DE29" s="1048"/>
      <c r="DF29" s="1048"/>
      <c r="DG29" s="1048"/>
      <c r="DH29" s="1048"/>
      <c r="DI29" s="261"/>
      <c r="DJ29" s="1048" t="str">
        <f>IF(OR(CharacterLevel="",Spellcasting!CG$9=""),"",VLOOKUP(Spellcasting!CG$9,Tables!$TK:$UB,Tables!$TW$1,FALSE))</f>
        <v/>
      </c>
      <c r="DK29" s="1048"/>
      <c r="DL29" s="1048"/>
      <c r="DM29" s="1048"/>
      <c r="DN29" s="261"/>
      <c r="DO29" s="1048" t="str">
        <f>IF(OR(CharacterLevel="",Spellcasting!CG$9=""),"",VLOOKUP(Spellcasting!CG$9,Tables!$TK:$UB,Tables!$TZ$1,FALSE))</f>
        <v/>
      </c>
      <c r="DP29" s="1048"/>
      <c r="DQ29" s="1048"/>
      <c r="DR29" s="1048"/>
      <c r="DS29" s="261"/>
      <c r="DT29" s="1319" t="str">
        <f>IF(OR(CharacterLevel="",Spellcasting!CG$9=""),"",VLOOKUP(Spellcasting!CG$9,Tables!$TK:$UB,Tables!$UB$1,FALSE))</f>
        <v/>
      </c>
      <c r="DU29" s="1319"/>
      <c r="DV29" s="1319"/>
      <c r="DW29" s="1319"/>
      <c r="DX29" s="1319"/>
      <c r="DY29" s="1319"/>
      <c r="DZ29" s="1319"/>
      <c r="EA29" s="1319"/>
      <c r="EB29" s="1319"/>
      <c r="EC29" s="1319"/>
      <c r="ED29" s="1319"/>
      <c r="EE29" s="1319"/>
      <c r="EF29" s="1319"/>
      <c r="EG29" s="1319"/>
      <c r="EH29" s="1319"/>
      <c r="EI29" s="1319"/>
      <c r="EJ29" s="1319"/>
      <c r="EK29" s="1319"/>
      <c r="EL29" s="1319"/>
      <c r="EM29" s="1319"/>
      <c r="EN29" s="1319"/>
      <c r="EO29" s="1319"/>
      <c r="EP29" s="1319"/>
      <c r="EQ29" s="1319"/>
      <c r="ER29" s="1319"/>
    </row>
    <row r="30" spans="1:165" ht="9.75" customHeight="1" x14ac:dyDescent="0.2">
      <c r="A30" s="5"/>
      <c r="B30" s="1401"/>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689"/>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689"/>
      <c r="AX30" s="1399"/>
      <c r="AY30" s="1399"/>
      <c r="AZ30" s="1399"/>
      <c r="BA30" s="1399"/>
      <c r="BB30" s="1399"/>
      <c r="BC30" s="1399"/>
      <c r="BD30" s="1399"/>
      <c r="BE30" s="1399"/>
      <c r="BF30" s="1399"/>
      <c r="BG30" s="1399"/>
      <c r="BH30" s="1399"/>
      <c r="BI30" s="1399"/>
      <c r="BJ30" s="1399"/>
      <c r="BK30" s="1399"/>
      <c r="BL30" s="1399"/>
      <c r="BM30" s="1399"/>
      <c r="BN30" s="1399"/>
      <c r="BO30" s="1399"/>
      <c r="BP30" s="1399"/>
      <c r="BQ30" s="1399"/>
      <c r="BR30" s="1399"/>
      <c r="BS30" s="1399"/>
      <c r="BT30" s="1399"/>
      <c r="BU30" s="1399"/>
      <c r="BV30" s="1399"/>
      <c r="BW30" s="5"/>
      <c r="BX30" s="1324"/>
      <c r="BY30" s="1324"/>
      <c r="BZ30" s="1324"/>
      <c r="CA30" s="1325"/>
      <c r="CB30" s="1325"/>
      <c r="CC30" s="1325"/>
      <c r="CD30" s="1325"/>
      <c r="CE30" s="1325"/>
      <c r="CF30" s="1325"/>
      <c r="CG30" s="1325"/>
      <c r="CH30" s="1325"/>
      <c r="CI30" s="1325"/>
      <c r="CJ30" s="1325"/>
      <c r="CK30" s="1325"/>
      <c r="CL30" s="1325"/>
      <c r="CM30" s="1325"/>
      <c r="CN30" s="1325"/>
      <c r="CO30" s="1325"/>
      <c r="CP30" s="1325"/>
      <c r="CQ30" s="263"/>
      <c r="CR30" s="1321"/>
      <c r="CS30" s="1321"/>
      <c r="CT30" s="1321"/>
      <c r="CU30" s="1321"/>
      <c r="CV30" s="1321"/>
      <c r="CW30" s="5"/>
      <c r="CX30" s="1321"/>
      <c r="CY30" s="1321"/>
      <c r="CZ30" s="1321"/>
      <c r="DA30" s="1321"/>
      <c r="DB30" s="5"/>
      <c r="DC30" s="1321"/>
      <c r="DD30" s="1321"/>
      <c r="DE30" s="1321"/>
      <c r="DF30" s="1321"/>
      <c r="DG30" s="1321"/>
      <c r="DH30" s="1321"/>
      <c r="DI30" s="5"/>
      <c r="DJ30" s="1321"/>
      <c r="DK30" s="1321"/>
      <c r="DL30" s="1321"/>
      <c r="DM30" s="1321"/>
      <c r="DN30" s="5"/>
      <c r="DO30" s="1321"/>
      <c r="DP30" s="1321"/>
      <c r="DQ30" s="1321"/>
      <c r="DR30" s="1321"/>
      <c r="DS30" s="5"/>
      <c r="DT30" s="1320"/>
      <c r="DU30" s="1320"/>
      <c r="DV30" s="1320"/>
      <c r="DW30" s="1320"/>
      <c r="DX30" s="1320"/>
      <c r="DY30" s="1320"/>
      <c r="DZ30" s="1320"/>
      <c r="EA30" s="1320"/>
      <c r="EB30" s="1320"/>
      <c r="EC30" s="1320"/>
      <c r="ED30" s="1320"/>
      <c r="EE30" s="1320"/>
      <c r="EF30" s="1320"/>
      <c r="EG30" s="1320"/>
      <c r="EH30" s="1320"/>
      <c r="EI30" s="1320"/>
      <c r="EJ30" s="1320"/>
      <c r="EK30" s="1320"/>
      <c r="EL30" s="1320"/>
      <c r="EM30" s="1320"/>
      <c r="EN30" s="1320"/>
      <c r="EO30" s="1320"/>
      <c r="EP30" s="1320"/>
      <c r="EQ30" s="1320"/>
      <c r="ER30" s="1320"/>
    </row>
    <row r="31" spans="1:165" ht="9.75" customHeight="1" x14ac:dyDescent="0.25">
      <c r="A31" s="5"/>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690"/>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688"/>
      <c r="AX31" s="1399"/>
      <c r="AY31" s="1399"/>
      <c r="AZ31" s="1399"/>
      <c r="BA31" s="1399"/>
      <c r="BB31" s="1399"/>
      <c r="BC31" s="1399"/>
      <c r="BD31" s="1399"/>
      <c r="BE31" s="1399"/>
      <c r="BF31" s="1399"/>
      <c r="BG31" s="1399"/>
      <c r="BH31" s="1399"/>
      <c r="BI31" s="1399"/>
      <c r="BJ31" s="1399"/>
      <c r="BK31" s="1399"/>
      <c r="BL31" s="1399"/>
      <c r="BM31" s="1399"/>
      <c r="BN31" s="1399"/>
      <c r="BO31" s="1399"/>
      <c r="BP31" s="1399"/>
      <c r="BQ31" s="1399"/>
      <c r="BR31" s="1399"/>
      <c r="BS31" s="1399"/>
      <c r="BT31" s="1399"/>
      <c r="BU31" s="1399"/>
      <c r="BV31" s="1399"/>
      <c r="BW31" s="165"/>
      <c r="BX31" s="1324" t="str">
        <f>IF(CharacterLevel="",'Character Sheet III'!$CF$202,IF(Spellcasting!CE10="•",'Character Sheet III'!$BX$202,'Character Sheet III'!$CF$202))</f>
        <v>□</v>
      </c>
      <c r="BY31" s="1324"/>
      <c r="BZ31" s="1324"/>
      <c r="CA31" s="1325" t="str">
        <f>IF(OR(CharacterLevel="",Spellcasting!CG$10=""),"",VLOOKUP(Spellcasting!CG$10,Tables!$TK:$UB,Tables!$TN$1,FALSE))</f>
        <v/>
      </c>
      <c r="CB31" s="1325"/>
      <c r="CC31" s="1325"/>
      <c r="CD31" s="1325"/>
      <c r="CE31" s="1325"/>
      <c r="CF31" s="1325"/>
      <c r="CG31" s="1325"/>
      <c r="CH31" s="1325"/>
      <c r="CI31" s="1325"/>
      <c r="CJ31" s="1325"/>
      <c r="CK31" s="1325"/>
      <c r="CL31" s="1325"/>
      <c r="CM31" s="1325"/>
      <c r="CN31" s="1325"/>
      <c r="CO31" s="1325"/>
      <c r="CP31" s="1325"/>
      <c r="CQ31" s="263"/>
      <c r="CR31" s="1048" t="str">
        <f>IF(OR(CharacterLevel="",Spellcasting!CG$10=""),"",VLOOKUP(Spellcasting!CG$10,Tables!$TK:$UB,Tables!$TT$1,FALSE))</f>
        <v/>
      </c>
      <c r="CS31" s="1048"/>
      <c r="CT31" s="1048"/>
      <c r="CU31" s="1048"/>
      <c r="CV31" s="1048"/>
      <c r="CW31" s="263"/>
      <c r="CX31" s="1048" t="str">
        <f>IF(OR(CharacterLevel="",Spellcasting!CG$10=""),"",VLOOKUP(Spellcasting!CG$10,Tables!$TK:$UB,Tables!$TU$1,FALSE))</f>
        <v/>
      </c>
      <c r="CY31" s="1048"/>
      <c r="CZ31" s="1048"/>
      <c r="DA31" s="1048"/>
      <c r="DB31" s="263"/>
      <c r="DC31" s="1048" t="str">
        <f>IF(OR(CharacterLevel="",Spellcasting!CG$10=""),"",VLOOKUP(Spellcasting!CG$10,Tables!$TK:$UB,Tables!$TV$1,FALSE))</f>
        <v/>
      </c>
      <c r="DD31" s="1048"/>
      <c r="DE31" s="1048"/>
      <c r="DF31" s="1048"/>
      <c r="DG31" s="1048"/>
      <c r="DH31" s="1048"/>
      <c r="DI31" s="261"/>
      <c r="DJ31" s="1048" t="str">
        <f>IF(OR(CharacterLevel="",Spellcasting!CG$10=""),"",VLOOKUP(Spellcasting!CG$10,Tables!$TK:$UB,Tables!$TW$1,FALSE))</f>
        <v/>
      </c>
      <c r="DK31" s="1048"/>
      <c r="DL31" s="1048"/>
      <c r="DM31" s="1048"/>
      <c r="DN31" s="261"/>
      <c r="DO31" s="1048" t="str">
        <f>IF(OR(CharacterLevel="",Spellcasting!CG$10=""),"",VLOOKUP(Spellcasting!CG$10,Tables!$TK:$UB,Tables!$TZ$1,FALSE))</f>
        <v/>
      </c>
      <c r="DP31" s="1048"/>
      <c r="DQ31" s="1048"/>
      <c r="DR31" s="1048"/>
      <c r="DS31" s="261"/>
      <c r="DT31" s="1319" t="str">
        <f>IF(OR(CharacterLevel="",Spellcasting!CG$10=""),"",VLOOKUP(Spellcasting!CG$10,Tables!$TK:$UB,Tables!$UB$1,FALSE))</f>
        <v/>
      </c>
      <c r="DU31" s="1319"/>
      <c r="DV31" s="1319"/>
      <c r="DW31" s="1319"/>
      <c r="DX31" s="1319"/>
      <c r="DY31" s="1319"/>
      <c r="DZ31" s="1319"/>
      <c r="EA31" s="1319"/>
      <c r="EB31" s="1319"/>
      <c r="EC31" s="1319"/>
      <c r="ED31" s="1319"/>
      <c r="EE31" s="1319"/>
      <c r="EF31" s="1319"/>
      <c r="EG31" s="1319"/>
      <c r="EH31" s="1319"/>
      <c r="EI31" s="1319"/>
      <c r="EJ31" s="1319"/>
      <c r="EK31" s="1319"/>
      <c r="EL31" s="1319"/>
      <c r="EM31" s="1319"/>
      <c r="EN31" s="1319"/>
      <c r="EO31" s="1319"/>
      <c r="EP31" s="1319"/>
      <c r="EQ31" s="1319"/>
      <c r="ER31" s="1319"/>
      <c r="ES31" s="6">
        <f>1</f>
        <v>1</v>
      </c>
    </row>
    <row r="32" spans="1:165" ht="9.75" customHeight="1" x14ac:dyDescent="0.25">
      <c r="A32" s="5"/>
      <c r="B32" s="1401"/>
      <c r="C32" s="1401"/>
      <c r="D32" s="1401"/>
      <c r="E32" s="1401"/>
      <c r="F32" s="1401"/>
      <c r="G32" s="1401"/>
      <c r="H32" s="1401"/>
      <c r="I32" s="1401"/>
      <c r="J32" s="1401"/>
      <c r="K32" s="1401"/>
      <c r="L32" s="1401"/>
      <c r="M32" s="1401"/>
      <c r="N32" s="1401"/>
      <c r="O32" s="1401"/>
      <c r="P32" s="1401"/>
      <c r="Q32" s="1401"/>
      <c r="R32" s="1401"/>
      <c r="S32" s="1401"/>
      <c r="T32" s="1401"/>
      <c r="U32" s="1401"/>
      <c r="V32" s="1401"/>
      <c r="W32" s="1401"/>
      <c r="X32" s="1401"/>
      <c r="Y32" s="1401"/>
      <c r="Z32" s="690"/>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688"/>
      <c r="AX32" s="1399"/>
      <c r="AY32" s="1399"/>
      <c r="AZ32" s="1399"/>
      <c r="BA32" s="1399"/>
      <c r="BB32" s="1399"/>
      <c r="BC32" s="1399"/>
      <c r="BD32" s="1399"/>
      <c r="BE32" s="1399"/>
      <c r="BF32" s="1399"/>
      <c r="BG32" s="1399"/>
      <c r="BH32" s="1399"/>
      <c r="BI32" s="1399"/>
      <c r="BJ32" s="1399"/>
      <c r="BK32" s="1399"/>
      <c r="BL32" s="1399"/>
      <c r="BM32" s="1399"/>
      <c r="BN32" s="1399"/>
      <c r="BO32" s="1399"/>
      <c r="BP32" s="1399"/>
      <c r="BQ32" s="1399"/>
      <c r="BR32" s="1399"/>
      <c r="BS32" s="1399"/>
      <c r="BT32" s="1399"/>
      <c r="BU32" s="1399"/>
      <c r="BV32" s="1399"/>
      <c r="BW32" s="165"/>
      <c r="BX32" s="1324"/>
      <c r="BY32" s="1324"/>
      <c r="BZ32" s="1324"/>
      <c r="CA32" s="1325"/>
      <c r="CB32" s="1325"/>
      <c r="CC32" s="1325"/>
      <c r="CD32" s="1325"/>
      <c r="CE32" s="1325"/>
      <c r="CF32" s="1325"/>
      <c r="CG32" s="1325"/>
      <c r="CH32" s="1325"/>
      <c r="CI32" s="1325"/>
      <c r="CJ32" s="1325"/>
      <c r="CK32" s="1325"/>
      <c r="CL32" s="1325"/>
      <c r="CM32" s="1325"/>
      <c r="CN32" s="1325"/>
      <c r="CO32" s="1325"/>
      <c r="CP32" s="1325"/>
      <c r="CQ32" s="263"/>
      <c r="CR32" s="1321"/>
      <c r="CS32" s="1321"/>
      <c r="CT32" s="1321"/>
      <c r="CU32" s="1321"/>
      <c r="CV32" s="1321"/>
      <c r="CW32" s="5"/>
      <c r="CX32" s="1321"/>
      <c r="CY32" s="1321"/>
      <c r="CZ32" s="1321"/>
      <c r="DA32" s="1321"/>
      <c r="DB32" s="5"/>
      <c r="DC32" s="1321"/>
      <c r="DD32" s="1321"/>
      <c r="DE32" s="1321"/>
      <c r="DF32" s="1321"/>
      <c r="DG32" s="1321"/>
      <c r="DH32" s="1321"/>
      <c r="DI32" s="5"/>
      <c r="DJ32" s="1321"/>
      <c r="DK32" s="1321"/>
      <c r="DL32" s="1321"/>
      <c r="DM32" s="1321"/>
      <c r="DN32" s="5"/>
      <c r="DO32" s="1321"/>
      <c r="DP32" s="1321"/>
      <c r="DQ32" s="1321"/>
      <c r="DR32" s="1321"/>
      <c r="DS32" s="5"/>
      <c r="DT32" s="1320"/>
      <c r="DU32" s="1320"/>
      <c r="DV32" s="1320"/>
      <c r="DW32" s="1320"/>
      <c r="DX32" s="1320"/>
      <c r="DY32" s="1320"/>
      <c r="DZ32" s="1320"/>
      <c r="EA32" s="1320"/>
      <c r="EB32" s="1320"/>
      <c r="EC32" s="1320"/>
      <c r="ED32" s="1320"/>
      <c r="EE32" s="1320"/>
      <c r="EF32" s="1320"/>
      <c r="EG32" s="1320"/>
      <c r="EH32" s="1320"/>
      <c r="EI32" s="1320"/>
      <c r="EJ32" s="1320"/>
      <c r="EK32" s="1320"/>
      <c r="EL32" s="1320"/>
      <c r="EM32" s="1320"/>
      <c r="EN32" s="1320"/>
      <c r="EO32" s="1320"/>
      <c r="EP32" s="1320"/>
      <c r="EQ32" s="1320"/>
      <c r="ER32" s="1320"/>
    </row>
    <row r="33" spans="1:149" ht="9.75" customHeight="1" x14ac:dyDescent="0.25">
      <c r="A33" s="5"/>
      <c r="B33" s="1402"/>
      <c r="C33" s="1402"/>
      <c r="D33" s="1402"/>
      <c r="E33" s="1402"/>
      <c r="F33" s="1402"/>
      <c r="G33" s="1402"/>
      <c r="H33" s="1402"/>
      <c r="I33" s="1402"/>
      <c r="J33" s="1402"/>
      <c r="K33" s="1402"/>
      <c r="L33" s="1402"/>
      <c r="M33" s="1402"/>
      <c r="N33" s="1402"/>
      <c r="O33" s="1402"/>
      <c r="P33" s="1402"/>
      <c r="Q33" s="1402"/>
      <c r="R33" s="1402"/>
      <c r="S33" s="1402"/>
      <c r="T33" s="1402"/>
      <c r="U33" s="1402"/>
      <c r="V33" s="1402"/>
      <c r="W33" s="1402"/>
      <c r="X33" s="1402"/>
      <c r="Y33" s="1402"/>
      <c r="Z33" s="690"/>
      <c r="AA33" s="1402"/>
      <c r="AB33" s="1402"/>
      <c r="AC33" s="1402"/>
      <c r="AD33" s="1402"/>
      <c r="AE33" s="1402"/>
      <c r="AF33" s="1402"/>
      <c r="AG33" s="1402"/>
      <c r="AH33" s="1402"/>
      <c r="AI33" s="1402"/>
      <c r="AJ33" s="1402"/>
      <c r="AK33" s="1402"/>
      <c r="AL33" s="1402"/>
      <c r="AM33" s="1402"/>
      <c r="AN33" s="1402"/>
      <c r="AO33" s="1402"/>
      <c r="AP33" s="1402"/>
      <c r="AQ33" s="1402"/>
      <c r="AR33" s="1402"/>
      <c r="AS33" s="1402"/>
      <c r="AT33" s="1402"/>
      <c r="AU33" s="1402"/>
      <c r="AV33" s="1402"/>
      <c r="AW33" s="688"/>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65"/>
      <c r="BX33" s="1324" t="str">
        <f>IF(CharacterLevel="",'Character Sheet III'!$CF$202,IF(Spellcasting!CE11="•",'Character Sheet III'!$BX$202,'Character Sheet III'!$CF$202))</f>
        <v>□</v>
      </c>
      <c r="BY33" s="1324"/>
      <c r="BZ33" s="1324"/>
      <c r="CA33" s="1325" t="str">
        <f>IF(OR(CharacterLevel="",Spellcasting!CG$11=""),"",VLOOKUP(Spellcasting!CG$11,Tables!$TK:$UB,Tables!$TN$1,FALSE))</f>
        <v/>
      </c>
      <c r="CB33" s="1325"/>
      <c r="CC33" s="1325"/>
      <c r="CD33" s="1325"/>
      <c r="CE33" s="1325"/>
      <c r="CF33" s="1325"/>
      <c r="CG33" s="1325"/>
      <c r="CH33" s="1325"/>
      <c r="CI33" s="1325"/>
      <c r="CJ33" s="1325"/>
      <c r="CK33" s="1325"/>
      <c r="CL33" s="1325"/>
      <c r="CM33" s="1325"/>
      <c r="CN33" s="1325"/>
      <c r="CO33" s="1325"/>
      <c r="CP33" s="1325"/>
      <c r="CQ33" s="263"/>
      <c r="CR33" s="1048" t="str">
        <f>IF(OR(CharacterLevel="",Spellcasting!CG$11=""),"",VLOOKUP(Spellcasting!CG$11,Tables!$TK:$UB,Tables!$TT$1,FALSE))</f>
        <v/>
      </c>
      <c r="CS33" s="1048"/>
      <c r="CT33" s="1048"/>
      <c r="CU33" s="1048"/>
      <c r="CV33" s="1048"/>
      <c r="CW33" s="263"/>
      <c r="CX33" s="1048" t="str">
        <f>IF(OR(CharacterLevel="",Spellcasting!CG$11=""),"",VLOOKUP(Spellcasting!CG$11,Tables!$TK:$UB,Tables!$TU$1,FALSE))</f>
        <v/>
      </c>
      <c r="CY33" s="1048"/>
      <c r="CZ33" s="1048"/>
      <c r="DA33" s="1048"/>
      <c r="DB33" s="263"/>
      <c r="DC33" s="1048" t="str">
        <f>IF(OR(CharacterLevel="",Spellcasting!CG$11=""),"",VLOOKUP(Spellcasting!CG$11,Tables!$TK:$UB,Tables!$TV$1,FALSE))</f>
        <v/>
      </c>
      <c r="DD33" s="1048"/>
      <c r="DE33" s="1048"/>
      <c r="DF33" s="1048"/>
      <c r="DG33" s="1048"/>
      <c r="DH33" s="1048"/>
      <c r="DI33" s="261"/>
      <c r="DJ33" s="1048" t="str">
        <f>IF(OR(CharacterLevel="",Spellcasting!CG$11=""),"",VLOOKUP(Spellcasting!CG$11,Tables!$TK:$UB,Tables!$TW$1,FALSE))</f>
        <v/>
      </c>
      <c r="DK33" s="1048"/>
      <c r="DL33" s="1048"/>
      <c r="DM33" s="1048"/>
      <c r="DN33" s="261"/>
      <c r="DO33" s="1048" t="str">
        <f>IF(OR(CharacterLevel="",Spellcasting!CG$11=""),"",VLOOKUP(Spellcasting!CG$11,Tables!$TK:$UB,Tables!$TZ$1,FALSE))</f>
        <v/>
      </c>
      <c r="DP33" s="1048"/>
      <c r="DQ33" s="1048"/>
      <c r="DR33" s="1048"/>
      <c r="DS33" s="261"/>
      <c r="DT33" s="1319" t="str">
        <f>IF(OR(CharacterLevel="",Spellcasting!CG$11=""),"",VLOOKUP(Spellcasting!CG$11,Tables!$TK:$UB,Tables!$UB$1,FALSE))</f>
        <v/>
      </c>
      <c r="DU33" s="1319"/>
      <c r="DV33" s="1319"/>
      <c r="DW33" s="1319"/>
      <c r="DX33" s="1319"/>
      <c r="DY33" s="1319"/>
      <c r="DZ33" s="1319"/>
      <c r="EA33" s="1319"/>
      <c r="EB33" s="1319"/>
      <c r="EC33" s="1319"/>
      <c r="ED33" s="1319"/>
      <c r="EE33" s="1319"/>
      <c r="EF33" s="1319"/>
      <c r="EG33" s="1319"/>
      <c r="EH33" s="1319"/>
      <c r="EI33" s="1319"/>
      <c r="EJ33" s="1319"/>
      <c r="EK33" s="1319"/>
      <c r="EL33" s="1319"/>
      <c r="EM33" s="1319"/>
      <c r="EN33" s="1319"/>
      <c r="EO33" s="1319"/>
      <c r="EP33" s="1319"/>
      <c r="EQ33" s="1319"/>
      <c r="ER33" s="1319"/>
      <c r="ES33" s="6">
        <f>ES31+1</f>
        <v>2</v>
      </c>
    </row>
    <row r="34" spans="1:149" ht="9.75" customHeight="1" x14ac:dyDescent="0.25">
      <c r="A34" s="5"/>
      <c r="B34" s="1375" t="s">
        <v>1738</v>
      </c>
      <c r="C34" s="1375"/>
      <c r="D34" s="1375"/>
      <c r="E34" s="1375"/>
      <c r="F34" s="427"/>
      <c r="G34" s="427"/>
      <c r="H34" s="427"/>
      <c r="I34" s="427"/>
      <c r="J34" s="427"/>
      <c r="K34" s="427"/>
      <c r="L34" s="427"/>
      <c r="M34" s="427"/>
      <c r="N34" s="427"/>
      <c r="O34" s="427"/>
      <c r="P34" s="427"/>
      <c r="Q34" s="427"/>
      <c r="R34" s="427"/>
      <c r="S34" s="427"/>
      <c r="T34" s="427"/>
      <c r="U34" s="427"/>
      <c r="V34" s="427"/>
      <c r="W34" s="427"/>
      <c r="X34" s="427"/>
      <c r="Y34" s="427"/>
      <c r="Z34" s="427"/>
      <c r="AA34" s="1375" t="s">
        <v>33</v>
      </c>
      <c r="AB34" s="1375"/>
      <c r="AC34" s="1375"/>
      <c r="AD34" s="1375"/>
      <c r="AE34" s="1375"/>
      <c r="AF34" s="427"/>
      <c r="AG34" s="427"/>
      <c r="AH34" s="427"/>
      <c r="AI34" s="427"/>
      <c r="AJ34" s="427"/>
      <c r="AK34" s="427"/>
      <c r="AL34" s="471"/>
      <c r="AM34" s="427"/>
      <c r="AN34" s="1375"/>
      <c r="AO34" s="1375"/>
      <c r="AP34" s="1375"/>
      <c r="AQ34" s="1375"/>
      <c r="AR34" s="1375"/>
      <c r="AS34" s="328"/>
      <c r="AT34" s="328"/>
      <c r="AU34" s="328"/>
      <c r="AV34" s="328"/>
      <c r="AW34" s="328"/>
      <c r="AX34" s="1375" t="s">
        <v>248</v>
      </c>
      <c r="AY34" s="1375"/>
      <c r="AZ34" s="1375"/>
      <c r="BA34" s="1375"/>
      <c r="BB34" s="1375"/>
      <c r="BC34" s="328"/>
      <c r="BD34" s="328"/>
      <c r="BE34" s="328"/>
      <c r="BF34" s="328"/>
      <c r="BG34" s="328"/>
      <c r="BH34" s="328"/>
      <c r="BI34" s="328"/>
      <c r="BJ34" s="328"/>
      <c r="BK34" s="328"/>
      <c r="BL34" s="328"/>
      <c r="BM34" s="328"/>
      <c r="BN34" s="328"/>
      <c r="BO34" s="328"/>
      <c r="BP34" s="328"/>
      <c r="BQ34" s="328"/>
      <c r="BR34" s="328"/>
      <c r="BS34" s="328"/>
      <c r="BT34" s="328"/>
      <c r="BU34" s="328"/>
      <c r="BV34" s="328"/>
      <c r="BW34" s="165"/>
      <c r="BX34" s="1324"/>
      <c r="BY34" s="1324"/>
      <c r="BZ34" s="1324"/>
      <c r="CA34" s="1325"/>
      <c r="CB34" s="1325"/>
      <c r="CC34" s="1325"/>
      <c r="CD34" s="1325"/>
      <c r="CE34" s="1325"/>
      <c r="CF34" s="1325"/>
      <c r="CG34" s="1325"/>
      <c r="CH34" s="1325"/>
      <c r="CI34" s="1325"/>
      <c r="CJ34" s="1325"/>
      <c r="CK34" s="1325"/>
      <c r="CL34" s="1325"/>
      <c r="CM34" s="1325"/>
      <c r="CN34" s="1325"/>
      <c r="CO34" s="1325"/>
      <c r="CP34" s="1325"/>
      <c r="CQ34" s="263"/>
      <c r="CR34" s="1321"/>
      <c r="CS34" s="1321"/>
      <c r="CT34" s="1321"/>
      <c r="CU34" s="1321"/>
      <c r="CV34" s="1321"/>
      <c r="CW34" s="5"/>
      <c r="CX34" s="1321"/>
      <c r="CY34" s="1321"/>
      <c r="CZ34" s="1321"/>
      <c r="DA34" s="1321"/>
      <c r="DB34" s="5"/>
      <c r="DC34" s="1321"/>
      <c r="DD34" s="1321"/>
      <c r="DE34" s="1321"/>
      <c r="DF34" s="1321"/>
      <c r="DG34" s="1321"/>
      <c r="DH34" s="1321"/>
      <c r="DI34" s="5"/>
      <c r="DJ34" s="1321"/>
      <c r="DK34" s="1321"/>
      <c r="DL34" s="1321"/>
      <c r="DM34" s="1321"/>
      <c r="DN34" s="5"/>
      <c r="DO34" s="1321"/>
      <c r="DP34" s="1321"/>
      <c r="DQ34" s="1321"/>
      <c r="DR34" s="1321"/>
      <c r="DS34" s="5"/>
      <c r="DT34" s="1320"/>
      <c r="DU34" s="1320"/>
      <c r="DV34" s="1320"/>
      <c r="DW34" s="1320"/>
      <c r="DX34" s="1320"/>
      <c r="DY34" s="1320"/>
      <c r="DZ34" s="1320"/>
      <c r="EA34" s="1320"/>
      <c r="EB34" s="1320"/>
      <c r="EC34" s="1320"/>
      <c r="ED34" s="1320"/>
      <c r="EE34" s="1320"/>
      <c r="EF34" s="1320"/>
      <c r="EG34" s="1320"/>
      <c r="EH34" s="1320"/>
      <c r="EI34" s="1320"/>
      <c r="EJ34" s="1320"/>
      <c r="EK34" s="1320"/>
      <c r="EL34" s="1320"/>
      <c r="EM34" s="1320"/>
      <c r="EN34" s="1320"/>
      <c r="EO34" s="1320"/>
      <c r="EP34" s="1320"/>
      <c r="EQ34" s="1320"/>
      <c r="ER34" s="1320"/>
    </row>
    <row r="35" spans="1:149" ht="9.75" customHeight="1" x14ac:dyDescent="0.2">
      <c r="A35" s="5"/>
      <c r="B35" s="1375"/>
      <c r="C35" s="1375"/>
      <c r="D35" s="1375"/>
      <c r="E35" s="1375"/>
      <c r="F35" s="427"/>
      <c r="G35" s="427"/>
      <c r="H35" s="428"/>
      <c r="I35" s="428"/>
      <c r="J35" s="428"/>
      <c r="K35" s="428"/>
      <c r="L35" s="428"/>
      <c r="M35" s="428"/>
      <c r="N35" s="428"/>
      <c r="O35" s="428"/>
      <c r="P35" s="428"/>
      <c r="Q35" s="428"/>
      <c r="R35" s="428"/>
      <c r="S35" s="428"/>
      <c r="T35" s="428"/>
      <c r="U35" s="428"/>
      <c r="V35" s="428"/>
      <c r="W35" s="428"/>
      <c r="X35" s="428"/>
      <c r="Y35" s="428"/>
      <c r="Z35" s="428"/>
      <c r="AA35" s="1375"/>
      <c r="AB35" s="1375"/>
      <c r="AC35" s="1375"/>
      <c r="AD35" s="1375"/>
      <c r="AE35" s="1375"/>
      <c r="AF35" s="428"/>
      <c r="AG35" s="428"/>
      <c r="AH35" s="428"/>
      <c r="AI35" s="428"/>
      <c r="AJ35" s="428"/>
      <c r="AK35" s="428"/>
      <c r="AL35" s="428"/>
      <c r="AM35" s="428"/>
      <c r="AN35" s="1375"/>
      <c r="AO35" s="1375"/>
      <c r="AP35" s="1375"/>
      <c r="AQ35" s="1375"/>
      <c r="AR35" s="1375"/>
      <c r="AS35" s="425"/>
      <c r="AT35" s="425"/>
      <c r="AU35" s="425"/>
      <c r="AV35" s="425"/>
      <c r="AW35" s="425"/>
      <c r="AX35" s="1375"/>
      <c r="AY35" s="1375"/>
      <c r="AZ35" s="1375"/>
      <c r="BA35" s="1375"/>
      <c r="BB35" s="1375"/>
      <c r="BC35" s="425"/>
      <c r="BD35" s="425"/>
      <c r="BE35" s="425"/>
      <c r="BF35" s="425"/>
      <c r="BG35" s="425"/>
      <c r="BH35" s="425"/>
      <c r="BI35" s="425"/>
      <c r="BJ35" s="425"/>
      <c r="BK35" s="425"/>
      <c r="BL35" s="425"/>
      <c r="BM35" s="425"/>
      <c r="BN35" s="425"/>
      <c r="BO35" s="425"/>
      <c r="BP35" s="425"/>
      <c r="BQ35" s="425"/>
      <c r="BR35" s="425"/>
      <c r="BS35" s="425"/>
      <c r="BT35" s="425"/>
      <c r="BU35" s="425"/>
      <c r="BV35" s="425"/>
      <c r="BW35" s="5"/>
      <c r="BX35" s="1324" t="str">
        <f>IF(CharacterLevel="",'Character Sheet III'!$CF$202,IF(Spellcasting!CE12="•",'Character Sheet III'!$BX$202,'Character Sheet III'!$CF$202))</f>
        <v>□</v>
      </c>
      <c r="BY35" s="1324"/>
      <c r="BZ35" s="1324"/>
      <c r="CA35" s="1325" t="str">
        <f>IF(OR(CharacterLevel="",Spellcasting!CG$12=""),"",VLOOKUP(Spellcasting!CG$12,Tables!$TK:$UB,Tables!$TN$1,FALSE))</f>
        <v/>
      </c>
      <c r="CB35" s="1325"/>
      <c r="CC35" s="1325"/>
      <c r="CD35" s="1325"/>
      <c r="CE35" s="1325"/>
      <c r="CF35" s="1325"/>
      <c r="CG35" s="1325"/>
      <c r="CH35" s="1325"/>
      <c r="CI35" s="1325"/>
      <c r="CJ35" s="1325"/>
      <c r="CK35" s="1325"/>
      <c r="CL35" s="1325"/>
      <c r="CM35" s="1325"/>
      <c r="CN35" s="1325"/>
      <c r="CO35" s="1325"/>
      <c r="CP35" s="1325"/>
      <c r="CQ35" s="263"/>
      <c r="CR35" s="1048" t="str">
        <f>IF(OR(CharacterLevel="",Spellcasting!CG$12=""),"",VLOOKUP(Spellcasting!CG$12,Tables!$TK:$UB,Tables!$TT$1,FALSE))</f>
        <v/>
      </c>
      <c r="CS35" s="1048"/>
      <c r="CT35" s="1048"/>
      <c r="CU35" s="1048"/>
      <c r="CV35" s="1048"/>
      <c r="CW35" s="263"/>
      <c r="CX35" s="1048" t="str">
        <f>IF(OR(CharacterLevel="",Spellcasting!CG$12=""),"",VLOOKUP(Spellcasting!CG$12,Tables!$TK:$UB,Tables!$TU$1,FALSE))</f>
        <v/>
      </c>
      <c r="CY35" s="1048"/>
      <c r="CZ35" s="1048"/>
      <c r="DA35" s="1048"/>
      <c r="DB35" s="263"/>
      <c r="DC35" s="1048" t="str">
        <f>IF(OR(CharacterLevel="",Spellcasting!CG$12=""),"",VLOOKUP(Spellcasting!CG$12,Tables!$TK:$UB,Tables!$TV$1,FALSE))</f>
        <v/>
      </c>
      <c r="DD35" s="1048"/>
      <c r="DE35" s="1048"/>
      <c r="DF35" s="1048"/>
      <c r="DG35" s="1048"/>
      <c r="DH35" s="1048"/>
      <c r="DI35" s="261"/>
      <c r="DJ35" s="1048" t="str">
        <f>IF(OR(CharacterLevel="",Spellcasting!CG$12=""),"",VLOOKUP(Spellcasting!CG$12,Tables!$TK:$UB,Tables!$TW$1,FALSE))</f>
        <v/>
      </c>
      <c r="DK35" s="1048"/>
      <c r="DL35" s="1048"/>
      <c r="DM35" s="1048"/>
      <c r="DN35" s="261"/>
      <c r="DO35" s="1048" t="str">
        <f>IF(OR(CharacterLevel="",Spellcasting!CG$12=""),"",VLOOKUP(Spellcasting!CG$12,Tables!$TK:$UB,Tables!$TZ$1,FALSE))</f>
        <v/>
      </c>
      <c r="DP35" s="1048"/>
      <c r="DQ35" s="1048"/>
      <c r="DR35" s="1048"/>
      <c r="DS35" s="261"/>
      <c r="DT35" s="1319" t="str">
        <f>IF(OR(CharacterLevel="",Spellcasting!CG$12=""),"",VLOOKUP(Spellcasting!CG$12,Tables!$TK:$UB,Tables!$UB$1,FALSE))</f>
        <v/>
      </c>
      <c r="DU35" s="1319"/>
      <c r="DV35" s="1319"/>
      <c r="DW35" s="1319"/>
      <c r="DX35" s="1319"/>
      <c r="DY35" s="1319"/>
      <c r="DZ35" s="1319"/>
      <c r="EA35" s="1319"/>
      <c r="EB35" s="1319"/>
      <c r="EC35" s="1319"/>
      <c r="ED35" s="1319"/>
      <c r="EE35" s="1319"/>
      <c r="EF35" s="1319"/>
      <c r="EG35" s="1319"/>
      <c r="EH35" s="1319"/>
      <c r="EI35" s="1319"/>
      <c r="EJ35" s="1319"/>
      <c r="EK35" s="1319"/>
      <c r="EL35" s="1319"/>
      <c r="EM35" s="1319"/>
      <c r="EN35" s="1319"/>
      <c r="EO35" s="1319"/>
      <c r="EP35" s="1319"/>
      <c r="EQ35" s="1319"/>
      <c r="ER35" s="1319"/>
      <c r="ES35" s="6">
        <f>ES33+1</f>
        <v>3</v>
      </c>
    </row>
    <row r="36" spans="1:149" ht="9.75" customHeight="1" x14ac:dyDescent="0.2">
      <c r="A36" s="5"/>
      <c r="B36" s="1411" t="str">
        <f>IF(CharacterLevel="","",Spellcasting!C34)</f>
        <v/>
      </c>
      <c r="C36" s="1411"/>
      <c r="D36" s="1411"/>
      <c r="E36" s="1411"/>
      <c r="F36" s="1411"/>
      <c r="G36" s="1411"/>
      <c r="H36" s="1411"/>
      <c r="I36" s="1411"/>
      <c r="J36" s="1411"/>
      <c r="K36" s="1411"/>
      <c r="L36" s="1411"/>
      <c r="M36" s="1411"/>
      <c r="N36" s="1411"/>
      <c r="O36" s="1411"/>
      <c r="P36" s="1411"/>
      <c r="Q36" s="1411"/>
      <c r="R36" s="1411"/>
      <c r="S36" s="1411"/>
      <c r="T36" s="1411"/>
      <c r="U36" s="1411"/>
      <c r="V36" s="1411"/>
      <c r="W36" s="1411"/>
      <c r="X36" s="1411"/>
      <c r="Y36" s="1411"/>
      <c r="Z36" s="1411"/>
      <c r="AA36" s="1411"/>
      <c r="AB36" s="1411"/>
      <c r="AC36" s="1411"/>
      <c r="AD36" s="1411"/>
      <c r="AE36" s="1411"/>
      <c r="AF36" s="1411"/>
      <c r="AG36" s="1411"/>
      <c r="AH36" s="1411"/>
      <c r="AI36" s="1411"/>
      <c r="AJ36" s="1411"/>
      <c r="AK36" s="1411"/>
      <c r="AL36" s="1411"/>
      <c r="AM36" s="1411"/>
      <c r="AN36" s="1411"/>
      <c r="AO36" s="1411"/>
      <c r="AP36" s="1411"/>
      <c r="AQ36" s="1411"/>
      <c r="AR36" s="1411"/>
      <c r="AS36" s="1411"/>
      <c r="AT36" s="1411"/>
      <c r="AU36" s="1411"/>
      <c r="AV36" s="1411"/>
      <c r="AW36" s="1411"/>
      <c r="AX36" s="1411"/>
      <c r="AY36" s="1411"/>
      <c r="AZ36" s="1411"/>
      <c r="BA36" s="1411"/>
      <c r="BB36" s="1411"/>
      <c r="BC36" s="1411"/>
      <c r="BD36" s="1411"/>
      <c r="BE36" s="1411"/>
      <c r="BF36" s="1411"/>
      <c r="BG36" s="1411"/>
      <c r="BH36" s="1411"/>
      <c r="BI36" s="1411"/>
      <c r="BJ36" s="1411"/>
      <c r="BK36" s="1411"/>
      <c r="BL36" s="1411"/>
      <c r="BM36" s="1411"/>
      <c r="BN36" s="1411"/>
      <c r="BO36" s="1411"/>
      <c r="BP36" s="1411"/>
      <c r="BQ36" s="1411"/>
      <c r="BR36" s="1411"/>
      <c r="BS36" s="1411"/>
      <c r="BT36" s="1411"/>
      <c r="BU36" s="1411"/>
      <c r="BV36" s="1411"/>
      <c r="BW36" s="5"/>
      <c r="BX36" s="1324"/>
      <c r="BY36" s="1324"/>
      <c r="BZ36" s="1324"/>
      <c r="CA36" s="1325"/>
      <c r="CB36" s="1325"/>
      <c r="CC36" s="1325"/>
      <c r="CD36" s="1325"/>
      <c r="CE36" s="1325"/>
      <c r="CF36" s="1325"/>
      <c r="CG36" s="1325"/>
      <c r="CH36" s="1325"/>
      <c r="CI36" s="1325"/>
      <c r="CJ36" s="1325"/>
      <c r="CK36" s="1325"/>
      <c r="CL36" s="1325"/>
      <c r="CM36" s="1325"/>
      <c r="CN36" s="1325"/>
      <c r="CO36" s="1325"/>
      <c r="CP36" s="1325"/>
      <c r="CQ36" s="263"/>
      <c r="CR36" s="1321"/>
      <c r="CS36" s="1321"/>
      <c r="CT36" s="1321"/>
      <c r="CU36" s="1321"/>
      <c r="CV36" s="1321"/>
      <c r="CW36" s="5"/>
      <c r="CX36" s="1321"/>
      <c r="CY36" s="1321"/>
      <c r="CZ36" s="1321"/>
      <c r="DA36" s="1321"/>
      <c r="DB36" s="5"/>
      <c r="DC36" s="1321"/>
      <c r="DD36" s="1321"/>
      <c r="DE36" s="1321"/>
      <c r="DF36" s="1321"/>
      <c r="DG36" s="1321"/>
      <c r="DH36" s="1321"/>
      <c r="DI36" s="5"/>
      <c r="DJ36" s="1321"/>
      <c r="DK36" s="1321"/>
      <c r="DL36" s="1321"/>
      <c r="DM36" s="1321"/>
      <c r="DN36" s="5"/>
      <c r="DO36" s="1321"/>
      <c r="DP36" s="1321"/>
      <c r="DQ36" s="1321"/>
      <c r="DR36" s="1321"/>
      <c r="DS36" s="5"/>
      <c r="DT36" s="1320"/>
      <c r="DU36" s="1320"/>
      <c r="DV36" s="1320"/>
      <c r="DW36" s="1320"/>
      <c r="DX36" s="1320"/>
      <c r="DY36" s="1320"/>
      <c r="DZ36" s="1320"/>
      <c r="EA36" s="1320"/>
      <c r="EB36" s="1320"/>
      <c r="EC36" s="1320"/>
      <c r="ED36" s="1320"/>
      <c r="EE36" s="1320"/>
      <c r="EF36" s="1320"/>
      <c r="EG36" s="1320"/>
      <c r="EH36" s="1320"/>
      <c r="EI36" s="1320"/>
      <c r="EJ36" s="1320"/>
      <c r="EK36" s="1320"/>
      <c r="EL36" s="1320"/>
      <c r="EM36" s="1320"/>
      <c r="EN36" s="1320"/>
      <c r="EO36" s="1320"/>
      <c r="EP36" s="1320"/>
      <c r="EQ36" s="1320"/>
      <c r="ER36" s="1320"/>
    </row>
    <row r="37" spans="1:149" ht="9.75" customHeight="1" x14ac:dyDescent="0.2">
      <c r="A37" s="5"/>
      <c r="B37" s="1411"/>
      <c r="C37" s="1411"/>
      <c r="D37" s="1411"/>
      <c r="E37" s="1411"/>
      <c r="F37" s="1411"/>
      <c r="G37" s="1411"/>
      <c r="H37" s="1411"/>
      <c r="I37" s="1411"/>
      <c r="J37" s="1411"/>
      <c r="K37" s="1411"/>
      <c r="L37" s="1411"/>
      <c r="M37" s="1411"/>
      <c r="N37" s="1411"/>
      <c r="O37" s="1411"/>
      <c r="P37" s="1411"/>
      <c r="Q37" s="1411"/>
      <c r="R37" s="1411"/>
      <c r="S37" s="1411"/>
      <c r="T37" s="1411"/>
      <c r="U37" s="1411"/>
      <c r="V37" s="1411"/>
      <c r="W37" s="1411"/>
      <c r="X37" s="1411"/>
      <c r="Y37" s="1411"/>
      <c r="Z37" s="1411"/>
      <c r="AA37" s="1411"/>
      <c r="AB37" s="1411"/>
      <c r="AC37" s="1411"/>
      <c r="AD37" s="1411"/>
      <c r="AE37" s="1411"/>
      <c r="AF37" s="1411"/>
      <c r="AG37" s="1411"/>
      <c r="AH37" s="1411"/>
      <c r="AI37" s="1411"/>
      <c r="AJ37" s="1411"/>
      <c r="AK37" s="1411"/>
      <c r="AL37" s="1411"/>
      <c r="AM37" s="1411"/>
      <c r="AN37" s="1411"/>
      <c r="AO37" s="1411"/>
      <c r="AP37" s="1411"/>
      <c r="AQ37" s="1411"/>
      <c r="AR37" s="1411"/>
      <c r="AS37" s="1411"/>
      <c r="AT37" s="1411"/>
      <c r="AU37" s="1411"/>
      <c r="AV37" s="1411"/>
      <c r="AW37" s="1411"/>
      <c r="AX37" s="1411"/>
      <c r="AY37" s="1411"/>
      <c r="AZ37" s="1411"/>
      <c r="BA37" s="1411"/>
      <c r="BB37" s="1411"/>
      <c r="BC37" s="1411"/>
      <c r="BD37" s="1411"/>
      <c r="BE37" s="1411"/>
      <c r="BF37" s="1411"/>
      <c r="BG37" s="1411"/>
      <c r="BH37" s="1411"/>
      <c r="BI37" s="1411"/>
      <c r="BJ37" s="1411"/>
      <c r="BK37" s="1411"/>
      <c r="BL37" s="1411"/>
      <c r="BM37" s="1411"/>
      <c r="BN37" s="1411"/>
      <c r="BO37" s="1411"/>
      <c r="BP37" s="1411"/>
      <c r="BQ37" s="1411"/>
      <c r="BR37" s="1411"/>
      <c r="BS37" s="1411"/>
      <c r="BT37" s="1411"/>
      <c r="BU37" s="1411"/>
      <c r="BV37" s="1411"/>
      <c r="BW37" s="5"/>
      <c r="BX37" s="1324" t="str">
        <f>IF(CharacterLevel="",'Character Sheet III'!$CF$202,IF(Spellcasting!CE13="•",'Character Sheet III'!$BX$202,'Character Sheet III'!$CF$202))</f>
        <v>□</v>
      </c>
      <c r="BY37" s="1324"/>
      <c r="BZ37" s="1324"/>
      <c r="CA37" s="1325" t="str">
        <f>IF(OR(CharacterLevel="",Spellcasting!CG$13=""),"",VLOOKUP(Spellcasting!CG$13,Tables!$TK:$UB,Tables!$TN$1,FALSE))</f>
        <v/>
      </c>
      <c r="CB37" s="1325"/>
      <c r="CC37" s="1325"/>
      <c r="CD37" s="1325"/>
      <c r="CE37" s="1325"/>
      <c r="CF37" s="1325"/>
      <c r="CG37" s="1325"/>
      <c r="CH37" s="1325"/>
      <c r="CI37" s="1325"/>
      <c r="CJ37" s="1325"/>
      <c r="CK37" s="1325"/>
      <c r="CL37" s="1325"/>
      <c r="CM37" s="1325"/>
      <c r="CN37" s="1325"/>
      <c r="CO37" s="1325"/>
      <c r="CP37" s="1325"/>
      <c r="CQ37" s="263"/>
      <c r="CR37" s="1048" t="str">
        <f>IF(OR(CharacterLevel="",Spellcasting!CG$13=""),"",VLOOKUP(Spellcasting!CG$13,Tables!$TK:$UB,Tables!$TT$1,FALSE))</f>
        <v/>
      </c>
      <c r="CS37" s="1048"/>
      <c r="CT37" s="1048"/>
      <c r="CU37" s="1048"/>
      <c r="CV37" s="1048"/>
      <c r="CW37" s="263"/>
      <c r="CX37" s="1048" t="str">
        <f>IF(OR(CharacterLevel="",Spellcasting!CG$13=""),"",VLOOKUP(Spellcasting!CG$13,Tables!$TK:$UB,Tables!$TU$1,FALSE))</f>
        <v/>
      </c>
      <c r="CY37" s="1048"/>
      <c r="CZ37" s="1048"/>
      <c r="DA37" s="1048"/>
      <c r="DB37" s="263"/>
      <c r="DC37" s="1048" t="str">
        <f>IF(OR(CharacterLevel="",Spellcasting!CG$13=""),"",VLOOKUP(Spellcasting!CG$13,Tables!$TK:$UB,Tables!$TV$1,FALSE))</f>
        <v/>
      </c>
      <c r="DD37" s="1048"/>
      <c r="DE37" s="1048"/>
      <c r="DF37" s="1048"/>
      <c r="DG37" s="1048"/>
      <c r="DH37" s="1048"/>
      <c r="DI37" s="261"/>
      <c r="DJ37" s="1048" t="str">
        <f>IF(OR(CharacterLevel="",Spellcasting!CG$13=""),"",VLOOKUP(Spellcasting!CG$13,Tables!$TK:$UB,Tables!$TW$1,FALSE))</f>
        <v/>
      </c>
      <c r="DK37" s="1048"/>
      <c r="DL37" s="1048"/>
      <c r="DM37" s="1048"/>
      <c r="DN37" s="261"/>
      <c r="DO37" s="1048" t="str">
        <f>IF(OR(CharacterLevel="",Spellcasting!CG$13=""),"",VLOOKUP(Spellcasting!CG$13,Tables!$TK:$UB,Tables!$TZ$1,FALSE))</f>
        <v/>
      </c>
      <c r="DP37" s="1048"/>
      <c r="DQ37" s="1048"/>
      <c r="DR37" s="1048"/>
      <c r="DS37" s="261"/>
      <c r="DT37" s="1319" t="str">
        <f>IF(OR(CharacterLevel="",Spellcasting!CG$13=""),"",VLOOKUP(Spellcasting!CG$13,Tables!$TK:$UB,Tables!$UB$1,FALSE))</f>
        <v/>
      </c>
      <c r="DU37" s="1319"/>
      <c r="DV37" s="1319"/>
      <c r="DW37" s="1319"/>
      <c r="DX37" s="1319"/>
      <c r="DY37" s="1319"/>
      <c r="DZ37" s="1319"/>
      <c r="EA37" s="1319"/>
      <c r="EB37" s="1319"/>
      <c r="EC37" s="1319"/>
      <c r="ED37" s="1319"/>
      <c r="EE37" s="1319"/>
      <c r="EF37" s="1319"/>
      <c r="EG37" s="1319"/>
      <c r="EH37" s="1319"/>
      <c r="EI37" s="1319"/>
      <c r="EJ37" s="1319"/>
      <c r="EK37" s="1319"/>
      <c r="EL37" s="1319"/>
      <c r="EM37" s="1319"/>
      <c r="EN37" s="1319"/>
      <c r="EO37" s="1319"/>
      <c r="EP37" s="1319"/>
      <c r="EQ37" s="1319"/>
      <c r="ER37" s="1319"/>
      <c r="ES37" s="6">
        <f>ES35+1</f>
        <v>4</v>
      </c>
    </row>
    <row r="38" spans="1:149" ht="9.75" customHeight="1" x14ac:dyDescent="0.2">
      <c r="A38" s="5"/>
      <c r="B38" s="1411"/>
      <c r="C38" s="1411"/>
      <c r="D38" s="1411"/>
      <c r="E38" s="1411"/>
      <c r="F38" s="1411"/>
      <c r="G38" s="1411"/>
      <c r="H38" s="1411"/>
      <c r="I38" s="1411"/>
      <c r="J38" s="1411"/>
      <c r="K38" s="1411"/>
      <c r="L38" s="1411"/>
      <c r="M38" s="1411"/>
      <c r="N38" s="1411"/>
      <c r="O38" s="1411"/>
      <c r="P38" s="1411"/>
      <c r="Q38" s="1411"/>
      <c r="R38" s="1411"/>
      <c r="S38" s="1411"/>
      <c r="T38" s="1411"/>
      <c r="U38" s="1411"/>
      <c r="V38" s="1411"/>
      <c r="W38" s="1411"/>
      <c r="X38" s="1411"/>
      <c r="Y38" s="1411"/>
      <c r="Z38" s="1411"/>
      <c r="AA38" s="1411"/>
      <c r="AB38" s="1411"/>
      <c r="AC38" s="1411"/>
      <c r="AD38" s="1411"/>
      <c r="AE38" s="1411"/>
      <c r="AF38" s="1411"/>
      <c r="AG38" s="1411"/>
      <c r="AH38" s="1411"/>
      <c r="AI38" s="1411"/>
      <c r="AJ38" s="1411"/>
      <c r="AK38" s="1411"/>
      <c r="AL38" s="1411"/>
      <c r="AM38" s="1411"/>
      <c r="AN38" s="1411"/>
      <c r="AO38" s="1411"/>
      <c r="AP38" s="1411"/>
      <c r="AQ38" s="1411"/>
      <c r="AR38" s="1411"/>
      <c r="AS38" s="1411"/>
      <c r="AT38" s="1411"/>
      <c r="AU38" s="1411"/>
      <c r="AV38" s="1411"/>
      <c r="AW38" s="1411"/>
      <c r="AX38" s="1411"/>
      <c r="AY38" s="1411"/>
      <c r="AZ38" s="1411"/>
      <c r="BA38" s="1411"/>
      <c r="BB38" s="1411"/>
      <c r="BC38" s="1411"/>
      <c r="BD38" s="1411"/>
      <c r="BE38" s="1411"/>
      <c r="BF38" s="1411"/>
      <c r="BG38" s="1411"/>
      <c r="BH38" s="1411"/>
      <c r="BI38" s="1411"/>
      <c r="BJ38" s="1411"/>
      <c r="BK38" s="1411"/>
      <c r="BL38" s="1411"/>
      <c r="BM38" s="1411"/>
      <c r="BN38" s="1411"/>
      <c r="BO38" s="1411"/>
      <c r="BP38" s="1411"/>
      <c r="BQ38" s="1411"/>
      <c r="BR38" s="1411"/>
      <c r="BS38" s="1411"/>
      <c r="BT38" s="1411"/>
      <c r="BU38" s="1411"/>
      <c r="BV38" s="1411"/>
      <c r="BW38" s="5"/>
      <c r="BX38" s="1324"/>
      <c r="BY38" s="1324"/>
      <c r="BZ38" s="1324"/>
      <c r="CA38" s="1325"/>
      <c r="CB38" s="1325"/>
      <c r="CC38" s="1325"/>
      <c r="CD38" s="1325"/>
      <c r="CE38" s="1325"/>
      <c r="CF38" s="1325"/>
      <c r="CG38" s="1325"/>
      <c r="CH38" s="1325"/>
      <c r="CI38" s="1325"/>
      <c r="CJ38" s="1325"/>
      <c r="CK38" s="1325"/>
      <c r="CL38" s="1325"/>
      <c r="CM38" s="1325"/>
      <c r="CN38" s="1325"/>
      <c r="CO38" s="1325"/>
      <c r="CP38" s="1325"/>
      <c r="CQ38" s="263"/>
      <c r="CR38" s="1321"/>
      <c r="CS38" s="1321"/>
      <c r="CT38" s="1321"/>
      <c r="CU38" s="1321"/>
      <c r="CV38" s="1321"/>
      <c r="CW38" s="5"/>
      <c r="CX38" s="1321"/>
      <c r="CY38" s="1321"/>
      <c r="CZ38" s="1321"/>
      <c r="DA38" s="1321"/>
      <c r="DB38" s="5"/>
      <c r="DC38" s="1321"/>
      <c r="DD38" s="1321"/>
      <c r="DE38" s="1321"/>
      <c r="DF38" s="1321"/>
      <c r="DG38" s="1321"/>
      <c r="DH38" s="1321"/>
      <c r="DI38" s="5"/>
      <c r="DJ38" s="1321"/>
      <c r="DK38" s="1321"/>
      <c r="DL38" s="1321"/>
      <c r="DM38" s="1321"/>
      <c r="DN38" s="5"/>
      <c r="DO38" s="1321"/>
      <c r="DP38" s="1321"/>
      <c r="DQ38" s="1321"/>
      <c r="DR38" s="1321"/>
      <c r="DS38" s="5"/>
      <c r="DT38" s="1320"/>
      <c r="DU38" s="1320"/>
      <c r="DV38" s="1320"/>
      <c r="DW38" s="1320"/>
      <c r="DX38" s="1320"/>
      <c r="DY38" s="1320"/>
      <c r="DZ38" s="1320"/>
      <c r="EA38" s="1320"/>
      <c r="EB38" s="1320"/>
      <c r="EC38" s="1320"/>
      <c r="ED38" s="1320"/>
      <c r="EE38" s="1320"/>
      <c r="EF38" s="1320"/>
      <c r="EG38" s="1320"/>
      <c r="EH38" s="1320"/>
      <c r="EI38" s="1320"/>
      <c r="EJ38" s="1320"/>
      <c r="EK38" s="1320"/>
      <c r="EL38" s="1320"/>
      <c r="EM38" s="1320"/>
      <c r="EN38" s="1320"/>
      <c r="EO38" s="1320"/>
      <c r="EP38" s="1320"/>
      <c r="EQ38" s="1320"/>
      <c r="ER38" s="1320"/>
    </row>
    <row r="39" spans="1:149" ht="9.75" customHeight="1" x14ac:dyDescent="0.2">
      <c r="A39" s="5"/>
      <c r="B39" s="1411"/>
      <c r="C39" s="1411"/>
      <c r="D39" s="1411"/>
      <c r="E39" s="1411"/>
      <c r="F39" s="1411"/>
      <c r="G39" s="1411"/>
      <c r="H39" s="1411"/>
      <c r="I39" s="1411"/>
      <c r="J39" s="1411"/>
      <c r="K39" s="1411"/>
      <c r="L39" s="1411"/>
      <c r="M39" s="1411"/>
      <c r="N39" s="1411"/>
      <c r="O39" s="1411"/>
      <c r="P39" s="1411"/>
      <c r="Q39" s="1411"/>
      <c r="R39" s="1411"/>
      <c r="S39" s="1411"/>
      <c r="T39" s="1411"/>
      <c r="U39" s="1411"/>
      <c r="V39" s="1411"/>
      <c r="W39" s="1411"/>
      <c r="X39" s="1411"/>
      <c r="Y39" s="1411"/>
      <c r="Z39" s="1411"/>
      <c r="AA39" s="1411"/>
      <c r="AB39" s="1411"/>
      <c r="AC39" s="1411"/>
      <c r="AD39" s="1411"/>
      <c r="AE39" s="1411"/>
      <c r="AF39" s="1411"/>
      <c r="AG39" s="1411"/>
      <c r="AH39" s="1411"/>
      <c r="AI39" s="1411"/>
      <c r="AJ39" s="1411"/>
      <c r="AK39" s="1411"/>
      <c r="AL39" s="1411"/>
      <c r="AM39" s="1411"/>
      <c r="AN39" s="1411"/>
      <c r="AO39" s="1411"/>
      <c r="AP39" s="1411"/>
      <c r="AQ39" s="1411"/>
      <c r="AR39" s="1411"/>
      <c r="AS39" s="1411"/>
      <c r="AT39" s="1411"/>
      <c r="AU39" s="1411"/>
      <c r="AV39" s="1411"/>
      <c r="AW39" s="1411"/>
      <c r="AX39" s="1411"/>
      <c r="AY39" s="1411"/>
      <c r="AZ39" s="1411"/>
      <c r="BA39" s="1411"/>
      <c r="BB39" s="1411"/>
      <c r="BC39" s="1411"/>
      <c r="BD39" s="1411"/>
      <c r="BE39" s="1411"/>
      <c r="BF39" s="1411"/>
      <c r="BG39" s="1411"/>
      <c r="BH39" s="1411"/>
      <c r="BI39" s="1411"/>
      <c r="BJ39" s="1411"/>
      <c r="BK39" s="1411"/>
      <c r="BL39" s="1411"/>
      <c r="BM39" s="1411"/>
      <c r="BN39" s="1411"/>
      <c r="BO39" s="1411"/>
      <c r="BP39" s="1411"/>
      <c r="BQ39" s="1411"/>
      <c r="BR39" s="1411"/>
      <c r="BS39" s="1411"/>
      <c r="BT39" s="1411"/>
      <c r="BU39" s="1411"/>
      <c r="BV39" s="1411"/>
      <c r="BW39" s="5"/>
      <c r="BX39" s="1324" t="str">
        <f>IF(CharacterLevel="",'Character Sheet III'!$CF$202,IF(Spellcasting!CE14="•",'Character Sheet III'!$BX$202,'Character Sheet III'!$CF$202))</f>
        <v>□</v>
      </c>
      <c r="BY39" s="1324"/>
      <c r="BZ39" s="1324"/>
      <c r="CA39" s="1325" t="str">
        <f>IF(OR(CharacterLevel="",Spellcasting!CG$14=""),"",VLOOKUP(Spellcasting!CG$14,Tables!$TK:$UB,Tables!$TN$1,FALSE))</f>
        <v/>
      </c>
      <c r="CB39" s="1325"/>
      <c r="CC39" s="1325"/>
      <c r="CD39" s="1325"/>
      <c r="CE39" s="1325"/>
      <c r="CF39" s="1325"/>
      <c r="CG39" s="1325"/>
      <c r="CH39" s="1325"/>
      <c r="CI39" s="1325"/>
      <c r="CJ39" s="1325"/>
      <c r="CK39" s="1325"/>
      <c r="CL39" s="1325"/>
      <c r="CM39" s="1325"/>
      <c r="CN39" s="1325"/>
      <c r="CO39" s="1325"/>
      <c r="CP39" s="1325"/>
      <c r="CQ39" s="263"/>
      <c r="CR39" s="1048" t="str">
        <f>IF(OR(CharacterLevel="",Spellcasting!CG$14=""),"",VLOOKUP(Spellcasting!CG$14,Tables!$TK:$UB,Tables!$TT$1,FALSE))</f>
        <v/>
      </c>
      <c r="CS39" s="1048"/>
      <c r="CT39" s="1048"/>
      <c r="CU39" s="1048"/>
      <c r="CV39" s="1048"/>
      <c r="CW39" s="263"/>
      <c r="CX39" s="1048" t="str">
        <f>IF(OR(CharacterLevel="",Spellcasting!CG$14=""),"",VLOOKUP(Spellcasting!CG$14,Tables!$TK:$UB,Tables!$TU$1,FALSE))</f>
        <v/>
      </c>
      <c r="CY39" s="1048"/>
      <c r="CZ39" s="1048"/>
      <c r="DA39" s="1048"/>
      <c r="DB39" s="263"/>
      <c r="DC39" s="1048" t="str">
        <f>IF(OR(CharacterLevel="",Spellcasting!CG$14=""),"",VLOOKUP(Spellcasting!CG$14,Tables!$TK:$UB,Tables!$TV$1,FALSE))</f>
        <v/>
      </c>
      <c r="DD39" s="1048"/>
      <c r="DE39" s="1048"/>
      <c r="DF39" s="1048"/>
      <c r="DG39" s="1048"/>
      <c r="DH39" s="1048"/>
      <c r="DI39" s="261"/>
      <c r="DJ39" s="1048" t="str">
        <f>IF(OR(CharacterLevel="",Spellcasting!CG$14=""),"",VLOOKUP(Spellcasting!CG$14,Tables!$TK:$UB,Tables!$TW$1,FALSE))</f>
        <v/>
      </c>
      <c r="DK39" s="1048"/>
      <c r="DL39" s="1048"/>
      <c r="DM39" s="1048"/>
      <c r="DN39" s="261"/>
      <c r="DO39" s="1048" t="str">
        <f>IF(OR(CharacterLevel="",Spellcasting!CG$14=""),"",VLOOKUP(Spellcasting!CG$14,Tables!$TK:$UB,Tables!$TZ$1,FALSE))</f>
        <v/>
      </c>
      <c r="DP39" s="1048"/>
      <c r="DQ39" s="1048"/>
      <c r="DR39" s="1048"/>
      <c r="DS39" s="261"/>
      <c r="DT39" s="1319" t="str">
        <f>IF(OR(CharacterLevel="",Spellcasting!CG$14=""),"",VLOOKUP(Spellcasting!CG$14,Tables!$TK:$UB,Tables!$UB$1,FALSE))</f>
        <v/>
      </c>
      <c r="DU39" s="1319"/>
      <c r="DV39" s="1319"/>
      <c r="DW39" s="1319"/>
      <c r="DX39" s="1319"/>
      <c r="DY39" s="1319"/>
      <c r="DZ39" s="1319"/>
      <c r="EA39" s="1319"/>
      <c r="EB39" s="1319"/>
      <c r="EC39" s="1319"/>
      <c r="ED39" s="1319"/>
      <c r="EE39" s="1319"/>
      <c r="EF39" s="1319"/>
      <c r="EG39" s="1319"/>
      <c r="EH39" s="1319"/>
      <c r="EI39" s="1319"/>
      <c r="EJ39" s="1319"/>
      <c r="EK39" s="1319"/>
      <c r="EL39" s="1319"/>
      <c r="EM39" s="1319"/>
      <c r="EN39" s="1319"/>
      <c r="EO39" s="1319"/>
      <c r="EP39" s="1319"/>
      <c r="EQ39" s="1319"/>
      <c r="ER39" s="1319"/>
      <c r="ES39" s="6">
        <f>ES37+1</f>
        <v>5</v>
      </c>
    </row>
    <row r="40" spans="1:149" ht="9.75" customHeight="1" x14ac:dyDescent="0.2">
      <c r="A40" s="5"/>
      <c r="B40" s="1411"/>
      <c r="C40" s="1411"/>
      <c r="D40" s="1411"/>
      <c r="E40" s="1411"/>
      <c r="F40" s="1411"/>
      <c r="G40" s="1411"/>
      <c r="H40" s="1411"/>
      <c r="I40" s="1411"/>
      <c r="J40" s="1411"/>
      <c r="K40" s="1411"/>
      <c r="L40" s="1411"/>
      <c r="M40" s="1411"/>
      <c r="N40" s="1411"/>
      <c r="O40" s="1411"/>
      <c r="P40" s="1411"/>
      <c r="Q40" s="1411"/>
      <c r="R40" s="1411"/>
      <c r="S40" s="1411"/>
      <c r="T40" s="1411"/>
      <c r="U40" s="1411"/>
      <c r="V40" s="1411"/>
      <c r="W40" s="1411"/>
      <c r="X40" s="1411"/>
      <c r="Y40" s="1411"/>
      <c r="Z40" s="1411"/>
      <c r="AA40" s="1411"/>
      <c r="AB40" s="1411"/>
      <c r="AC40" s="1411"/>
      <c r="AD40" s="1411"/>
      <c r="AE40" s="1411"/>
      <c r="AF40" s="1411"/>
      <c r="AG40" s="1411"/>
      <c r="AH40" s="1411"/>
      <c r="AI40" s="1411"/>
      <c r="AJ40" s="1411"/>
      <c r="AK40" s="1411"/>
      <c r="AL40" s="1411"/>
      <c r="AM40" s="1411"/>
      <c r="AN40" s="1411"/>
      <c r="AO40" s="1411"/>
      <c r="AP40" s="1411"/>
      <c r="AQ40" s="1411"/>
      <c r="AR40" s="1411"/>
      <c r="AS40" s="1411"/>
      <c r="AT40" s="1411"/>
      <c r="AU40" s="1411"/>
      <c r="AV40" s="1411"/>
      <c r="AW40" s="1411"/>
      <c r="AX40" s="1411"/>
      <c r="AY40" s="1411"/>
      <c r="AZ40" s="1411"/>
      <c r="BA40" s="1411"/>
      <c r="BB40" s="1411"/>
      <c r="BC40" s="1411"/>
      <c r="BD40" s="1411"/>
      <c r="BE40" s="1411"/>
      <c r="BF40" s="1411"/>
      <c r="BG40" s="1411"/>
      <c r="BH40" s="1411"/>
      <c r="BI40" s="1411"/>
      <c r="BJ40" s="1411"/>
      <c r="BK40" s="1411"/>
      <c r="BL40" s="1411"/>
      <c r="BM40" s="1411"/>
      <c r="BN40" s="1411"/>
      <c r="BO40" s="1411"/>
      <c r="BP40" s="1411"/>
      <c r="BQ40" s="1411"/>
      <c r="BR40" s="1411"/>
      <c r="BS40" s="1411"/>
      <c r="BT40" s="1411"/>
      <c r="BU40" s="1411"/>
      <c r="BV40" s="1411"/>
      <c r="BW40" s="5"/>
      <c r="BX40" s="1324"/>
      <c r="BY40" s="1324"/>
      <c r="BZ40" s="1324"/>
      <c r="CA40" s="1325"/>
      <c r="CB40" s="1325"/>
      <c r="CC40" s="1325"/>
      <c r="CD40" s="1325"/>
      <c r="CE40" s="1325"/>
      <c r="CF40" s="1325"/>
      <c r="CG40" s="1325"/>
      <c r="CH40" s="1325"/>
      <c r="CI40" s="1325"/>
      <c r="CJ40" s="1325"/>
      <c r="CK40" s="1325"/>
      <c r="CL40" s="1325"/>
      <c r="CM40" s="1325"/>
      <c r="CN40" s="1325"/>
      <c r="CO40" s="1325"/>
      <c r="CP40" s="1325"/>
      <c r="CQ40" s="263"/>
      <c r="CR40" s="1321"/>
      <c r="CS40" s="1321"/>
      <c r="CT40" s="1321"/>
      <c r="CU40" s="1321"/>
      <c r="CV40" s="1321"/>
      <c r="CW40" s="5"/>
      <c r="CX40" s="1321"/>
      <c r="CY40" s="1321"/>
      <c r="CZ40" s="1321"/>
      <c r="DA40" s="1321"/>
      <c r="DB40" s="5"/>
      <c r="DC40" s="1321"/>
      <c r="DD40" s="1321"/>
      <c r="DE40" s="1321"/>
      <c r="DF40" s="1321"/>
      <c r="DG40" s="1321"/>
      <c r="DH40" s="1321"/>
      <c r="DI40" s="5"/>
      <c r="DJ40" s="1321"/>
      <c r="DK40" s="1321"/>
      <c r="DL40" s="1321"/>
      <c r="DM40" s="1321"/>
      <c r="DN40" s="5"/>
      <c r="DO40" s="1321"/>
      <c r="DP40" s="1321"/>
      <c r="DQ40" s="1321"/>
      <c r="DR40" s="1321"/>
      <c r="DS40" s="5"/>
      <c r="DT40" s="1320"/>
      <c r="DU40" s="1320"/>
      <c r="DV40" s="1320"/>
      <c r="DW40" s="1320"/>
      <c r="DX40" s="1320"/>
      <c r="DY40" s="1320"/>
      <c r="DZ40" s="1320"/>
      <c r="EA40" s="1320"/>
      <c r="EB40" s="1320"/>
      <c r="EC40" s="1320"/>
      <c r="ED40" s="1320"/>
      <c r="EE40" s="1320"/>
      <c r="EF40" s="1320"/>
      <c r="EG40" s="1320"/>
      <c r="EH40" s="1320"/>
      <c r="EI40" s="1320"/>
      <c r="EJ40" s="1320"/>
      <c r="EK40" s="1320"/>
      <c r="EL40" s="1320"/>
      <c r="EM40" s="1320"/>
      <c r="EN40" s="1320"/>
      <c r="EO40" s="1320"/>
      <c r="EP40" s="1320"/>
      <c r="EQ40" s="1320"/>
      <c r="ER40" s="1320"/>
    </row>
    <row r="41" spans="1:149" ht="9.75" customHeight="1" x14ac:dyDescent="0.2">
      <c r="A41" s="5"/>
      <c r="B41" s="1411"/>
      <c r="C41" s="1411"/>
      <c r="D41" s="1411"/>
      <c r="E41" s="1411"/>
      <c r="F41" s="1411"/>
      <c r="G41" s="1411"/>
      <c r="H41" s="1411"/>
      <c r="I41" s="1411"/>
      <c r="J41" s="1411"/>
      <c r="K41" s="1411"/>
      <c r="L41" s="1411"/>
      <c r="M41" s="1411"/>
      <c r="N41" s="1411"/>
      <c r="O41" s="1411"/>
      <c r="P41" s="1411"/>
      <c r="Q41" s="1411"/>
      <c r="R41" s="1411"/>
      <c r="S41" s="1411"/>
      <c r="T41" s="1411"/>
      <c r="U41" s="1411"/>
      <c r="V41" s="1411"/>
      <c r="W41" s="1411"/>
      <c r="X41" s="1411"/>
      <c r="Y41" s="1411"/>
      <c r="Z41" s="1411"/>
      <c r="AA41" s="1411"/>
      <c r="AB41" s="1411"/>
      <c r="AC41" s="1411"/>
      <c r="AD41" s="1411"/>
      <c r="AE41" s="1411"/>
      <c r="AF41" s="1411"/>
      <c r="AG41" s="1411"/>
      <c r="AH41" s="1411"/>
      <c r="AI41" s="1411"/>
      <c r="AJ41" s="1411"/>
      <c r="AK41" s="1411"/>
      <c r="AL41" s="1411"/>
      <c r="AM41" s="1411"/>
      <c r="AN41" s="1411"/>
      <c r="AO41" s="1411"/>
      <c r="AP41" s="1411"/>
      <c r="AQ41" s="1411"/>
      <c r="AR41" s="1411"/>
      <c r="AS41" s="1411"/>
      <c r="AT41" s="1411"/>
      <c r="AU41" s="1411"/>
      <c r="AV41" s="1411"/>
      <c r="AW41" s="1411"/>
      <c r="AX41" s="1411"/>
      <c r="AY41" s="1411"/>
      <c r="AZ41" s="1411"/>
      <c r="BA41" s="1411"/>
      <c r="BB41" s="1411"/>
      <c r="BC41" s="1411"/>
      <c r="BD41" s="1411"/>
      <c r="BE41" s="1411"/>
      <c r="BF41" s="1411"/>
      <c r="BG41" s="1411"/>
      <c r="BH41" s="1411"/>
      <c r="BI41" s="1411"/>
      <c r="BJ41" s="1411"/>
      <c r="BK41" s="1411"/>
      <c r="BL41" s="1411"/>
      <c r="BM41" s="1411"/>
      <c r="BN41" s="1411"/>
      <c r="BO41" s="1411"/>
      <c r="BP41" s="1411"/>
      <c r="BQ41" s="1411"/>
      <c r="BR41" s="1411"/>
      <c r="BS41" s="1411"/>
      <c r="BT41" s="1411"/>
      <c r="BU41" s="1411"/>
      <c r="BV41" s="1411"/>
      <c r="BW41" s="5"/>
      <c r="BX41" s="1324" t="str">
        <f>IF(CharacterLevel="",'Character Sheet III'!$CF$202,IF(Spellcasting!CE15="•",'Character Sheet III'!$BX$202,'Character Sheet III'!$CF$202))</f>
        <v>□</v>
      </c>
      <c r="BY41" s="1324"/>
      <c r="BZ41" s="1324"/>
      <c r="CA41" s="1325" t="str">
        <f>IF(OR(CharacterLevel="",Spellcasting!CG$15=""),"",VLOOKUP(Spellcasting!CG$15,Tables!$TK:$UB,Tables!$TN$1,FALSE))</f>
        <v/>
      </c>
      <c r="CB41" s="1325"/>
      <c r="CC41" s="1325"/>
      <c r="CD41" s="1325"/>
      <c r="CE41" s="1325"/>
      <c r="CF41" s="1325"/>
      <c r="CG41" s="1325"/>
      <c r="CH41" s="1325"/>
      <c r="CI41" s="1325"/>
      <c r="CJ41" s="1325"/>
      <c r="CK41" s="1325"/>
      <c r="CL41" s="1325"/>
      <c r="CM41" s="1325"/>
      <c r="CN41" s="1325"/>
      <c r="CO41" s="1325"/>
      <c r="CP41" s="1325"/>
      <c r="CQ41" s="263"/>
      <c r="CR41" s="1048" t="str">
        <f>IF(OR(CharacterLevel="",Spellcasting!CG$15=""),"",VLOOKUP(Spellcasting!CG$15,Tables!$TK:$UB,Tables!$TT$1,FALSE))</f>
        <v/>
      </c>
      <c r="CS41" s="1048"/>
      <c r="CT41" s="1048"/>
      <c r="CU41" s="1048"/>
      <c r="CV41" s="1048"/>
      <c r="CW41" s="263"/>
      <c r="CX41" s="1048" t="str">
        <f>IF(OR(CharacterLevel="",Spellcasting!CG$15=""),"",VLOOKUP(Spellcasting!CG$15,Tables!$TK:$UB,Tables!$TU$1,FALSE))</f>
        <v/>
      </c>
      <c r="CY41" s="1048"/>
      <c r="CZ41" s="1048"/>
      <c r="DA41" s="1048"/>
      <c r="DB41" s="263"/>
      <c r="DC41" s="1048" t="str">
        <f>IF(OR(CharacterLevel="",Spellcasting!CG$15=""),"",VLOOKUP(Spellcasting!CG$15,Tables!$TK:$UB,Tables!$TV$1,FALSE))</f>
        <v/>
      </c>
      <c r="DD41" s="1048"/>
      <c r="DE41" s="1048"/>
      <c r="DF41" s="1048"/>
      <c r="DG41" s="1048"/>
      <c r="DH41" s="1048"/>
      <c r="DI41" s="261"/>
      <c r="DJ41" s="1048" t="str">
        <f>IF(OR(CharacterLevel="",Spellcasting!CG$15=""),"",VLOOKUP(Spellcasting!CG$15,Tables!$TK:$UB,Tables!$TW$1,FALSE))</f>
        <v/>
      </c>
      <c r="DK41" s="1048"/>
      <c r="DL41" s="1048"/>
      <c r="DM41" s="1048"/>
      <c r="DN41" s="261"/>
      <c r="DO41" s="1048" t="str">
        <f>IF(OR(CharacterLevel="",Spellcasting!CG$15=""),"",VLOOKUP(Spellcasting!CG$15,Tables!$TK:$UB,Tables!$TZ$1,FALSE))</f>
        <v/>
      </c>
      <c r="DP41" s="1048"/>
      <c r="DQ41" s="1048"/>
      <c r="DR41" s="1048"/>
      <c r="DS41" s="261"/>
      <c r="DT41" s="1319" t="str">
        <f>IF(OR(CharacterLevel="",Spellcasting!CG$15=""),"",VLOOKUP(Spellcasting!CG$15,Tables!$TK:$UB,Tables!$UB$1,FALSE))</f>
        <v/>
      </c>
      <c r="DU41" s="1319"/>
      <c r="DV41" s="1319"/>
      <c r="DW41" s="1319"/>
      <c r="DX41" s="1319"/>
      <c r="DY41" s="1319"/>
      <c r="DZ41" s="1319"/>
      <c r="EA41" s="1319"/>
      <c r="EB41" s="1319"/>
      <c r="EC41" s="1319"/>
      <c r="ED41" s="1319"/>
      <c r="EE41" s="1319"/>
      <c r="EF41" s="1319"/>
      <c r="EG41" s="1319"/>
      <c r="EH41" s="1319"/>
      <c r="EI41" s="1319"/>
      <c r="EJ41" s="1319"/>
      <c r="EK41" s="1319"/>
      <c r="EL41" s="1319"/>
      <c r="EM41" s="1319"/>
      <c r="EN41" s="1319"/>
      <c r="EO41" s="1319"/>
      <c r="EP41" s="1319"/>
      <c r="EQ41" s="1319"/>
      <c r="ER41" s="1319"/>
      <c r="ES41" s="6">
        <f>ES39+1</f>
        <v>6</v>
      </c>
    </row>
    <row r="42" spans="1:149" ht="9.75" customHeight="1" x14ac:dyDescent="0.2">
      <c r="A42" s="5"/>
      <c r="B42" s="1411"/>
      <c r="C42" s="1411"/>
      <c r="D42" s="1411"/>
      <c r="E42" s="1411"/>
      <c r="F42" s="1411"/>
      <c r="G42" s="1411"/>
      <c r="H42" s="1411"/>
      <c r="I42" s="1411"/>
      <c r="J42" s="1411"/>
      <c r="K42" s="1411"/>
      <c r="L42" s="1411"/>
      <c r="M42" s="1411"/>
      <c r="N42" s="1411"/>
      <c r="O42" s="1411"/>
      <c r="P42" s="1411"/>
      <c r="Q42" s="1411"/>
      <c r="R42" s="1411"/>
      <c r="S42" s="1411"/>
      <c r="T42" s="1411"/>
      <c r="U42" s="1411"/>
      <c r="V42" s="1411"/>
      <c r="W42" s="1411"/>
      <c r="X42" s="1411"/>
      <c r="Y42" s="1411"/>
      <c r="Z42" s="1411"/>
      <c r="AA42" s="1411"/>
      <c r="AB42" s="1411"/>
      <c r="AC42" s="1411"/>
      <c r="AD42" s="1411"/>
      <c r="AE42" s="1411"/>
      <c r="AF42" s="1411"/>
      <c r="AG42" s="1411"/>
      <c r="AH42" s="1411"/>
      <c r="AI42" s="1411"/>
      <c r="AJ42" s="1411"/>
      <c r="AK42" s="1411"/>
      <c r="AL42" s="1411"/>
      <c r="AM42" s="1411"/>
      <c r="AN42" s="1411"/>
      <c r="AO42" s="1411"/>
      <c r="AP42" s="1411"/>
      <c r="AQ42" s="1411"/>
      <c r="AR42" s="1411"/>
      <c r="AS42" s="1411"/>
      <c r="AT42" s="1411"/>
      <c r="AU42" s="1411"/>
      <c r="AV42" s="1411"/>
      <c r="AW42" s="1411"/>
      <c r="AX42" s="1411"/>
      <c r="AY42" s="1411"/>
      <c r="AZ42" s="1411"/>
      <c r="BA42" s="1411"/>
      <c r="BB42" s="1411"/>
      <c r="BC42" s="1411"/>
      <c r="BD42" s="1411"/>
      <c r="BE42" s="1411"/>
      <c r="BF42" s="1411"/>
      <c r="BG42" s="1411"/>
      <c r="BH42" s="1411"/>
      <c r="BI42" s="1411"/>
      <c r="BJ42" s="1411"/>
      <c r="BK42" s="1411"/>
      <c r="BL42" s="1411"/>
      <c r="BM42" s="1411"/>
      <c r="BN42" s="1411"/>
      <c r="BO42" s="1411"/>
      <c r="BP42" s="1411"/>
      <c r="BQ42" s="1411"/>
      <c r="BR42" s="1411"/>
      <c r="BS42" s="1411"/>
      <c r="BT42" s="1411"/>
      <c r="BU42" s="1411"/>
      <c r="BV42" s="1411"/>
      <c r="BW42" s="5"/>
      <c r="BX42" s="1324"/>
      <c r="BY42" s="1324"/>
      <c r="BZ42" s="1324"/>
      <c r="CA42" s="1325"/>
      <c r="CB42" s="1325"/>
      <c r="CC42" s="1325"/>
      <c r="CD42" s="1325"/>
      <c r="CE42" s="1325"/>
      <c r="CF42" s="1325"/>
      <c r="CG42" s="1325"/>
      <c r="CH42" s="1325"/>
      <c r="CI42" s="1325"/>
      <c r="CJ42" s="1325"/>
      <c r="CK42" s="1325"/>
      <c r="CL42" s="1325"/>
      <c r="CM42" s="1325"/>
      <c r="CN42" s="1325"/>
      <c r="CO42" s="1325"/>
      <c r="CP42" s="1325"/>
      <c r="CQ42" s="263"/>
      <c r="CR42" s="1321"/>
      <c r="CS42" s="1321"/>
      <c r="CT42" s="1321"/>
      <c r="CU42" s="1321"/>
      <c r="CV42" s="1321"/>
      <c r="CW42" s="5"/>
      <c r="CX42" s="1321"/>
      <c r="CY42" s="1321"/>
      <c r="CZ42" s="1321"/>
      <c r="DA42" s="1321"/>
      <c r="DB42" s="5"/>
      <c r="DC42" s="1321"/>
      <c r="DD42" s="1321"/>
      <c r="DE42" s="1321"/>
      <c r="DF42" s="1321"/>
      <c r="DG42" s="1321"/>
      <c r="DH42" s="1321"/>
      <c r="DI42" s="5"/>
      <c r="DJ42" s="1321"/>
      <c r="DK42" s="1321"/>
      <c r="DL42" s="1321"/>
      <c r="DM42" s="1321"/>
      <c r="DN42" s="5"/>
      <c r="DO42" s="1321"/>
      <c r="DP42" s="1321"/>
      <c r="DQ42" s="1321"/>
      <c r="DR42" s="1321"/>
      <c r="DS42" s="5"/>
      <c r="DT42" s="1320"/>
      <c r="DU42" s="1320"/>
      <c r="DV42" s="1320"/>
      <c r="DW42" s="1320"/>
      <c r="DX42" s="1320"/>
      <c r="DY42" s="1320"/>
      <c r="DZ42" s="1320"/>
      <c r="EA42" s="1320"/>
      <c r="EB42" s="1320"/>
      <c r="EC42" s="1320"/>
      <c r="ED42" s="1320"/>
      <c r="EE42" s="1320"/>
      <c r="EF42" s="1320"/>
      <c r="EG42" s="1320"/>
      <c r="EH42" s="1320"/>
      <c r="EI42" s="1320"/>
      <c r="EJ42" s="1320"/>
      <c r="EK42" s="1320"/>
      <c r="EL42" s="1320"/>
      <c r="EM42" s="1320"/>
      <c r="EN42" s="1320"/>
      <c r="EO42" s="1320"/>
      <c r="EP42" s="1320"/>
      <c r="EQ42" s="1320"/>
      <c r="ER42" s="1320"/>
    </row>
    <row r="43" spans="1:149" ht="9.75" customHeight="1" x14ac:dyDescent="0.2">
      <c r="A43" s="5"/>
      <c r="B43" s="1412"/>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c r="AM43" s="1412"/>
      <c r="AN43" s="1412"/>
      <c r="AO43" s="1412"/>
      <c r="AP43" s="1412"/>
      <c r="AQ43" s="1412"/>
      <c r="AR43" s="1412"/>
      <c r="AS43" s="1412"/>
      <c r="AT43" s="1412"/>
      <c r="AU43" s="1412"/>
      <c r="AV43" s="1412"/>
      <c r="AW43" s="1412"/>
      <c r="AX43" s="1412"/>
      <c r="AY43" s="1412"/>
      <c r="AZ43" s="1412"/>
      <c r="BA43" s="1412"/>
      <c r="BB43" s="1412"/>
      <c r="BC43" s="1412"/>
      <c r="BD43" s="1412"/>
      <c r="BE43" s="1412"/>
      <c r="BF43" s="1412"/>
      <c r="BG43" s="1412"/>
      <c r="BH43" s="1412"/>
      <c r="BI43" s="1412"/>
      <c r="BJ43" s="1412"/>
      <c r="BK43" s="1412"/>
      <c r="BL43" s="1412"/>
      <c r="BM43" s="1412"/>
      <c r="BN43" s="1412"/>
      <c r="BO43" s="1412"/>
      <c r="BP43" s="1412"/>
      <c r="BQ43" s="1412"/>
      <c r="BR43" s="1412"/>
      <c r="BS43" s="1412"/>
      <c r="BT43" s="1412"/>
      <c r="BU43" s="1412"/>
      <c r="BV43" s="1412"/>
      <c r="BW43" s="5"/>
      <c r="BX43" s="1324" t="str">
        <f>IF(CharacterLevel="",'Character Sheet III'!$CF$202,IF(Spellcasting!CE16="•",'Character Sheet III'!$BX$202,'Character Sheet III'!$CF$202))</f>
        <v>□</v>
      </c>
      <c r="BY43" s="1324"/>
      <c r="BZ43" s="1324"/>
      <c r="CA43" s="1325" t="str">
        <f>IF(OR(CharacterLevel="",Spellcasting!CG$16=""),"",VLOOKUP(Spellcasting!CG$16,Tables!$TK:$UB,Tables!$TN$1,FALSE))</f>
        <v/>
      </c>
      <c r="CB43" s="1325"/>
      <c r="CC43" s="1325"/>
      <c r="CD43" s="1325"/>
      <c r="CE43" s="1325"/>
      <c r="CF43" s="1325"/>
      <c r="CG43" s="1325"/>
      <c r="CH43" s="1325"/>
      <c r="CI43" s="1325"/>
      <c r="CJ43" s="1325"/>
      <c r="CK43" s="1325"/>
      <c r="CL43" s="1325"/>
      <c r="CM43" s="1325"/>
      <c r="CN43" s="1325"/>
      <c r="CO43" s="1325"/>
      <c r="CP43" s="1325"/>
      <c r="CQ43" s="263"/>
      <c r="CR43" s="1048" t="str">
        <f>IF(OR(CharacterLevel="",Spellcasting!CG$16=""),"",VLOOKUP(Spellcasting!CG$16,Tables!$TK:$UB,Tables!$TT$1,FALSE))</f>
        <v/>
      </c>
      <c r="CS43" s="1048"/>
      <c r="CT43" s="1048"/>
      <c r="CU43" s="1048"/>
      <c r="CV43" s="1048"/>
      <c r="CW43" s="263"/>
      <c r="CX43" s="1048" t="str">
        <f>IF(OR(CharacterLevel="",Spellcasting!CG$16=""),"",VLOOKUP(Spellcasting!CG$16,Tables!$TK:$UB,Tables!$TU$1,FALSE))</f>
        <v/>
      </c>
      <c r="CY43" s="1048"/>
      <c r="CZ43" s="1048"/>
      <c r="DA43" s="1048"/>
      <c r="DB43" s="263"/>
      <c r="DC43" s="1048" t="str">
        <f>IF(OR(CharacterLevel="",Spellcasting!CG$16=""),"",VLOOKUP(Spellcasting!CG$16,Tables!$TK:$UB,Tables!$TV$1,FALSE))</f>
        <v/>
      </c>
      <c r="DD43" s="1048"/>
      <c r="DE43" s="1048"/>
      <c r="DF43" s="1048"/>
      <c r="DG43" s="1048"/>
      <c r="DH43" s="1048"/>
      <c r="DI43" s="261"/>
      <c r="DJ43" s="1048" t="str">
        <f>IF(OR(CharacterLevel="",Spellcasting!CG$16=""),"",VLOOKUP(Spellcasting!CG$16,Tables!$TK:$UB,Tables!$TW$1,FALSE))</f>
        <v/>
      </c>
      <c r="DK43" s="1048"/>
      <c r="DL43" s="1048"/>
      <c r="DM43" s="1048"/>
      <c r="DN43" s="261"/>
      <c r="DO43" s="1048" t="str">
        <f>IF(OR(CharacterLevel="",Spellcasting!CG$16=""),"",VLOOKUP(Spellcasting!CG$16,Tables!$TK:$UB,Tables!$TZ$1,FALSE))</f>
        <v/>
      </c>
      <c r="DP43" s="1048"/>
      <c r="DQ43" s="1048"/>
      <c r="DR43" s="1048"/>
      <c r="DS43" s="261"/>
      <c r="DT43" s="1319" t="str">
        <f>IF(OR(CharacterLevel="",Spellcasting!CG$16=""),"",VLOOKUP(Spellcasting!CG$16,Tables!$TK:$UB,Tables!$UB$1,FALSE))</f>
        <v/>
      </c>
      <c r="DU43" s="1319"/>
      <c r="DV43" s="1319"/>
      <c r="DW43" s="1319"/>
      <c r="DX43" s="1319"/>
      <c r="DY43" s="1319"/>
      <c r="DZ43" s="1319"/>
      <c r="EA43" s="1319"/>
      <c r="EB43" s="1319"/>
      <c r="EC43" s="1319"/>
      <c r="ED43" s="1319"/>
      <c r="EE43" s="1319"/>
      <c r="EF43" s="1319"/>
      <c r="EG43" s="1319"/>
      <c r="EH43" s="1319"/>
      <c r="EI43" s="1319"/>
      <c r="EJ43" s="1319"/>
      <c r="EK43" s="1319"/>
      <c r="EL43" s="1319"/>
      <c r="EM43" s="1319"/>
      <c r="EN43" s="1319"/>
      <c r="EO43" s="1319"/>
      <c r="EP43" s="1319"/>
      <c r="EQ43" s="1319"/>
      <c r="ER43" s="1319"/>
      <c r="ES43" s="6">
        <f>ES41+1</f>
        <v>7</v>
      </c>
    </row>
    <row r="44" spans="1:149" ht="9.75" customHeight="1" x14ac:dyDescent="0.2">
      <c r="A44" s="5"/>
      <c r="B44" s="1376" t="s">
        <v>323</v>
      </c>
      <c r="C44" s="1376"/>
      <c r="D44" s="1376"/>
      <c r="E44" s="1376"/>
      <c r="F44" s="1376"/>
      <c r="G44" s="1376"/>
      <c r="H44" s="1376"/>
      <c r="I44" s="1376"/>
      <c r="J44" s="1376"/>
      <c r="K44" s="1376"/>
      <c r="L44" s="1376"/>
      <c r="M44" s="1376"/>
      <c r="N44" s="1376"/>
      <c r="O44" s="1376"/>
      <c r="P44" s="1376"/>
      <c r="Q44" s="1376"/>
      <c r="R44" s="1376"/>
      <c r="S44" s="1376"/>
      <c r="T44" s="1376"/>
      <c r="U44" s="1376"/>
      <c r="V44" s="1376"/>
      <c r="W44" s="1376"/>
      <c r="X44" s="1376"/>
      <c r="Y44" s="1376"/>
      <c r="Z44" s="1376"/>
      <c r="AA44" s="1376"/>
      <c r="AB44" s="1376"/>
      <c r="AC44" s="1376"/>
      <c r="AD44" s="1376"/>
      <c r="AE44" s="1376"/>
      <c r="AF44" s="1376"/>
      <c r="AG44" s="1376"/>
      <c r="AH44" s="1376"/>
      <c r="AI44" s="1376"/>
      <c r="AJ44" s="1376"/>
      <c r="AK44" s="1376"/>
      <c r="AL44" s="1376"/>
      <c r="AM44" s="1376"/>
      <c r="AN44" s="1376"/>
      <c r="AO44" s="1376"/>
      <c r="AP44" s="1376"/>
      <c r="AQ44" s="1376"/>
      <c r="AR44" s="1376"/>
      <c r="AS44" s="1376"/>
      <c r="AT44" s="1376"/>
      <c r="AU44" s="1376"/>
      <c r="AV44" s="1376"/>
      <c r="AW44" s="1376"/>
      <c r="AX44" s="1376"/>
      <c r="AY44" s="1376"/>
      <c r="AZ44" s="1376"/>
      <c r="BA44" s="1376"/>
      <c r="BB44" s="1376"/>
      <c r="BC44" s="1376"/>
      <c r="BD44" s="1376"/>
      <c r="BE44" s="1376"/>
      <c r="BF44" s="1376"/>
      <c r="BG44" s="1376"/>
      <c r="BH44" s="1376"/>
      <c r="BI44" s="1376"/>
      <c r="BJ44" s="1376"/>
      <c r="BK44" s="1376"/>
      <c r="BL44" s="1376"/>
      <c r="BM44" s="1376"/>
      <c r="BN44" s="1376"/>
      <c r="BO44" s="1376"/>
      <c r="BP44" s="1376"/>
      <c r="BQ44" s="1376"/>
      <c r="BR44" s="1376"/>
      <c r="BS44" s="1376"/>
      <c r="BT44" s="1376"/>
      <c r="BU44" s="1376"/>
      <c r="BV44" s="1376"/>
      <c r="BW44" s="5"/>
      <c r="BX44" s="1324"/>
      <c r="BY44" s="1324"/>
      <c r="BZ44" s="1324"/>
      <c r="CA44" s="1325" t="e">
        <f>IF(OR(CharacterLevel="",Spellcasting!#REF!=""),"",VLOOKUP(Spellcasting!#REF!,Tables!WX:XQ,Tables!$TN$1,FALSE))</f>
        <v>#REF!</v>
      </c>
      <c r="CB44" s="1325"/>
      <c r="CC44" s="1325"/>
      <c r="CD44" s="1325"/>
      <c r="CE44" s="1325"/>
      <c r="CF44" s="1325"/>
      <c r="CG44" s="1325"/>
      <c r="CH44" s="1325"/>
      <c r="CI44" s="1325"/>
      <c r="CJ44" s="1325"/>
      <c r="CK44" s="1325"/>
      <c r="CL44" s="1325"/>
      <c r="CM44" s="1325"/>
      <c r="CN44" s="1325"/>
      <c r="CO44" s="1325"/>
      <c r="CP44" s="1325"/>
      <c r="CQ44" s="263"/>
      <c r="CR44" s="1321"/>
      <c r="CS44" s="1321"/>
      <c r="CT44" s="1321"/>
      <c r="CU44" s="1321"/>
      <c r="CV44" s="1321"/>
      <c r="CW44" s="5"/>
      <c r="CX44" s="1321"/>
      <c r="CY44" s="1321"/>
      <c r="CZ44" s="1321"/>
      <c r="DA44" s="1321"/>
      <c r="DB44" s="5"/>
      <c r="DC44" s="1321"/>
      <c r="DD44" s="1321"/>
      <c r="DE44" s="1321"/>
      <c r="DF44" s="1321"/>
      <c r="DG44" s="1321"/>
      <c r="DH44" s="1321"/>
      <c r="DI44" s="5"/>
      <c r="DJ44" s="1321"/>
      <c r="DK44" s="1321"/>
      <c r="DL44" s="1321"/>
      <c r="DM44" s="1321"/>
      <c r="DN44" s="5"/>
      <c r="DO44" s="1321"/>
      <c r="DP44" s="1321"/>
      <c r="DQ44" s="1321"/>
      <c r="DR44" s="1321"/>
      <c r="DS44" s="5"/>
      <c r="DT44" s="1320"/>
      <c r="DU44" s="1320"/>
      <c r="DV44" s="1320"/>
      <c r="DW44" s="1320"/>
      <c r="DX44" s="1320"/>
      <c r="DY44" s="1320"/>
      <c r="DZ44" s="1320"/>
      <c r="EA44" s="1320"/>
      <c r="EB44" s="1320"/>
      <c r="EC44" s="1320"/>
      <c r="ED44" s="1320"/>
      <c r="EE44" s="1320"/>
      <c r="EF44" s="1320"/>
      <c r="EG44" s="1320"/>
      <c r="EH44" s="1320"/>
      <c r="EI44" s="1320"/>
      <c r="EJ44" s="1320"/>
      <c r="EK44" s="1320"/>
      <c r="EL44" s="1320"/>
      <c r="EM44" s="1320"/>
      <c r="EN44" s="1320"/>
      <c r="EO44" s="1320"/>
      <c r="EP44" s="1320"/>
      <c r="EQ44" s="1320"/>
      <c r="ER44" s="1320"/>
    </row>
    <row r="45" spans="1:149" ht="9.75" customHeight="1" x14ac:dyDescent="0.2">
      <c r="A45" s="5"/>
      <c r="B45" s="1375"/>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5"/>
      <c r="BX45" s="1324" t="str">
        <f>IF(CharacterLevel="",'Character Sheet III'!$CF$202,IF(Spellcasting!CE17="•",'Character Sheet III'!$BX$202,'Character Sheet III'!$CF$202))</f>
        <v>□</v>
      </c>
      <c r="BY45" s="1324"/>
      <c r="BZ45" s="1324"/>
      <c r="CA45" s="1325" t="str">
        <f>IF(OR(CharacterLevel="",Spellcasting!CG$17=""),"",VLOOKUP(Spellcasting!CG$17,Tables!$TK:$UB,Tables!$TN$1,FALSE))</f>
        <v/>
      </c>
      <c r="CB45" s="1325"/>
      <c r="CC45" s="1325"/>
      <c r="CD45" s="1325"/>
      <c r="CE45" s="1325"/>
      <c r="CF45" s="1325"/>
      <c r="CG45" s="1325"/>
      <c r="CH45" s="1325"/>
      <c r="CI45" s="1325"/>
      <c r="CJ45" s="1325"/>
      <c r="CK45" s="1325"/>
      <c r="CL45" s="1325"/>
      <c r="CM45" s="1325"/>
      <c r="CN45" s="1325"/>
      <c r="CO45" s="1325"/>
      <c r="CP45" s="1325"/>
      <c r="CQ45" s="263"/>
      <c r="CR45" s="1048" t="str">
        <f>IF(OR(CharacterLevel="",Spellcasting!CG$17=""),"",VLOOKUP(Spellcasting!CG$17,Tables!$TK:$UB,Tables!$TT$1,FALSE))</f>
        <v/>
      </c>
      <c r="CS45" s="1048"/>
      <c r="CT45" s="1048"/>
      <c r="CU45" s="1048"/>
      <c r="CV45" s="1048"/>
      <c r="CW45" s="263"/>
      <c r="CX45" s="1048" t="str">
        <f>IF(OR(CharacterLevel="",Spellcasting!CG$17=""),"",VLOOKUP(Spellcasting!CG$17,Tables!$TK:$UB,Tables!$TU$1,FALSE))</f>
        <v/>
      </c>
      <c r="CY45" s="1048"/>
      <c r="CZ45" s="1048"/>
      <c r="DA45" s="1048"/>
      <c r="DB45" s="263"/>
      <c r="DC45" s="1048" t="str">
        <f>IF(OR(CharacterLevel="",Spellcasting!CG$17=""),"",VLOOKUP(Spellcasting!CG$17,Tables!$TK:$UB,Tables!$TV$1,FALSE))</f>
        <v/>
      </c>
      <c r="DD45" s="1048"/>
      <c r="DE45" s="1048"/>
      <c r="DF45" s="1048"/>
      <c r="DG45" s="1048"/>
      <c r="DH45" s="1048"/>
      <c r="DI45" s="261"/>
      <c r="DJ45" s="1048" t="str">
        <f>IF(OR(CharacterLevel="",Spellcasting!CG$17=""),"",VLOOKUP(Spellcasting!CG$17,Tables!$TK:$UB,Tables!$TW$1,FALSE))</f>
        <v/>
      </c>
      <c r="DK45" s="1048"/>
      <c r="DL45" s="1048"/>
      <c r="DM45" s="1048"/>
      <c r="DN45" s="261"/>
      <c r="DO45" s="1048" t="str">
        <f>IF(OR(CharacterLevel="",Spellcasting!CG$17=""),"",VLOOKUP(Spellcasting!CG$17,Tables!$TK:$UB,Tables!$TZ$1,FALSE))</f>
        <v/>
      </c>
      <c r="DP45" s="1048"/>
      <c r="DQ45" s="1048"/>
      <c r="DR45" s="1048"/>
      <c r="DS45" s="261"/>
      <c r="DT45" s="1319" t="str">
        <f>IF(OR(CharacterLevel="",Spellcasting!CG$17=""),"",VLOOKUP(Spellcasting!CG$17,Tables!$TK:$UB,Tables!$UB$1,FALSE))</f>
        <v/>
      </c>
      <c r="DU45" s="1319"/>
      <c r="DV45" s="1319"/>
      <c r="DW45" s="1319"/>
      <c r="DX45" s="1319"/>
      <c r="DY45" s="1319"/>
      <c r="DZ45" s="1319"/>
      <c r="EA45" s="1319"/>
      <c r="EB45" s="1319"/>
      <c r="EC45" s="1319"/>
      <c r="ED45" s="1319"/>
      <c r="EE45" s="1319"/>
      <c r="EF45" s="1319"/>
      <c r="EG45" s="1319"/>
      <c r="EH45" s="1319"/>
      <c r="EI45" s="1319"/>
      <c r="EJ45" s="1319"/>
      <c r="EK45" s="1319"/>
      <c r="EL45" s="1319"/>
      <c r="EM45" s="1319"/>
      <c r="EN45" s="1319"/>
      <c r="EO45" s="1319"/>
      <c r="EP45" s="1319"/>
      <c r="EQ45" s="1319"/>
      <c r="ER45" s="1319"/>
      <c r="ES45" s="6">
        <f>ES43+1</f>
        <v>8</v>
      </c>
    </row>
    <row r="46" spans="1:149" ht="9.75" customHeight="1" x14ac:dyDescent="0.2">
      <c r="A46" s="5"/>
      <c r="B46" s="1410" t="s">
        <v>469</v>
      </c>
      <c r="C46" s="1410"/>
      <c r="D46" s="1410"/>
      <c r="E46" s="1410"/>
      <c r="F46" s="1410"/>
      <c r="G46" s="1410"/>
      <c r="H46" s="1410"/>
      <c r="I46" s="1410"/>
      <c r="J46" s="1410"/>
      <c r="K46" s="1410"/>
      <c r="L46" s="1410"/>
      <c r="M46" s="1410"/>
      <c r="N46" s="1410"/>
      <c r="O46" s="1410"/>
      <c r="P46" s="1410"/>
      <c r="Q46" s="1410"/>
      <c r="R46" s="1410"/>
      <c r="S46" s="1410"/>
      <c r="T46" s="1410"/>
      <c r="U46" s="1410"/>
      <c r="V46" s="1410"/>
      <c r="W46" s="1410"/>
      <c r="X46" s="1410"/>
      <c r="Y46" s="1410"/>
      <c r="Z46" s="1410"/>
      <c r="AA46" s="1410"/>
      <c r="AB46" s="1410"/>
      <c r="AC46" s="1410"/>
      <c r="AD46" s="1410"/>
      <c r="AE46" s="1410"/>
      <c r="AF46" s="1410"/>
      <c r="AG46" s="1410"/>
      <c r="AH46" s="1410"/>
      <c r="AI46" s="1410"/>
      <c r="AJ46" s="1410"/>
      <c r="AK46" s="1410"/>
      <c r="AL46" s="1410"/>
      <c r="AM46" s="1410"/>
      <c r="AN46" s="1410"/>
      <c r="AO46" s="1410"/>
      <c r="AP46" s="1410"/>
      <c r="AQ46" s="1410"/>
      <c r="AR46" s="1410"/>
      <c r="AS46" s="1410"/>
      <c r="AT46" s="1410"/>
      <c r="AU46" s="1410"/>
      <c r="AV46" s="1410"/>
      <c r="AW46" s="1410"/>
      <c r="AX46" s="1410"/>
      <c r="AY46" s="1410"/>
      <c r="AZ46" s="1410"/>
      <c r="BA46" s="1410"/>
      <c r="BB46" s="1410"/>
      <c r="BC46" s="1410"/>
      <c r="BD46" s="1410"/>
      <c r="BE46" s="1410"/>
      <c r="BF46" s="1410"/>
      <c r="BG46" s="1410"/>
      <c r="BH46" s="1410"/>
      <c r="BI46" s="1410"/>
      <c r="BJ46" s="1410"/>
      <c r="BK46" s="1410"/>
      <c r="BL46" s="1410"/>
      <c r="BM46" s="1410"/>
      <c r="BN46" s="1410"/>
      <c r="BO46" s="1410"/>
      <c r="BP46" s="1410"/>
      <c r="BQ46" s="1410"/>
      <c r="BR46" s="1410"/>
      <c r="BS46" s="1410"/>
      <c r="BT46" s="1410"/>
      <c r="BU46" s="1410"/>
      <c r="BV46" s="1410"/>
      <c r="BW46" s="5"/>
      <c r="BX46" s="1324"/>
      <c r="BY46" s="1324"/>
      <c r="BZ46" s="1324"/>
      <c r="CA46" s="1325" t="e">
        <f>IF(OR(CharacterLevel="",Spellcasting!#REF!=""),"",VLOOKUP(Spellcasting!#REF!,Tables!WX:XQ,Tables!$TN$1,FALSE))</f>
        <v>#REF!</v>
      </c>
      <c r="CB46" s="1325"/>
      <c r="CC46" s="1325"/>
      <c r="CD46" s="1325"/>
      <c r="CE46" s="1325"/>
      <c r="CF46" s="1325"/>
      <c r="CG46" s="1325"/>
      <c r="CH46" s="1325"/>
      <c r="CI46" s="1325"/>
      <c r="CJ46" s="1325"/>
      <c r="CK46" s="1325"/>
      <c r="CL46" s="1325"/>
      <c r="CM46" s="1325"/>
      <c r="CN46" s="1325"/>
      <c r="CO46" s="1325"/>
      <c r="CP46" s="1325"/>
      <c r="CQ46" s="263"/>
      <c r="CR46" s="1321"/>
      <c r="CS46" s="1321"/>
      <c r="CT46" s="1321"/>
      <c r="CU46" s="1321"/>
      <c r="CV46" s="1321"/>
      <c r="CW46" s="5"/>
      <c r="CX46" s="1321"/>
      <c r="CY46" s="1321"/>
      <c r="CZ46" s="1321"/>
      <c r="DA46" s="1321"/>
      <c r="DB46" s="5"/>
      <c r="DC46" s="1321"/>
      <c r="DD46" s="1321"/>
      <c r="DE46" s="1321"/>
      <c r="DF46" s="1321"/>
      <c r="DG46" s="1321"/>
      <c r="DH46" s="1321"/>
      <c r="DI46" s="5"/>
      <c r="DJ46" s="1321"/>
      <c r="DK46" s="1321"/>
      <c r="DL46" s="1321"/>
      <c r="DM46" s="1321"/>
      <c r="DN46" s="5"/>
      <c r="DO46" s="1321"/>
      <c r="DP46" s="1321"/>
      <c r="DQ46" s="1321"/>
      <c r="DR46" s="1321"/>
      <c r="DS46" s="5"/>
      <c r="DT46" s="1320"/>
      <c r="DU46" s="1320"/>
      <c r="DV46" s="1320"/>
      <c r="DW46" s="1320"/>
      <c r="DX46" s="1320"/>
      <c r="DY46" s="1320"/>
      <c r="DZ46" s="1320"/>
      <c r="EA46" s="1320"/>
      <c r="EB46" s="1320"/>
      <c r="EC46" s="1320"/>
      <c r="ED46" s="1320"/>
      <c r="EE46" s="1320"/>
      <c r="EF46" s="1320"/>
      <c r="EG46" s="1320"/>
      <c r="EH46" s="1320"/>
      <c r="EI46" s="1320"/>
      <c r="EJ46" s="1320"/>
      <c r="EK46" s="1320"/>
      <c r="EL46" s="1320"/>
      <c r="EM46" s="1320"/>
      <c r="EN46" s="1320"/>
      <c r="EO46" s="1320"/>
      <c r="EP46" s="1320"/>
      <c r="EQ46" s="1320"/>
      <c r="ER46" s="1320"/>
    </row>
    <row r="47" spans="1:149" ht="9.75" customHeight="1" x14ac:dyDescent="0.2">
      <c r="A47" s="5"/>
      <c r="B47" s="1410"/>
      <c r="C47" s="1410"/>
      <c r="D47" s="1410"/>
      <c r="E47" s="1410"/>
      <c r="F47" s="1410"/>
      <c r="G47" s="1410"/>
      <c r="H47" s="1410"/>
      <c r="I47" s="1410"/>
      <c r="J47" s="1410"/>
      <c r="K47" s="1410"/>
      <c r="L47" s="1410"/>
      <c r="M47" s="1410"/>
      <c r="N47" s="1410"/>
      <c r="O47" s="1410"/>
      <c r="P47" s="1410"/>
      <c r="Q47" s="1410"/>
      <c r="R47" s="1410"/>
      <c r="S47" s="1410"/>
      <c r="T47" s="1410"/>
      <c r="U47" s="1410"/>
      <c r="V47" s="1410"/>
      <c r="W47" s="1410"/>
      <c r="X47" s="1410"/>
      <c r="Y47" s="1410"/>
      <c r="Z47" s="1410"/>
      <c r="AA47" s="1410"/>
      <c r="AB47" s="1410"/>
      <c r="AC47" s="1410"/>
      <c r="AD47" s="1410"/>
      <c r="AE47" s="1410"/>
      <c r="AF47" s="1410"/>
      <c r="AG47" s="1410"/>
      <c r="AH47" s="1410"/>
      <c r="AI47" s="1410"/>
      <c r="AJ47" s="1410"/>
      <c r="AK47" s="1410"/>
      <c r="AL47" s="1410"/>
      <c r="AM47" s="1410"/>
      <c r="AN47" s="1410"/>
      <c r="AO47" s="1410"/>
      <c r="AP47" s="1410"/>
      <c r="AQ47" s="1410"/>
      <c r="AR47" s="1410"/>
      <c r="AS47" s="1410"/>
      <c r="AT47" s="1410"/>
      <c r="AU47" s="1410"/>
      <c r="AV47" s="1410"/>
      <c r="AW47" s="1410"/>
      <c r="AX47" s="1410"/>
      <c r="AY47" s="1410"/>
      <c r="AZ47" s="1410"/>
      <c r="BA47" s="1410"/>
      <c r="BB47" s="1410"/>
      <c r="BC47" s="1410"/>
      <c r="BD47" s="1410"/>
      <c r="BE47" s="1410"/>
      <c r="BF47" s="1410"/>
      <c r="BG47" s="1410"/>
      <c r="BH47" s="1410"/>
      <c r="BI47" s="1410"/>
      <c r="BJ47" s="1410"/>
      <c r="BK47" s="1410"/>
      <c r="BL47" s="1410"/>
      <c r="BM47" s="1410"/>
      <c r="BN47" s="1410"/>
      <c r="BO47" s="1410"/>
      <c r="BP47" s="1410"/>
      <c r="BQ47" s="1410"/>
      <c r="BR47" s="1410"/>
      <c r="BS47" s="1410"/>
      <c r="BT47" s="1410"/>
      <c r="BU47" s="1410"/>
      <c r="BV47" s="1410"/>
      <c r="BW47" s="5"/>
      <c r="BX47" s="1324" t="str">
        <f>IF(CharacterLevel="",'Character Sheet III'!$CF$202,IF(Spellcasting!CE18="•",'Character Sheet III'!$BX$202,'Character Sheet III'!$CF$202))</f>
        <v>□</v>
      </c>
      <c r="BY47" s="1324"/>
      <c r="BZ47" s="1324"/>
      <c r="CA47" s="1325" t="str">
        <f>IF(OR(CharacterLevel="",Spellcasting!CG$18=""),"",VLOOKUP(Spellcasting!CG$18,Tables!$TK:$UB,Tables!$TN$1,FALSE))</f>
        <v/>
      </c>
      <c r="CB47" s="1325"/>
      <c r="CC47" s="1325"/>
      <c r="CD47" s="1325"/>
      <c r="CE47" s="1325"/>
      <c r="CF47" s="1325"/>
      <c r="CG47" s="1325"/>
      <c r="CH47" s="1325"/>
      <c r="CI47" s="1325"/>
      <c r="CJ47" s="1325"/>
      <c r="CK47" s="1325"/>
      <c r="CL47" s="1325"/>
      <c r="CM47" s="1325"/>
      <c r="CN47" s="1325"/>
      <c r="CO47" s="1325"/>
      <c r="CP47" s="1325"/>
      <c r="CQ47" s="263"/>
      <c r="CR47" s="1048" t="str">
        <f>IF(OR(CharacterLevel="",Spellcasting!CG$18=""),"",VLOOKUP(Spellcasting!CG$18,Tables!$TK:$UB,Tables!$TT$1,FALSE))</f>
        <v/>
      </c>
      <c r="CS47" s="1048"/>
      <c r="CT47" s="1048"/>
      <c r="CU47" s="1048"/>
      <c r="CV47" s="1048"/>
      <c r="CW47" s="263"/>
      <c r="CX47" s="1048" t="str">
        <f>IF(OR(CharacterLevel="",Spellcasting!CG$18=""),"",VLOOKUP(Spellcasting!CG$18,Tables!$TK:$UB,Tables!$TU$1,FALSE))</f>
        <v/>
      </c>
      <c r="CY47" s="1048"/>
      <c r="CZ47" s="1048"/>
      <c r="DA47" s="1048"/>
      <c r="DB47" s="263"/>
      <c r="DC47" s="1048" t="str">
        <f>IF(OR(CharacterLevel="",Spellcasting!CG$18=""),"",VLOOKUP(Spellcasting!CG$18,Tables!$TK:$UB,Tables!$TV$1,FALSE))</f>
        <v/>
      </c>
      <c r="DD47" s="1048"/>
      <c r="DE47" s="1048"/>
      <c r="DF47" s="1048"/>
      <c r="DG47" s="1048"/>
      <c r="DH47" s="1048"/>
      <c r="DI47" s="261"/>
      <c r="DJ47" s="1048" t="str">
        <f>IF(OR(CharacterLevel="",Spellcasting!CG$18=""),"",VLOOKUP(Spellcasting!CG$18,Tables!$TK:$UB,Tables!$TW$1,FALSE))</f>
        <v/>
      </c>
      <c r="DK47" s="1048"/>
      <c r="DL47" s="1048"/>
      <c r="DM47" s="1048"/>
      <c r="DN47" s="261"/>
      <c r="DO47" s="1048" t="str">
        <f>IF(OR(CharacterLevel="",Spellcasting!CG$18=""),"",VLOOKUP(Spellcasting!CG$18,Tables!$TK:$UB,Tables!$TZ$1,FALSE))</f>
        <v/>
      </c>
      <c r="DP47" s="1048"/>
      <c r="DQ47" s="1048"/>
      <c r="DR47" s="1048"/>
      <c r="DS47" s="261"/>
      <c r="DT47" s="1319" t="str">
        <f>IF(OR(CharacterLevel="",Spellcasting!CG$18=""),"",VLOOKUP(Spellcasting!CG$18,Tables!$TK:$UB,Tables!$UB$1,FALSE))</f>
        <v/>
      </c>
      <c r="DU47" s="1319"/>
      <c r="DV47" s="1319"/>
      <c r="DW47" s="1319"/>
      <c r="DX47" s="1319"/>
      <c r="DY47" s="1319"/>
      <c r="DZ47" s="1319"/>
      <c r="EA47" s="1319"/>
      <c r="EB47" s="1319"/>
      <c r="EC47" s="1319"/>
      <c r="ED47" s="1319"/>
      <c r="EE47" s="1319"/>
      <c r="EF47" s="1319"/>
      <c r="EG47" s="1319"/>
      <c r="EH47" s="1319"/>
      <c r="EI47" s="1319"/>
      <c r="EJ47" s="1319"/>
      <c r="EK47" s="1319"/>
      <c r="EL47" s="1319"/>
      <c r="EM47" s="1319"/>
      <c r="EN47" s="1319"/>
      <c r="EO47" s="1319"/>
      <c r="EP47" s="1319"/>
      <c r="EQ47" s="1319"/>
      <c r="ER47" s="1319"/>
      <c r="ES47" s="6">
        <f>ES45+1</f>
        <v>9</v>
      </c>
    </row>
    <row r="48" spans="1:149" ht="9.75" customHeight="1" x14ac:dyDescent="0.2">
      <c r="A48" s="5"/>
      <c r="B48" s="1369" t="s">
        <v>447</v>
      </c>
      <c r="C48" s="1369"/>
      <c r="D48" s="1369"/>
      <c r="E48" s="1369"/>
      <c r="F48" s="1369"/>
      <c r="G48" s="1369"/>
      <c r="H48" s="1369"/>
      <c r="I48" s="1369"/>
      <c r="J48" s="1369"/>
      <c r="K48" s="5"/>
      <c r="L48" s="5"/>
      <c r="M48" s="5"/>
      <c r="N48" s="5"/>
      <c r="O48" s="5"/>
      <c r="P48" s="5"/>
      <c r="Q48" s="5"/>
      <c r="R48" s="5"/>
      <c r="S48" s="375"/>
      <c r="T48" s="5"/>
      <c r="U48" s="5"/>
      <c r="V48" s="5"/>
      <c r="W48" s="5"/>
      <c r="X48" s="5"/>
      <c r="Y48" s="5"/>
      <c r="Z48" s="5"/>
      <c r="AA48" s="37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1324"/>
      <c r="BY48" s="1324"/>
      <c r="BZ48" s="1324"/>
      <c r="CA48" s="1325" t="e">
        <f>IF(OR(CharacterLevel="",Spellcasting!#REF!=""),"",VLOOKUP(Spellcasting!#REF!,Tables!WX:XQ,Tables!$TN$1,FALSE))</f>
        <v>#REF!</v>
      </c>
      <c r="CB48" s="1325"/>
      <c r="CC48" s="1325"/>
      <c r="CD48" s="1325"/>
      <c r="CE48" s="1325"/>
      <c r="CF48" s="1325"/>
      <c r="CG48" s="1325"/>
      <c r="CH48" s="1325"/>
      <c r="CI48" s="1325"/>
      <c r="CJ48" s="1325"/>
      <c r="CK48" s="1325"/>
      <c r="CL48" s="1325"/>
      <c r="CM48" s="1325"/>
      <c r="CN48" s="1325"/>
      <c r="CO48" s="1325"/>
      <c r="CP48" s="1325"/>
      <c r="CQ48" s="263"/>
      <c r="CR48" s="1321"/>
      <c r="CS48" s="1321"/>
      <c r="CT48" s="1321"/>
      <c r="CU48" s="1321"/>
      <c r="CV48" s="1321"/>
      <c r="CW48" s="5"/>
      <c r="CX48" s="1321"/>
      <c r="CY48" s="1321"/>
      <c r="CZ48" s="1321"/>
      <c r="DA48" s="1321"/>
      <c r="DB48" s="5"/>
      <c r="DC48" s="1321"/>
      <c r="DD48" s="1321"/>
      <c r="DE48" s="1321"/>
      <c r="DF48" s="1321"/>
      <c r="DG48" s="1321"/>
      <c r="DH48" s="1321"/>
      <c r="DI48" s="5"/>
      <c r="DJ48" s="1321"/>
      <c r="DK48" s="1321"/>
      <c r="DL48" s="1321"/>
      <c r="DM48" s="1321"/>
      <c r="DN48" s="5"/>
      <c r="DO48" s="1321"/>
      <c r="DP48" s="1321"/>
      <c r="DQ48" s="1321"/>
      <c r="DR48" s="1321"/>
      <c r="DS48" s="5"/>
      <c r="DT48" s="1320"/>
      <c r="DU48" s="1320"/>
      <c r="DV48" s="1320"/>
      <c r="DW48" s="1320"/>
      <c r="DX48" s="1320"/>
      <c r="DY48" s="1320"/>
      <c r="DZ48" s="1320"/>
      <c r="EA48" s="1320"/>
      <c r="EB48" s="1320"/>
      <c r="EC48" s="1320"/>
      <c r="ED48" s="1320"/>
      <c r="EE48" s="1320"/>
      <c r="EF48" s="1320"/>
      <c r="EG48" s="1320"/>
      <c r="EH48" s="1320"/>
      <c r="EI48" s="1320"/>
      <c r="EJ48" s="1320"/>
      <c r="EK48" s="1320"/>
      <c r="EL48" s="1320"/>
      <c r="EM48" s="1320"/>
      <c r="EN48" s="1320"/>
      <c r="EO48" s="1320"/>
      <c r="EP48" s="1320"/>
      <c r="EQ48" s="1320"/>
      <c r="ER48" s="1320"/>
    </row>
    <row r="49" spans="1:149" ht="9.75" customHeight="1" x14ac:dyDescent="0.2">
      <c r="A49" s="5"/>
      <c r="B49" s="1369"/>
      <c r="C49" s="1369"/>
      <c r="D49" s="1369"/>
      <c r="E49" s="1369"/>
      <c r="F49" s="1369"/>
      <c r="G49" s="1369"/>
      <c r="H49" s="1369"/>
      <c r="I49" s="1369"/>
      <c r="J49" s="1369"/>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1324" t="str">
        <f>IF(CharacterLevel="",'Character Sheet III'!$CF$202,IF(Spellcasting!CE19="•",'Character Sheet III'!$BX$202,'Character Sheet III'!$CF$202))</f>
        <v>□</v>
      </c>
      <c r="BY49" s="1324"/>
      <c r="BZ49" s="1324"/>
      <c r="CA49" s="1325" t="str">
        <f>IF(OR(CharacterLevel="",Spellcasting!CG$19=""),"",VLOOKUP(Spellcasting!CG$19,Tables!$TK:$UB,Tables!$TN$1,FALSE))</f>
        <v/>
      </c>
      <c r="CB49" s="1325"/>
      <c r="CC49" s="1325"/>
      <c r="CD49" s="1325"/>
      <c r="CE49" s="1325"/>
      <c r="CF49" s="1325"/>
      <c r="CG49" s="1325"/>
      <c r="CH49" s="1325"/>
      <c r="CI49" s="1325"/>
      <c r="CJ49" s="1325"/>
      <c r="CK49" s="1325"/>
      <c r="CL49" s="1325"/>
      <c r="CM49" s="1325"/>
      <c r="CN49" s="1325"/>
      <c r="CO49" s="1325"/>
      <c r="CP49" s="1325"/>
      <c r="CQ49" s="263"/>
      <c r="CR49" s="1048" t="str">
        <f>IF(OR(CharacterLevel="",Spellcasting!CG$19=""),"",VLOOKUP(Spellcasting!CG$19,Tables!$TK:$UB,Tables!$TT$1,FALSE))</f>
        <v/>
      </c>
      <c r="CS49" s="1048"/>
      <c r="CT49" s="1048"/>
      <c r="CU49" s="1048"/>
      <c r="CV49" s="1048"/>
      <c r="CW49" s="263"/>
      <c r="CX49" s="1048" t="str">
        <f>IF(OR(CharacterLevel="",Spellcasting!CG$19=""),"",VLOOKUP(Spellcasting!CG$19,Tables!$TK:$UB,Tables!$TU$1,FALSE))</f>
        <v/>
      </c>
      <c r="CY49" s="1048"/>
      <c r="CZ49" s="1048"/>
      <c r="DA49" s="1048"/>
      <c r="DB49" s="263"/>
      <c r="DC49" s="1048" t="str">
        <f>IF(OR(CharacterLevel="",Spellcasting!CG$19=""),"",VLOOKUP(Spellcasting!CG$19,Tables!$TK:$UB,Tables!$TV$1,FALSE))</f>
        <v/>
      </c>
      <c r="DD49" s="1048"/>
      <c r="DE49" s="1048"/>
      <c r="DF49" s="1048"/>
      <c r="DG49" s="1048"/>
      <c r="DH49" s="1048"/>
      <c r="DI49" s="261"/>
      <c r="DJ49" s="1048" t="str">
        <f>IF(OR(CharacterLevel="",Spellcasting!CG$19=""),"",VLOOKUP(Spellcasting!CG$19,Tables!$TK:$UB,Tables!$TW$1,FALSE))</f>
        <v/>
      </c>
      <c r="DK49" s="1048"/>
      <c r="DL49" s="1048"/>
      <c r="DM49" s="1048"/>
      <c r="DN49" s="261"/>
      <c r="DO49" s="1048" t="str">
        <f>IF(OR(CharacterLevel="",Spellcasting!CG$19=""),"",VLOOKUP(Spellcasting!CG$19,Tables!$TK:$UB,Tables!$TZ$1,FALSE))</f>
        <v/>
      </c>
      <c r="DP49" s="1048"/>
      <c r="DQ49" s="1048"/>
      <c r="DR49" s="1048"/>
      <c r="DS49" s="261"/>
      <c r="DT49" s="1319" t="str">
        <f>IF(OR(CharacterLevel="",Spellcasting!CG$19=""),"",VLOOKUP(Spellcasting!CG$19,Tables!$TK:$UB,Tables!$UB$1,FALSE))</f>
        <v/>
      </c>
      <c r="DU49" s="1319"/>
      <c r="DV49" s="1319"/>
      <c r="DW49" s="1319"/>
      <c r="DX49" s="1319"/>
      <c r="DY49" s="1319"/>
      <c r="DZ49" s="1319"/>
      <c r="EA49" s="1319"/>
      <c r="EB49" s="1319"/>
      <c r="EC49" s="1319"/>
      <c r="ED49" s="1319"/>
      <c r="EE49" s="1319"/>
      <c r="EF49" s="1319"/>
      <c r="EG49" s="1319"/>
      <c r="EH49" s="1319"/>
      <c r="EI49" s="1319"/>
      <c r="EJ49" s="1319"/>
      <c r="EK49" s="1319"/>
      <c r="EL49" s="1319"/>
      <c r="EM49" s="1319"/>
      <c r="EN49" s="1319"/>
      <c r="EO49" s="1319"/>
      <c r="EP49" s="1319"/>
      <c r="EQ49" s="1319"/>
      <c r="ER49" s="1319"/>
      <c r="ES49" s="6">
        <f>ES47+1</f>
        <v>10</v>
      </c>
    </row>
    <row r="50" spans="1:149" ht="9.75" customHeight="1" x14ac:dyDescent="0.25">
      <c r="A50" s="5"/>
      <c r="B50" s="857" t="s">
        <v>456</v>
      </c>
      <c r="C50" s="857"/>
      <c r="D50" s="857"/>
      <c r="E50" s="857"/>
      <c r="F50" s="857"/>
      <c r="G50" s="857"/>
      <c r="H50" s="857"/>
      <c r="I50" s="857"/>
      <c r="J50" s="857"/>
      <c r="K50" s="857"/>
      <c r="L50" s="857"/>
      <c r="M50" s="857"/>
      <c r="N50" s="857"/>
      <c r="O50" s="857"/>
      <c r="P50" s="857"/>
      <c r="Q50" s="857"/>
      <c r="R50" s="857"/>
      <c r="S50" s="857"/>
      <c r="T50" s="857"/>
      <c r="U50" s="377"/>
      <c r="V50" s="848" t="s">
        <v>452</v>
      </c>
      <c r="W50" s="848"/>
      <c r="X50" s="848"/>
      <c r="Y50" s="848"/>
      <c r="Z50" s="848"/>
      <c r="AA50" s="377"/>
      <c r="AB50" s="848" t="s">
        <v>48</v>
      </c>
      <c r="AC50" s="848"/>
      <c r="AD50" s="848"/>
      <c r="AE50" s="848"/>
      <c r="AF50" s="377"/>
      <c r="AG50" s="848" t="s">
        <v>453</v>
      </c>
      <c r="AH50" s="848"/>
      <c r="AI50" s="848"/>
      <c r="AJ50" s="848"/>
      <c r="AK50" s="848"/>
      <c r="AL50" s="848"/>
      <c r="AM50" s="848" t="s">
        <v>454</v>
      </c>
      <c r="AN50" s="848"/>
      <c r="AO50" s="848"/>
      <c r="AP50" s="848"/>
      <c r="AQ50" s="848"/>
      <c r="AR50" s="848"/>
      <c r="AS50" s="848" t="s">
        <v>9</v>
      </c>
      <c r="AT50" s="848"/>
      <c r="AU50" s="848"/>
      <c r="AV50" s="848"/>
      <c r="AW50" s="259"/>
      <c r="AX50" s="946" t="s">
        <v>457</v>
      </c>
      <c r="AY50" s="946"/>
      <c r="AZ50" s="946"/>
      <c r="BA50" s="946"/>
      <c r="BB50" s="946"/>
      <c r="BC50" s="946"/>
      <c r="BD50" s="946"/>
      <c r="BE50" s="946"/>
      <c r="BF50" s="946"/>
      <c r="BG50" s="946"/>
      <c r="BH50" s="946"/>
      <c r="BI50" s="946"/>
      <c r="BJ50" s="946"/>
      <c r="BK50" s="946"/>
      <c r="BL50" s="946"/>
      <c r="BM50" s="946"/>
      <c r="BN50" s="946"/>
      <c r="BO50" s="946"/>
      <c r="BP50" s="946"/>
      <c r="BQ50" s="946"/>
      <c r="BR50" s="946"/>
      <c r="BS50" s="946"/>
      <c r="BT50" s="946"/>
      <c r="BU50" s="946"/>
      <c r="BV50" s="946"/>
      <c r="BW50" s="165"/>
      <c r="BX50" s="1324"/>
      <c r="BY50" s="1324"/>
      <c r="BZ50" s="1324"/>
      <c r="CA50" s="1325" t="e">
        <f>IF(OR(CharacterLevel="",Spellcasting!#REF!=""),"",VLOOKUP(Spellcasting!#REF!,Tables!WX:XQ,Tables!$TN$1,FALSE))</f>
        <v>#REF!</v>
      </c>
      <c r="CB50" s="1325"/>
      <c r="CC50" s="1325"/>
      <c r="CD50" s="1325"/>
      <c r="CE50" s="1325"/>
      <c r="CF50" s="1325"/>
      <c r="CG50" s="1325"/>
      <c r="CH50" s="1325"/>
      <c r="CI50" s="1325"/>
      <c r="CJ50" s="1325"/>
      <c r="CK50" s="1325"/>
      <c r="CL50" s="1325"/>
      <c r="CM50" s="1325"/>
      <c r="CN50" s="1325"/>
      <c r="CO50" s="1325"/>
      <c r="CP50" s="1325"/>
      <c r="CQ50" s="263"/>
      <c r="CR50" s="1321"/>
      <c r="CS50" s="1321"/>
      <c r="CT50" s="1321"/>
      <c r="CU50" s="1321"/>
      <c r="CV50" s="1321"/>
      <c r="CW50" s="5"/>
      <c r="CX50" s="1321"/>
      <c r="CY50" s="1321"/>
      <c r="CZ50" s="1321"/>
      <c r="DA50" s="1321"/>
      <c r="DB50" s="5"/>
      <c r="DC50" s="1321"/>
      <c r="DD50" s="1321"/>
      <c r="DE50" s="1321"/>
      <c r="DF50" s="1321"/>
      <c r="DG50" s="1321"/>
      <c r="DH50" s="1321"/>
      <c r="DI50" s="5"/>
      <c r="DJ50" s="1321"/>
      <c r="DK50" s="1321"/>
      <c r="DL50" s="1321"/>
      <c r="DM50" s="1321"/>
      <c r="DN50" s="5"/>
      <c r="DO50" s="1321"/>
      <c r="DP50" s="1321"/>
      <c r="DQ50" s="1321"/>
      <c r="DR50" s="1321"/>
      <c r="DS50" s="5"/>
      <c r="DT50" s="1320"/>
      <c r="DU50" s="1320"/>
      <c r="DV50" s="1320"/>
      <c r="DW50" s="1320"/>
      <c r="DX50" s="1320"/>
      <c r="DY50" s="1320"/>
      <c r="DZ50" s="1320"/>
      <c r="EA50" s="1320"/>
      <c r="EB50" s="1320"/>
      <c r="EC50" s="1320"/>
      <c r="ED50" s="1320"/>
      <c r="EE50" s="1320"/>
      <c r="EF50" s="1320"/>
      <c r="EG50" s="1320"/>
      <c r="EH50" s="1320"/>
      <c r="EI50" s="1320"/>
      <c r="EJ50" s="1320"/>
      <c r="EK50" s="1320"/>
      <c r="EL50" s="1320"/>
      <c r="EM50" s="1320"/>
      <c r="EN50" s="1320"/>
      <c r="EO50" s="1320"/>
      <c r="EP50" s="1320"/>
      <c r="EQ50" s="1320"/>
      <c r="ER50" s="1320"/>
    </row>
    <row r="51" spans="1:149" ht="9.75" customHeight="1" x14ac:dyDescent="0.25">
      <c r="A51" s="5"/>
      <c r="B51" s="857"/>
      <c r="C51" s="857"/>
      <c r="D51" s="857"/>
      <c r="E51" s="857"/>
      <c r="F51" s="857"/>
      <c r="G51" s="857"/>
      <c r="H51" s="857"/>
      <c r="I51" s="857"/>
      <c r="J51" s="857"/>
      <c r="K51" s="857"/>
      <c r="L51" s="857"/>
      <c r="M51" s="857"/>
      <c r="N51" s="857"/>
      <c r="O51" s="857"/>
      <c r="P51" s="857"/>
      <c r="Q51" s="857"/>
      <c r="R51" s="857"/>
      <c r="S51" s="857"/>
      <c r="T51" s="857"/>
      <c r="U51" s="377"/>
      <c r="V51" s="848"/>
      <c r="W51" s="848"/>
      <c r="X51" s="848"/>
      <c r="Y51" s="848"/>
      <c r="Z51" s="848"/>
      <c r="AA51" s="377"/>
      <c r="AB51" s="848"/>
      <c r="AC51" s="848"/>
      <c r="AD51" s="848"/>
      <c r="AE51" s="848"/>
      <c r="AF51" s="377"/>
      <c r="AG51" s="848"/>
      <c r="AH51" s="848"/>
      <c r="AI51" s="848"/>
      <c r="AJ51" s="848"/>
      <c r="AK51" s="848"/>
      <c r="AL51" s="848"/>
      <c r="AM51" s="848"/>
      <c r="AN51" s="848"/>
      <c r="AO51" s="848"/>
      <c r="AP51" s="848"/>
      <c r="AQ51" s="848"/>
      <c r="AR51" s="848"/>
      <c r="AS51" s="848"/>
      <c r="AT51" s="848"/>
      <c r="AU51" s="848"/>
      <c r="AV51" s="848"/>
      <c r="AW51" s="260"/>
      <c r="AX51" s="946"/>
      <c r="AY51" s="946"/>
      <c r="AZ51" s="946"/>
      <c r="BA51" s="946"/>
      <c r="BB51" s="946"/>
      <c r="BC51" s="946"/>
      <c r="BD51" s="946"/>
      <c r="BE51" s="946"/>
      <c r="BF51" s="946"/>
      <c r="BG51" s="946"/>
      <c r="BH51" s="946"/>
      <c r="BI51" s="946"/>
      <c r="BJ51" s="946"/>
      <c r="BK51" s="946"/>
      <c r="BL51" s="946"/>
      <c r="BM51" s="946"/>
      <c r="BN51" s="946"/>
      <c r="BO51" s="946"/>
      <c r="BP51" s="946"/>
      <c r="BQ51" s="946"/>
      <c r="BR51" s="946"/>
      <c r="BS51" s="946"/>
      <c r="BT51" s="946"/>
      <c r="BU51" s="946"/>
      <c r="BV51" s="946"/>
      <c r="BW51" s="165"/>
      <c r="BX51" s="1324" t="str">
        <f>IF(CharacterLevel="",'Character Sheet III'!$CF$202,IF(Spellcasting!CE20="•",'Character Sheet III'!$BX$202,'Character Sheet III'!$CF$202))</f>
        <v>□</v>
      </c>
      <c r="BY51" s="1324"/>
      <c r="BZ51" s="1324"/>
      <c r="CA51" s="1325" t="str">
        <f>IF(OR(CharacterLevel="",Spellcasting!CG$20=""),"",VLOOKUP(Spellcasting!CG$20,Tables!$TK:$UB,Tables!$TN$1,FALSE))</f>
        <v/>
      </c>
      <c r="CB51" s="1325"/>
      <c r="CC51" s="1325"/>
      <c r="CD51" s="1325"/>
      <c r="CE51" s="1325"/>
      <c r="CF51" s="1325"/>
      <c r="CG51" s="1325"/>
      <c r="CH51" s="1325"/>
      <c r="CI51" s="1325"/>
      <c r="CJ51" s="1325"/>
      <c r="CK51" s="1325"/>
      <c r="CL51" s="1325"/>
      <c r="CM51" s="1325"/>
      <c r="CN51" s="1325"/>
      <c r="CO51" s="1325"/>
      <c r="CP51" s="1325"/>
      <c r="CQ51" s="263"/>
      <c r="CR51" s="1048" t="str">
        <f>IF(OR(CharacterLevel="",Spellcasting!CG$20=""),"",VLOOKUP(Spellcasting!CG$20,Tables!$TK:$UB,Tables!$TT$1,FALSE))</f>
        <v/>
      </c>
      <c r="CS51" s="1048"/>
      <c r="CT51" s="1048"/>
      <c r="CU51" s="1048"/>
      <c r="CV51" s="1048"/>
      <c r="CW51" s="263"/>
      <c r="CX51" s="1048" t="str">
        <f>IF(OR(CharacterLevel="",Spellcasting!CG$20=""),"",VLOOKUP(Spellcasting!CG$20,Tables!$TK:$UB,Tables!$TU$1,FALSE))</f>
        <v/>
      </c>
      <c r="CY51" s="1048"/>
      <c r="CZ51" s="1048"/>
      <c r="DA51" s="1048"/>
      <c r="DB51" s="263"/>
      <c r="DC51" s="1048" t="str">
        <f>IF(OR(CharacterLevel="",Spellcasting!CG$20=""),"",VLOOKUP(Spellcasting!CG$20,Tables!$TK:$UB,Tables!$TV$1,FALSE))</f>
        <v/>
      </c>
      <c r="DD51" s="1048"/>
      <c r="DE51" s="1048"/>
      <c r="DF51" s="1048"/>
      <c r="DG51" s="1048"/>
      <c r="DH51" s="1048"/>
      <c r="DI51" s="261"/>
      <c r="DJ51" s="1048" t="str">
        <f>IF(OR(CharacterLevel="",Spellcasting!CG$20=""),"",VLOOKUP(Spellcasting!CG$20,Tables!$TK:$UB,Tables!$TW$1,FALSE))</f>
        <v/>
      </c>
      <c r="DK51" s="1048"/>
      <c r="DL51" s="1048"/>
      <c r="DM51" s="1048"/>
      <c r="DN51" s="261"/>
      <c r="DO51" s="1048" t="str">
        <f>IF(OR(CharacterLevel="",Spellcasting!CG$20=""),"",VLOOKUP(Spellcasting!CG$20,Tables!$TK:$UB,Tables!$TZ$1,FALSE))</f>
        <v/>
      </c>
      <c r="DP51" s="1048"/>
      <c r="DQ51" s="1048"/>
      <c r="DR51" s="1048"/>
      <c r="DS51" s="261"/>
      <c r="DT51" s="1319" t="str">
        <f>IF(OR(CharacterLevel="",Spellcasting!CG$20=""),"",VLOOKUP(Spellcasting!CG$20,Tables!$TK:$UB,Tables!$UB$1,FALSE))</f>
        <v/>
      </c>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6">
        <f>ES49+1</f>
        <v>11</v>
      </c>
    </row>
    <row r="52" spans="1:149" ht="9.75" customHeight="1" x14ac:dyDescent="0.2">
      <c r="A52" s="5"/>
      <c r="B52" s="1319" t="str">
        <f>IF(OR(CharacterLevel="",Spellcasting!AC$6=""),"",VLOOKUP(Spellcasting!AC$6,Tables!$TK:$UB,Tables!$TN$1,FALSE))</f>
        <v/>
      </c>
      <c r="C52" s="1319"/>
      <c r="D52" s="1319"/>
      <c r="E52" s="1319"/>
      <c r="F52" s="1319"/>
      <c r="G52" s="1319"/>
      <c r="H52" s="1319"/>
      <c r="I52" s="1319"/>
      <c r="J52" s="1319"/>
      <c r="K52" s="1319"/>
      <c r="L52" s="1319"/>
      <c r="M52" s="1319"/>
      <c r="N52" s="1319"/>
      <c r="O52" s="1319"/>
      <c r="P52" s="1319"/>
      <c r="Q52" s="1319"/>
      <c r="R52" s="1319"/>
      <c r="S52" s="1319"/>
      <c r="T52" s="1319"/>
      <c r="U52" s="261"/>
      <c r="V52" s="1048" t="str">
        <f>IF(OR(CharacterLevel="",Spellcasting!AC$6=""),"",VLOOKUP(Spellcasting!AC$6,Tables!$TK:$UB,Tables!$TT$1,FALSE))</f>
        <v/>
      </c>
      <c r="W52" s="1048"/>
      <c r="X52" s="1048"/>
      <c r="Y52" s="1048"/>
      <c r="Z52" s="1048"/>
      <c r="AA52" s="263"/>
      <c r="AB52" s="1048" t="str">
        <f>IF(OR(CharacterLevel="",Spellcasting!AC$6=""),"",VLOOKUP(Spellcasting!AC$6,Tables!$TK:$UB,Tables!$TU$1,FALSE))</f>
        <v/>
      </c>
      <c r="AC52" s="1048"/>
      <c r="AD52" s="1048"/>
      <c r="AE52" s="1048"/>
      <c r="AF52" s="263"/>
      <c r="AG52" s="1048" t="str">
        <f>IF(OR(CharacterLevel="",Spellcasting!AC$6=""),"",VLOOKUP(Spellcasting!AC$6,Tables!$TK:$UB,Tables!$TV$1,FALSE))</f>
        <v/>
      </c>
      <c r="AH52" s="1048"/>
      <c r="AI52" s="1048"/>
      <c r="AJ52" s="1048"/>
      <c r="AK52" s="1048"/>
      <c r="AL52" s="1048"/>
      <c r="AM52" s="261"/>
      <c r="AN52" s="857" t="str">
        <f>IF(OR(CharacterLevel="",Spellcasting!AC$6=""),"",VLOOKUP(Spellcasting!AC$6,Tables!$TK:$UB,Tables!$TW$1,FALSE))</f>
        <v/>
      </c>
      <c r="AO52" s="857"/>
      <c r="AP52" s="857"/>
      <c r="AQ52" s="857"/>
      <c r="AR52" s="261"/>
      <c r="AS52" s="1048" t="str">
        <f>IF(OR(CharacterLevel="",Spellcasting!AC$6=""),"",VLOOKUP(Spellcasting!AC$6,Tables!$TK:$UB,Tables!$TZ$1,FALSE))</f>
        <v/>
      </c>
      <c r="AT52" s="1048"/>
      <c r="AU52" s="1048"/>
      <c r="AV52" s="1048"/>
      <c r="AW52" s="261"/>
      <c r="AX52" s="1319" t="str">
        <f>IF(OR(CharacterLevel="",Spellcasting!AC$6=""),"",VLOOKUP(Spellcasting!AC$6,Tables!$TK:$UB,Tables!$UB$1,FALSE))</f>
        <v/>
      </c>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65"/>
      <c r="BX52" s="1324"/>
      <c r="BY52" s="1324"/>
      <c r="BZ52" s="1324"/>
      <c r="CA52" s="1325" t="e">
        <f>IF(OR(CharacterLevel="",Spellcasting!#REF!=""),"",VLOOKUP(Spellcasting!#REF!,Tables!WX:XQ,Tables!$TN$1,FALSE))</f>
        <v>#REF!</v>
      </c>
      <c r="CB52" s="1325"/>
      <c r="CC52" s="1325"/>
      <c r="CD52" s="1325"/>
      <c r="CE52" s="1325"/>
      <c r="CF52" s="1325"/>
      <c r="CG52" s="1325"/>
      <c r="CH52" s="1325"/>
      <c r="CI52" s="1325"/>
      <c r="CJ52" s="1325"/>
      <c r="CK52" s="1325"/>
      <c r="CL52" s="1325"/>
      <c r="CM52" s="1325"/>
      <c r="CN52" s="1325"/>
      <c r="CO52" s="1325"/>
      <c r="CP52" s="1325"/>
      <c r="CQ52" s="263"/>
      <c r="CR52" s="1321"/>
      <c r="CS52" s="1321"/>
      <c r="CT52" s="1321"/>
      <c r="CU52" s="1321"/>
      <c r="CV52" s="1321"/>
      <c r="CW52" s="5"/>
      <c r="CX52" s="1321"/>
      <c r="CY52" s="1321"/>
      <c r="CZ52" s="1321"/>
      <c r="DA52" s="1321"/>
      <c r="DB52" s="5"/>
      <c r="DC52" s="1321"/>
      <c r="DD52" s="1321"/>
      <c r="DE52" s="1321"/>
      <c r="DF52" s="1321"/>
      <c r="DG52" s="1321"/>
      <c r="DH52" s="1321"/>
      <c r="DI52" s="5"/>
      <c r="DJ52" s="1321"/>
      <c r="DK52" s="1321"/>
      <c r="DL52" s="1321"/>
      <c r="DM52" s="1321"/>
      <c r="DN52" s="5"/>
      <c r="DO52" s="1321"/>
      <c r="DP52" s="1321"/>
      <c r="DQ52" s="1321"/>
      <c r="DR52" s="1321"/>
      <c r="DS52" s="5"/>
      <c r="DT52" s="1320"/>
      <c r="DU52" s="1320"/>
      <c r="DV52" s="1320"/>
      <c r="DW52" s="1320"/>
      <c r="DX52" s="1320"/>
      <c r="DY52" s="1320"/>
      <c r="DZ52" s="1320"/>
      <c r="EA52" s="1320"/>
      <c r="EB52" s="1320"/>
      <c r="EC52" s="1320"/>
      <c r="ED52" s="1320"/>
      <c r="EE52" s="1320"/>
      <c r="EF52" s="1320"/>
      <c r="EG52" s="1320"/>
      <c r="EH52" s="1320"/>
      <c r="EI52" s="1320"/>
      <c r="EJ52" s="1320"/>
      <c r="EK52" s="1320"/>
      <c r="EL52" s="1320"/>
      <c r="EM52" s="1320"/>
      <c r="EN52" s="1320"/>
      <c r="EO52" s="1320"/>
      <c r="EP52" s="1320"/>
      <c r="EQ52" s="1320"/>
      <c r="ER52" s="1320"/>
    </row>
    <row r="53" spans="1:149" ht="9.75" customHeight="1" x14ac:dyDescent="0.2">
      <c r="A53" s="5"/>
      <c r="B53" s="1320"/>
      <c r="C53" s="1320"/>
      <c r="D53" s="1320"/>
      <c r="E53" s="1320"/>
      <c r="F53" s="1320"/>
      <c r="G53" s="1320"/>
      <c r="H53" s="1320"/>
      <c r="I53" s="1320"/>
      <c r="J53" s="1320"/>
      <c r="K53" s="1320"/>
      <c r="L53" s="1320"/>
      <c r="M53" s="1320"/>
      <c r="N53" s="1320"/>
      <c r="O53" s="1320"/>
      <c r="P53" s="1320"/>
      <c r="Q53" s="1320"/>
      <c r="R53" s="1320"/>
      <c r="S53" s="1320"/>
      <c r="T53" s="1320"/>
      <c r="U53" s="261"/>
      <c r="V53" s="1321"/>
      <c r="W53" s="1321"/>
      <c r="X53" s="1321"/>
      <c r="Y53" s="1321"/>
      <c r="Z53" s="1321"/>
      <c r="AA53" s="263"/>
      <c r="AB53" s="1321"/>
      <c r="AC53" s="1321"/>
      <c r="AD53" s="1321"/>
      <c r="AE53" s="1321"/>
      <c r="AF53" s="263"/>
      <c r="AG53" s="1321"/>
      <c r="AH53" s="1321"/>
      <c r="AI53" s="1321"/>
      <c r="AJ53" s="1321"/>
      <c r="AK53" s="1321"/>
      <c r="AL53" s="1321"/>
      <c r="AM53" s="263"/>
      <c r="AN53" s="1326"/>
      <c r="AO53" s="1326"/>
      <c r="AP53" s="1326"/>
      <c r="AQ53" s="1326"/>
      <c r="AR53" s="263"/>
      <c r="AS53" s="1321"/>
      <c r="AT53" s="1321"/>
      <c r="AU53" s="1321"/>
      <c r="AV53" s="1321"/>
      <c r="AW53" s="263"/>
      <c r="AX53" s="1320"/>
      <c r="AY53" s="1320"/>
      <c r="AZ53" s="1320"/>
      <c r="BA53" s="1320"/>
      <c r="BB53" s="1320"/>
      <c r="BC53" s="1320"/>
      <c r="BD53" s="1320"/>
      <c r="BE53" s="1320"/>
      <c r="BF53" s="1320"/>
      <c r="BG53" s="1320"/>
      <c r="BH53" s="1320"/>
      <c r="BI53" s="1320"/>
      <c r="BJ53" s="1320"/>
      <c r="BK53" s="1320"/>
      <c r="BL53" s="1320"/>
      <c r="BM53" s="1320"/>
      <c r="BN53" s="1320"/>
      <c r="BO53" s="1320"/>
      <c r="BP53" s="1320"/>
      <c r="BQ53" s="1320"/>
      <c r="BR53" s="1320"/>
      <c r="BS53" s="1320"/>
      <c r="BT53" s="1320"/>
      <c r="BU53" s="1320"/>
      <c r="BV53" s="1320"/>
      <c r="BW53" s="165"/>
      <c r="BX53" s="1324" t="str">
        <f>IF(CharacterLevel="",'Character Sheet III'!$CF$202,IF(Spellcasting!CE21="•",'Character Sheet III'!$BX$202,'Character Sheet III'!$CF$202))</f>
        <v>□</v>
      </c>
      <c r="BY53" s="1324"/>
      <c r="BZ53" s="1324"/>
      <c r="CA53" s="1325" t="str">
        <f>IF(OR(CharacterLevel="",Spellcasting!CG$21=""),"",VLOOKUP(Spellcasting!CG$21,Tables!$TK:$UB,Tables!$TN$1,FALSE))</f>
        <v/>
      </c>
      <c r="CB53" s="1325"/>
      <c r="CC53" s="1325"/>
      <c r="CD53" s="1325"/>
      <c r="CE53" s="1325"/>
      <c r="CF53" s="1325"/>
      <c r="CG53" s="1325"/>
      <c r="CH53" s="1325"/>
      <c r="CI53" s="1325"/>
      <c r="CJ53" s="1325"/>
      <c r="CK53" s="1325"/>
      <c r="CL53" s="1325"/>
      <c r="CM53" s="1325"/>
      <c r="CN53" s="1325"/>
      <c r="CO53" s="1325"/>
      <c r="CP53" s="1325"/>
      <c r="CQ53" s="263"/>
      <c r="CR53" s="1048" t="str">
        <f>IF(OR(CharacterLevel="",Spellcasting!CG$21=""),"",VLOOKUP(Spellcasting!CG$21,Tables!$TK:$UB,Tables!$TT$1,FALSE))</f>
        <v/>
      </c>
      <c r="CS53" s="1048"/>
      <c r="CT53" s="1048"/>
      <c r="CU53" s="1048"/>
      <c r="CV53" s="1048"/>
      <c r="CW53" s="263"/>
      <c r="CX53" s="1048" t="str">
        <f>IF(OR(CharacterLevel="",Spellcasting!CG$21=""),"",VLOOKUP(Spellcasting!CG$21,Tables!$TK:$UB,Tables!$TU$1,FALSE))</f>
        <v/>
      </c>
      <c r="CY53" s="1048"/>
      <c r="CZ53" s="1048"/>
      <c r="DA53" s="1048"/>
      <c r="DB53" s="263"/>
      <c r="DC53" s="1048" t="str">
        <f>IF(OR(CharacterLevel="",Spellcasting!CG$21=""),"",VLOOKUP(Spellcasting!CG$21,Tables!$TK:$UB,Tables!$TV$1,FALSE))</f>
        <v/>
      </c>
      <c r="DD53" s="1048"/>
      <c r="DE53" s="1048"/>
      <c r="DF53" s="1048"/>
      <c r="DG53" s="1048"/>
      <c r="DH53" s="1048"/>
      <c r="DI53" s="261"/>
      <c r="DJ53" s="1048" t="str">
        <f>IF(OR(CharacterLevel="",Spellcasting!CG$21=""),"",VLOOKUP(Spellcasting!CG$21,Tables!$TK:$UB,Tables!$TW$1,FALSE))</f>
        <v/>
      </c>
      <c r="DK53" s="1048"/>
      <c r="DL53" s="1048"/>
      <c r="DM53" s="1048"/>
      <c r="DN53" s="261"/>
      <c r="DO53" s="1048" t="str">
        <f>IF(OR(CharacterLevel="",Spellcasting!CG$21=""),"",VLOOKUP(Spellcasting!CG$21,Tables!$TK:$UB,Tables!$TZ$1,FALSE))</f>
        <v/>
      </c>
      <c r="DP53" s="1048"/>
      <c r="DQ53" s="1048"/>
      <c r="DR53" s="1048"/>
      <c r="DS53" s="261"/>
      <c r="DT53" s="1319" t="str">
        <f>IF(OR(CharacterLevel="",Spellcasting!CG$21=""),"",VLOOKUP(Spellcasting!CG$21,Tables!$TK:$UB,Tables!$UB$1,FALSE))</f>
        <v/>
      </c>
      <c r="DU53" s="1319"/>
      <c r="DV53" s="1319"/>
      <c r="DW53" s="1319"/>
      <c r="DX53" s="1319"/>
      <c r="DY53" s="1319"/>
      <c r="DZ53" s="1319"/>
      <c r="EA53" s="1319"/>
      <c r="EB53" s="1319"/>
      <c r="EC53" s="1319"/>
      <c r="ED53" s="1319"/>
      <c r="EE53" s="1319"/>
      <c r="EF53" s="1319"/>
      <c r="EG53" s="1319"/>
      <c r="EH53" s="1319"/>
      <c r="EI53" s="1319"/>
      <c r="EJ53" s="1319"/>
      <c r="EK53" s="1319"/>
      <c r="EL53" s="1319"/>
      <c r="EM53" s="1319"/>
      <c r="EN53" s="1319"/>
      <c r="EO53" s="1319"/>
      <c r="EP53" s="1319"/>
      <c r="EQ53" s="1319"/>
      <c r="ER53" s="1319"/>
      <c r="ES53" s="6">
        <f>ES51+1</f>
        <v>12</v>
      </c>
    </row>
    <row r="54" spans="1:149" ht="9.75" customHeight="1" x14ac:dyDescent="0.2">
      <c r="A54" s="5"/>
      <c r="B54" s="1319" t="str">
        <f>IF(OR(CharacterLevel="",Spellcasting!AC$7=""),"",VLOOKUP(Spellcasting!AC$7,Tables!$TK:$UB,Tables!$TN$1,FALSE))</f>
        <v/>
      </c>
      <c r="C54" s="1319"/>
      <c r="D54" s="1319"/>
      <c r="E54" s="1319"/>
      <c r="F54" s="1319"/>
      <c r="G54" s="1319"/>
      <c r="H54" s="1319"/>
      <c r="I54" s="1319"/>
      <c r="J54" s="1319"/>
      <c r="K54" s="1319"/>
      <c r="L54" s="1319"/>
      <c r="M54" s="1319"/>
      <c r="N54" s="1319"/>
      <c r="O54" s="1319"/>
      <c r="P54" s="1319"/>
      <c r="Q54" s="1319"/>
      <c r="R54" s="1319"/>
      <c r="S54" s="1319"/>
      <c r="T54" s="1319"/>
      <c r="U54" s="263"/>
      <c r="V54" s="1048" t="str">
        <f>IF(OR(CharacterLevel="",Spellcasting!AC$7=""),"",VLOOKUP(Spellcasting!AC$7,Tables!$TK:$UB,Tables!$TT$1,FALSE))</f>
        <v/>
      </c>
      <c r="W54" s="1048"/>
      <c r="X54" s="1048"/>
      <c r="Y54" s="1048"/>
      <c r="Z54" s="1048"/>
      <c r="AA54" s="263"/>
      <c r="AB54" s="1048" t="str">
        <f>IF(OR(CharacterLevel="",Spellcasting!AC$7=""),"",VLOOKUP(Spellcasting!AC$7,Tables!$TK:$UB,Tables!$TU$1,FALSE))</f>
        <v/>
      </c>
      <c r="AC54" s="1048"/>
      <c r="AD54" s="1048"/>
      <c r="AE54" s="1048"/>
      <c r="AF54" s="263"/>
      <c r="AG54" s="1048" t="str">
        <f>IF(OR(CharacterLevel="",Spellcasting!AC$7=""),"",VLOOKUP(Spellcasting!AC$7,Tables!$TK:$UB,Tables!$TV$1,FALSE))</f>
        <v/>
      </c>
      <c r="AH54" s="1048"/>
      <c r="AI54" s="1048"/>
      <c r="AJ54" s="1048"/>
      <c r="AK54" s="1048"/>
      <c r="AL54" s="1048"/>
      <c r="AM54" s="261"/>
      <c r="AN54" s="1403" t="str">
        <f>IF(OR(CharacterLevel="",Spellcasting!AC$7=""),"",VLOOKUP(Spellcasting!AC$7,Tables!$TK:$UB,Tables!$TW$1,FALSE))</f>
        <v/>
      </c>
      <c r="AO54" s="1403"/>
      <c r="AP54" s="1403"/>
      <c r="AQ54" s="1403"/>
      <c r="AR54" s="261"/>
      <c r="AS54" s="1048" t="str">
        <f>IF(OR(CharacterLevel="",Spellcasting!AC$7=""),"",VLOOKUP(Spellcasting!AC$7,Tables!$TK:$UB,Tables!$TZ$1,FALSE))</f>
        <v/>
      </c>
      <c r="AT54" s="1048"/>
      <c r="AU54" s="1048"/>
      <c r="AV54" s="1048"/>
      <c r="AW54" s="261"/>
      <c r="AX54" s="1319" t="str">
        <f>IF(OR(CharacterLevel="",Spellcasting!AC$7=""),"",VLOOKUP(Spellcasting!AC$7,Tables!$TK:$UB,Tables!$UB$1,FALSE))</f>
        <v/>
      </c>
      <c r="AY54" s="1319"/>
      <c r="AZ54" s="1319"/>
      <c r="BA54" s="1319"/>
      <c r="BB54" s="1319"/>
      <c r="BC54" s="1319"/>
      <c r="BD54" s="1319"/>
      <c r="BE54" s="1319"/>
      <c r="BF54" s="1319"/>
      <c r="BG54" s="1319"/>
      <c r="BH54" s="1319"/>
      <c r="BI54" s="1319"/>
      <c r="BJ54" s="1319"/>
      <c r="BK54" s="1319"/>
      <c r="BL54" s="1319"/>
      <c r="BM54" s="1319"/>
      <c r="BN54" s="1319"/>
      <c r="BO54" s="1319"/>
      <c r="BP54" s="1319"/>
      <c r="BQ54" s="1319"/>
      <c r="BR54" s="1319"/>
      <c r="BS54" s="1319"/>
      <c r="BT54" s="1319"/>
      <c r="BU54" s="1319"/>
      <c r="BV54" s="1319"/>
      <c r="BW54" s="165"/>
      <c r="BX54" s="1324"/>
      <c r="BY54" s="1324"/>
      <c r="BZ54" s="1324"/>
      <c r="CA54" s="1325" t="e">
        <f>IF(OR(CharacterLevel="",Spellcasting!#REF!=""),"",VLOOKUP(Spellcasting!#REF!,Tables!WX:XQ,Tables!$TN$1,FALSE))</f>
        <v>#REF!</v>
      </c>
      <c r="CB54" s="1325"/>
      <c r="CC54" s="1325"/>
      <c r="CD54" s="1325"/>
      <c r="CE54" s="1325"/>
      <c r="CF54" s="1325"/>
      <c r="CG54" s="1325"/>
      <c r="CH54" s="1325"/>
      <c r="CI54" s="1325"/>
      <c r="CJ54" s="1325"/>
      <c r="CK54" s="1325"/>
      <c r="CL54" s="1325"/>
      <c r="CM54" s="1325"/>
      <c r="CN54" s="1325"/>
      <c r="CO54" s="1325"/>
      <c r="CP54" s="1325"/>
      <c r="CQ54" s="263"/>
      <c r="CR54" s="1321"/>
      <c r="CS54" s="1321"/>
      <c r="CT54" s="1321"/>
      <c r="CU54" s="1321"/>
      <c r="CV54" s="1321"/>
      <c r="CW54" s="5"/>
      <c r="CX54" s="1321"/>
      <c r="CY54" s="1321"/>
      <c r="CZ54" s="1321"/>
      <c r="DA54" s="1321"/>
      <c r="DB54" s="5"/>
      <c r="DC54" s="1321"/>
      <c r="DD54" s="1321"/>
      <c r="DE54" s="1321"/>
      <c r="DF54" s="1321"/>
      <c r="DG54" s="1321"/>
      <c r="DH54" s="1321"/>
      <c r="DI54" s="5"/>
      <c r="DJ54" s="1321"/>
      <c r="DK54" s="1321"/>
      <c r="DL54" s="1321"/>
      <c r="DM54" s="1321"/>
      <c r="DN54" s="5"/>
      <c r="DO54" s="1321"/>
      <c r="DP54" s="1321"/>
      <c r="DQ54" s="1321"/>
      <c r="DR54" s="1321"/>
      <c r="DS54" s="5"/>
      <c r="DT54" s="1320"/>
      <c r="DU54" s="1320"/>
      <c r="DV54" s="1320"/>
      <c r="DW54" s="1320"/>
      <c r="DX54" s="1320"/>
      <c r="DY54" s="1320"/>
      <c r="DZ54" s="1320"/>
      <c r="EA54" s="1320"/>
      <c r="EB54" s="1320"/>
      <c r="EC54" s="1320"/>
      <c r="ED54" s="1320"/>
      <c r="EE54" s="1320"/>
      <c r="EF54" s="1320"/>
      <c r="EG54" s="1320"/>
      <c r="EH54" s="1320"/>
      <c r="EI54" s="1320"/>
      <c r="EJ54" s="1320"/>
      <c r="EK54" s="1320"/>
      <c r="EL54" s="1320"/>
      <c r="EM54" s="1320"/>
      <c r="EN54" s="1320"/>
      <c r="EO54" s="1320"/>
      <c r="EP54" s="1320"/>
      <c r="EQ54" s="1320"/>
      <c r="ER54" s="1320"/>
    </row>
    <row r="55" spans="1:149" ht="9.75" customHeight="1" x14ac:dyDescent="0.2">
      <c r="A55" s="5"/>
      <c r="B55" s="1320"/>
      <c r="C55" s="1320"/>
      <c r="D55" s="1320"/>
      <c r="E55" s="1320"/>
      <c r="F55" s="1320"/>
      <c r="G55" s="1320"/>
      <c r="H55" s="1320"/>
      <c r="I55" s="1320"/>
      <c r="J55" s="1320"/>
      <c r="K55" s="1320"/>
      <c r="L55" s="1320"/>
      <c r="M55" s="1320"/>
      <c r="N55" s="1320"/>
      <c r="O55" s="1320"/>
      <c r="P55" s="1320"/>
      <c r="Q55" s="1320"/>
      <c r="R55" s="1320"/>
      <c r="S55" s="1320"/>
      <c r="T55" s="1320"/>
      <c r="U55" s="263"/>
      <c r="V55" s="1321"/>
      <c r="W55" s="1321"/>
      <c r="X55" s="1321"/>
      <c r="Y55" s="1321"/>
      <c r="Z55" s="1321"/>
      <c r="AA55" s="263"/>
      <c r="AB55" s="1321"/>
      <c r="AC55" s="1321"/>
      <c r="AD55" s="1321"/>
      <c r="AE55" s="1321"/>
      <c r="AF55" s="263"/>
      <c r="AG55" s="1321"/>
      <c r="AH55" s="1321"/>
      <c r="AI55" s="1321"/>
      <c r="AJ55" s="1321"/>
      <c r="AK55" s="1321"/>
      <c r="AL55" s="1321"/>
      <c r="AM55" s="263"/>
      <c r="AN55" s="1326"/>
      <c r="AO55" s="1326"/>
      <c r="AP55" s="1326"/>
      <c r="AQ55" s="1326"/>
      <c r="AR55" s="263"/>
      <c r="AS55" s="1321"/>
      <c r="AT55" s="1321"/>
      <c r="AU55" s="1321"/>
      <c r="AV55" s="1321"/>
      <c r="AW55" s="263"/>
      <c r="AX55" s="1320"/>
      <c r="AY55" s="1320"/>
      <c r="AZ55" s="1320"/>
      <c r="BA55" s="1320"/>
      <c r="BB55" s="1320"/>
      <c r="BC55" s="1320"/>
      <c r="BD55" s="1320"/>
      <c r="BE55" s="1320"/>
      <c r="BF55" s="1320"/>
      <c r="BG55" s="1320"/>
      <c r="BH55" s="1320"/>
      <c r="BI55" s="1320"/>
      <c r="BJ55" s="1320"/>
      <c r="BK55" s="1320"/>
      <c r="BL55" s="1320"/>
      <c r="BM55" s="1320"/>
      <c r="BN55" s="1320"/>
      <c r="BO55" s="1320"/>
      <c r="BP55" s="1320"/>
      <c r="BQ55" s="1320"/>
      <c r="BR55" s="1320"/>
      <c r="BS55" s="1320"/>
      <c r="BT55" s="1320"/>
      <c r="BU55" s="1320"/>
      <c r="BV55" s="1320"/>
      <c r="BW55" s="165"/>
      <c r="BX55" s="1324" t="str">
        <f>IF(CharacterLevel="",'Character Sheet III'!$CF$202,IF(Spellcasting!CE22="•",'Character Sheet III'!$BX$202,'Character Sheet III'!$CF$202))</f>
        <v>□</v>
      </c>
      <c r="BY55" s="1324"/>
      <c r="BZ55" s="1324"/>
      <c r="CA55" s="1325" t="str">
        <f>IF(OR(CharacterLevel="",Spellcasting!CG$22=""),"",VLOOKUP(Spellcasting!CG$22,Tables!$TK:$UB,Tables!$TN$1,FALSE))</f>
        <v/>
      </c>
      <c r="CB55" s="1325"/>
      <c r="CC55" s="1325"/>
      <c r="CD55" s="1325"/>
      <c r="CE55" s="1325"/>
      <c r="CF55" s="1325"/>
      <c r="CG55" s="1325"/>
      <c r="CH55" s="1325"/>
      <c r="CI55" s="1325"/>
      <c r="CJ55" s="1325"/>
      <c r="CK55" s="1325"/>
      <c r="CL55" s="1325"/>
      <c r="CM55" s="1325"/>
      <c r="CN55" s="1325"/>
      <c r="CO55" s="1325"/>
      <c r="CP55" s="1325"/>
      <c r="CQ55" s="263"/>
      <c r="CR55" s="1048" t="str">
        <f>IF(OR(CharacterLevel="",Spellcasting!CG$22=""),"",VLOOKUP(Spellcasting!CG$22,Tables!$TK:$UB,Tables!$TT$1,FALSE))</f>
        <v/>
      </c>
      <c r="CS55" s="1048"/>
      <c r="CT55" s="1048"/>
      <c r="CU55" s="1048"/>
      <c r="CV55" s="1048"/>
      <c r="CW55" s="263"/>
      <c r="CX55" s="1048" t="str">
        <f>IF(OR(CharacterLevel="",Spellcasting!CG$22=""),"",VLOOKUP(Spellcasting!CG$22,Tables!$TK:$UB,Tables!$TU$1,FALSE))</f>
        <v/>
      </c>
      <c r="CY55" s="1048"/>
      <c r="CZ55" s="1048"/>
      <c r="DA55" s="1048"/>
      <c r="DB55" s="263"/>
      <c r="DC55" s="1048" t="str">
        <f>IF(OR(CharacterLevel="",Spellcasting!CG$22=""),"",VLOOKUP(Spellcasting!CG$22,Tables!$TK:$UB,Tables!$TV$1,FALSE))</f>
        <v/>
      </c>
      <c r="DD55" s="1048"/>
      <c r="DE55" s="1048"/>
      <c r="DF55" s="1048"/>
      <c r="DG55" s="1048"/>
      <c r="DH55" s="1048"/>
      <c r="DI55" s="261"/>
      <c r="DJ55" s="1048" t="str">
        <f>IF(OR(CharacterLevel="",Spellcasting!CG$22=""),"",VLOOKUP(Spellcasting!CG$22,Tables!$TK:$UB,Tables!$TW$1,FALSE))</f>
        <v/>
      </c>
      <c r="DK55" s="1048"/>
      <c r="DL55" s="1048"/>
      <c r="DM55" s="1048"/>
      <c r="DN55" s="261"/>
      <c r="DO55" s="1048" t="str">
        <f>IF(OR(CharacterLevel="",Spellcasting!CG$22=""),"",VLOOKUP(Spellcasting!CG$22,Tables!$TK:$UB,Tables!$TZ$1,FALSE))</f>
        <v/>
      </c>
      <c r="DP55" s="1048"/>
      <c r="DQ55" s="1048"/>
      <c r="DR55" s="1048"/>
      <c r="DS55" s="261"/>
      <c r="DT55" s="1319" t="str">
        <f>IF(OR(CharacterLevel="",Spellcasting!CG$22=""),"",VLOOKUP(Spellcasting!CG$22,Tables!$TK:$UB,Tables!$UB$1,FALSE))</f>
        <v/>
      </c>
      <c r="DU55" s="1319"/>
      <c r="DV55" s="1319"/>
      <c r="DW55" s="1319"/>
      <c r="DX55" s="1319"/>
      <c r="DY55" s="1319"/>
      <c r="DZ55" s="1319"/>
      <c r="EA55" s="1319"/>
      <c r="EB55" s="1319"/>
      <c r="EC55" s="1319"/>
      <c r="ED55" s="1319"/>
      <c r="EE55" s="1319"/>
      <c r="EF55" s="1319"/>
      <c r="EG55" s="1319"/>
      <c r="EH55" s="1319"/>
      <c r="EI55" s="1319"/>
      <c r="EJ55" s="1319"/>
      <c r="EK55" s="1319"/>
      <c r="EL55" s="1319"/>
      <c r="EM55" s="1319"/>
      <c r="EN55" s="1319"/>
      <c r="EO55" s="1319"/>
      <c r="EP55" s="1319"/>
      <c r="EQ55" s="1319"/>
      <c r="ER55" s="1319"/>
      <c r="ES55" s="6">
        <f>ES53+1</f>
        <v>13</v>
      </c>
    </row>
    <row r="56" spans="1:149" ht="9.75" customHeight="1" x14ac:dyDescent="0.2">
      <c r="A56" s="5"/>
      <c r="B56" s="1319" t="str">
        <f>IF(OR(CharacterLevel="",Spellcasting!AC$8=""),"",VLOOKUP(Spellcasting!AC$8,Tables!$TK:$UB,Tables!$TN$1,FALSE))</f>
        <v/>
      </c>
      <c r="C56" s="1319"/>
      <c r="D56" s="1319"/>
      <c r="E56" s="1319"/>
      <c r="F56" s="1319"/>
      <c r="G56" s="1319"/>
      <c r="H56" s="1319"/>
      <c r="I56" s="1319"/>
      <c r="J56" s="1319"/>
      <c r="K56" s="1319"/>
      <c r="L56" s="1319"/>
      <c r="M56" s="1319"/>
      <c r="N56" s="1319"/>
      <c r="O56" s="1319"/>
      <c r="P56" s="1319"/>
      <c r="Q56" s="1319"/>
      <c r="R56" s="1319"/>
      <c r="S56" s="1319"/>
      <c r="T56" s="1319"/>
      <c r="U56" s="263"/>
      <c r="V56" s="1048" t="str">
        <f>IF(OR(CharacterLevel="",Spellcasting!AC$8=""),"",VLOOKUP(Spellcasting!AC$8,Tables!$TK:$UB,Tables!$TT$1,FALSE))</f>
        <v/>
      </c>
      <c r="W56" s="1048"/>
      <c r="X56" s="1048"/>
      <c r="Y56" s="1048"/>
      <c r="Z56" s="1048"/>
      <c r="AA56" s="263"/>
      <c r="AB56" s="1048" t="str">
        <f>IF(OR(CharacterLevel="",Spellcasting!AC$8=""),"",VLOOKUP(Spellcasting!AC$8,Tables!$TK:$UB,Tables!$TU$1,FALSE))</f>
        <v/>
      </c>
      <c r="AC56" s="1048"/>
      <c r="AD56" s="1048"/>
      <c r="AE56" s="1048"/>
      <c r="AF56" s="263"/>
      <c r="AG56" s="1048" t="str">
        <f>IF(OR(CharacterLevel="",Spellcasting!AC$8=""),"",VLOOKUP(Spellcasting!AC$8,Tables!$TK:$UB,Tables!$TV$1,FALSE))</f>
        <v/>
      </c>
      <c r="AH56" s="1048"/>
      <c r="AI56" s="1048"/>
      <c r="AJ56" s="1048"/>
      <c r="AK56" s="1048"/>
      <c r="AL56" s="1048"/>
      <c r="AM56" s="261"/>
      <c r="AN56" s="1403" t="str">
        <f>IF(OR(CharacterLevel="",Spellcasting!AC$8=""),"",VLOOKUP(Spellcasting!AC$8,Tables!$TK:$UB,Tables!$TW$1,FALSE))</f>
        <v/>
      </c>
      <c r="AO56" s="1403"/>
      <c r="AP56" s="1403"/>
      <c r="AQ56" s="1403"/>
      <c r="AR56" s="261"/>
      <c r="AS56" s="1048" t="str">
        <f>IF(OR(CharacterLevel="",Spellcasting!AC$8=""),"",VLOOKUP(Spellcasting!AC$8,Tables!$TK:$UB,Tables!$TZ$1,FALSE))</f>
        <v/>
      </c>
      <c r="AT56" s="1048"/>
      <c r="AU56" s="1048"/>
      <c r="AV56" s="1048"/>
      <c r="AW56" s="261"/>
      <c r="AX56" s="1319" t="str">
        <f>IF(OR(CharacterLevel="",Spellcasting!AC$8=""),"",VLOOKUP(Spellcasting!AC$8,Tables!$TK:$UB,Tables!$UB$1,FALSE))</f>
        <v/>
      </c>
      <c r="AY56" s="1319"/>
      <c r="AZ56" s="1319"/>
      <c r="BA56" s="1319"/>
      <c r="BB56" s="1319"/>
      <c r="BC56" s="1319"/>
      <c r="BD56" s="1319"/>
      <c r="BE56" s="1319"/>
      <c r="BF56" s="1319"/>
      <c r="BG56" s="1319"/>
      <c r="BH56" s="1319"/>
      <c r="BI56" s="1319"/>
      <c r="BJ56" s="1319"/>
      <c r="BK56" s="1319"/>
      <c r="BL56" s="1319"/>
      <c r="BM56" s="1319"/>
      <c r="BN56" s="1319"/>
      <c r="BO56" s="1319"/>
      <c r="BP56" s="1319"/>
      <c r="BQ56" s="1319"/>
      <c r="BR56" s="1319"/>
      <c r="BS56" s="1319"/>
      <c r="BT56" s="1319"/>
      <c r="BU56" s="1319"/>
      <c r="BV56" s="1319"/>
      <c r="BW56" s="165"/>
      <c r="BX56" s="1324"/>
      <c r="BY56" s="1324"/>
      <c r="BZ56" s="1324"/>
      <c r="CA56" s="1325" t="e">
        <f>IF(OR(CharacterLevel="",Spellcasting!#REF!=""),"",VLOOKUP(Spellcasting!#REF!,Tables!WX:XQ,Tables!$TN$1,FALSE))</f>
        <v>#REF!</v>
      </c>
      <c r="CB56" s="1325"/>
      <c r="CC56" s="1325"/>
      <c r="CD56" s="1325"/>
      <c r="CE56" s="1325"/>
      <c r="CF56" s="1325"/>
      <c r="CG56" s="1325"/>
      <c r="CH56" s="1325"/>
      <c r="CI56" s="1325"/>
      <c r="CJ56" s="1325"/>
      <c r="CK56" s="1325"/>
      <c r="CL56" s="1325"/>
      <c r="CM56" s="1325"/>
      <c r="CN56" s="1325"/>
      <c r="CO56" s="1325"/>
      <c r="CP56" s="1325"/>
      <c r="CQ56" s="263"/>
      <c r="CR56" s="1321"/>
      <c r="CS56" s="1321"/>
      <c r="CT56" s="1321"/>
      <c r="CU56" s="1321"/>
      <c r="CV56" s="1321"/>
      <c r="CW56" s="5"/>
      <c r="CX56" s="1321"/>
      <c r="CY56" s="1321"/>
      <c r="CZ56" s="1321"/>
      <c r="DA56" s="1321"/>
      <c r="DB56" s="5"/>
      <c r="DC56" s="1321"/>
      <c r="DD56" s="1321"/>
      <c r="DE56" s="1321"/>
      <c r="DF56" s="1321"/>
      <c r="DG56" s="1321"/>
      <c r="DH56" s="1321"/>
      <c r="DI56" s="5"/>
      <c r="DJ56" s="1321"/>
      <c r="DK56" s="1321"/>
      <c r="DL56" s="1321"/>
      <c r="DM56" s="1321"/>
      <c r="DN56" s="5"/>
      <c r="DO56" s="1321"/>
      <c r="DP56" s="1321"/>
      <c r="DQ56" s="1321"/>
      <c r="DR56" s="1321"/>
      <c r="DS56" s="5"/>
      <c r="DT56" s="1320"/>
      <c r="DU56" s="1320"/>
      <c r="DV56" s="1320"/>
      <c r="DW56" s="1320"/>
      <c r="DX56" s="1320"/>
      <c r="DY56" s="1320"/>
      <c r="DZ56" s="1320"/>
      <c r="EA56" s="1320"/>
      <c r="EB56" s="1320"/>
      <c r="EC56" s="1320"/>
      <c r="ED56" s="1320"/>
      <c r="EE56" s="1320"/>
      <c r="EF56" s="1320"/>
      <c r="EG56" s="1320"/>
      <c r="EH56" s="1320"/>
      <c r="EI56" s="1320"/>
      <c r="EJ56" s="1320"/>
      <c r="EK56" s="1320"/>
      <c r="EL56" s="1320"/>
      <c r="EM56" s="1320"/>
      <c r="EN56" s="1320"/>
      <c r="EO56" s="1320"/>
      <c r="EP56" s="1320"/>
      <c r="EQ56" s="1320"/>
      <c r="ER56" s="1320"/>
    </row>
    <row r="57" spans="1:149" ht="9.75" customHeight="1" x14ac:dyDescent="0.2">
      <c r="A57" s="5"/>
      <c r="B57" s="1320"/>
      <c r="C57" s="1320"/>
      <c r="D57" s="1320"/>
      <c r="E57" s="1320"/>
      <c r="F57" s="1320"/>
      <c r="G57" s="1320"/>
      <c r="H57" s="1320"/>
      <c r="I57" s="1320"/>
      <c r="J57" s="1320"/>
      <c r="K57" s="1320"/>
      <c r="L57" s="1320"/>
      <c r="M57" s="1320"/>
      <c r="N57" s="1320"/>
      <c r="O57" s="1320"/>
      <c r="P57" s="1320"/>
      <c r="Q57" s="1320"/>
      <c r="R57" s="1320"/>
      <c r="S57" s="1320"/>
      <c r="T57" s="1320"/>
      <c r="U57" s="263"/>
      <c r="V57" s="1321"/>
      <c r="W57" s="1321"/>
      <c r="X57" s="1321"/>
      <c r="Y57" s="1321"/>
      <c r="Z57" s="1321"/>
      <c r="AA57" s="263"/>
      <c r="AB57" s="1321"/>
      <c r="AC57" s="1321"/>
      <c r="AD57" s="1321"/>
      <c r="AE57" s="1321"/>
      <c r="AF57" s="263"/>
      <c r="AG57" s="1321"/>
      <c r="AH57" s="1321"/>
      <c r="AI57" s="1321"/>
      <c r="AJ57" s="1321"/>
      <c r="AK57" s="1321"/>
      <c r="AL57" s="1321"/>
      <c r="AM57" s="263"/>
      <c r="AN57" s="1326"/>
      <c r="AO57" s="1326"/>
      <c r="AP57" s="1326"/>
      <c r="AQ57" s="1326"/>
      <c r="AR57" s="263"/>
      <c r="AS57" s="1321"/>
      <c r="AT57" s="1321"/>
      <c r="AU57" s="1321"/>
      <c r="AV57" s="1321"/>
      <c r="AW57" s="263"/>
      <c r="AX57" s="1320"/>
      <c r="AY57" s="1320"/>
      <c r="AZ57" s="1320"/>
      <c r="BA57" s="1320"/>
      <c r="BB57" s="1320"/>
      <c r="BC57" s="1320"/>
      <c r="BD57" s="1320"/>
      <c r="BE57" s="1320"/>
      <c r="BF57" s="1320"/>
      <c r="BG57" s="1320"/>
      <c r="BH57" s="1320"/>
      <c r="BI57" s="1320"/>
      <c r="BJ57" s="1320"/>
      <c r="BK57" s="1320"/>
      <c r="BL57" s="1320"/>
      <c r="BM57" s="1320"/>
      <c r="BN57" s="1320"/>
      <c r="BO57" s="1320"/>
      <c r="BP57" s="1320"/>
      <c r="BQ57" s="1320"/>
      <c r="BR57" s="1320"/>
      <c r="BS57" s="1320"/>
      <c r="BT57" s="1320"/>
      <c r="BU57" s="1320"/>
      <c r="BV57" s="1320"/>
      <c r="BW57" s="165"/>
      <c r="BX57" s="1324" t="str">
        <f>IF(CharacterLevel="",'Character Sheet III'!$CF$202,IF(Spellcasting!CE23="•",'Character Sheet III'!$BX$202,'Character Sheet III'!$CF$202))</f>
        <v>□</v>
      </c>
      <c r="BY57" s="1324"/>
      <c r="BZ57" s="1324"/>
      <c r="CA57" s="1325" t="str">
        <f>IF(OR(CharacterLevel="",Spellcasting!CG$23=""),"",VLOOKUP(Spellcasting!CG$23,Tables!$TK:$UB,Tables!$TN$1,FALSE))</f>
        <v/>
      </c>
      <c r="CB57" s="1325"/>
      <c r="CC57" s="1325"/>
      <c r="CD57" s="1325"/>
      <c r="CE57" s="1325"/>
      <c r="CF57" s="1325"/>
      <c r="CG57" s="1325"/>
      <c r="CH57" s="1325"/>
      <c r="CI57" s="1325"/>
      <c r="CJ57" s="1325"/>
      <c r="CK57" s="1325"/>
      <c r="CL57" s="1325"/>
      <c r="CM57" s="1325"/>
      <c r="CN57" s="1325"/>
      <c r="CO57" s="1325"/>
      <c r="CP57" s="1325"/>
      <c r="CQ57" s="263"/>
      <c r="CR57" s="1048" t="str">
        <f>IF(OR(CharacterLevel="",Spellcasting!CG$23=""),"",VLOOKUP(Spellcasting!CG$23,Tables!$TK:$UB,Tables!$TT$1,FALSE))</f>
        <v/>
      </c>
      <c r="CS57" s="1048"/>
      <c r="CT57" s="1048"/>
      <c r="CU57" s="1048"/>
      <c r="CV57" s="1048"/>
      <c r="CW57" s="263"/>
      <c r="CX57" s="1048" t="str">
        <f>IF(OR(CharacterLevel="",Spellcasting!CG$23=""),"",VLOOKUP(Spellcasting!CG$23,Tables!$TK:$UB,Tables!$TU$1,FALSE))</f>
        <v/>
      </c>
      <c r="CY57" s="1048"/>
      <c r="CZ57" s="1048"/>
      <c r="DA57" s="1048"/>
      <c r="DB57" s="263"/>
      <c r="DC57" s="1048" t="str">
        <f>IF(OR(CharacterLevel="",Spellcasting!CG$23=""),"",VLOOKUP(Spellcasting!CG$23,Tables!$TK:$UB,Tables!$TV$1,FALSE))</f>
        <v/>
      </c>
      <c r="DD57" s="1048"/>
      <c r="DE57" s="1048"/>
      <c r="DF57" s="1048"/>
      <c r="DG57" s="1048"/>
      <c r="DH57" s="1048"/>
      <c r="DI57" s="261"/>
      <c r="DJ57" s="1048" t="str">
        <f>IF(OR(CharacterLevel="",Spellcasting!CG$23=""),"",VLOOKUP(Spellcasting!CG$23,Tables!$TK:$UB,Tables!$TW$1,FALSE))</f>
        <v/>
      </c>
      <c r="DK57" s="1048"/>
      <c r="DL57" s="1048"/>
      <c r="DM57" s="1048"/>
      <c r="DN57" s="261"/>
      <c r="DO57" s="1048" t="str">
        <f>IF(OR(CharacterLevel="",Spellcasting!CG$23=""),"",VLOOKUP(Spellcasting!CG$23,Tables!$TK:$UB,Tables!$TZ$1,FALSE))</f>
        <v/>
      </c>
      <c r="DP57" s="1048"/>
      <c r="DQ57" s="1048"/>
      <c r="DR57" s="1048"/>
      <c r="DS57" s="261"/>
      <c r="DT57" s="1319" t="str">
        <f>IF(OR(CharacterLevel="",Spellcasting!CG$23=""),"",VLOOKUP(Spellcasting!CG$23,Tables!$TK:$UB,Tables!$UB$1,FALSE))</f>
        <v/>
      </c>
      <c r="DU57" s="1319"/>
      <c r="DV57" s="1319"/>
      <c r="DW57" s="1319"/>
      <c r="DX57" s="1319"/>
      <c r="DY57" s="1319"/>
      <c r="DZ57" s="1319"/>
      <c r="EA57" s="1319"/>
      <c r="EB57" s="1319"/>
      <c r="EC57" s="1319"/>
      <c r="ED57" s="1319"/>
      <c r="EE57" s="1319"/>
      <c r="EF57" s="1319"/>
      <c r="EG57" s="1319"/>
      <c r="EH57" s="1319"/>
      <c r="EI57" s="1319"/>
      <c r="EJ57" s="1319"/>
      <c r="EK57" s="1319"/>
      <c r="EL57" s="1319"/>
      <c r="EM57" s="1319"/>
      <c r="EN57" s="1319"/>
      <c r="EO57" s="1319"/>
      <c r="EP57" s="1319"/>
      <c r="EQ57" s="1319"/>
      <c r="ER57" s="1319"/>
      <c r="ES57" s="6">
        <f>ES55+1</f>
        <v>14</v>
      </c>
    </row>
    <row r="58" spans="1:149" ht="9.75" customHeight="1" x14ac:dyDescent="0.2">
      <c r="A58" s="5"/>
      <c r="B58" s="1319" t="str">
        <f>IF(OR(CharacterLevel="",Spellcasting!AC$9=""),"",VLOOKUP(Spellcasting!AC$9,Tables!$TK:$UB,Tables!$TN$1,FALSE))</f>
        <v/>
      </c>
      <c r="C58" s="1319"/>
      <c r="D58" s="1319"/>
      <c r="E58" s="1319"/>
      <c r="F58" s="1319"/>
      <c r="G58" s="1319"/>
      <c r="H58" s="1319"/>
      <c r="I58" s="1319"/>
      <c r="J58" s="1319"/>
      <c r="K58" s="1319"/>
      <c r="L58" s="1319"/>
      <c r="M58" s="1319"/>
      <c r="N58" s="1319"/>
      <c r="O58" s="1319"/>
      <c r="P58" s="1319"/>
      <c r="Q58" s="1319"/>
      <c r="R58" s="1319"/>
      <c r="S58" s="1319"/>
      <c r="T58" s="1319"/>
      <c r="U58" s="263"/>
      <c r="V58" s="1048" t="str">
        <f>IF(OR(CharacterLevel="",Spellcasting!AC$9=""),"",VLOOKUP(Spellcasting!AC$9,Tables!$TK:$UB,Tables!$TT$1,FALSE))</f>
        <v/>
      </c>
      <c r="W58" s="1048"/>
      <c r="X58" s="1048"/>
      <c r="Y58" s="1048"/>
      <c r="Z58" s="1048"/>
      <c r="AA58" s="263"/>
      <c r="AB58" s="1048" t="str">
        <f>IF(OR(CharacterLevel="",Spellcasting!AC$9=""),"",VLOOKUP(Spellcasting!AC$9,Tables!$TK:$UB,Tables!$TU$1,FALSE))</f>
        <v/>
      </c>
      <c r="AC58" s="1048"/>
      <c r="AD58" s="1048"/>
      <c r="AE58" s="1048"/>
      <c r="AF58" s="263"/>
      <c r="AG58" s="1048" t="str">
        <f>IF(OR(CharacterLevel="",Spellcasting!AC$9=""),"",VLOOKUP(Spellcasting!AC$9,Tables!$TK:$UB,Tables!$TV$1,FALSE))</f>
        <v/>
      </c>
      <c r="AH58" s="1048"/>
      <c r="AI58" s="1048"/>
      <c r="AJ58" s="1048"/>
      <c r="AK58" s="1048"/>
      <c r="AL58" s="1048"/>
      <c r="AM58" s="261"/>
      <c r="AN58" s="1403" t="str">
        <f>IF(OR(CharacterLevel="",Spellcasting!AC$9=""),"",VLOOKUP(Spellcasting!AC$9,Tables!$TK:$UB,Tables!$TW$1,FALSE))</f>
        <v/>
      </c>
      <c r="AO58" s="1403"/>
      <c r="AP58" s="1403"/>
      <c r="AQ58" s="1403"/>
      <c r="AR58" s="261"/>
      <c r="AS58" s="1048" t="str">
        <f>IF(OR(CharacterLevel="",Spellcasting!AC$9=""),"",VLOOKUP(Spellcasting!AC$9,Tables!$TK:$UB,Tables!$TZ$1,FALSE))</f>
        <v/>
      </c>
      <c r="AT58" s="1048"/>
      <c r="AU58" s="1048"/>
      <c r="AV58" s="1048"/>
      <c r="AW58" s="261"/>
      <c r="AX58" s="1319" t="str">
        <f>IF(OR(CharacterLevel="",Spellcasting!AC$9=""),"",VLOOKUP(Spellcasting!AC$9,Tables!$TK:$UB,Tables!$UB$1,FALSE))</f>
        <v/>
      </c>
      <c r="AY58" s="1319"/>
      <c r="AZ58" s="1319"/>
      <c r="BA58" s="1319"/>
      <c r="BB58" s="1319"/>
      <c r="BC58" s="1319"/>
      <c r="BD58" s="1319"/>
      <c r="BE58" s="1319"/>
      <c r="BF58" s="1319"/>
      <c r="BG58" s="1319"/>
      <c r="BH58" s="1319"/>
      <c r="BI58" s="1319"/>
      <c r="BJ58" s="1319"/>
      <c r="BK58" s="1319"/>
      <c r="BL58" s="1319"/>
      <c r="BM58" s="1319"/>
      <c r="BN58" s="1319"/>
      <c r="BO58" s="1319"/>
      <c r="BP58" s="1319"/>
      <c r="BQ58" s="1319"/>
      <c r="BR58" s="1319"/>
      <c r="BS58" s="1319"/>
      <c r="BT58" s="1319"/>
      <c r="BU58" s="1319"/>
      <c r="BV58" s="1319"/>
      <c r="BW58" s="165"/>
      <c r="BX58" s="1324"/>
      <c r="BY58" s="1324"/>
      <c r="BZ58" s="1324"/>
      <c r="CA58" s="1325" t="e">
        <f>IF(OR(CharacterLevel="",Spellcasting!#REF!=""),"",VLOOKUP(Spellcasting!#REF!,Tables!WX:XQ,Tables!$TN$1,FALSE))</f>
        <v>#REF!</v>
      </c>
      <c r="CB58" s="1325"/>
      <c r="CC58" s="1325"/>
      <c r="CD58" s="1325"/>
      <c r="CE58" s="1325"/>
      <c r="CF58" s="1325"/>
      <c r="CG58" s="1325"/>
      <c r="CH58" s="1325"/>
      <c r="CI58" s="1325"/>
      <c r="CJ58" s="1325"/>
      <c r="CK58" s="1325"/>
      <c r="CL58" s="1325"/>
      <c r="CM58" s="1325"/>
      <c r="CN58" s="1325"/>
      <c r="CO58" s="1325"/>
      <c r="CP58" s="1325"/>
      <c r="CQ58" s="263"/>
      <c r="CR58" s="1321"/>
      <c r="CS58" s="1321"/>
      <c r="CT58" s="1321"/>
      <c r="CU58" s="1321"/>
      <c r="CV58" s="1321"/>
      <c r="CW58" s="5"/>
      <c r="CX58" s="1321"/>
      <c r="CY58" s="1321"/>
      <c r="CZ58" s="1321"/>
      <c r="DA58" s="1321"/>
      <c r="DB58" s="5"/>
      <c r="DC58" s="1321"/>
      <c r="DD58" s="1321"/>
      <c r="DE58" s="1321"/>
      <c r="DF58" s="1321"/>
      <c r="DG58" s="1321"/>
      <c r="DH58" s="1321"/>
      <c r="DI58" s="5"/>
      <c r="DJ58" s="1321"/>
      <c r="DK58" s="1321"/>
      <c r="DL58" s="1321"/>
      <c r="DM58" s="1321"/>
      <c r="DN58" s="5"/>
      <c r="DO58" s="1321"/>
      <c r="DP58" s="1321"/>
      <c r="DQ58" s="1321"/>
      <c r="DR58" s="1321"/>
      <c r="DS58" s="5"/>
      <c r="DT58" s="1320"/>
      <c r="DU58" s="1320"/>
      <c r="DV58" s="1320"/>
      <c r="DW58" s="1320"/>
      <c r="DX58" s="1320"/>
      <c r="DY58" s="1320"/>
      <c r="DZ58" s="1320"/>
      <c r="EA58" s="1320"/>
      <c r="EB58" s="1320"/>
      <c r="EC58" s="1320"/>
      <c r="ED58" s="1320"/>
      <c r="EE58" s="1320"/>
      <c r="EF58" s="1320"/>
      <c r="EG58" s="1320"/>
      <c r="EH58" s="1320"/>
      <c r="EI58" s="1320"/>
      <c r="EJ58" s="1320"/>
      <c r="EK58" s="1320"/>
      <c r="EL58" s="1320"/>
      <c r="EM58" s="1320"/>
      <c r="EN58" s="1320"/>
      <c r="EO58" s="1320"/>
      <c r="EP58" s="1320"/>
      <c r="EQ58" s="1320"/>
      <c r="ER58" s="1320"/>
    </row>
    <row r="59" spans="1:149" ht="9.75" customHeight="1" x14ac:dyDescent="0.2">
      <c r="A59" s="5"/>
      <c r="B59" s="1320"/>
      <c r="C59" s="1320"/>
      <c r="D59" s="1320"/>
      <c r="E59" s="1320"/>
      <c r="F59" s="1320"/>
      <c r="G59" s="1320"/>
      <c r="H59" s="1320"/>
      <c r="I59" s="1320"/>
      <c r="J59" s="1320"/>
      <c r="K59" s="1320"/>
      <c r="L59" s="1320"/>
      <c r="M59" s="1320"/>
      <c r="N59" s="1320"/>
      <c r="O59" s="1320"/>
      <c r="P59" s="1320"/>
      <c r="Q59" s="1320"/>
      <c r="R59" s="1320"/>
      <c r="S59" s="1320"/>
      <c r="T59" s="1320"/>
      <c r="U59" s="263"/>
      <c r="V59" s="1321"/>
      <c r="W59" s="1321"/>
      <c r="X59" s="1321"/>
      <c r="Y59" s="1321"/>
      <c r="Z59" s="1321"/>
      <c r="AA59" s="263"/>
      <c r="AB59" s="1321"/>
      <c r="AC59" s="1321"/>
      <c r="AD59" s="1321"/>
      <c r="AE59" s="1321"/>
      <c r="AF59" s="263"/>
      <c r="AG59" s="1321"/>
      <c r="AH59" s="1321"/>
      <c r="AI59" s="1321"/>
      <c r="AJ59" s="1321"/>
      <c r="AK59" s="1321"/>
      <c r="AL59" s="1321"/>
      <c r="AM59" s="263"/>
      <c r="AN59" s="1326"/>
      <c r="AO59" s="1326"/>
      <c r="AP59" s="1326"/>
      <c r="AQ59" s="1326"/>
      <c r="AR59" s="263"/>
      <c r="AS59" s="1321"/>
      <c r="AT59" s="1321"/>
      <c r="AU59" s="1321"/>
      <c r="AV59" s="1321"/>
      <c r="AW59" s="263"/>
      <c r="AX59" s="1320"/>
      <c r="AY59" s="1320"/>
      <c r="AZ59" s="1320"/>
      <c r="BA59" s="1320"/>
      <c r="BB59" s="1320"/>
      <c r="BC59" s="1320"/>
      <c r="BD59" s="1320"/>
      <c r="BE59" s="1320"/>
      <c r="BF59" s="1320"/>
      <c r="BG59" s="1320"/>
      <c r="BH59" s="1320"/>
      <c r="BI59" s="1320"/>
      <c r="BJ59" s="1320"/>
      <c r="BK59" s="1320"/>
      <c r="BL59" s="1320"/>
      <c r="BM59" s="1320"/>
      <c r="BN59" s="1320"/>
      <c r="BO59" s="1320"/>
      <c r="BP59" s="1320"/>
      <c r="BQ59" s="1320"/>
      <c r="BR59" s="1320"/>
      <c r="BS59" s="1320"/>
      <c r="BT59" s="1320"/>
      <c r="BU59" s="1320"/>
      <c r="BV59" s="1320"/>
      <c r="BW59" s="165"/>
      <c r="BX59" s="1324" t="str">
        <f>IF(CharacterLevel="",'Character Sheet III'!$CF$202,IF(Spellcasting!CE24="•",'Character Sheet III'!$BX$202,'Character Sheet III'!$CF$202))</f>
        <v>□</v>
      </c>
      <c r="BY59" s="1324"/>
      <c r="BZ59" s="1324"/>
      <c r="CA59" s="1325" t="str">
        <f>IF(OR(CharacterLevel="",Spellcasting!CG$24=""),"",VLOOKUP(Spellcasting!CG$24,Tables!$TK:$UB,Tables!$TN$1,FALSE))</f>
        <v/>
      </c>
      <c r="CB59" s="1325"/>
      <c r="CC59" s="1325"/>
      <c r="CD59" s="1325"/>
      <c r="CE59" s="1325"/>
      <c r="CF59" s="1325"/>
      <c r="CG59" s="1325"/>
      <c r="CH59" s="1325"/>
      <c r="CI59" s="1325"/>
      <c r="CJ59" s="1325"/>
      <c r="CK59" s="1325"/>
      <c r="CL59" s="1325"/>
      <c r="CM59" s="1325"/>
      <c r="CN59" s="1325"/>
      <c r="CO59" s="1325"/>
      <c r="CP59" s="1325"/>
      <c r="CQ59" s="263"/>
      <c r="CR59" s="1048" t="str">
        <f>IF(OR(CharacterLevel="",Spellcasting!CG$24=""),"",VLOOKUP(Spellcasting!CG$24,Tables!$TK:$UB,Tables!$TT$1,FALSE))</f>
        <v/>
      </c>
      <c r="CS59" s="1048"/>
      <c r="CT59" s="1048"/>
      <c r="CU59" s="1048"/>
      <c r="CV59" s="1048"/>
      <c r="CW59" s="263"/>
      <c r="CX59" s="1048" t="str">
        <f>IF(OR(CharacterLevel="",Spellcasting!CG$24=""),"",VLOOKUP(Spellcasting!CG$24,Tables!$TK:$UB,Tables!$TU$1,FALSE))</f>
        <v/>
      </c>
      <c r="CY59" s="1048"/>
      <c r="CZ59" s="1048"/>
      <c r="DA59" s="1048"/>
      <c r="DB59" s="263"/>
      <c r="DC59" s="1048" t="str">
        <f>IF(OR(CharacterLevel="",Spellcasting!CG$24=""),"",VLOOKUP(Spellcasting!CG$24,Tables!$TK:$UB,Tables!$TV$1,FALSE))</f>
        <v/>
      </c>
      <c r="DD59" s="1048"/>
      <c r="DE59" s="1048"/>
      <c r="DF59" s="1048"/>
      <c r="DG59" s="1048"/>
      <c r="DH59" s="1048"/>
      <c r="DI59" s="261"/>
      <c r="DJ59" s="1048" t="str">
        <f>IF(OR(CharacterLevel="",Spellcasting!CG$24=""),"",VLOOKUP(Spellcasting!CG$24,Tables!$TK:$UB,Tables!$TW$1,FALSE))</f>
        <v/>
      </c>
      <c r="DK59" s="1048"/>
      <c r="DL59" s="1048"/>
      <c r="DM59" s="1048"/>
      <c r="DN59" s="261"/>
      <c r="DO59" s="1048" t="str">
        <f>IF(OR(CharacterLevel="",Spellcasting!CG$24=""),"",VLOOKUP(Spellcasting!CG$24,Tables!$TK:$UB,Tables!$TZ$1,FALSE))</f>
        <v/>
      </c>
      <c r="DP59" s="1048"/>
      <c r="DQ59" s="1048"/>
      <c r="DR59" s="1048"/>
      <c r="DS59" s="261"/>
      <c r="DT59" s="1319" t="str">
        <f>IF(OR(CharacterLevel="",Spellcasting!CG$24=""),"",VLOOKUP(Spellcasting!CG$24,Tables!$TK:$UB,Tables!$UB$1,FALSE))</f>
        <v/>
      </c>
      <c r="DU59" s="1319"/>
      <c r="DV59" s="1319"/>
      <c r="DW59" s="1319"/>
      <c r="DX59" s="1319"/>
      <c r="DY59" s="1319"/>
      <c r="DZ59" s="1319"/>
      <c r="EA59" s="1319"/>
      <c r="EB59" s="1319"/>
      <c r="EC59" s="1319"/>
      <c r="ED59" s="1319"/>
      <c r="EE59" s="1319"/>
      <c r="EF59" s="1319"/>
      <c r="EG59" s="1319"/>
      <c r="EH59" s="1319"/>
      <c r="EI59" s="1319"/>
      <c r="EJ59" s="1319"/>
      <c r="EK59" s="1319"/>
      <c r="EL59" s="1319"/>
      <c r="EM59" s="1319"/>
      <c r="EN59" s="1319"/>
      <c r="EO59" s="1319"/>
      <c r="EP59" s="1319"/>
      <c r="EQ59" s="1319"/>
      <c r="ER59" s="1319"/>
      <c r="ES59" s="6">
        <f>ES57+1</f>
        <v>15</v>
      </c>
    </row>
    <row r="60" spans="1:149" ht="9.75" customHeight="1" x14ac:dyDescent="0.2">
      <c r="A60" s="5"/>
      <c r="B60" s="1319" t="str">
        <f>IF(OR(CharacterLevel="",Spellcasting!AC$10=""),"",VLOOKUP(Spellcasting!AC$10,Tables!$TK:$UB,Tables!$TN$1,FALSE))</f>
        <v/>
      </c>
      <c r="C60" s="1319"/>
      <c r="D60" s="1319"/>
      <c r="E60" s="1319"/>
      <c r="F60" s="1319"/>
      <c r="G60" s="1319"/>
      <c r="H60" s="1319"/>
      <c r="I60" s="1319"/>
      <c r="J60" s="1319"/>
      <c r="K60" s="1319"/>
      <c r="L60" s="1319"/>
      <c r="M60" s="1319"/>
      <c r="N60" s="1319"/>
      <c r="O60" s="1319"/>
      <c r="P60" s="1319"/>
      <c r="Q60" s="1319"/>
      <c r="R60" s="1319"/>
      <c r="S60" s="1319"/>
      <c r="T60" s="1319"/>
      <c r="U60" s="263"/>
      <c r="V60" s="1048" t="str">
        <f>IF(OR(CharacterLevel="",Spellcasting!AC$10=""),"",VLOOKUP(Spellcasting!AC$10,Tables!$TK:$UB,Tables!$TT$1,FALSE))</f>
        <v/>
      </c>
      <c r="W60" s="1048"/>
      <c r="X60" s="1048"/>
      <c r="Y60" s="1048"/>
      <c r="Z60" s="1048"/>
      <c r="AA60" s="263"/>
      <c r="AB60" s="1048" t="str">
        <f>IF(OR(CharacterLevel="",Spellcasting!AC$10=""),"",VLOOKUP(Spellcasting!AC$10,Tables!$TK:$UB,Tables!$TU$1,FALSE))</f>
        <v/>
      </c>
      <c r="AC60" s="1048"/>
      <c r="AD60" s="1048"/>
      <c r="AE60" s="1048"/>
      <c r="AF60" s="263"/>
      <c r="AG60" s="1048" t="str">
        <f>IF(OR(CharacterLevel="",Spellcasting!AC$10=""),"",VLOOKUP(Spellcasting!AC$10,Tables!$TK:$UB,Tables!$TV$1,FALSE))</f>
        <v/>
      </c>
      <c r="AH60" s="1048"/>
      <c r="AI60" s="1048"/>
      <c r="AJ60" s="1048"/>
      <c r="AK60" s="1048"/>
      <c r="AL60" s="1048"/>
      <c r="AM60" s="261"/>
      <c r="AN60" s="1403" t="str">
        <f>IF(OR(CharacterLevel="",Spellcasting!AC$10=""),"",VLOOKUP(Spellcasting!AC$10,Tables!$TK:$UB,Tables!$TW$1,FALSE))</f>
        <v/>
      </c>
      <c r="AO60" s="1403"/>
      <c r="AP60" s="1403"/>
      <c r="AQ60" s="1403"/>
      <c r="AR60" s="261"/>
      <c r="AS60" s="1048" t="str">
        <f>IF(OR(CharacterLevel="",Spellcasting!AC$10=""),"",VLOOKUP(Spellcasting!AC$10,Tables!$TK:$UB,Tables!$TZ$1,FALSE))</f>
        <v/>
      </c>
      <c r="AT60" s="1048"/>
      <c r="AU60" s="1048"/>
      <c r="AV60" s="1048"/>
      <c r="AW60" s="261"/>
      <c r="AX60" s="1319" t="str">
        <f>IF(OR(CharacterLevel="",Spellcasting!AC$10=""),"",VLOOKUP(Spellcasting!AC$10,Tables!$TK:$UB,Tables!$UB$1,FALSE))</f>
        <v/>
      </c>
      <c r="AY60" s="1319"/>
      <c r="AZ60" s="1319"/>
      <c r="BA60" s="1319"/>
      <c r="BB60" s="1319"/>
      <c r="BC60" s="1319"/>
      <c r="BD60" s="1319"/>
      <c r="BE60" s="1319"/>
      <c r="BF60" s="1319"/>
      <c r="BG60" s="1319"/>
      <c r="BH60" s="1319"/>
      <c r="BI60" s="1319"/>
      <c r="BJ60" s="1319"/>
      <c r="BK60" s="1319"/>
      <c r="BL60" s="1319"/>
      <c r="BM60" s="1319"/>
      <c r="BN60" s="1319"/>
      <c r="BO60" s="1319"/>
      <c r="BP60" s="1319"/>
      <c r="BQ60" s="1319"/>
      <c r="BR60" s="1319"/>
      <c r="BS60" s="1319"/>
      <c r="BT60" s="1319"/>
      <c r="BU60" s="1319"/>
      <c r="BV60" s="1319"/>
      <c r="BW60" s="165"/>
      <c r="BX60" s="1324"/>
      <c r="BY60" s="1324"/>
      <c r="BZ60" s="1324"/>
      <c r="CA60" s="1325" t="e">
        <f>IF(OR(CharacterLevel="",Spellcasting!#REF!=""),"",VLOOKUP(Spellcasting!#REF!,Tables!WX:XQ,Tables!$TN$1,FALSE))</f>
        <v>#REF!</v>
      </c>
      <c r="CB60" s="1325"/>
      <c r="CC60" s="1325"/>
      <c r="CD60" s="1325"/>
      <c r="CE60" s="1325"/>
      <c r="CF60" s="1325"/>
      <c r="CG60" s="1325"/>
      <c r="CH60" s="1325"/>
      <c r="CI60" s="1325"/>
      <c r="CJ60" s="1325"/>
      <c r="CK60" s="1325"/>
      <c r="CL60" s="1325"/>
      <c r="CM60" s="1325"/>
      <c r="CN60" s="1325"/>
      <c r="CO60" s="1325"/>
      <c r="CP60" s="1325"/>
      <c r="CQ60" s="263"/>
      <c r="CR60" s="1321"/>
      <c r="CS60" s="1321"/>
      <c r="CT60" s="1321"/>
      <c r="CU60" s="1321"/>
      <c r="CV60" s="1321"/>
      <c r="CW60" s="5"/>
      <c r="CX60" s="1321"/>
      <c r="CY60" s="1321"/>
      <c r="CZ60" s="1321"/>
      <c r="DA60" s="1321"/>
      <c r="DB60" s="5"/>
      <c r="DC60" s="1321"/>
      <c r="DD60" s="1321"/>
      <c r="DE60" s="1321"/>
      <c r="DF60" s="1321"/>
      <c r="DG60" s="1321"/>
      <c r="DH60" s="1321"/>
      <c r="DI60" s="5"/>
      <c r="DJ60" s="1321"/>
      <c r="DK60" s="1321"/>
      <c r="DL60" s="1321"/>
      <c r="DM60" s="1321"/>
      <c r="DN60" s="5"/>
      <c r="DO60" s="1321"/>
      <c r="DP60" s="1321"/>
      <c r="DQ60" s="1321"/>
      <c r="DR60" s="1321"/>
      <c r="DS60" s="5"/>
      <c r="DT60" s="1320"/>
      <c r="DU60" s="1320"/>
      <c r="DV60" s="1320"/>
      <c r="DW60" s="1320"/>
      <c r="DX60" s="1320"/>
      <c r="DY60" s="1320"/>
      <c r="DZ60" s="1320"/>
      <c r="EA60" s="1320"/>
      <c r="EB60" s="1320"/>
      <c r="EC60" s="1320"/>
      <c r="ED60" s="1320"/>
      <c r="EE60" s="1320"/>
      <c r="EF60" s="1320"/>
      <c r="EG60" s="1320"/>
      <c r="EH60" s="1320"/>
      <c r="EI60" s="1320"/>
      <c r="EJ60" s="1320"/>
      <c r="EK60" s="1320"/>
      <c r="EL60" s="1320"/>
      <c r="EM60" s="1320"/>
      <c r="EN60" s="1320"/>
      <c r="EO60" s="1320"/>
      <c r="EP60" s="1320"/>
      <c r="EQ60" s="1320"/>
      <c r="ER60" s="1320"/>
    </row>
    <row r="61" spans="1:149" ht="9.75" customHeight="1" x14ac:dyDescent="0.2">
      <c r="A61" s="5"/>
      <c r="B61" s="1320"/>
      <c r="C61" s="1320"/>
      <c r="D61" s="1320"/>
      <c r="E61" s="1320"/>
      <c r="F61" s="1320"/>
      <c r="G61" s="1320"/>
      <c r="H61" s="1320"/>
      <c r="I61" s="1320"/>
      <c r="J61" s="1320"/>
      <c r="K61" s="1320"/>
      <c r="L61" s="1320"/>
      <c r="M61" s="1320"/>
      <c r="N61" s="1320"/>
      <c r="O61" s="1320"/>
      <c r="P61" s="1320"/>
      <c r="Q61" s="1320"/>
      <c r="R61" s="1320"/>
      <c r="S61" s="1320"/>
      <c r="T61" s="1320"/>
      <c r="U61" s="263"/>
      <c r="V61" s="1321"/>
      <c r="W61" s="1321"/>
      <c r="X61" s="1321"/>
      <c r="Y61" s="1321"/>
      <c r="Z61" s="1321"/>
      <c r="AA61" s="263"/>
      <c r="AB61" s="1321"/>
      <c r="AC61" s="1321"/>
      <c r="AD61" s="1321"/>
      <c r="AE61" s="1321"/>
      <c r="AF61" s="263"/>
      <c r="AG61" s="1321"/>
      <c r="AH61" s="1321"/>
      <c r="AI61" s="1321"/>
      <c r="AJ61" s="1321"/>
      <c r="AK61" s="1321"/>
      <c r="AL61" s="1321"/>
      <c r="AM61" s="263"/>
      <c r="AN61" s="1326"/>
      <c r="AO61" s="1326"/>
      <c r="AP61" s="1326"/>
      <c r="AQ61" s="1326"/>
      <c r="AR61" s="263"/>
      <c r="AS61" s="1321"/>
      <c r="AT61" s="1321"/>
      <c r="AU61" s="1321"/>
      <c r="AV61" s="1321"/>
      <c r="AW61" s="263"/>
      <c r="AX61" s="1320"/>
      <c r="AY61" s="1320"/>
      <c r="AZ61" s="1320"/>
      <c r="BA61" s="1320"/>
      <c r="BB61" s="1320"/>
      <c r="BC61" s="1320"/>
      <c r="BD61" s="1320"/>
      <c r="BE61" s="1320"/>
      <c r="BF61" s="1320"/>
      <c r="BG61" s="1320"/>
      <c r="BH61" s="1320"/>
      <c r="BI61" s="1320"/>
      <c r="BJ61" s="1320"/>
      <c r="BK61" s="1320"/>
      <c r="BL61" s="1320"/>
      <c r="BM61" s="1320"/>
      <c r="BN61" s="1320"/>
      <c r="BO61" s="1320"/>
      <c r="BP61" s="1320"/>
      <c r="BQ61" s="1320"/>
      <c r="BR61" s="1320"/>
      <c r="BS61" s="1320"/>
      <c r="BT61" s="1320"/>
      <c r="BU61" s="1320"/>
      <c r="BV61" s="1320"/>
      <c r="BW61" s="165"/>
      <c r="BX61" s="1324" t="str">
        <f>IF(CharacterLevel="",'Character Sheet III'!$CF$202,IF(Spellcasting!CE25="•",'Character Sheet III'!$BX$202,'Character Sheet III'!$CF$202))</f>
        <v>□</v>
      </c>
      <c r="BY61" s="1324"/>
      <c r="BZ61" s="1324"/>
      <c r="CA61" s="1325" t="str">
        <f>IF(OR(CharacterLevel="",Spellcasting!CG$25=""),"",VLOOKUP(Spellcasting!CG$25,Tables!$TK:$UB,Tables!$TN$1,FALSE))</f>
        <v/>
      </c>
      <c r="CB61" s="1325"/>
      <c r="CC61" s="1325"/>
      <c r="CD61" s="1325"/>
      <c r="CE61" s="1325"/>
      <c r="CF61" s="1325"/>
      <c r="CG61" s="1325"/>
      <c r="CH61" s="1325"/>
      <c r="CI61" s="1325"/>
      <c r="CJ61" s="1325"/>
      <c r="CK61" s="1325"/>
      <c r="CL61" s="1325"/>
      <c r="CM61" s="1325"/>
      <c r="CN61" s="1325"/>
      <c r="CO61" s="1325"/>
      <c r="CP61" s="1325"/>
      <c r="CQ61" s="263"/>
      <c r="CR61" s="1048" t="str">
        <f>IF(OR(CharacterLevel="",Spellcasting!CG$25=""),"",VLOOKUP(Spellcasting!CG$25,Tables!$TK:$UB,Tables!$TT$1,FALSE))</f>
        <v/>
      </c>
      <c r="CS61" s="1048"/>
      <c r="CT61" s="1048"/>
      <c r="CU61" s="1048"/>
      <c r="CV61" s="1048"/>
      <c r="CW61" s="263"/>
      <c r="CX61" s="1048" t="str">
        <f>IF(OR(CharacterLevel="",Spellcasting!CG$25=""),"",VLOOKUP(Spellcasting!CG$25,Tables!$TK:$UB,Tables!$TU$1,FALSE))</f>
        <v/>
      </c>
      <c r="CY61" s="1048"/>
      <c r="CZ61" s="1048"/>
      <c r="DA61" s="1048"/>
      <c r="DB61" s="263"/>
      <c r="DC61" s="1048" t="str">
        <f>IF(OR(CharacterLevel="",Spellcasting!CG$25=""),"",VLOOKUP(Spellcasting!CG$25,Tables!$TK:$UB,Tables!$TV$1,FALSE))</f>
        <v/>
      </c>
      <c r="DD61" s="1048"/>
      <c r="DE61" s="1048"/>
      <c r="DF61" s="1048"/>
      <c r="DG61" s="1048"/>
      <c r="DH61" s="1048"/>
      <c r="DI61" s="261"/>
      <c r="DJ61" s="1048" t="str">
        <f>IF(OR(CharacterLevel="",Spellcasting!CG$25=""),"",VLOOKUP(Spellcasting!CG$25,Tables!$TK:$UB,Tables!$TW$1,FALSE))</f>
        <v/>
      </c>
      <c r="DK61" s="1048"/>
      <c r="DL61" s="1048"/>
      <c r="DM61" s="1048"/>
      <c r="DN61" s="261"/>
      <c r="DO61" s="1048" t="str">
        <f>IF(OR(CharacterLevel="",Spellcasting!CG$25=""),"",VLOOKUP(Spellcasting!CG$25,Tables!$TK:$UB,Tables!$TZ$1,FALSE))</f>
        <v/>
      </c>
      <c r="DP61" s="1048"/>
      <c r="DQ61" s="1048"/>
      <c r="DR61" s="1048"/>
      <c r="DS61" s="261"/>
      <c r="DT61" s="1319" t="str">
        <f>IF(OR(CharacterLevel="",Spellcasting!CG$25=""),"",VLOOKUP(Spellcasting!CG$25,Tables!$TK:$UB,Tables!$UB$1,FALSE))</f>
        <v/>
      </c>
      <c r="DU61" s="1319"/>
      <c r="DV61" s="1319"/>
      <c r="DW61" s="1319"/>
      <c r="DX61" s="1319"/>
      <c r="DY61" s="1319"/>
      <c r="DZ61" s="1319"/>
      <c r="EA61" s="1319"/>
      <c r="EB61" s="1319"/>
      <c r="EC61" s="1319"/>
      <c r="ED61" s="1319"/>
      <c r="EE61" s="1319"/>
      <c r="EF61" s="1319"/>
      <c r="EG61" s="1319"/>
      <c r="EH61" s="1319"/>
      <c r="EI61" s="1319"/>
      <c r="EJ61" s="1319"/>
      <c r="EK61" s="1319"/>
      <c r="EL61" s="1319"/>
      <c r="EM61" s="1319"/>
      <c r="EN61" s="1319"/>
      <c r="EO61" s="1319"/>
      <c r="EP61" s="1319"/>
      <c r="EQ61" s="1319"/>
      <c r="ER61" s="1319"/>
      <c r="ES61" s="6">
        <f>ES59+1</f>
        <v>16</v>
      </c>
    </row>
    <row r="62" spans="1:149" ht="9.75" customHeight="1" x14ac:dyDescent="0.2">
      <c r="A62" s="5"/>
      <c r="B62" s="1319" t="str">
        <f>IF(OR(CharacterLevel="",Spellcasting!AC$11=""),"",VLOOKUP(Spellcasting!AC$11,Tables!$TK:$UB,Tables!$TN$1,FALSE))</f>
        <v/>
      </c>
      <c r="C62" s="1319"/>
      <c r="D62" s="1319"/>
      <c r="E62" s="1319"/>
      <c r="F62" s="1319"/>
      <c r="G62" s="1319"/>
      <c r="H62" s="1319"/>
      <c r="I62" s="1319"/>
      <c r="J62" s="1319"/>
      <c r="K62" s="1319"/>
      <c r="L62" s="1319"/>
      <c r="M62" s="1319"/>
      <c r="N62" s="1319"/>
      <c r="O62" s="1319"/>
      <c r="P62" s="1319"/>
      <c r="Q62" s="1319"/>
      <c r="R62" s="1319"/>
      <c r="S62" s="1319"/>
      <c r="T62" s="1319"/>
      <c r="U62" s="263"/>
      <c r="V62" s="1048" t="str">
        <f>IF(OR(CharacterLevel="",Spellcasting!AC$11=""),"",VLOOKUP(Spellcasting!AC$11,Tables!$TK:$UB,Tables!$TT$1,FALSE))</f>
        <v/>
      </c>
      <c r="W62" s="1048"/>
      <c r="X62" s="1048"/>
      <c r="Y62" s="1048"/>
      <c r="Z62" s="1048"/>
      <c r="AA62" s="263"/>
      <c r="AB62" s="1048" t="str">
        <f>IF(OR(CharacterLevel="",Spellcasting!AC$11=""),"",VLOOKUP(Spellcasting!AC$11,Tables!$TK:$UB,Tables!$TU$1,FALSE))</f>
        <v/>
      </c>
      <c r="AC62" s="1048"/>
      <c r="AD62" s="1048"/>
      <c r="AE62" s="1048"/>
      <c r="AF62" s="263"/>
      <c r="AG62" s="1048" t="str">
        <f>IF(OR(CharacterLevel="",Spellcasting!AC$11=""),"",VLOOKUP(Spellcasting!AC$11,Tables!$TK:$UB,Tables!$TV$1,FALSE))</f>
        <v/>
      </c>
      <c r="AH62" s="1048"/>
      <c r="AI62" s="1048"/>
      <c r="AJ62" s="1048"/>
      <c r="AK62" s="1048"/>
      <c r="AL62" s="1048"/>
      <c r="AM62" s="261"/>
      <c r="AN62" s="1403" t="str">
        <f>IF(OR(CharacterLevel="",Spellcasting!AC$11=""),"",VLOOKUP(Spellcasting!AC$11,Tables!$TK:$UB,Tables!$TW$1,FALSE))</f>
        <v/>
      </c>
      <c r="AO62" s="1403"/>
      <c r="AP62" s="1403"/>
      <c r="AQ62" s="1403"/>
      <c r="AR62" s="261"/>
      <c r="AS62" s="1048" t="str">
        <f>IF(OR(CharacterLevel="",Spellcasting!AC$11=""),"",VLOOKUP(Spellcasting!AC$11,Tables!$TK:$UB,Tables!$TZ$1,FALSE))</f>
        <v/>
      </c>
      <c r="AT62" s="1048"/>
      <c r="AU62" s="1048"/>
      <c r="AV62" s="1048"/>
      <c r="AW62" s="261"/>
      <c r="AX62" s="1319" t="str">
        <f>IF(OR(CharacterLevel="",Spellcasting!AC$11=""),"",VLOOKUP(Spellcasting!AC$11,Tables!$TK:$UB,Tables!$UB$1,FALSE))</f>
        <v/>
      </c>
      <c r="AY62" s="1319"/>
      <c r="AZ62" s="1319"/>
      <c r="BA62" s="1319"/>
      <c r="BB62" s="1319"/>
      <c r="BC62" s="1319"/>
      <c r="BD62" s="1319"/>
      <c r="BE62" s="1319"/>
      <c r="BF62" s="1319"/>
      <c r="BG62" s="1319"/>
      <c r="BH62" s="1319"/>
      <c r="BI62" s="1319"/>
      <c r="BJ62" s="1319"/>
      <c r="BK62" s="1319"/>
      <c r="BL62" s="1319"/>
      <c r="BM62" s="1319"/>
      <c r="BN62" s="1319"/>
      <c r="BO62" s="1319"/>
      <c r="BP62" s="1319"/>
      <c r="BQ62" s="1319"/>
      <c r="BR62" s="1319"/>
      <c r="BS62" s="1319"/>
      <c r="BT62" s="1319"/>
      <c r="BU62" s="1319"/>
      <c r="BV62" s="1319"/>
      <c r="BW62" s="165"/>
      <c r="BX62" s="1324"/>
      <c r="BY62" s="1324"/>
      <c r="BZ62" s="1324"/>
      <c r="CA62" s="1325"/>
      <c r="CB62" s="1325"/>
      <c r="CC62" s="1325"/>
      <c r="CD62" s="1325"/>
      <c r="CE62" s="1325"/>
      <c r="CF62" s="1325"/>
      <c r="CG62" s="1325"/>
      <c r="CH62" s="1325"/>
      <c r="CI62" s="1325"/>
      <c r="CJ62" s="1325"/>
      <c r="CK62" s="1325"/>
      <c r="CL62" s="1325"/>
      <c r="CM62" s="1325"/>
      <c r="CN62" s="1325"/>
      <c r="CO62" s="1325"/>
      <c r="CP62" s="1325"/>
      <c r="CQ62" s="263"/>
      <c r="CR62" s="1321"/>
      <c r="CS62" s="1321"/>
      <c r="CT62" s="1321"/>
      <c r="CU62" s="1321"/>
      <c r="CV62" s="1321"/>
      <c r="CW62" s="5"/>
      <c r="CX62" s="1321"/>
      <c r="CY62" s="1321"/>
      <c r="CZ62" s="1321"/>
      <c r="DA62" s="1321"/>
      <c r="DB62" s="5"/>
      <c r="DC62" s="1321"/>
      <c r="DD62" s="1321"/>
      <c r="DE62" s="1321"/>
      <c r="DF62" s="1321"/>
      <c r="DG62" s="1321"/>
      <c r="DH62" s="1321"/>
      <c r="DI62" s="5"/>
      <c r="DJ62" s="1321"/>
      <c r="DK62" s="1321"/>
      <c r="DL62" s="1321"/>
      <c r="DM62" s="1321"/>
      <c r="DN62" s="5"/>
      <c r="DO62" s="1321"/>
      <c r="DP62" s="1321"/>
      <c r="DQ62" s="1321"/>
      <c r="DR62" s="1321"/>
      <c r="DS62" s="5"/>
      <c r="DT62" s="1320"/>
      <c r="DU62" s="1320"/>
      <c r="DV62" s="1320"/>
      <c r="DW62" s="1320"/>
      <c r="DX62" s="1320"/>
      <c r="DY62" s="1320"/>
      <c r="DZ62" s="1320"/>
      <c r="EA62" s="1320"/>
      <c r="EB62" s="1320"/>
      <c r="EC62" s="1320"/>
      <c r="ED62" s="1320"/>
      <c r="EE62" s="1320"/>
      <c r="EF62" s="1320"/>
      <c r="EG62" s="1320"/>
      <c r="EH62" s="1320"/>
      <c r="EI62" s="1320"/>
      <c r="EJ62" s="1320"/>
      <c r="EK62" s="1320"/>
      <c r="EL62" s="1320"/>
      <c r="EM62" s="1320"/>
      <c r="EN62" s="1320"/>
      <c r="EO62" s="1320"/>
      <c r="EP62" s="1320"/>
      <c r="EQ62" s="1320"/>
      <c r="ER62" s="1320"/>
    </row>
    <row r="63" spans="1:149" ht="9.75" customHeight="1" x14ac:dyDescent="0.2">
      <c r="A63" s="5"/>
      <c r="B63" s="1320"/>
      <c r="C63" s="1320"/>
      <c r="D63" s="1320"/>
      <c r="E63" s="1320"/>
      <c r="F63" s="1320"/>
      <c r="G63" s="1320"/>
      <c r="H63" s="1320"/>
      <c r="I63" s="1320"/>
      <c r="J63" s="1320"/>
      <c r="K63" s="1320"/>
      <c r="L63" s="1320"/>
      <c r="M63" s="1320"/>
      <c r="N63" s="1320"/>
      <c r="O63" s="1320"/>
      <c r="P63" s="1320"/>
      <c r="Q63" s="1320"/>
      <c r="R63" s="1320"/>
      <c r="S63" s="1320"/>
      <c r="T63" s="1320"/>
      <c r="U63" s="263"/>
      <c r="V63" s="1321"/>
      <c r="W63" s="1321"/>
      <c r="X63" s="1321"/>
      <c r="Y63" s="1321"/>
      <c r="Z63" s="1321"/>
      <c r="AA63" s="263"/>
      <c r="AB63" s="1321"/>
      <c r="AC63" s="1321"/>
      <c r="AD63" s="1321"/>
      <c r="AE63" s="1321"/>
      <c r="AF63" s="263"/>
      <c r="AG63" s="1321"/>
      <c r="AH63" s="1321"/>
      <c r="AI63" s="1321"/>
      <c r="AJ63" s="1321"/>
      <c r="AK63" s="1321"/>
      <c r="AL63" s="1321"/>
      <c r="AM63" s="263"/>
      <c r="AN63" s="1326"/>
      <c r="AO63" s="1326"/>
      <c r="AP63" s="1326"/>
      <c r="AQ63" s="1326"/>
      <c r="AR63" s="263"/>
      <c r="AS63" s="1321"/>
      <c r="AT63" s="1321"/>
      <c r="AU63" s="1321"/>
      <c r="AV63" s="1321"/>
      <c r="AW63" s="263"/>
      <c r="AX63" s="1320"/>
      <c r="AY63" s="1320"/>
      <c r="AZ63" s="1320"/>
      <c r="BA63" s="1320"/>
      <c r="BB63" s="1320"/>
      <c r="BC63" s="1320"/>
      <c r="BD63" s="1320"/>
      <c r="BE63" s="1320"/>
      <c r="BF63" s="1320"/>
      <c r="BG63" s="1320"/>
      <c r="BH63" s="1320"/>
      <c r="BI63" s="1320"/>
      <c r="BJ63" s="1320"/>
      <c r="BK63" s="1320"/>
      <c r="BL63" s="1320"/>
      <c r="BM63" s="1320"/>
      <c r="BN63" s="1320"/>
      <c r="BO63" s="1320"/>
      <c r="BP63" s="1320"/>
      <c r="BQ63" s="1320"/>
      <c r="BR63" s="1320"/>
      <c r="BS63" s="1320"/>
      <c r="BT63" s="1320"/>
      <c r="BU63" s="1320"/>
      <c r="BV63" s="1320"/>
      <c r="BW63" s="165"/>
      <c r="BX63" s="1369" t="s">
        <v>462</v>
      </c>
      <c r="BY63" s="1369"/>
      <c r="BZ63" s="1369"/>
      <c r="CA63" s="1369"/>
      <c r="CB63" s="1369"/>
      <c r="CC63" s="1369"/>
      <c r="CD63" s="1369"/>
      <c r="CE63" s="1369"/>
      <c r="CF63" s="1369"/>
      <c r="CG63" s="5"/>
      <c r="CH63" s="5"/>
      <c r="CI63" s="5"/>
      <c r="CJ63" s="5"/>
      <c r="CK63" s="5"/>
      <c r="CL63" s="5"/>
      <c r="CM63" s="5"/>
      <c r="CN63" s="5"/>
      <c r="CO63" s="5"/>
      <c r="CP63" s="5"/>
      <c r="CQ63" s="5"/>
      <c r="CR63" s="5"/>
      <c r="CS63" s="5"/>
      <c r="CT63" s="5"/>
      <c r="CU63" s="166"/>
      <c r="CV63" s="5"/>
      <c r="CW63" s="5"/>
      <c r="CX63" s="5"/>
      <c r="CY63" s="5"/>
      <c r="CZ63" s="5"/>
      <c r="DA63" s="5"/>
      <c r="DB63" s="5"/>
      <c r="DC63" s="5"/>
      <c r="DD63" s="5"/>
      <c r="DE63" s="5"/>
      <c r="DF63" s="5"/>
      <c r="DG63" s="5"/>
      <c r="DH63" s="5"/>
      <c r="DI63" s="5"/>
      <c r="DJ63" s="5"/>
      <c r="DK63" s="5"/>
      <c r="DL63" s="5"/>
      <c r="DM63" s="5"/>
      <c r="DN63" s="5"/>
      <c r="DO63" s="5"/>
      <c r="DP63" s="5"/>
      <c r="DQ63" s="5"/>
      <c r="DR63" s="5"/>
      <c r="DS63" s="5"/>
      <c r="DT63" s="7"/>
      <c r="DU63" s="7"/>
      <c r="DV63" s="7"/>
      <c r="DW63" s="7"/>
      <c r="DX63" s="7"/>
      <c r="DY63" s="7"/>
      <c r="DZ63" s="7"/>
      <c r="EA63" s="7"/>
      <c r="EB63" s="7"/>
      <c r="EC63" s="7"/>
      <c r="ED63" s="7"/>
      <c r="EE63" s="7"/>
      <c r="EF63" s="7"/>
      <c r="EG63" s="7"/>
      <c r="EH63" s="7"/>
      <c r="EI63" s="7"/>
      <c r="EJ63" s="7"/>
      <c r="EK63" s="7"/>
      <c r="EL63" s="7"/>
      <c r="EM63" s="7"/>
      <c r="EN63" s="7"/>
      <c r="EO63" s="7"/>
      <c r="EP63" s="7"/>
      <c r="EQ63" s="542"/>
      <c r="ER63" s="542"/>
      <c r="ES63" s="6">
        <f>ES61+1</f>
        <v>17</v>
      </c>
    </row>
    <row r="64" spans="1:149" ht="9.75" customHeight="1" x14ac:dyDescent="0.2">
      <c r="A64" s="5"/>
      <c r="B64" s="1319" t="str">
        <f>IF(OR(CharacterLevel="",Spellcasting!AC$12=""),"",VLOOKUP(Spellcasting!AC$12,Tables!$TK:$UB,Tables!$TN$1,FALSE))</f>
        <v/>
      </c>
      <c r="C64" s="1319"/>
      <c r="D64" s="1319"/>
      <c r="E64" s="1319"/>
      <c r="F64" s="1319"/>
      <c r="G64" s="1319"/>
      <c r="H64" s="1319"/>
      <c r="I64" s="1319"/>
      <c r="J64" s="1319"/>
      <c r="K64" s="1319"/>
      <c r="L64" s="1319"/>
      <c r="M64" s="1319"/>
      <c r="N64" s="1319"/>
      <c r="O64" s="1319"/>
      <c r="P64" s="1319"/>
      <c r="Q64" s="1319"/>
      <c r="R64" s="1319"/>
      <c r="S64" s="1319"/>
      <c r="T64" s="1319"/>
      <c r="U64" s="263"/>
      <c r="V64" s="1048" t="str">
        <f>IF(OR(CharacterLevel="",Spellcasting!AC$12=""),"",VLOOKUP(Spellcasting!AC$12,Tables!$TK:$UB,Tables!$TT$1,FALSE))</f>
        <v/>
      </c>
      <c r="W64" s="1048"/>
      <c r="X64" s="1048"/>
      <c r="Y64" s="1048"/>
      <c r="Z64" s="1048"/>
      <c r="AA64" s="263"/>
      <c r="AB64" s="1048" t="str">
        <f>IF(OR(CharacterLevel="",Spellcasting!AC$12=""),"",VLOOKUP(Spellcasting!AC$12,Tables!$TK:$UB,Tables!$TU$1,FALSE))</f>
        <v/>
      </c>
      <c r="AC64" s="1048"/>
      <c r="AD64" s="1048"/>
      <c r="AE64" s="1048"/>
      <c r="AF64" s="263"/>
      <c r="AG64" s="1048" t="str">
        <f>IF(OR(CharacterLevel="",Spellcasting!AC$12=""),"",VLOOKUP(Spellcasting!AC$12,Tables!$TK:$UB,Tables!$TV$1,FALSE))</f>
        <v/>
      </c>
      <c r="AH64" s="1048"/>
      <c r="AI64" s="1048"/>
      <c r="AJ64" s="1048"/>
      <c r="AK64" s="1048"/>
      <c r="AL64" s="1048"/>
      <c r="AM64" s="261"/>
      <c r="AN64" s="1403" t="str">
        <f>IF(OR(CharacterLevel="",Spellcasting!AC$12=""),"",VLOOKUP(Spellcasting!AC$12,Tables!$TK:$UB,Tables!$TW$1,FALSE))</f>
        <v/>
      </c>
      <c r="AO64" s="1403"/>
      <c r="AP64" s="1403"/>
      <c r="AQ64" s="1403"/>
      <c r="AR64" s="261"/>
      <c r="AS64" s="1048" t="str">
        <f>IF(OR(CharacterLevel="",Spellcasting!AC$12=""),"",VLOOKUP(Spellcasting!AC$12,Tables!$TK:$UB,Tables!$TZ$1,FALSE))</f>
        <v/>
      </c>
      <c r="AT64" s="1048"/>
      <c r="AU64" s="1048"/>
      <c r="AV64" s="1048"/>
      <c r="AW64" s="261"/>
      <c r="AX64" s="1319" t="str">
        <f>IF(OR(CharacterLevel="",Spellcasting!AC$12=""),"",VLOOKUP(Spellcasting!AC$12,Tables!$TK:$UB,Tables!$UB$1,FALSE))</f>
        <v/>
      </c>
      <c r="AY64" s="1319"/>
      <c r="AZ64" s="1319"/>
      <c r="BA64" s="1319"/>
      <c r="BB64" s="1319"/>
      <c r="BC64" s="1319"/>
      <c r="BD64" s="1319"/>
      <c r="BE64" s="1319"/>
      <c r="BF64" s="1319"/>
      <c r="BG64" s="1319"/>
      <c r="BH64" s="1319"/>
      <c r="BI64" s="1319"/>
      <c r="BJ64" s="1319"/>
      <c r="BK64" s="1319"/>
      <c r="BL64" s="1319"/>
      <c r="BM64" s="1319"/>
      <c r="BN64" s="1319"/>
      <c r="BO64" s="1319"/>
      <c r="BP64" s="1319"/>
      <c r="BQ64" s="1319"/>
      <c r="BR64" s="1319"/>
      <c r="BS64" s="1319"/>
      <c r="BT64" s="1319"/>
      <c r="BU64" s="1319"/>
      <c r="BV64" s="1319"/>
      <c r="BW64" s="165"/>
      <c r="BX64" s="1369"/>
      <c r="BY64" s="1369"/>
      <c r="BZ64" s="1369"/>
      <c r="CA64" s="1369"/>
      <c r="CB64" s="1369"/>
      <c r="CC64" s="1369"/>
      <c r="CD64" s="1369"/>
      <c r="CE64" s="1369"/>
      <c r="CF64" s="1369"/>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7"/>
      <c r="DU64" s="7"/>
      <c r="DV64" s="7"/>
      <c r="DW64" s="7"/>
      <c r="DX64" s="7"/>
      <c r="DY64" s="7"/>
      <c r="DZ64" s="7"/>
      <c r="EA64" s="7"/>
      <c r="EB64" s="7"/>
      <c r="EC64" s="7"/>
      <c r="ED64" s="7"/>
      <c r="EE64" s="7"/>
      <c r="EF64" s="7"/>
      <c r="EG64" s="7"/>
      <c r="EH64" s="7"/>
      <c r="EI64" s="7"/>
      <c r="EJ64" s="7"/>
      <c r="EK64" s="7"/>
      <c r="EL64" s="7"/>
      <c r="EM64" s="7"/>
      <c r="EN64" s="7"/>
      <c r="EO64" s="7"/>
      <c r="EP64" s="7"/>
      <c r="EQ64" s="542"/>
      <c r="ER64" s="542"/>
    </row>
    <row r="65" spans="1:149" ht="9.75" customHeight="1" x14ac:dyDescent="0.25">
      <c r="A65" s="5"/>
      <c r="B65" s="1320"/>
      <c r="C65" s="1320"/>
      <c r="D65" s="1320"/>
      <c r="E65" s="1320"/>
      <c r="F65" s="1320"/>
      <c r="G65" s="1320"/>
      <c r="H65" s="1320"/>
      <c r="I65" s="1320"/>
      <c r="J65" s="1320"/>
      <c r="K65" s="1320"/>
      <c r="L65" s="1320"/>
      <c r="M65" s="1320"/>
      <c r="N65" s="1320"/>
      <c r="O65" s="1320"/>
      <c r="P65" s="1320"/>
      <c r="Q65" s="1320"/>
      <c r="R65" s="1320"/>
      <c r="S65" s="1320"/>
      <c r="T65" s="1320"/>
      <c r="U65" s="263"/>
      <c r="V65" s="1321"/>
      <c r="W65" s="1321"/>
      <c r="X65" s="1321"/>
      <c r="Y65" s="1321"/>
      <c r="Z65" s="1321"/>
      <c r="AA65" s="263"/>
      <c r="AB65" s="1321"/>
      <c r="AC65" s="1321"/>
      <c r="AD65" s="1321"/>
      <c r="AE65" s="1321"/>
      <c r="AF65" s="263"/>
      <c r="AG65" s="1321"/>
      <c r="AH65" s="1321"/>
      <c r="AI65" s="1321"/>
      <c r="AJ65" s="1321"/>
      <c r="AK65" s="1321"/>
      <c r="AL65" s="1321"/>
      <c r="AM65" s="263"/>
      <c r="AN65" s="1326"/>
      <c r="AO65" s="1326"/>
      <c r="AP65" s="1326"/>
      <c r="AQ65" s="1326"/>
      <c r="AR65" s="263"/>
      <c r="AS65" s="1321"/>
      <c r="AT65" s="1321"/>
      <c r="AU65" s="1321"/>
      <c r="AV65" s="1321"/>
      <c r="AW65" s="263"/>
      <c r="AX65" s="1320"/>
      <c r="AY65" s="1320"/>
      <c r="AZ65" s="1320"/>
      <c r="BA65" s="1320"/>
      <c r="BB65" s="1320"/>
      <c r="BC65" s="1320"/>
      <c r="BD65" s="1320"/>
      <c r="BE65" s="1320"/>
      <c r="BF65" s="1320"/>
      <c r="BG65" s="1320"/>
      <c r="BH65" s="1320"/>
      <c r="BI65" s="1320"/>
      <c r="BJ65" s="1320"/>
      <c r="BK65" s="1320"/>
      <c r="BL65" s="1320"/>
      <c r="BM65" s="1320"/>
      <c r="BN65" s="1320"/>
      <c r="BO65" s="1320"/>
      <c r="BP65" s="1320"/>
      <c r="BQ65" s="1320"/>
      <c r="BR65" s="1320"/>
      <c r="BS65" s="1320"/>
      <c r="BT65" s="1320"/>
      <c r="BU65" s="1320"/>
      <c r="BV65" s="1320"/>
      <c r="BW65" s="165"/>
      <c r="BX65" s="857" t="s">
        <v>455</v>
      </c>
      <c r="BY65" s="857"/>
      <c r="BZ65" s="857"/>
      <c r="CA65" s="857" t="s">
        <v>456</v>
      </c>
      <c r="CB65" s="857"/>
      <c r="CC65" s="857"/>
      <c r="CD65" s="857"/>
      <c r="CE65" s="857"/>
      <c r="CF65" s="857"/>
      <c r="CG65" s="857"/>
      <c r="CH65" s="857"/>
      <c r="CI65" s="857"/>
      <c r="CJ65" s="857"/>
      <c r="CK65" s="857"/>
      <c r="CL65" s="857"/>
      <c r="CM65" s="857"/>
      <c r="CN65" s="857"/>
      <c r="CO65" s="857"/>
      <c r="CP65" s="857"/>
      <c r="CQ65" s="377"/>
      <c r="CR65" s="848" t="s">
        <v>452</v>
      </c>
      <c r="CS65" s="848"/>
      <c r="CT65" s="848"/>
      <c r="CU65" s="848"/>
      <c r="CV65" s="848"/>
      <c r="CW65" s="377"/>
      <c r="CX65" s="848" t="s">
        <v>48</v>
      </c>
      <c r="CY65" s="848"/>
      <c r="CZ65" s="848"/>
      <c r="DA65" s="848"/>
      <c r="DB65" s="377"/>
      <c r="DC65" s="848" t="s">
        <v>453</v>
      </c>
      <c r="DD65" s="848"/>
      <c r="DE65" s="848"/>
      <c r="DF65" s="848"/>
      <c r="DG65" s="848"/>
      <c r="DH65" s="848"/>
      <c r="DI65" s="848" t="s">
        <v>454</v>
      </c>
      <c r="DJ65" s="848"/>
      <c r="DK65" s="848"/>
      <c r="DL65" s="848"/>
      <c r="DM65" s="848"/>
      <c r="DN65" s="848"/>
      <c r="DO65" s="848" t="s">
        <v>9</v>
      </c>
      <c r="DP65" s="848"/>
      <c r="DQ65" s="848"/>
      <c r="DR65" s="848"/>
      <c r="DS65" s="259"/>
      <c r="DT65" s="946" t="s">
        <v>457</v>
      </c>
      <c r="DU65" s="946"/>
      <c r="DV65" s="946"/>
      <c r="DW65" s="946"/>
      <c r="DX65" s="946"/>
      <c r="DY65" s="946"/>
      <c r="DZ65" s="946"/>
      <c r="EA65" s="946"/>
      <c r="EB65" s="946"/>
      <c r="EC65" s="946"/>
      <c r="ED65" s="946"/>
      <c r="EE65" s="946"/>
      <c r="EF65" s="946"/>
      <c r="EG65" s="946"/>
      <c r="EH65" s="946"/>
      <c r="EI65" s="946"/>
      <c r="EJ65" s="946"/>
      <c r="EK65" s="946"/>
      <c r="EL65" s="946"/>
      <c r="EM65" s="946"/>
      <c r="EN65" s="946"/>
      <c r="EO65" s="946"/>
      <c r="EP65" s="946"/>
      <c r="EQ65" s="946"/>
      <c r="ER65" s="946"/>
      <c r="ES65" s="6">
        <f>ES63+1</f>
        <v>18</v>
      </c>
    </row>
    <row r="66" spans="1:149" ht="9.75" customHeight="1" x14ac:dyDescent="0.25">
      <c r="A66" s="5"/>
      <c r="B66" s="1319" t="str">
        <f>IF(OR(CharacterLevel="",Spellcasting!AC$13=""),"",VLOOKUP(Spellcasting!AC$13,Tables!$TK:$UB,Tables!$TN$1,FALSE))</f>
        <v/>
      </c>
      <c r="C66" s="1319"/>
      <c r="D66" s="1319"/>
      <c r="E66" s="1319"/>
      <c r="F66" s="1319"/>
      <c r="G66" s="1319"/>
      <c r="H66" s="1319"/>
      <c r="I66" s="1319"/>
      <c r="J66" s="1319"/>
      <c r="K66" s="1319"/>
      <c r="L66" s="1319"/>
      <c r="M66" s="1319"/>
      <c r="N66" s="1319"/>
      <c r="O66" s="1319"/>
      <c r="P66" s="1319"/>
      <c r="Q66" s="1319"/>
      <c r="R66" s="1319"/>
      <c r="S66" s="1319"/>
      <c r="T66" s="1319"/>
      <c r="U66" s="263"/>
      <c r="V66" s="1048" t="str">
        <f>IF(OR(CharacterLevel="",Spellcasting!AC$13=""),"",VLOOKUP(Spellcasting!AC$13,Tables!$TK:$UB,Tables!$TT$1,FALSE))</f>
        <v/>
      </c>
      <c r="W66" s="1048"/>
      <c r="X66" s="1048"/>
      <c r="Y66" s="1048"/>
      <c r="Z66" s="1048"/>
      <c r="AA66" s="263"/>
      <c r="AB66" s="1048" t="str">
        <f>IF(OR(CharacterLevel="",Spellcasting!AC$13=""),"",VLOOKUP(Spellcasting!AC$13,Tables!$TK:$UB,Tables!$TU$1,FALSE))</f>
        <v/>
      </c>
      <c r="AC66" s="1048"/>
      <c r="AD66" s="1048"/>
      <c r="AE66" s="1048"/>
      <c r="AF66" s="263"/>
      <c r="AG66" s="1048" t="str">
        <f>IF(OR(CharacterLevel="",Spellcasting!AC$13=""),"",VLOOKUP(Spellcasting!AC$13,Tables!$TK:$UB,Tables!$TV$1,FALSE))</f>
        <v/>
      </c>
      <c r="AH66" s="1048"/>
      <c r="AI66" s="1048"/>
      <c r="AJ66" s="1048"/>
      <c r="AK66" s="1048"/>
      <c r="AL66" s="1048"/>
      <c r="AM66" s="261"/>
      <c r="AN66" s="1403" t="str">
        <f>IF(OR(CharacterLevel="",Spellcasting!AC$13=""),"",VLOOKUP(Spellcasting!AC$13,Tables!$TK:$UB,Tables!$TW$1,FALSE))</f>
        <v/>
      </c>
      <c r="AO66" s="1403"/>
      <c r="AP66" s="1403"/>
      <c r="AQ66" s="1403"/>
      <c r="AR66" s="261"/>
      <c r="AS66" s="1048" t="str">
        <f>IF(OR(CharacterLevel="",Spellcasting!AC$13=""),"",VLOOKUP(Spellcasting!AC$13,Tables!$TK:$UB,Tables!$TZ$1,FALSE))</f>
        <v/>
      </c>
      <c r="AT66" s="1048"/>
      <c r="AU66" s="1048"/>
      <c r="AV66" s="1048"/>
      <c r="AW66" s="261"/>
      <c r="AX66" s="1319" t="str">
        <f>IF(OR(CharacterLevel="",Spellcasting!AC$13=""),"",VLOOKUP(Spellcasting!AC$13,Tables!$TK:$UB,Tables!$UB$1,FALSE))</f>
        <v/>
      </c>
      <c r="AY66" s="1319"/>
      <c r="AZ66" s="1319"/>
      <c r="BA66" s="1319"/>
      <c r="BB66" s="1319"/>
      <c r="BC66" s="1319"/>
      <c r="BD66" s="1319"/>
      <c r="BE66" s="1319"/>
      <c r="BF66" s="1319"/>
      <c r="BG66" s="1319"/>
      <c r="BH66" s="1319"/>
      <c r="BI66" s="1319"/>
      <c r="BJ66" s="1319"/>
      <c r="BK66" s="1319"/>
      <c r="BL66" s="1319"/>
      <c r="BM66" s="1319"/>
      <c r="BN66" s="1319"/>
      <c r="BO66" s="1319"/>
      <c r="BP66" s="1319"/>
      <c r="BQ66" s="1319"/>
      <c r="BR66" s="1319"/>
      <c r="BS66" s="1319"/>
      <c r="BT66" s="1319"/>
      <c r="BU66" s="1319"/>
      <c r="BV66" s="1319"/>
      <c r="BW66" s="165"/>
      <c r="BX66" s="857"/>
      <c r="BY66" s="857"/>
      <c r="BZ66" s="857"/>
      <c r="CA66" s="857"/>
      <c r="CB66" s="857"/>
      <c r="CC66" s="857"/>
      <c r="CD66" s="857"/>
      <c r="CE66" s="857"/>
      <c r="CF66" s="857"/>
      <c r="CG66" s="857"/>
      <c r="CH66" s="857"/>
      <c r="CI66" s="857"/>
      <c r="CJ66" s="857"/>
      <c r="CK66" s="857"/>
      <c r="CL66" s="857"/>
      <c r="CM66" s="857"/>
      <c r="CN66" s="857"/>
      <c r="CO66" s="857"/>
      <c r="CP66" s="857"/>
      <c r="CQ66" s="377"/>
      <c r="CR66" s="848"/>
      <c r="CS66" s="848"/>
      <c r="CT66" s="848"/>
      <c r="CU66" s="848"/>
      <c r="CV66" s="848"/>
      <c r="CW66" s="377"/>
      <c r="CX66" s="848"/>
      <c r="CY66" s="848"/>
      <c r="CZ66" s="848"/>
      <c r="DA66" s="848"/>
      <c r="DB66" s="377"/>
      <c r="DC66" s="848"/>
      <c r="DD66" s="848"/>
      <c r="DE66" s="848"/>
      <c r="DF66" s="848"/>
      <c r="DG66" s="848"/>
      <c r="DH66" s="848"/>
      <c r="DI66" s="848"/>
      <c r="DJ66" s="848"/>
      <c r="DK66" s="848"/>
      <c r="DL66" s="848"/>
      <c r="DM66" s="848"/>
      <c r="DN66" s="848"/>
      <c r="DO66" s="848"/>
      <c r="DP66" s="848"/>
      <c r="DQ66" s="848"/>
      <c r="DR66" s="848"/>
      <c r="DS66" s="260"/>
      <c r="DT66" s="946"/>
      <c r="DU66" s="946"/>
      <c r="DV66" s="946"/>
      <c r="DW66" s="946"/>
      <c r="DX66" s="946"/>
      <c r="DY66" s="946"/>
      <c r="DZ66" s="946"/>
      <c r="EA66" s="946"/>
      <c r="EB66" s="946"/>
      <c r="EC66" s="946"/>
      <c r="ED66" s="946"/>
      <c r="EE66" s="946"/>
      <c r="EF66" s="946"/>
      <c r="EG66" s="946"/>
      <c r="EH66" s="946"/>
      <c r="EI66" s="946"/>
      <c r="EJ66" s="946"/>
      <c r="EK66" s="946"/>
      <c r="EL66" s="946"/>
      <c r="EM66" s="946"/>
      <c r="EN66" s="946"/>
      <c r="EO66" s="946"/>
      <c r="EP66" s="946"/>
      <c r="EQ66" s="946"/>
      <c r="ER66" s="946"/>
    </row>
    <row r="67" spans="1:149" ht="9.75" customHeight="1" x14ac:dyDescent="0.2">
      <c r="A67" s="5"/>
      <c r="B67" s="1320"/>
      <c r="C67" s="1320"/>
      <c r="D67" s="1320"/>
      <c r="E67" s="1320"/>
      <c r="F67" s="1320"/>
      <c r="G67" s="1320"/>
      <c r="H67" s="1320"/>
      <c r="I67" s="1320"/>
      <c r="J67" s="1320"/>
      <c r="K67" s="1320"/>
      <c r="L67" s="1320"/>
      <c r="M67" s="1320"/>
      <c r="N67" s="1320"/>
      <c r="O67" s="1320"/>
      <c r="P67" s="1320"/>
      <c r="Q67" s="1320"/>
      <c r="R67" s="1320"/>
      <c r="S67" s="1320"/>
      <c r="T67" s="1320"/>
      <c r="U67" s="263"/>
      <c r="V67" s="1321"/>
      <c r="W67" s="1321"/>
      <c r="X67" s="1321"/>
      <c r="Y67" s="1321"/>
      <c r="Z67" s="1321"/>
      <c r="AA67" s="263"/>
      <c r="AB67" s="1321"/>
      <c r="AC67" s="1321"/>
      <c r="AD67" s="1321"/>
      <c r="AE67" s="1321"/>
      <c r="AF67" s="263"/>
      <c r="AG67" s="1321"/>
      <c r="AH67" s="1321"/>
      <c r="AI67" s="1321"/>
      <c r="AJ67" s="1321"/>
      <c r="AK67" s="1321"/>
      <c r="AL67" s="1321"/>
      <c r="AM67" s="263"/>
      <c r="AN67" s="1326"/>
      <c r="AO67" s="1326"/>
      <c r="AP67" s="1326"/>
      <c r="AQ67" s="1326"/>
      <c r="AR67" s="263"/>
      <c r="AS67" s="1321"/>
      <c r="AT67" s="1321"/>
      <c r="AU67" s="1321"/>
      <c r="AV67" s="1321"/>
      <c r="AW67" s="263"/>
      <c r="AX67" s="1320"/>
      <c r="AY67" s="1320"/>
      <c r="AZ67" s="1320"/>
      <c r="BA67" s="1320"/>
      <c r="BB67" s="1320"/>
      <c r="BC67" s="1320"/>
      <c r="BD67" s="1320"/>
      <c r="BE67" s="1320"/>
      <c r="BF67" s="1320"/>
      <c r="BG67" s="1320"/>
      <c r="BH67" s="1320"/>
      <c r="BI67" s="1320"/>
      <c r="BJ67" s="1320"/>
      <c r="BK67" s="1320"/>
      <c r="BL67" s="1320"/>
      <c r="BM67" s="1320"/>
      <c r="BN67" s="1320"/>
      <c r="BO67" s="1320"/>
      <c r="BP67" s="1320"/>
      <c r="BQ67" s="1320"/>
      <c r="BR67" s="1320"/>
      <c r="BS67" s="1320"/>
      <c r="BT67" s="1320"/>
      <c r="BU67" s="1320"/>
      <c r="BV67" s="1320"/>
      <c r="BW67" s="165"/>
      <c r="BX67" s="1324" t="str">
        <f>IF(CharacterLevel="",'Character Sheet III'!$CF$202,IF(Spellcasting!AA33="•",'Character Sheet III'!$BX$202,'Character Sheet III'!$CF$202))</f>
        <v>□</v>
      </c>
      <c r="BY67" s="1324"/>
      <c r="BZ67" s="1324"/>
      <c r="CA67" s="1319" t="str">
        <f>IF(OR(CharacterLevel="",Spellcasting!AC$33=""),"",VLOOKUP(Spellcasting!AC$33,Tables!$TK:$UB,Tables!$TN$1,FALSE))</f>
        <v/>
      </c>
      <c r="CB67" s="1319"/>
      <c r="CC67" s="1319"/>
      <c r="CD67" s="1319"/>
      <c r="CE67" s="1319"/>
      <c r="CF67" s="1319"/>
      <c r="CG67" s="1319"/>
      <c r="CH67" s="1319"/>
      <c r="CI67" s="1319"/>
      <c r="CJ67" s="1319"/>
      <c r="CK67" s="1319"/>
      <c r="CL67" s="1319"/>
      <c r="CM67" s="1319"/>
      <c r="CN67" s="1319"/>
      <c r="CO67" s="1319"/>
      <c r="CP67" s="1319"/>
      <c r="CQ67" s="263"/>
      <c r="CR67" s="1048" t="str">
        <f>IF(OR(CharacterLevel="",Spellcasting!AC$33=""),"",VLOOKUP(Spellcasting!AC$33,Tables!$TK:$UB,Tables!$TT$1,FALSE))</f>
        <v/>
      </c>
      <c r="CS67" s="1048"/>
      <c r="CT67" s="1048"/>
      <c r="CU67" s="1048"/>
      <c r="CV67" s="1048"/>
      <c r="CW67" s="263"/>
      <c r="CX67" s="1048" t="str">
        <f>IF(OR(CharacterLevel="",Spellcasting!AC$33=""),"",VLOOKUP(Spellcasting!AC$33,Tables!$TK:$UB,Tables!$TU$1,FALSE))</f>
        <v/>
      </c>
      <c r="CY67" s="1048"/>
      <c r="CZ67" s="1048"/>
      <c r="DA67" s="1048"/>
      <c r="DB67" s="263"/>
      <c r="DC67" s="1048" t="str">
        <f>IF(OR(CharacterLevel="",Spellcasting!AC$33=""),"",VLOOKUP(Spellcasting!AC$33,Tables!$TK:$UB,Tables!$TV$1,FALSE))</f>
        <v/>
      </c>
      <c r="DD67" s="1048"/>
      <c r="DE67" s="1048"/>
      <c r="DF67" s="1048"/>
      <c r="DG67" s="1048"/>
      <c r="DH67" s="1048"/>
      <c r="DI67" s="261"/>
      <c r="DJ67" s="1048" t="str">
        <f>IF(OR(CharacterLevel="",Spellcasting!AC$33=""),"",VLOOKUP(Spellcasting!AC$33,Tables!$TK:$UB,Tables!$TW$1,FALSE))</f>
        <v/>
      </c>
      <c r="DK67" s="1048"/>
      <c r="DL67" s="1048"/>
      <c r="DM67" s="1048"/>
      <c r="DN67" s="261"/>
      <c r="DO67" s="1048" t="str">
        <f>IF(OR(CharacterLevel="",Spellcasting!AC$33=""),"",VLOOKUP(Spellcasting!AC$33,Tables!$TK:$UB,Tables!$TZ$1,FALSE))</f>
        <v/>
      </c>
      <c r="DP67" s="1048"/>
      <c r="DQ67" s="1048"/>
      <c r="DR67" s="1048"/>
      <c r="DS67" s="261"/>
      <c r="DT67" s="1319" t="str">
        <f>IF(OR(CharacterLevel="",Spellcasting!AC$33=""),"",VLOOKUP(Spellcasting!AC$33,Tables!$TK:$UB,Tables!$UB$1,FALSE))</f>
        <v/>
      </c>
      <c r="DU67" s="1319"/>
      <c r="DV67" s="1319"/>
      <c r="DW67" s="1319"/>
      <c r="DX67" s="1319"/>
      <c r="DY67" s="1319"/>
      <c r="DZ67" s="1319"/>
      <c r="EA67" s="1319"/>
      <c r="EB67" s="1319"/>
      <c r="EC67" s="1319"/>
      <c r="ED67" s="1319"/>
      <c r="EE67" s="1319"/>
      <c r="EF67" s="1319"/>
      <c r="EG67" s="1319"/>
      <c r="EH67" s="1319"/>
      <c r="EI67" s="1319"/>
      <c r="EJ67" s="1319"/>
      <c r="EK67" s="1319"/>
      <c r="EL67" s="1319"/>
      <c r="EM67" s="1319"/>
      <c r="EN67" s="1319"/>
      <c r="EO67" s="1319"/>
      <c r="EP67" s="1319"/>
      <c r="EQ67" s="1319"/>
      <c r="ER67" s="1319"/>
      <c r="ES67" s="6">
        <f>ES65+1</f>
        <v>19</v>
      </c>
    </row>
    <row r="68" spans="1:149" ht="9.75" customHeight="1" x14ac:dyDescent="0.2">
      <c r="A68" s="5"/>
      <c r="B68" s="1319" t="str">
        <f>IF(OR(CharacterLevel="",Spellcasting!AC$14=""),"",VLOOKUP(Spellcasting!AC$14,Tables!$TK:$UB,Tables!$TN$1,FALSE))</f>
        <v/>
      </c>
      <c r="C68" s="1319"/>
      <c r="D68" s="1319"/>
      <c r="E68" s="1319"/>
      <c r="F68" s="1319"/>
      <c r="G68" s="1319"/>
      <c r="H68" s="1319"/>
      <c r="I68" s="1319"/>
      <c r="J68" s="1319"/>
      <c r="K68" s="1319"/>
      <c r="L68" s="1319"/>
      <c r="M68" s="1319"/>
      <c r="N68" s="1319"/>
      <c r="O68" s="1319"/>
      <c r="P68" s="1319"/>
      <c r="Q68" s="1319"/>
      <c r="R68" s="1319"/>
      <c r="S68" s="1319"/>
      <c r="T68" s="1319"/>
      <c r="U68" s="263"/>
      <c r="V68" s="1048" t="str">
        <f>IF(OR(CharacterLevel="",Spellcasting!AC$14=""),"",VLOOKUP(Spellcasting!AC$14,Tables!$TK:$UB,Tables!$TT$1,FALSE))</f>
        <v/>
      </c>
      <c r="W68" s="1048"/>
      <c r="X68" s="1048"/>
      <c r="Y68" s="1048"/>
      <c r="Z68" s="1048"/>
      <c r="AA68" s="263"/>
      <c r="AB68" s="1048" t="str">
        <f>IF(OR(CharacterLevel="",Spellcasting!AC$14=""),"",VLOOKUP(Spellcasting!AC$14,Tables!$TK:$UB,Tables!$TU$1,FALSE))</f>
        <v/>
      </c>
      <c r="AC68" s="1048"/>
      <c r="AD68" s="1048"/>
      <c r="AE68" s="1048"/>
      <c r="AF68" s="263"/>
      <c r="AG68" s="1048" t="str">
        <f>IF(OR(CharacterLevel="",Spellcasting!AC$14=""),"",VLOOKUP(Spellcasting!AC$14,Tables!$TK:$UB,Tables!$TV$1,FALSE))</f>
        <v/>
      </c>
      <c r="AH68" s="1048"/>
      <c r="AI68" s="1048"/>
      <c r="AJ68" s="1048"/>
      <c r="AK68" s="1048"/>
      <c r="AL68" s="1048"/>
      <c r="AM68" s="261"/>
      <c r="AN68" s="1403" t="str">
        <f>IF(OR(CharacterLevel="",Spellcasting!AC$14=""),"",VLOOKUP(Spellcasting!AC$14,Tables!$TK:$UB,Tables!$TW$1,FALSE))</f>
        <v/>
      </c>
      <c r="AO68" s="1403"/>
      <c r="AP68" s="1403"/>
      <c r="AQ68" s="1403"/>
      <c r="AR68" s="261"/>
      <c r="AS68" s="1048" t="str">
        <f>IF(OR(CharacterLevel="",Spellcasting!AC$14=""),"",VLOOKUP(Spellcasting!AC$14,Tables!$TK:$UB,Tables!$TZ$1,FALSE))</f>
        <v/>
      </c>
      <c r="AT68" s="1048"/>
      <c r="AU68" s="1048"/>
      <c r="AV68" s="1048"/>
      <c r="AW68" s="261"/>
      <c r="AX68" s="1319" t="str">
        <f>IF(OR(CharacterLevel="",Spellcasting!AC$14=""),"",VLOOKUP(Spellcasting!AC$14,Tables!$TK:$UB,Tables!$UB$1,FALSE))</f>
        <v/>
      </c>
      <c r="AY68" s="1319"/>
      <c r="AZ68" s="1319"/>
      <c r="BA68" s="1319"/>
      <c r="BB68" s="1319"/>
      <c r="BC68" s="1319"/>
      <c r="BD68" s="1319"/>
      <c r="BE68" s="1319"/>
      <c r="BF68" s="1319"/>
      <c r="BG68" s="1319"/>
      <c r="BH68" s="1319"/>
      <c r="BI68" s="1319"/>
      <c r="BJ68" s="1319"/>
      <c r="BK68" s="1319"/>
      <c r="BL68" s="1319"/>
      <c r="BM68" s="1319"/>
      <c r="BN68" s="1319"/>
      <c r="BO68" s="1319"/>
      <c r="BP68" s="1319"/>
      <c r="BQ68" s="1319"/>
      <c r="BR68" s="1319"/>
      <c r="BS68" s="1319"/>
      <c r="BT68" s="1319"/>
      <c r="BU68" s="1319"/>
      <c r="BV68" s="1319"/>
      <c r="BW68" s="165"/>
      <c r="BX68" s="1324"/>
      <c r="BY68" s="1324"/>
      <c r="BZ68" s="1324"/>
      <c r="CA68" s="1320"/>
      <c r="CB68" s="1320"/>
      <c r="CC68" s="1320"/>
      <c r="CD68" s="1320"/>
      <c r="CE68" s="1320"/>
      <c r="CF68" s="1320"/>
      <c r="CG68" s="1320"/>
      <c r="CH68" s="1320"/>
      <c r="CI68" s="1320"/>
      <c r="CJ68" s="1320"/>
      <c r="CK68" s="1320"/>
      <c r="CL68" s="1320"/>
      <c r="CM68" s="1320"/>
      <c r="CN68" s="1320"/>
      <c r="CO68" s="1320"/>
      <c r="CP68" s="1320"/>
      <c r="CQ68" s="263"/>
      <c r="CR68" s="1321"/>
      <c r="CS68" s="1321"/>
      <c r="CT68" s="1321"/>
      <c r="CU68" s="1321"/>
      <c r="CV68" s="1321"/>
      <c r="CW68" s="5"/>
      <c r="CX68" s="1321"/>
      <c r="CY68" s="1321"/>
      <c r="CZ68" s="1321"/>
      <c r="DA68" s="1321"/>
      <c r="DB68" s="5"/>
      <c r="DC68" s="1321"/>
      <c r="DD68" s="1321"/>
      <c r="DE68" s="1321"/>
      <c r="DF68" s="1321"/>
      <c r="DG68" s="1321"/>
      <c r="DH68" s="1321"/>
      <c r="DI68" s="5"/>
      <c r="DJ68" s="1321"/>
      <c r="DK68" s="1321"/>
      <c r="DL68" s="1321"/>
      <c r="DM68" s="1321"/>
      <c r="DN68" s="5"/>
      <c r="DO68" s="1321"/>
      <c r="DP68" s="1321"/>
      <c r="DQ68" s="1321"/>
      <c r="DR68" s="1321"/>
      <c r="DS68" s="5"/>
      <c r="DT68" s="1320"/>
      <c r="DU68" s="1320"/>
      <c r="DV68" s="1320"/>
      <c r="DW68" s="1320"/>
      <c r="DX68" s="1320"/>
      <c r="DY68" s="1320"/>
      <c r="DZ68" s="1320"/>
      <c r="EA68" s="1320"/>
      <c r="EB68" s="1320"/>
      <c r="EC68" s="1320"/>
      <c r="ED68" s="1320"/>
      <c r="EE68" s="1320"/>
      <c r="EF68" s="1320"/>
      <c r="EG68" s="1320"/>
      <c r="EH68" s="1320"/>
      <c r="EI68" s="1320"/>
      <c r="EJ68" s="1320"/>
      <c r="EK68" s="1320"/>
      <c r="EL68" s="1320"/>
      <c r="EM68" s="1320"/>
      <c r="EN68" s="1320"/>
      <c r="EO68" s="1320"/>
      <c r="EP68" s="1320"/>
      <c r="EQ68" s="1320"/>
      <c r="ER68" s="1320"/>
    </row>
    <row r="69" spans="1:149" ht="9.75" customHeight="1" x14ac:dyDescent="0.2">
      <c r="A69" s="5"/>
      <c r="B69" s="1320"/>
      <c r="C69" s="1320"/>
      <c r="D69" s="1320"/>
      <c r="E69" s="1320"/>
      <c r="F69" s="1320"/>
      <c r="G69" s="1320"/>
      <c r="H69" s="1320"/>
      <c r="I69" s="1320"/>
      <c r="J69" s="1320"/>
      <c r="K69" s="1320"/>
      <c r="L69" s="1320"/>
      <c r="M69" s="1320"/>
      <c r="N69" s="1320"/>
      <c r="O69" s="1320"/>
      <c r="P69" s="1320"/>
      <c r="Q69" s="1320"/>
      <c r="R69" s="1320"/>
      <c r="S69" s="1320"/>
      <c r="T69" s="1320"/>
      <c r="U69" s="263"/>
      <c r="V69" s="1321"/>
      <c r="W69" s="1321"/>
      <c r="X69" s="1321"/>
      <c r="Y69" s="1321"/>
      <c r="Z69" s="1321"/>
      <c r="AA69" s="263"/>
      <c r="AB69" s="1321"/>
      <c r="AC69" s="1321"/>
      <c r="AD69" s="1321"/>
      <c r="AE69" s="1321"/>
      <c r="AF69" s="263"/>
      <c r="AG69" s="1321"/>
      <c r="AH69" s="1321"/>
      <c r="AI69" s="1321"/>
      <c r="AJ69" s="1321"/>
      <c r="AK69" s="1321"/>
      <c r="AL69" s="1321"/>
      <c r="AM69" s="263"/>
      <c r="AN69" s="1326"/>
      <c r="AO69" s="1326"/>
      <c r="AP69" s="1326"/>
      <c r="AQ69" s="1326"/>
      <c r="AR69" s="263"/>
      <c r="AS69" s="1321"/>
      <c r="AT69" s="1321"/>
      <c r="AU69" s="1321"/>
      <c r="AV69" s="1321"/>
      <c r="AW69" s="263"/>
      <c r="AX69" s="1320"/>
      <c r="AY69" s="1320"/>
      <c r="AZ69" s="1320"/>
      <c r="BA69" s="1320"/>
      <c r="BB69" s="1320"/>
      <c r="BC69" s="1320"/>
      <c r="BD69" s="1320"/>
      <c r="BE69" s="1320"/>
      <c r="BF69" s="1320"/>
      <c r="BG69" s="1320"/>
      <c r="BH69" s="1320"/>
      <c r="BI69" s="1320"/>
      <c r="BJ69" s="1320"/>
      <c r="BK69" s="1320"/>
      <c r="BL69" s="1320"/>
      <c r="BM69" s="1320"/>
      <c r="BN69" s="1320"/>
      <c r="BO69" s="1320"/>
      <c r="BP69" s="1320"/>
      <c r="BQ69" s="1320"/>
      <c r="BR69" s="1320"/>
      <c r="BS69" s="1320"/>
      <c r="BT69" s="1320"/>
      <c r="BU69" s="1320"/>
      <c r="BV69" s="1320"/>
      <c r="BW69" s="165"/>
      <c r="BX69" s="1324" t="str">
        <f>IF(CharacterLevel="",'Character Sheet III'!$CF$202,IF(Spellcasting!AA34="•",'Character Sheet III'!$BX$202,'Character Sheet III'!$CF$202))</f>
        <v>□</v>
      </c>
      <c r="BY69" s="1324"/>
      <c r="BZ69" s="1324"/>
      <c r="CA69" s="1325" t="str">
        <f>IF(OR(CharacterLevel="",Spellcasting!AC$34=""),"",VLOOKUP(Spellcasting!AC$34,Tables!$TK:$UB,Tables!$TN$1,FALSE))</f>
        <v/>
      </c>
      <c r="CB69" s="1325"/>
      <c r="CC69" s="1325"/>
      <c r="CD69" s="1325"/>
      <c r="CE69" s="1325"/>
      <c r="CF69" s="1325"/>
      <c r="CG69" s="1325"/>
      <c r="CH69" s="1325"/>
      <c r="CI69" s="1325"/>
      <c r="CJ69" s="1325"/>
      <c r="CK69" s="1325"/>
      <c r="CL69" s="1325"/>
      <c r="CM69" s="1325"/>
      <c r="CN69" s="1325"/>
      <c r="CO69" s="1325"/>
      <c r="CP69" s="1325"/>
      <c r="CQ69" s="263"/>
      <c r="CR69" s="1048" t="str">
        <f>IF(OR(CharacterLevel="",Spellcasting!AC$34=""),"",VLOOKUP(Spellcasting!AC$34,Tables!$TK:$UB,Tables!$TT$1,FALSE))</f>
        <v/>
      </c>
      <c r="CS69" s="1048"/>
      <c r="CT69" s="1048"/>
      <c r="CU69" s="1048"/>
      <c r="CV69" s="1048"/>
      <c r="CW69" s="263"/>
      <c r="CX69" s="1048" t="str">
        <f>IF(OR(CharacterLevel="",Spellcasting!AC$34=""),"",VLOOKUP(Spellcasting!AC$34,Tables!$TK:$UB,Tables!$TU$1,FALSE))</f>
        <v/>
      </c>
      <c r="CY69" s="1048"/>
      <c r="CZ69" s="1048"/>
      <c r="DA69" s="1048"/>
      <c r="DB69" s="263"/>
      <c r="DC69" s="1048" t="str">
        <f>IF(OR(CharacterLevel="",Spellcasting!AC$34=""),"",VLOOKUP(Spellcasting!AC$34,Tables!$TK:$UB,Tables!$TV$1,FALSE))</f>
        <v/>
      </c>
      <c r="DD69" s="1048"/>
      <c r="DE69" s="1048"/>
      <c r="DF69" s="1048"/>
      <c r="DG69" s="1048"/>
      <c r="DH69" s="1048"/>
      <c r="DI69" s="261"/>
      <c r="DJ69" s="1048" t="str">
        <f>IF(OR(CharacterLevel="",Spellcasting!AC$34=""),"",VLOOKUP(Spellcasting!AC$34,Tables!$TK:$UB,Tables!$TW$1,FALSE))</f>
        <v/>
      </c>
      <c r="DK69" s="1048"/>
      <c r="DL69" s="1048"/>
      <c r="DM69" s="1048"/>
      <c r="DN69" s="261"/>
      <c r="DO69" s="1048" t="str">
        <f>IF(OR(CharacterLevel="",Spellcasting!AC$34=""),"",VLOOKUP(Spellcasting!AC$34,Tables!$TK:$UB,Tables!$TZ$1,FALSE))</f>
        <v/>
      </c>
      <c r="DP69" s="1048"/>
      <c r="DQ69" s="1048"/>
      <c r="DR69" s="1048"/>
      <c r="DS69" s="261"/>
      <c r="DT69" s="1319" t="str">
        <f>IF(OR(CharacterLevel="",Spellcasting!AC$34=""),"",VLOOKUP(Spellcasting!AC$34,Tables!$TK:$UB,Tables!$UB$1,FALSE))</f>
        <v/>
      </c>
      <c r="DU69" s="1319"/>
      <c r="DV69" s="1319"/>
      <c r="DW69" s="1319"/>
      <c r="DX69" s="1319"/>
      <c r="DY69" s="1319"/>
      <c r="DZ69" s="1319"/>
      <c r="EA69" s="1319"/>
      <c r="EB69" s="1319"/>
      <c r="EC69" s="1319"/>
      <c r="ED69" s="1319"/>
      <c r="EE69" s="1319"/>
      <c r="EF69" s="1319"/>
      <c r="EG69" s="1319"/>
      <c r="EH69" s="1319"/>
      <c r="EI69" s="1319"/>
      <c r="EJ69" s="1319"/>
      <c r="EK69" s="1319"/>
      <c r="EL69" s="1319"/>
      <c r="EM69" s="1319"/>
      <c r="EN69" s="1319"/>
      <c r="EO69" s="1319"/>
      <c r="EP69" s="1319"/>
      <c r="EQ69" s="1319"/>
      <c r="ER69" s="1319"/>
      <c r="ES69" s="6">
        <f>ES67+1</f>
        <v>20</v>
      </c>
    </row>
    <row r="70" spans="1:149" ht="9.75" customHeight="1" x14ac:dyDescent="0.2">
      <c r="A70" s="5"/>
      <c r="B70" s="1319" t="str">
        <f>IF(OR(CharacterLevel="",Spellcasting!AC$15=""),"",VLOOKUP(Spellcasting!AC$15,Tables!$TK:$UB,Tables!$TN$1,FALSE))</f>
        <v/>
      </c>
      <c r="C70" s="1319"/>
      <c r="D70" s="1319"/>
      <c r="E70" s="1319"/>
      <c r="F70" s="1319"/>
      <c r="G70" s="1319"/>
      <c r="H70" s="1319"/>
      <c r="I70" s="1319"/>
      <c r="J70" s="1319"/>
      <c r="K70" s="1319"/>
      <c r="L70" s="1319"/>
      <c r="M70" s="1319"/>
      <c r="N70" s="1319"/>
      <c r="O70" s="1319"/>
      <c r="P70" s="1319"/>
      <c r="Q70" s="1319"/>
      <c r="R70" s="1319"/>
      <c r="S70" s="1319"/>
      <c r="T70" s="1319"/>
      <c r="U70" s="263"/>
      <c r="V70" s="1048" t="str">
        <f>IF(OR(CharacterLevel="",Spellcasting!AC$15=""),"",VLOOKUP(Spellcasting!AC$15,Tables!$TK:$UB,Tables!$TT$1,FALSE))</f>
        <v/>
      </c>
      <c r="W70" s="1048"/>
      <c r="X70" s="1048"/>
      <c r="Y70" s="1048"/>
      <c r="Z70" s="1048"/>
      <c r="AA70" s="263"/>
      <c r="AB70" s="1048" t="str">
        <f>IF(OR(CharacterLevel="",Spellcasting!AC$15=""),"",VLOOKUP(Spellcasting!AC$15,Tables!$TK:$UB,Tables!$TU$1,FALSE))</f>
        <v/>
      </c>
      <c r="AC70" s="1048"/>
      <c r="AD70" s="1048"/>
      <c r="AE70" s="1048"/>
      <c r="AF70" s="263"/>
      <c r="AG70" s="1048" t="str">
        <f>IF(OR(CharacterLevel="",Spellcasting!AC$15=""),"",VLOOKUP(Spellcasting!AC$15,Tables!$TK:$UB,Tables!$TV$1,FALSE))</f>
        <v/>
      </c>
      <c r="AH70" s="1048"/>
      <c r="AI70" s="1048"/>
      <c r="AJ70" s="1048"/>
      <c r="AK70" s="1048"/>
      <c r="AL70" s="1048"/>
      <c r="AM70" s="261"/>
      <c r="AN70" s="1403" t="str">
        <f>IF(OR(CharacterLevel="",Spellcasting!AC$15=""),"",VLOOKUP(Spellcasting!AC$15,Tables!$TK:$UB,Tables!$TW$1,FALSE))</f>
        <v/>
      </c>
      <c r="AO70" s="1403"/>
      <c r="AP70" s="1403"/>
      <c r="AQ70" s="1403"/>
      <c r="AR70" s="261"/>
      <c r="AS70" s="1048" t="str">
        <f>IF(OR(CharacterLevel="",Spellcasting!AC$15=""),"",VLOOKUP(Spellcasting!AC$15,Tables!$TK:$UB,Tables!$TZ$1,FALSE))</f>
        <v/>
      </c>
      <c r="AT70" s="1048"/>
      <c r="AU70" s="1048"/>
      <c r="AV70" s="1048"/>
      <c r="AW70" s="261"/>
      <c r="AX70" s="1319" t="str">
        <f>IF(OR(CharacterLevel="",Spellcasting!AC$15=""),"",VLOOKUP(Spellcasting!AC$15,Tables!$TK:$UB,Tables!$UB$1,FALSE))</f>
        <v/>
      </c>
      <c r="AY70" s="1319"/>
      <c r="AZ70" s="1319"/>
      <c r="BA70" s="1319"/>
      <c r="BB70" s="1319"/>
      <c r="BC70" s="1319"/>
      <c r="BD70" s="1319"/>
      <c r="BE70" s="1319"/>
      <c r="BF70" s="1319"/>
      <c r="BG70" s="1319"/>
      <c r="BH70" s="1319"/>
      <c r="BI70" s="1319"/>
      <c r="BJ70" s="1319"/>
      <c r="BK70" s="1319"/>
      <c r="BL70" s="1319"/>
      <c r="BM70" s="1319"/>
      <c r="BN70" s="1319"/>
      <c r="BO70" s="1319"/>
      <c r="BP70" s="1319"/>
      <c r="BQ70" s="1319"/>
      <c r="BR70" s="1319"/>
      <c r="BS70" s="1319"/>
      <c r="BT70" s="1319"/>
      <c r="BU70" s="1319"/>
      <c r="BV70" s="1319"/>
      <c r="BW70" s="165"/>
      <c r="BX70" s="1324"/>
      <c r="BY70" s="1324"/>
      <c r="BZ70" s="1324"/>
      <c r="CA70" s="1325"/>
      <c r="CB70" s="1325"/>
      <c r="CC70" s="1325"/>
      <c r="CD70" s="1325"/>
      <c r="CE70" s="1325"/>
      <c r="CF70" s="1325"/>
      <c r="CG70" s="1325"/>
      <c r="CH70" s="1325"/>
      <c r="CI70" s="1325"/>
      <c r="CJ70" s="1325"/>
      <c r="CK70" s="1325"/>
      <c r="CL70" s="1325"/>
      <c r="CM70" s="1325"/>
      <c r="CN70" s="1325"/>
      <c r="CO70" s="1325"/>
      <c r="CP70" s="1325"/>
      <c r="CQ70" s="263"/>
      <c r="CR70" s="1321"/>
      <c r="CS70" s="1321"/>
      <c r="CT70" s="1321"/>
      <c r="CU70" s="1321"/>
      <c r="CV70" s="1321"/>
      <c r="CW70" s="5"/>
      <c r="CX70" s="1321"/>
      <c r="CY70" s="1321"/>
      <c r="CZ70" s="1321"/>
      <c r="DA70" s="1321"/>
      <c r="DB70" s="5"/>
      <c r="DC70" s="1321"/>
      <c r="DD70" s="1321"/>
      <c r="DE70" s="1321"/>
      <c r="DF70" s="1321"/>
      <c r="DG70" s="1321"/>
      <c r="DH70" s="1321"/>
      <c r="DI70" s="5"/>
      <c r="DJ70" s="1321"/>
      <c r="DK70" s="1321"/>
      <c r="DL70" s="1321"/>
      <c r="DM70" s="1321"/>
      <c r="DN70" s="5"/>
      <c r="DO70" s="1321"/>
      <c r="DP70" s="1321"/>
      <c r="DQ70" s="1321"/>
      <c r="DR70" s="1321"/>
      <c r="DS70" s="5"/>
      <c r="DT70" s="1320"/>
      <c r="DU70" s="1320"/>
      <c r="DV70" s="1320"/>
      <c r="DW70" s="1320"/>
      <c r="DX70" s="1320"/>
      <c r="DY70" s="1320"/>
      <c r="DZ70" s="1320"/>
      <c r="EA70" s="1320"/>
      <c r="EB70" s="1320"/>
      <c r="EC70" s="1320"/>
      <c r="ED70" s="1320"/>
      <c r="EE70" s="1320"/>
      <c r="EF70" s="1320"/>
      <c r="EG70" s="1320"/>
      <c r="EH70" s="1320"/>
      <c r="EI70" s="1320"/>
      <c r="EJ70" s="1320"/>
      <c r="EK70" s="1320"/>
      <c r="EL70" s="1320"/>
      <c r="EM70" s="1320"/>
      <c r="EN70" s="1320"/>
      <c r="EO70" s="1320"/>
      <c r="EP70" s="1320"/>
      <c r="EQ70" s="1320"/>
      <c r="ER70" s="1320"/>
    </row>
    <row r="71" spans="1:149" ht="9.75" customHeight="1" x14ac:dyDescent="0.2">
      <c r="A71" s="5"/>
      <c r="B71" s="1320"/>
      <c r="C71" s="1320"/>
      <c r="D71" s="1320"/>
      <c r="E71" s="1320"/>
      <c r="F71" s="1320"/>
      <c r="G71" s="1320"/>
      <c r="H71" s="1320"/>
      <c r="I71" s="1320"/>
      <c r="J71" s="1320"/>
      <c r="K71" s="1320"/>
      <c r="L71" s="1320"/>
      <c r="M71" s="1320"/>
      <c r="N71" s="1320"/>
      <c r="O71" s="1320"/>
      <c r="P71" s="1320"/>
      <c r="Q71" s="1320"/>
      <c r="R71" s="1320"/>
      <c r="S71" s="1320"/>
      <c r="T71" s="1320"/>
      <c r="U71" s="263"/>
      <c r="V71" s="1321"/>
      <c r="W71" s="1321"/>
      <c r="X71" s="1321"/>
      <c r="Y71" s="1321"/>
      <c r="Z71" s="1321"/>
      <c r="AA71" s="263"/>
      <c r="AB71" s="1321"/>
      <c r="AC71" s="1321"/>
      <c r="AD71" s="1321"/>
      <c r="AE71" s="1321"/>
      <c r="AF71" s="263"/>
      <c r="AG71" s="1321"/>
      <c r="AH71" s="1321"/>
      <c r="AI71" s="1321"/>
      <c r="AJ71" s="1321"/>
      <c r="AK71" s="1321"/>
      <c r="AL71" s="1321"/>
      <c r="AM71" s="263"/>
      <c r="AN71" s="1326"/>
      <c r="AO71" s="1326"/>
      <c r="AP71" s="1326"/>
      <c r="AQ71" s="1326"/>
      <c r="AR71" s="263"/>
      <c r="AS71" s="1321"/>
      <c r="AT71" s="1321"/>
      <c r="AU71" s="1321"/>
      <c r="AV71" s="1321"/>
      <c r="AW71" s="263"/>
      <c r="AX71" s="1320"/>
      <c r="AY71" s="1320"/>
      <c r="AZ71" s="1320"/>
      <c r="BA71" s="1320"/>
      <c r="BB71" s="1320"/>
      <c r="BC71" s="1320"/>
      <c r="BD71" s="1320"/>
      <c r="BE71" s="1320"/>
      <c r="BF71" s="1320"/>
      <c r="BG71" s="1320"/>
      <c r="BH71" s="1320"/>
      <c r="BI71" s="1320"/>
      <c r="BJ71" s="1320"/>
      <c r="BK71" s="1320"/>
      <c r="BL71" s="1320"/>
      <c r="BM71" s="1320"/>
      <c r="BN71" s="1320"/>
      <c r="BO71" s="1320"/>
      <c r="BP71" s="1320"/>
      <c r="BQ71" s="1320"/>
      <c r="BR71" s="1320"/>
      <c r="BS71" s="1320"/>
      <c r="BT71" s="1320"/>
      <c r="BU71" s="1320"/>
      <c r="BV71" s="1320"/>
      <c r="BW71" s="165"/>
      <c r="BX71" s="1324" t="str">
        <f>IF(CharacterLevel="",'Character Sheet III'!$CF$202,IF(Spellcasting!AA35="•",'Character Sheet III'!$BX$202,'Character Sheet III'!$CF$202))</f>
        <v>□</v>
      </c>
      <c r="BY71" s="1324"/>
      <c r="BZ71" s="1324"/>
      <c r="CA71" s="1325" t="str">
        <f>IF(OR(CharacterLevel="",Spellcasting!AC$35=""),"",VLOOKUP(Spellcasting!AC$35,Tables!$TK:$UB,Tables!$TN$1,FALSE))</f>
        <v/>
      </c>
      <c r="CB71" s="1325"/>
      <c r="CC71" s="1325"/>
      <c r="CD71" s="1325"/>
      <c r="CE71" s="1325"/>
      <c r="CF71" s="1325"/>
      <c r="CG71" s="1325"/>
      <c r="CH71" s="1325"/>
      <c r="CI71" s="1325"/>
      <c r="CJ71" s="1325"/>
      <c r="CK71" s="1325"/>
      <c r="CL71" s="1325"/>
      <c r="CM71" s="1325"/>
      <c r="CN71" s="1325"/>
      <c r="CO71" s="1325"/>
      <c r="CP71" s="1325"/>
      <c r="CQ71" s="263"/>
      <c r="CR71" s="1048" t="str">
        <f>IF(OR(CharacterLevel="",Spellcasting!AC$35=""),"",VLOOKUP(Spellcasting!AC$35,Tables!$TK:$UB,Tables!$TT$1,FALSE))</f>
        <v/>
      </c>
      <c r="CS71" s="1048"/>
      <c r="CT71" s="1048"/>
      <c r="CU71" s="1048"/>
      <c r="CV71" s="1048"/>
      <c r="CW71" s="263"/>
      <c r="CX71" s="1048" t="str">
        <f>IF(OR(CharacterLevel="",Spellcasting!AC$35=""),"",VLOOKUP(Spellcasting!AC$35,Tables!$TK:$UB,Tables!$TU$1,FALSE))</f>
        <v/>
      </c>
      <c r="CY71" s="1048"/>
      <c r="CZ71" s="1048"/>
      <c r="DA71" s="1048"/>
      <c r="DB71" s="263"/>
      <c r="DC71" s="1048" t="str">
        <f>IF(OR(CharacterLevel="",Spellcasting!AC$35=""),"",VLOOKUP(Spellcasting!AC$35,Tables!$TK:$UB,Tables!$TV$1,FALSE))</f>
        <v/>
      </c>
      <c r="DD71" s="1048"/>
      <c r="DE71" s="1048"/>
      <c r="DF71" s="1048"/>
      <c r="DG71" s="1048"/>
      <c r="DH71" s="1048"/>
      <c r="DI71" s="261"/>
      <c r="DJ71" s="1048" t="str">
        <f>IF(OR(CharacterLevel="",Spellcasting!AC$35=""),"",VLOOKUP(Spellcasting!AC$35,Tables!$TK:$UB,Tables!$TW$1,FALSE))</f>
        <v/>
      </c>
      <c r="DK71" s="1048"/>
      <c r="DL71" s="1048"/>
      <c r="DM71" s="1048"/>
      <c r="DN71" s="261"/>
      <c r="DO71" s="1048" t="str">
        <f>IF(OR(CharacterLevel="",Spellcasting!AC$35=""),"",VLOOKUP(Spellcasting!AC$35,Tables!$TK:$UB,Tables!$TZ$1,FALSE))</f>
        <v/>
      </c>
      <c r="DP71" s="1048"/>
      <c r="DQ71" s="1048"/>
      <c r="DR71" s="1048"/>
      <c r="DS71" s="261"/>
      <c r="DT71" s="1319" t="str">
        <f>IF(OR(CharacterLevel="",Spellcasting!AC$35=""),"",VLOOKUP(Spellcasting!AC$35,Tables!$TK:$UB,Tables!$UB$1,FALSE))</f>
        <v/>
      </c>
      <c r="DU71" s="1319"/>
      <c r="DV71" s="1319"/>
      <c r="DW71" s="1319"/>
      <c r="DX71" s="1319"/>
      <c r="DY71" s="1319"/>
      <c r="DZ71" s="1319"/>
      <c r="EA71" s="1319"/>
      <c r="EB71" s="1319"/>
      <c r="EC71" s="1319"/>
      <c r="ED71" s="1319"/>
      <c r="EE71" s="1319"/>
      <c r="EF71" s="1319"/>
      <c r="EG71" s="1319"/>
      <c r="EH71" s="1319"/>
      <c r="EI71" s="1319"/>
      <c r="EJ71" s="1319"/>
      <c r="EK71" s="1319"/>
      <c r="EL71" s="1319"/>
      <c r="EM71" s="1319"/>
      <c r="EN71" s="1319"/>
      <c r="EO71" s="1319"/>
      <c r="EP71" s="1319"/>
      <c r="EQ71" s="1319"/>
      <c r="ER71" s="1319"/>
      <c r="ES71" s="6">
        <f>ES69+1</f>
        <v>21</v>
      </c>
    </row>
    <row r="72" spans="1:149" ht="9.75" customHeight="1" x14ac:dyDescent="0.25">
      <c r="A72" s="5"/>
      <c r="B72" s="1369" t="s">
        <v>448</v>
      </c>
      <c r="C72" s="1369"/>
      <c r="D72" s="1369"/>
      <c r="E72" s="1369"/>
      <c r="F72" s="1369"/>
      <c r="G72" s="1369"/>
      <c r="H72" s="1369"/>
      <c r="I72" s="1369"/>
      <c r="J72" s="1369"/>
      <c r="K72" s="263"/>
      <c r="L72" s="263"/>
      <c r="M72" s="263"/>
      <c r="N72" s="263"/>
      <c r="O72" s="263"/>
      <c r="P72" s="263"/>
      <c r="Q72" s="263"/>
      <c r="R72" s="263"/>
      <c r="S72" s="376"/>
      <c r="T72" s="263"/>
      <c r="U72" s="263"/>
      <c r="V72" s="263"/>
      <c r="W72" s="263"/>
      <c r="X72" s="263"/>
      <c r="Y72" s="263"/>
      <c r="Z72" s="263"/>
      <c r="AA72" s="376"/>
      <c r="AB72" s="263"/>
      <c r="AC72" s="263"/>
      <c r="AD72" s="263"/>
      <c r="AE72" s="263"/>
      <c r="AF72" s="263"/>
      <c r="AG72" s="263"/>
      <c r="AH72" s="263"/>
      <c r="AI72" s="263"/>
      <c r="AJ72" s="263"/>
      <c r="AK72" s="263"/>
      <c r="AL72" s="263"/>
      <c r="AM72" s="263"/>
      <c r="AN72" s="377"/>
      <c r="AO72" s="540"/>
      <c r="AP72" s="377"/>
      <c r="AQ72" s="377"/>
      <c r="AR72" s="263"/>
      <c r="AS72" s="263"/>
      <c r="AT72" s="263"/>
      <c r="AU72" s="263"/>
      <c r="AV72" s="263"/>
      <c r="AW72" s="263"/>
      <c r="AX72" s="541"/>
      <c r="AY72" s="541"/>
      <c r="AZ72" s="541"/>
      <c r="BA72" s="541"/>
      <c r="BB72" s="541"/>
      <c r="BC72" s="541"/>
      <c r="BD72" s="541"/>
      <c r="BE72" s="541"/>
      <c r="BF72" s="541"/>
      <c r="BG72" s="541"/>
      <c r="BH72" s="541"/>
      <c r="BI72" s="541"/>
      <c r="BJ72" s="541"/>
      <c r="BK72" s="541"/>
      <c r="BL72" s="541"/>
      <c r="BM72" s="541"/>
      <c r="BN72" s="541"/>
      <c r="BO72" s="541"/>
      <c r="BP72" s="541"/>
      <c r="BQ72" s="541"/>
      <c r="BR72" s="541"/>
      <c r="BS72" s="541"/>
      <c r="BT72" s="541"/>
      <c r="BU72" s="541"/>
      <c r="BV72" s="541"/>
      <c r="BW72" s="165"/>
      <c r="BX72" s="1324"/>
      <c r="BY72" s="1324"/>
      <c r="BZ72" s="1324"/>
      <c r="CA72" s="1325"/>
      <c r="CB72" s="1325"/>
      <c r="CC72" s="1325"/>
      <c r="CD72" s="1325"/>
      <c r="CE72" s="1325"/>
      <c r="CF72" s="1325"/>
      <c r="CG72" s="1325"/>
      <c r="CH72" s="1325"/>
      <c r="CI72" s="1325"/>
      <c r="CJ72" s="1325"/>
      <c r="CK72" s="1325"/>
      <c r="CL72" s="1325"/>
      <c r="CM72" s="1325"/>
      <c r="CN72" s="1325"/>
      <c r="CO72" s="1325"/>
      <c r="CP72" s="1325"/>
      <c r="CQ72" s="263"/>
      <c r="CR72" s="1321"/>
      <c r="CS72" s="1321"/>
      <c r="CT72" s="1321"/>
      <c r="CU72" s="1321"/>
      <c r="CV72" s="1321"/>
      <c r="CW72" s="5"/>
      <c r="CX72" s="1321"/>
      <c r="CY72" s="1321"/>
      <c r="CZ72" s="1321"/>
      <c r="DA72" s="1321"/>
      <c r="DB72" s="5"/>
      <c r="DC72" s="1321"/>
      <c r="DD72" s="1321"/>
      <c r="DE72" s="1321"/>
      <c r="DF72" s="1321"/>
      <c r="DG72" s="1321"/>
      <c r="DH72" s="1321"/>
      <c r="DI72" s="5"/>
      <c r="DJ72" s="1321"/>
      <c r="DK72" s="1321"/>
      <c r="DL72" s="1321"/>
      <c r="DM72" s="1321"/>
      <c r="DN72" s="5"/>
      <c r="DO72" s="1321"/>
      <c r="DP72" s="1321"/>
      <c r="DQ72" s="1321"/>
      <c r="DR72" s="1321"/>
      <c r="DS72" s="5"/>
      <c r="DT72" s="1320"/>
      <c r="DU72" s="1320"/>
      <c r="DV72" s="1320"/>
      <c r="DW72" s="1320"/>
      <c r="DX72" s="1320"/>
      <c r="DY72" s="1320"/>
      <c r="DZ72" s="1320"/>
      <c r="EA72" s="1320"/>
      <c r="EB72" s="1320"/>
      <c r="EC72" s="1320"/>
      <c r="ED72" s="1320"/>
      <c r="EE72" s="1320"/>
      <c r="EF72" s="1320"/>
      <c r="EG72" s="1320"/>
      <c r="EH72" s="1320"/>
      <c r="EI72" s="1320"/>
      <c r="EJ72" s="1320"/>
      <c r="EK72" s="1320"/>
      <c r="EL72" s="1320"/>
      <c r="EM72" s="1320"/>
      <c r="EN72" s="1320"/>
      <c r="EO72" s="1320"/>
      <c r="EP72" s="1320"/>
      <c r="EQ72" s="1320"/>
      <c r="ER72" s="1320"/>
    </row>
    <row r="73" spans="1:149" ht="9.75" customHeight="1" x14ac:dyDescent="0.25">
      <c r="A73" s="5"/>
      <c r="B73" s="1369"/>
      <c r="C73" s="1369"/>
      <c r="D73" s="1369"/>
      <c r="E73" s="1369"/>
      <c r="F73" s="1369"/>
      <c r="G73" s="1369"/>
      <c r="H73" s="1369"/>
      <c r="I73" s="1369"/>
      <c r="J73" s="1369"/>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377"/>
      <c r="AO73" s="377"/>
      <c r="AP73" s="377"/>
      <c r="AQ73" s="377"/>
      <c r="AR73" s="263"/>
      <c r="AS73" s="263"/>
      <c r="AT73" s="263"/>
      <c r="AU73" s="263"/>
      <c r="AV73" s="263"/>
      <c r="AW73" s="263"/>
      <c r="AX73" s="541"/>
      <c r="AY73" s="541"/>
      <c r="AZ73" s="541"/>
      <c r="BA73" s="541"/>
      <c r="BB73" s="541"/>
      <c r="BC73" s="541"/>
      <c r="BD73" s="541"/>
      <c r="BE73" s="541"/>
      <c r="BF73" s="541"/>
      <c r="BG73" s="541"/>
      <c r="BH73" s="541"/>
      <c r="BI73" s="541"/>
      <c r="BJ73" s="541"/>
      <c r="BK73" s="541"/>
      <c r="BL73" s="541"/>
      <c r="BM73" s="541"/>
      <c r="BN73" s="541"/>
      <c r="BO73" s="541"/>
      <c r="BP73" s="541"/>
      <c r="BQ73" s="541"/>
      <c r="BR73" s="541"/>
      <c r="BS73" s="541"/>
      <c r="BT73" s="541"/>
      <c r="BU73" s="541"/>
      <c r="BV73" s="541"/>
      <c r="BW73" s="165"/>
      <c r="BX73" s="1324" t="str">
        <f>IF(CharacterLevel="",'Character Sheet III'!$CF$202,IF(Spellcasting!AA36="•",'Character Sheet III'!$BX$202,'Character Sheet III'!$CF$202))</f>
        <v>□</v>
      </c>
      <c r="BY73" s="1324"/>
      <c r="BZ73" s="1324"/>
      <c r="CA73" s="1325" t="str">
        <f>IF(OR(CharacterLevel="",Spellcasting!AC$36=""),"",VLOOKUP(Spellcasting!AC$36,Tables!$TK:$UB,Tables!$TN$1,FALSE))</f>
        <v/>
      </c>
      <c r="CB73" s="1325"/>
      <c r="CC73" s="1325"/>
      <c r="CD73" s="1325"/>
      <c r="CE73" s="1325"/>
      <c r="CF73" s="1325"/>
      <c r="CG73" s="1325"/>
      <c r="CH73" s="1325"/>
      <c r="CI73" s="1325"/>
      <c r="CJ73" s="1325"/>
      <c r="CK73" s="1325"/>
      <c r="CL73" s="1325"/>
      <c r="CM73" s="1325"/>
      <c r="CN73" s="1325"/>
      <c r="CO73" s="1325"/>
      <c r="CP73" s="1325"/>
      <c r="CQ73" s="263"/>
      <c r="CR73" s="1048" t="str">
        <f>IF(OR(CharacterLevel="",Spellcasting!AC$36=""),"",VLOOKUP(Spellcasting!AC$36,Tables!$TK:$UB,Tables!$TT$1,FALSE))</f>
        <v/>
      </c>
      <c r="CS73" s="1048"/>
      <c r="CT73" s="1048"/>
      <c r="CU73" s="1048"/>
      <c r="CV73" s="1048"/>
      <c r="CW73" s="263"/>
      <c r="CX73" s="1048" t="str">
        <f>IF(OR(CharacterLevel="",Spellcasting!AC$36=""),"",VLOOKUP(Spellcasting!AC$36,Tables!$TK:$UB,Tables!$TU$1,FALSE))</f>
        <v/>
      </c>
      <c r="CY73" s="1048"/>
      <c r="CZ73" s="1048"/>
      <c r="DA73" s="1048"/>
      <c r="DB73" s="263"/>
      <c r="DC73" s="1048" t="str">
        <f>IF(OR(CharacterLevel="",Spellcasting!AC$36=""),"",VLOOKUP(Spellcasting!AC$36,Tables!$TK:$UB,Tables!$TV$1,FALSE))</f>
        <v/>
      </c>
      <c r="DD73" s="1048"/>
      <c r="DE73" s="1048"/>
      <c r="DF73" s="1048"/>
      <c r="DG73" s="1048"/>
      <c r="DH73" s="1048"/>
      <c r="DI73" s="261"/>
      <c r="DJ73" s="1048" t="str">
        <f>IF(OR(CharacterLevel="",Spellcasting!AC$36=""),"",VLOOKUP(Spellcasting!AC$36,Tables!$TK:$UB,Tables!$TW$1,FALSE))</f>
        <v/>
      </c>
      <c r="DK73" s="1048"/>
      <c r="DL73" s="1048"/>
      <c r="DM73" s="1048"/>
      <c r="DN73" s="261"/>
      <c r="DO73" s="1048" t="str">
        <f>IF(OR(CharacterLevel="",Spellcasting!AC$36=""),"",VLOOKUP(Spellcasting!AC$36,Tables!$TK:$UB,Tables!$TZ$1,FALSE))</f>
        <v/>
      </c>
      <c r="DP73" s="1048"/>
      <c r="DQ73" s="1048"/>
      <c r="DR73" s="1048"/>
      <c r="DS73" s="261"/>
      <c r="DT73" s="1319" t="str">
        <f>IF(OR(CharacterLevel="",Spellcasting!AC$36=""),"",VLOOKUP(Spellcasting!AC$36,Tables!$TK:$UB,Tables!$UB$1,FALSE))</f>
        <v/>
      </c>
      <c r="DU73" s="1319"/>
      <c r="DV73" s="1319"/>
      <c r="DW73" s="1319"/>
      <c r="DX73" s="1319"/>
      <c r="DY73" s="1319"/>
      <c r="DZ73" s="1319"/>
      <c r="EA73" s="1319"/>
      <c r="EB73" s="1319"/>
      <c r="EC73" s="1319"/>
      <c r="ED73" s="1319"/>
      <c r="EE73" s="1319"/>
      <c r="EF73" s="1319"/>
      <c r="EG73" s="1319"/>
      <c r="EH73" s="1319"/>
      <c r="EI73" s="1319"/>
      <c r="EJ73" s="1319"/>
      <c r="EK73" s="1319"/>
      <c r="EL73" s="1319"/>
      <c r="EM73" s="1319"/>
      <c r="EN73" s="1319"/>
      <c r="EO73" s="1319"/>
      <c r="EP73" s="1319"/>
      <c r="EQ73" s="1319"/>
      <c r="ER73" s="1319"/>
      <c r="ES73" s="6">
        <f>ES71+1</f>
        <v>22</v>
      </c>
    </row>
    <row r="74" spans="1:149" ht="9.75" customHeight="1" x14ac:dyDescent="0.25">
      <c r="A74" s="5"/>
      <c r="B74" s="857" t="s">
        <v>455</v>
      </c>
      <c r="C74" s="857"/>
      <c r="D74" s="857"/>
      <c r="E74" s="857" t="s">
        <v>456</v>
      </c>
      <c r="F74" s="857"/>
      <c r="G74" s="857"/>
      <c r="H74" s="857"/>
      <c r="I74" s="857"/>
      <c r="J74" s="857"/>
      <c r="K74" s="857"/>
      <c r="L74" s="857"/>
      <c r="M74" s="857"/>
      <c r="N74" s="857"/>
      <c r="O74" s="857"/>
      <c r="P74" s="857"/>
      <c r="Q74" s="857"/>
      <c r="R74" s="857"/>
      <c r="S74" s="857"/>
      <c r="T74" s="857"/>
      <c r="U74" s="377"/>
      <c r="V74" s="848" t="s">
        <v>452</v>
      </c>
      <c r="W74" s="848"/>
      <c r="X74" s="848"/>
      <c r="Y74" s="848"/>
      <c r="Z74" s="848"/>
      <c r="AA74" s="377"/>
      <c r="AB74" s="848" t="s">
        <v>48</v>
      </c>
      <c r="AC74" s="848"/>
      <c r="AD74" s="848"/>
      <c r="AE74" s="848"/>
      <c r="AF74" s="377"/>
      <c r="AG74" s="848" t="s">
        <v>453</v>
      </c>
      <c r="AH74" s="848"/>
      <c r="AI74" s="848"/>
      <c r="AJ74" s="848"/>
      <c r="AK74" s="848"/>
      <c r="AL74" s="848"/>
      <c r="AM74" s="848" t="s">
        <v>454</v>
      </c>
      <c r="AN74" s="848"/>
      <c r="AO74" s="848"/>
      <c r="AP74" s="848"/>
      <c r="AQ74" s="848"/>
      <c r="AR74" s="848"/>
      <c r="AS74" s="848" t="s">
        <v>9</v>
      </c>
      <c r="AT74" s="848"/>
      <c r="AU74" s="848"/>
      <c r="AV74" s="848"/>
      <c r="AW74" s="259"/>
      <c r="AX74" s="946" t="s">
        <v>457</v>
      </c>
      <c r="AY74" s="946"/>
      <c r="AZ74" s="946"/>
      <c r="BA74" s="946"/>
      <c r="BB74" s="946"/>
      <c r="BC74" s="946"/>
      <c r="BD74" s="946"/>
      <c r="BE74" s="946"/>
      <c r="BF74" s="946"/>
      <c r="BG74" s="946"/>
      <c r="BH74" s="946"/>
      <c r="BI74" s="946"/>
      <c r="BJ74" s="946"/>
      <c r="BK74" s="946"/>
      <c r="BL74" s="946"/>
      <c r="BM74" s="946"/>
      <c r="BN74" s="946"/>
      <c r="BO74" s="946"/>
      <c r="BP74" s="946"/>
      <c r="BQ74" s="946"/>
      <c r="BR74" s="946"/>
      <c r="BS74" s="946"/>
      <c r="BT74" s="946"/>
      <c r="BU74" s="946"/>
      <c r="BV74" s="946"/>
      <c r="BW74" s="165"/>
      <c r="BX74" s="1324"/>
      <c r="BY74" s="1324"/>
      <c r="BZ74" s="1324"/>
      <c r="CA74" s="1325"/>
      <c r="CB74" s="1325"/>
      <c r="CC74" s="1325"/>
      <c r="CD74" s="1325"/>
      <c r="CE74" s="1325"/>
      <c r="CF74" s="1325"/>
      <c r="CG74" s="1325"/>
      <c r="CH74" s="1325"/>
      <c r="CI74" s="1325"/>
      <c r="CJ74" s="1325"/>
      <c r="CK74" s="1325"/>
      <c r="CL74" s="1325"/>
      <c r="CM74" s="1325"/>
      <c r="CN74" s="1325"/>
      <c r="CO74" s="1325"/>
      <c r="CP74" s="1325"/>
      <c r="CQ74" s="263"/>
      <c r="CR74" s="1321"/>
      <c r="CS74" s="1321"/>
      <c r="CT74" s="1321"/>
      <c r="CU74" s="1321"/>
      <c r="CV74" s="1321"/>
      <c r="CW74" s="5"/>
      <c r="CX74" s="1321"/>
      <c r="CY74" s="1321"/>
      <c r="CZ74" s="1321"/>
      <c r="DA74" s="1321"/>
      <c r="DB74" s="5"/>
      <c r="DC74" s="1321"/>
      <c r="DD74" s="1321"/>
      <c r="DE74" s="1321"/>
      <c r="DF74" s="1321"/>
      <c r="DG74" s="1321"/>
      <c r="DH74" s="1321"/>
      <c r="DI74" s="5"/>
      <c r="DJ74" s="1321"/>
      <c r="DK74" s="1321"/>
      <c r="DL74" s="1321"/>
      <c r="DM74" s="1321"/>
      <c r="DN74" s="5"/>
      <c r="DO74" s="1321"/>
      <c r="DP74" s="1321"/>
      <c r="DQ74" s="1321"/>
      <c r="DR74" s="1321"/>
      <c r="DS74" s="5"/>
      <c r="DT74" s="1320"/>
      <c r="DU74" s="1320"/>
      <c r="DV74" s="1320"/>
      <c r="DW74" s="1320"/>
      <c r="DX74" s="1320"/>
      <c r="DY74" s="1320"/>
      <c r="DZ74" s="1320"/>
      <c r="EA74" s="1320"/>
      <c r="EB74" s="1320"/>
      <c r="EC74" s="1320"/>
      <c r="ED74" s="1320"/>
      <c r="EE74" s="1320"/>
      <c r="EF74" s="1320"/>
      <c r="EG74" s="1320"/>
      <c r="EH74" s="1320"/>
      <c r="EI74" s="1320"/>
      <c r="EJ74" s="1320"/>
      <c r="EK74" s="1320"/>
      <c r="EL74" s="1320"/>
      <c r="EM74" s="1320"/>
      <c r="EN74" s="1320"/>
      <c r="EO74" s="1320"/>
      <c r="EP74" s="1320"/>
      <c r="EQ74" s="1320"/>
      <c r="ER74" s="1320"/>
    </row>
    <row r="75" spans="1:149" ht="9.75" customHeight="1" x14ac:dyDescent="0.25">
      <c r="A75" s="5"/>
      <c r="B75" s="857"/>
      <c r="C75" s="857"/>
      <c r="D75" s="857"/>
      <c r="E75" s="857"/>
      <c r="F75" s="857"/>
      <c r="G75" s="857"/>
      <c r="H75" s="857"/>
      <c r="I75" s="857"/>
      <c r="J75" s="857"/>
      <c r="K75" s="857"/>
      <c r="L75" s="857"/>
      <c r="M75" s="857"/>
      <c r="N75" s="857"/>
      <c r="O75" s="857"/>
      <c r="P75" s="857"/>
      <c r="Q75" s="857"/>
      <c r="R75" s="857"/>
      <c r="S75" s="857"/>
      <c r="T75" s="857"/>
      <c r="U75" s="377"/>
      <c r="V75" s="848"/>
      <c r="W75" s="848"/>
      <c r="X75" s="848"/>
      <c r="Y75" s="848"/>
      <c r="Z75" s="848"/>
      <c r="AA75" s="377"/>
      <c r="AB75" s="848"/>
      <c r="AC75" s="848"/>
      <c r="AD75" s="848"/>
      <c r="AE75" s="848"/>
      <c r="AF75" s="377"/>
      <c r="AG75" s="848"/>
      <c r="AH75" s="848"/>
      <c r="AI75" s="848"/>
      <c r="AJ75" s="848"/>
      <c r="AK75" s="848"/>
      <c r="AL75" s="848"/>
      <c r="AM75" s="848"/>
      <c r="AN75" s="848"/>
      <c r="AO75" s="848"/>
      <c r="AP75" s="848"/>
      <c r="AQ75" s="848"/>
      <c r="AR75" s="848"/>
      <c r="AS75" s="848"/>
      <c r="AT75" s="848"/>
      <c r="AU75" s="848"/>
      <c r="AV75" s="848"/>
      <c r="AW75" s="260"/>
      <c r="AX75" s="946"/>
      <c r="AY75" s="946"/>
      <c r="AZ75" s="946"/>
      <c r="BA75" s="946"/>
      <c r="BB75" s="946"/>
      <c r="BC75" s="946"/>
      <c r="BD75" s="946"/>
      <c r="BE75" s="946"/>
      <c r="BF75" s="946"/>
      <c r="BG75" s="946"/>
      <c r="BH75" s="946"/>
      <c r="BI75" s="946"/>
      <c r="BJ75" s="946"/>
      <c r="BK75" s="946"/>
      <c r="BL75" s="946"/>
      <c r="BM75" s="946"/>
      <c r="BN75" s="946"/>
      <c r="BO75" s="946"/>
      <c r="BP75" s="946"/>
      <c r="BQ75" s="946"/>
      <c r="BR75" s="946"/>
      <c r="BS75" s="946"/>
      <c r="BT75" s="946"/>
      <c r="BU75" s="946"/>
      <c r="BV75" s="946"/>
      <c r="BW75" s="165"/>
      <c r="BX75" s="1324" t="str">
        <f>IF(CharacterLevel="",'Character Sheet III'!$CF$202,IF(Spellcasting!AA37="•",'Character Sheet III'!$BX$202,'Character Sheet III'!$CF$202))</f>
        <v>□</v>
      </c>
      <c r="BY75" s="1324"/>
      <c r="BZ75" s="1324"/>
      <c r="CA75" s="1325" t="str">
        <f>IF(OR(CharacterLevel="",Spellcasting!AC$37=""),"",VLOOKUP(Spellcasting!AC$37,Tables!$TK:$UB,Tables!$TN$1,FALSE))</f>
        <v/>
      </c>
      <c r="CB75" s="1325"/>
      <c r="CC75" s="1325"/>
      <c r="CD75" s="1325"/>
      <c r="CE75" s="1325"/>
      <c r="CF75" s="1325"/>
      <c r="CG75" s="1325"/>
      <c r="CH75" s="1325"/>
      <c r="CI75" s="1325"/>
      <c r="CJ75" s="1325"/>
      <c r="CK75" s="1325"/>
      <c r="CL75" s="1325"/>
      <c r="CM75" s="1325"/>
      <c r="CN75" s="1325"/>
      <c r="CO75" s="1325"/>
      <c r="CP75" s="1325"/>
      <c r="CQ75" s="263"/>
      <c r="CR75" s="1048" t="str">
        <f>IF(OR(CharacterLevel="",Spellcasting!AC$37=""),"",VLOOKUP(Spellcasting!AC$37,Tables!$TK:$UB,Tables!$TT$1,FALSE))</f>
        <v/>
      </c>
      <c r="CS75" s="1048"/>
      <c r="CT75" s="1048"/>
      <c r="CU75" s="1048"/>
      <c r="CV75" s="1048"/>
      <c r="CW75" s="263"/>
      <c r="CX75" s="1048" t="str">
        <f>IF(OR(CharacterLevel="",Spellcasting!AC$37=""),"",VLOOKUP(Spellcasting!AC$37,Tables!$TK:$UB,Tables!$TU$1,FALSE))</f>
        <v/>
      </c>
      <c r="CY75" s="1048"/>
      <c r="CZ75" s="1048"/>
      <c r="DA75" s="1048"/>
      <c r="DB75" s="263"/>
      <c r="DC75" s="1048" t="str">
        <f>IF(OR(CharacterLevel="",Spellcasting!AC$37=""),"",VLOOKUP(Spellcasting!AC$37,Tables!$TK:$UB,Tables!$TV$1,FALSE))</f>
        <v/>
      </c>
      <c r="DD75" s="1048"/>
      <c r="DE75" s="1048"/>
      <c r="DF75" s="1048"/>
      <c r="DG75" s="1048"/>
      <c r="DH75" s="1048"/>
      <c r="DI75" s="261"/>
      <c r="DJ75" s="1048" t="str">
        <f>IF(OR(CharacterLevel="",Spellcasting!AC$37=""),"",VLOOKUP(Spellcasting!AC$37,Tables!$TK:$UB,Tables!$TW$1,FALSE))</f>
        <v/>
      </c>
      <c r="DK75" s="1048"/>
      <c r="DL75" s="1048"/>
      <c r="DM75" s="1048"/>
      <c r="DN75" s="261"/>
      <c r="DO75" s="1048" t="str">
        <f>IF(OR(CharacterLevel="",Spellcasting!AC$37=""),"",VLOOKUP(Spellcasting!AC$37,Tables!$TK:$UB,Tables!$TZ$1,FALSE))</f>
        <v/>
      </c>
      <c r="DP75" s="1048"/>
      <c r="DQ75" s="1048"/>
      <c r="DR75" s="1048"/>
      <c r="DS75" s="261"/>
      <c r="DT75" s="1319" t="str">
        <f>IF(OR(CharacterLevel="",Spellcasting!AC$37=""),"",VLOOKUP(Spellcasting!AC$37,Tables!$TK:$UB,Tables!$UB$1,FALSE))</f>
        <v/>
      </c>
      <c r="DU75" s="1319"/>
      <c r="DV75" s="1319"/>
      <c r="DW75" s="1319"/>
      <c r="DX75" s="1319"/>
      <c r="DY75" s="1319"/>
      <c r="DZ75" s="1319"/>
      <c r="EA75" s="1319"/>
      <c r="EB75" s="1319"/>
      <c r="EC75" s="1319"/>
      <c r="ED75" s="1319"/>
      <c r="EE75" s="1319"/>
      <c r="EF75" s="1319"/>
      <c r="EG75" s="1319"/>
      <c r="EH75" s="1319"/>
      <c r="EI75" s="1319"/>
      <c r="EJ75" s="1319"/>
      <c r="EK75" s="1319"/>
      <c r="EL75" s="1319"/>
      <c r="EM75" s="1319"/>
      <c r="EN75" s="1319"/>
      <c r="EO75" s="1319"/>
      <c r="EP75" s="1319"/>
      <c r="EQ75" s="1319"/>
      <c r="ER75" s="1319"/>
      <c r="ES75" s="6">
        <f>ES73+1</f>
        <v>23</v>
      </c>
    </row>
    <row r="76" spans="1:149" ht="9.75" customHeight="1" x14ac:dyDescent="0.2">
      <c r="A76" s="5"/>
      <c r="B76" s="1389" t="str">
        <f>IF(CharacterLevel="",'Character Sheet III'!$CF$202,IF(Spellcasting!AO6="•",'Character Sheet III'!$BX$202,'Character Sheet III'!$CF$202))</f>
        <v>□</v>
      </c>
      <c r="C76" s="1389"/>
      <c r="D76" s="1389"/>
      <c r="E76" s="1319" t="str">
        <f>IF(OR(CharacterLevel="",Spellcasting!AQ$6=""),"",VLOOKUP(Spellcasting!AQ$6,Tables!$TK:$UB,Tables!$TN$1,FALSE))</f>
        <v/>
      </c>
      <c r="F76" s="1319"/>
      <c r="G76" s="1319"/>
      <c r="H76" s="1319"/>
      <c r="I76" s="1319"/>
      <c r="J76" s="1319"/>
      <c r="K76" s="1319"/>
      <c r="L76" s="1319"/>
      <c r="M76" s="1319"/>
      <c r="N76" s="1319"/>
      <c r="O76" s="1319"/>
      <c r="P76" s="1319"/>
      <c r="Q76" s="1319"/>
      <c r="R76" s="1319"/>
      <c r="S76" s="1319"/>
      <c r="T76" s="1319"/>
      <c r="U76" s="263"/>
      <c r="V76" s="1048" t="str">
        <f>IF(OR(CharacterLevel="",Spellcasting!AQ$6=""),"",VLOOKUP(Spellcasting!AQ$6,Tables!$TK:$UB,Tables!$TT$1,FALSE))</f>
        <v/>
      </c>
      <c r="W76" s="1048"/>
      <c r="X76" s="1048"/>
      <c r="Y76" s="1048"/>
      <c r="Z76" s="1048"/>
      <c r="AA76" s="263"/>
      <c r="AB76" s="1048" t="str">
        <f>IF(OR(CharacterLevel="",Spellcasting!AQ$6=""),"",VLOOKUP(Spellcasting!AQ$6,Tables!$TK:$UB,Tables!$TU$1,FALSE))</f>
        <v/>
      </c>
      <c r="AC76" s="1048"/>
      <c r="AD76" s="1048"/>
      <c r="AE76" s="1048"/>
      <c r="AF76" s="263"/>
      <c r="AG76" s="1048" t="str">
        <f>IF(OR(CharacterLevel="",Spellcasting!AQ$6=""),"",VLOOKUP(Spellcasting!AQ$6,Tables!$TK:$UB,Tables!$TV$1,FALSE))</f>
        <v/>
      </c>
      <c r="AH76" s="1048"/>
      <c r="AI76" s="1048"/>
      <c r="AJ76" s="1048"/>
      <c r="AK76" s="1048"/>
      <c r="AL76" s="1048"/>
      <c r="AM76" s="261"/>
      <c r="AN76" s="857" t="str">
        <f>IF(OR(CharacterLevel="",Spellcasting!AQ$6=""),"",VLOOKUP(Spellcasting!AQ$6,Tables!$TK:$UB,Tables!$TW$1,FALSE))</f>
        <v/>
      </c>
      <c r="AO76" s="857"/>
      <c r="AP76" s="857"/>
      <c r="AQ76" s="857"/>
      <c r="AR76" s="261"/>
      <c r="AS76" s="1048" t="str">
        <f>IF(OR(CharacterLevel="",Spellcasting!AQ$6=""),"",VLOOKUP(Spellcasting!AQ$6,Tables!$TK:$UB,Tables!$TZ$1,FALSE))</f>
        <v/>
      </c>
      <c r="AT76" s="1048"/>
      <c r="AU76" s="1048"/>
      <c r="AV76" s="1048"/>
      <c r="AW76" s="261"/>
      <c r="AX76" s="1319" t="str">
        <f>IF(OR(CharacterLevel="",Spellcasting!AQ$6=""),"",VLOOKUP(Spellcasting!AQ$6,Tables!$TK:$UB,Tables!$UB$1,FALSE))</f>
        <v/>
      </c>
      <c r="AY76" s="1319"/>
      <c r="AZ76" s="1319"/>
      <c r="BA76" s="1319"/>
      <c r="BB76" s="1319"/>
      <c r="BC76" s="1319"/>
      <c r="BD76" s="1319"/>
      <c r="BE76" s="1319"/>
      <c r="BF76" s="1319"/>
      <c r="BG76" s="1319"/>
      <c r="BH76" s="1319"/>
      <c r="BI76" s="1319"/>
      <c r="BJ76" s="1319"/>
      <c r="BK76" s="1319"/>
      <c r="BL76" s="1319"/>
      <c r="BM76" s="1319"/>
      <c r="BN76" s="1319"/>
      <c r="BO76" s="1319"/>
      <c r="BP76" s="1319"/>
      <c r="BQ76" s="1319"/>
      <c r="BR76" s="1319"/>
      <c r="BS76" s="1319"/>
      <c r="BT76" s="1319"/>
      <c r="BU76" s="1319"/>
      <c r="BV76" s="1319"/>
      <c r="BW76" s="403"/>
      <c r="BX76" s="1324"/>
      <c r="BY76" s="1324"/>
      <c r="BZ76" s="1324"/>
      <c r="CA76" s="1325"/>
      <c r="CB76" s="1325"/>
      <c r="CC76" s="1325"/>
      <c r="CD76" s="1325"/>
      <c r="CE76" s="1325"/>
      <c r="CF76" s="1325"/>
      <c r="CG76" s="1325"/>
      <c r="CH76" s="1325"/>
      <c r="CI76" s="1325"/>
      <c r="CJ76" s="1325"/>
      <c r="CK76" s="1325"/>
      <c r="CL76" s="1325"/>
      <c r="CM76" s="1325"/>
      <c r="CN76" s="1325"/>
      <c r="CO76" s="1325"/>
      <c r="CP76" s="1325"/>
      <c r="CQ76" s="263"/>
      <c r="CR76" s="1321"/>
      <c r="CS76" s="1321"/>
      <c r="CT76" s="1321"/>
      <c r="CU76" s="1321"/>
      <c r="CV76" s="1321"/>
      <c r="CW76" s="5"/>
      <c r="CX76" s="1321"/>
      <c r="CY76" s="1321"/>
      <c r="CZ76" s="1321"/>
      <c r="DA76" s="1321"/>
      <c r="DB76" s="5"/>
      <c r="DC76" s="1321"/>
      <c r="DD76" s="1321"/>
      <c r="DE76" s="1321"/>
      <c r="DF76" s="1321"/>
      <c r="DG76" s="1321"/>
      <c r="DH76" s="1321"/>
      <c r="DI76" s="5"/>
      <c r="DJ76" s="1321"/>
      <c r="DK76" s="1321"/>
      <c r="DL76" s="1321"/>
      <c r="DM76" s="1321"/>
      <c r="DN76" s="5"/>
      <c r="DO76" s="1321"/>
      <c r="DP76" s="1321"/>
      <c r="DQ76" s="1321"/>
      <c r="DR76" s="1321"/>
      <c r="DS76" s="5"/>
      <c r="DT76" s="1320"/>
      <c r="DU76" s="1320"/>
      <c r="DV76" s="1320"/>
      <c r="DW76" s="1320"/>
      <c r="DX76" s="1320"/>
      <c r="DY76" s="1320"/>
      <c r="DZ76" s="1320"/>
      <c r="EA76" s="1320"/>
      <c r="EB76" s="1320"/>
      <c r="EC76" s="1320"/>
      <c r="ED76" s="1320"/>
      <c r="EE76" s="1320"/>
      <c r="EF76" s="1320"/>
      <c r="EG76" s="1320"/>
      <c r="EH76" s="1320"/>
      <c r="EI76" s="1320"/>
      <c r="EJ76" s="1320"/>
      <c r="EK76" s="1320"/>
      <c r="EL76" s="1320"/>
      <c r="EM76" s="1320"/>
      <c r="EN76" s="1320"/>
      <c r="EO76" s="1320"/>
      <c r="EP76" s="1320"/>
      <c r="EQ76" s="1320"/>
      <c r="ER76" s="1320"/>
    </row>
    <row r="77" spans="1:149" ht="9.75" customHeight="1" x14ac:dyDescent="0.2">
      <c r="A77" s="5"/>
      <c r="B77" s="1389"/>
      <c r="C77" s="1389"/>
      <c r="D77" s="1389"/>
      <c r="E77" s="1320"/>
      <c r="F77" s="1320"/>
      <c r="G77" s="1320"/>
      <c r="H77" s="1320"/>
      <c r="I77" s="1320"/>
      <c r="J77" s="1320"/>
      <c r="K77" s="1320"/>
      <c r="L77" s="1320"/>
      <c r="M77" s="1320"/>
      <c r="N77" s="1320"/>
      <c r="O77" s="1320"/>
      <c r="P77" s="1320"/>
      <c r="Q77" s="1320"/>
      <c r="R77" s="1320"/>
      <c r="S77" s="1320"/>
      <c r="T77" s="1320"/>
      <c r="U77" s="263"/>
      <c r="V77" s="1321"/>
      <c r="W77" s="1321"/>
      <c r="X77" s="1321"/>
      <c r="Y77" s="1321"/>
      <c r="Z77" s="1321"/>
      <c r="AA77" s="263"/>
      <c r="AB77" s="1321"/>
      <c r="AC77" s="1321"/>
      <c r="AD77" s="1321"/>
      <c r="AE77" s="1321"/>
      <c r="AF77" s="263"/>
      <c r="AG77" s="1321"/>
      <c r="AH77" s="1321"/>
      <c r="AI77" s="1321"/>
      <c r="AJ77" s="1321"/>
      <c r="AK77" s="1321"/>
      <c r="AL77" s="1321"/>
      <c r="AM77" s="263"/>
      <c r="AN77" s="1326"/>
      <c r="AO77" s="1326"/>
      <c r="AP77" s="1326"/>
      <c r="AQ77" s="1326"/>
      <c r="AR77" s="263"/>
      <c r="AS77" s="1321"/>
      <c r="AT77" s="1321"/>
      <c r="AU77" s="1321"/>
      <c r="AV77" s="1321"/>
      <c r="AW77" s="263"/>
      <c r="AX77" s="1320"/>
      <c r="AY77" s="1320"/>
      <c r="AZ77" s="1320"/>
      <c r="BA77" s="1320"/>
      <c r="BB77" s="1320"/>
      <c r="BC77" s="1320"/>
      <c r="BD77" s="1320"/>
      <c r="BE77" s="1320"/>
      <c r="BF77" s="1320"/>
      <c r="BG77" s="1320"/>
      <c r="BH77" s="1320"/>
      <c r="BI77" s="1320"/>
      <c r="BJ77" s="1320"/>
      <c r="BK77" s="1320"/>
      <c r="BL77" s="1320"/>
      <c r="BM77" s="1320"/>
      <c r="BN77" s="1320"/>
      <c r="BO77" s="1320"/>
      <c r="BP77" s="1320"/>
      <c r="BQ77" s="1320"/>
      <c r="BR77" s="1320"/>
      <c r="BS77" s="1320"/>
      <c r="BT77" s="1320"/>
      <c r="BU77" s="1320"/>
      <c r="BV77" s="1320"/>
      <c r="BW77" s="164"/>
      <c r="BX77" s="1324" t="str">
        <f>IF(CharacterLevel="",'Character Sheet III'!$CF$202,IF(Spellcasting!AA38="•",'Character Sheet III'!$BX$202,'Character Sheet III'!$CF$202))</f>
        <v>□</v>
      </c>
      <c r="BY77" s="1324"/>
      <c r="BZ77" s="1324"/>
      <c r="CA77" s="1325" t="str">
        <f>IF(OR(CharacterLevel="",Spellcasting!AC$38=""),"",VLOOKUP(Spellcasting!AC$38,Tables!$TK:$UB,Tables!$TN$1,FALSE))</f>
        <v/>
      </c>
      <c r="CB77" s="1325"/>
      <c r="CC77" s="1325"/>
      <c r="CD77" s="1325"/>
      <c r="CE77" s="1325"/>
      <c r="CF77" s="1325"/>
      <c r="CG77" s="1325"/>
      <c r="CH77" s="1325"/>
      <c r="CI77" s="1325"/>
      <c r="CJ77" s="1325"/>
      <c r="CK77" s="1325"/>
      <c r="CL77" s="1325"/>
      <c r="CM77" s="1325"/>
      <c r="CN77" s="1325"/>
      <c r="CO77" s="1325"/>
      <c r="CP77" s="1325"/>
      <c r="CQ77" s="263"/>
      <c r="CR77" s="1048" t="str">
        <f>IF(OR(CharacterLevel="",Spellcasting!AC$38=""),"",VLOOKUP(Spellcasting!AC$38,Tables!$TK:$UB,Tables!$TT$1,FALSE))</f>
        <v/>
      </c>
      <c r="CS77" s="1048"/>
      <c r="CT77" s="1048"/>
      <c r="CU77" s="1048"/>
      <c r="CV77" s="1048"/>
      <c r="CW77" s="263"/>
      <c r="CX77" s="1048" t="str">
        <f>IF(OR(CharacterLevel="",Spellcasting!AC$38=""),"",VLOOKUP(Spellcasting!AC$38,Tables!$TK:$UB,Tables!$TU$1,FALSE))</f>
        <v/>
      </c>
      <c r="CY77" s="1048"/>
      <c r="CZ77" s="1048"/>
      <c r="DA77" s="1048"/>
      <c r="DB77" s="263"/>
      <c r="DC77" s="1048" t="str">
        <f>IF(OR(CharacterLevel="",Spellcasting!AC$38=""),"",VLOOKUP(Spellcasting!AC$38,Tables!$TK:$UB,Tables!$TV$1,FALSE))</f>
        <v/>
      </c>
      <c r="DD77" s="1048"/>
      <c r="DE77" s="1048"/>
      <c r="DF77" s="1048"/>
      <c r="DG77" s="1048"/>
      <c r="DH77" s="1048"/>
      <c r="DI77" s="261"/>
      <c r="DJ77" s="1048" t="str">
        <f>IF(OR(CharacterLevel="",Spellcasting!AC$38=""),"",VLOOKUP(Spellcasting!AC$38,Tables!$TK:$UB,Tables!$TW$1,FALSE))</f>
        <v/>
      </c>
      <c r="DK77" s="1048"/>
      <c r="DL77" s="1048"/>
      <c r="DM77" s="1048"/>
      <c r="DN77" s="261"/>
      <c r="DO77" s="1048" t="str">
        <f>IF(OR(CharacterLevel="",Spellcasting!AC$38=""),"",VLOOKUP(Spellcasting!AC$38,Tables!$TK:$UB,Tables!$TZ$1,FALSE))</f>
        <v/>
      </c>
      <c r="DP77" s="1048"/>
      <c r="DQ77" s="1048"/>
      <c r="DR77" s="1048"/>
      <c r="DS77" s="261"/>
      <c r="DT77" s="1319" t="str">
        <f>IF(OR(CharacterLevel="",Spellcasting!AC$38=""),"",VLOOKUP(Spellcasting!AC$38,Tables!$TK:$UB,Tables!$UB$1,FALSE))</f>
        <v/>
      </c>
      <c r="DU77" s="1319"/>
      <c r="DV77" s="1319"/>
      <c r="DW77" s="1319"/>
      <c r="DX77" s="1319"/>
      <c r="DY77" s="1319"/>
      <c r="DZ77" s="1319"/>
      <c r="EA77" s="1319"/>
      <c r="EB77" s="1319"/>
      <c r="EC77" s="1319"/>
      <c r="ED77" s="1319"/>
      <c r="EE77" s="1319"/>
      <c r="EF77" s="1319"/>
      <c r="EG77" s="1319"/>
      <c r="EH77" s="1319"/>
      <c r="EI77" s="1319"/>
      <c r="EJ77" s="1319"/>
      <c r="EK77" s="1319"/>
      <c r="EL77" s="1319"/>
      <c r="EM77" s="1319"/>
      <c r="EN77" s="1319"/>
      <c r="EO77" s="1319"/>
      <c r="EP77" s="1319"/>
      <c r="EQ77" s="1319"/>
      <c r="ER77" s="1319"/>
      <c r="ES77" s="6">
        <f>ES75+1</f>
        <v>24</v>
      </c>
    </row>
    <row r="78" spans="1:149" ht="9.75" customHeight="1" x14ac:dyDescent="0.2">
      <c r="A78" s="5"/>
      <c r="B78" s="1389" t="str">
        <f>IF(CharacterLevel="",'Character Sheet III'!$CF$202,IF(Spellcasting!AO7="•",'Character Sheet III'!$BX$202,'Character Sheet III'!$CF$202))</f>
        <v>□</v>
      </c>
      <c r="C78" s="1389"/>
      <c r="D78" s="1389"/>
      <c r="E78" s="1325" t="str">
        <f>IF(OR(CharacterLevel="",Spellcasting!AQ$7=""),"",VLOOKUP(Spellcasting!AQ$7,Tables!$TK:$UB,Tables!$TN$1,FALSE))</f>
        <v/>
      </c>
      <c r="F78" s="1325"/>
      <c r="G78" s="1325"/>
      <c r="H78" s="1325"/>
      <c r="I78" s="1325"/>
      <c r="J78" s="1325"/>
      <c r="K78" s="1325"/>
      <c r="L78" s="1325"/>
      <c r="M78" s="1325"/>
      <c r="N78" s="1325"/>
      <c r="O78" s="1325"/>
      <c r="P78" s="1325"/>
      <c r="Q78" s="1325"/>
      <c r="R78" s="1325"/>
      <c r="S78" s="1325"/>
      <c r="T78" s="1325"/>
      <c r="U78" s="263"/>
      <c r="V78" s="1048" t="str">
        <f>IF(OR(CharacterLevel="",Spellcasting!AQ$7=""),"",VLOOKUP(Spellcasting!AQ$7,Tables!$TK:$UB,Tables!$TT$1,FALSE))</f>
        <v/>
      </c>
      <c r="W78" s="1048"/>
      <c r="X78" s="1048"/>
      <c r="Y78" s="1048"/>
      <c r="Z78" s="1048"/>
      <c r="AA78" s="263"/>
      <c r="AB78" s="1048" t="str">
        <f>IF(OR(CharacterLevel="",Spellcasting!AQ$7=""),"",VLOOKUP(Spellcasting!AQ$7,Tables!$TK:$UB,Tables!$TU$1,FALSE))</f>
        <v/>
      </c>
      <c r="AC78" s="1048"/>
      <c r="AD78" s="1048"/>
      <c r="AE78" s="1048"/>
      <c r="AF78" s="263"/>
      <c r="AG78" s="1048" t="str">
        <f>IF(OR(CharacterLevel="",Spellcasting!AQ$7=""),"",VLOOKUP(Spellcasting!AQ$7,Tables!$TK:$UB,Tables!$TV$1,FALSE))</f>
        <v/>
      </c>
      <c r="AH78" s="1048"/>
      <c r="AI78" s="1048"/>
      <c r="AJ78" s="1048"/>
      <c r="AK78" s="1048"/>
      <c r="AL78" s="1048"/>
      <c r="AM78" s="261"/>
      <c r="AN78" s="857" t="str">
        <f>IF(OR(CharacterLevel="",Spellcasting!AQ$7=""),"",VLOOKUP(Spellcasting!AQ$7,Tables!$TK:$UB,Tables!$TW$1,FALSE))</f>
        <v/>
      </c>
      <c r="AO78" s="857"/>
      <c r="AP78" s="857"/>
      <c r="AQ78" s="857"/>
      <c r="AR78" s="261"/>
      <c r="AS78" s="1048" t="str">
        <f>IF(OR(CharacterLevel="",Spellcasting!AQ$7=""),"",VLOOKUP(Spellcasting!AQ$7,Tables!$TK:$UB,Tables!$TZ$1,FALSE))</f>
        <v/>
      </c>
      <c r="AT78" s="1048"/>
      <c r="AU78" s="1048"/>
      <c r="AV78" s="1048"/>
      <c r="AW78" s="261"/>
      <c r="AX78" s="1319" t="str">
        <f>IF(OR(CharacterLevel="",Spellcasting!AQ$7=""),"",VLOOKUP(Spellcasting!AQ$7,Tables!$TK:$UB,Tables!$UB$1,FALSE))</f>
        <v/>
      </c>
      <c r="AY78" s="1319"/>
      <c r="AZ78" s="1319"/>
      <c r="BA78" s="1319"/>
      <c r="BB78" s="1319"/>
      <c r="BC78" s="1319"/>
      <c r="BD78" s="1319"/>
      <c r="BE78" s="1319"/>
      <c r="BF78" s="1319"/>
      <c r="BG78" s="1319"/>
      <c r="BH78" s="1319"/>
      <c r="BI78" s="1319"/>
      <c r="BJ78" s="1319"/>
      <c r="BK78" s="1319"/>
      <c r="BL78" s="1319"/>
      <c r="BM78" s="1319"/>
      <c r="BN78" s="1319"/>
      <c r="BO78" s="1319"/>
      <c r="BP78" s="1319"/>
      <c r="BQ78" s="1319"/>
      <c r="BR78" s="1319"/>
      <c r="BS78" s="1319"/>
      <c r="BT78" s="1319"/>
      <c r="BU78" s="1319"/>
      <c r="BV78" s="1319"/>
      <c r="BW78" s="165"/>
      <c r="BX78" s="1324"/>
      <c r="BY78" s="1324"/>
      <c r="BZ78" s="1324"/>
      <c r="CA78" s="1325"/>
      <c r="CB78" s="1325"/>
      <c r="CC78" s="1325"/>
      <c r="CD78" s="1325"/>
      <c r="CE78" s="1325"/>
      <c r="CF78" s="1325"/>
      <c r="CG78" s="1325"/>
      <c r="CH78" s="1325"/>
      <c r="CI78" s="1325"/>
      <c r="CJ78" s="1325"/>
      <c r="CK78" s="1325"/>
      <c r="CL78" s="1325"/>
      <c r="CM78" s="1325"/>
      <c r="CN78" s="1325"/>
      <c r="CO78" s="1325"/>
      <c r="CP78" s="1325"/>
      <c r="CQ78" s="263"/>
      <c r="CR78" s="1321"/>
      <c r="CS78" s="1321"/>
      <c r="CT78" s="1321"/>
      <c r="CU78" s="1321"/>
      <c r="CV78" s="1321"/>
      <c r="CW78" s="5"/>
      <c r="CX78" s="1321"/>
      <c r="CY78" s="1321"/>
      <c r="CZ78" s="1321"/>
      <c r="DA78" s="1321"/>
      <c r="DB78" s="5"/>
      <c r="DC78" s="1321"/>
      <c r="DD78" s="1321"/>
      <c r="DE78" s="1321"/>
      <c r="DF78" s="1321"/>
      <c r="DG78" s="1321"/>
      <c r="DH78" s="1321"/>
      <c r="DI78" s="5"/>
      <c r="DJ78" s="1321"/>
      <c r="DK78" s="1321"/>
      <c r="DL78" s="1321"/>
      <c r="DM78" s="1321"/>
      <c r="DN78" s="5"/>
      <c r="DO78" s="1321"/>
      <c r="DP78" s="1321"/>
      <c r="DQ78" s="1321"/>
      <c r="DR78" s="1321"/>
      <c r="DS78" s="5"/>
      <c r="DT78" s="1320"/>
      <c r="DU78" s="1320"/>
      <c r="DV78" s="1320"/>
      <c r="DW78" s="1320"/>
      <c r="DX78" s="1320"/>
      <c r="DY78" s="1320"/>
      <c r="DZ78" s="1320"/>
      <c r="EA78" s="1320"/>
      <c r="EB78" s="1320"/>
      <c r="EC78" s="1320"/>
      <c r="ED78" s="1320"/>
      <c r="EE78" s="1320"/>
      <c r="EF78" s="1320"/>
      <c r="EG78" s="1320"/>
      <c r="EH78" s="1320"/>
      <c r="EI78" s="1320"/>
      <c r="EJ78" s="1320"/>
      <c r="EK78" s="1320"/>
      <c r="EL78" s="1320"/>
      <c r="EM78" s="1320"/>
      <c r="EN78" s="1320"/>
      <c r="EO78" s="1320"/>
      <c r="EP78" s="1320"/>
      <c r="EQ78" s="1320"/>
      <c r="ER78" s="1320"/>
    </row>
    <row r="79" spans="1:149" ht="9.75" customHeight="1" x14ac:dyDescent="0.2">
      <c r="A79" s="5"/>
      <c r="B79" s="1389"/>
      <c r="C79" s="1389"/>
      <c r="D79" s="1389"/>
      <c r="E79" s="1325"/>
      <c r="F79" s="1325"/>
      <c r="G79" s="1325"/>
      <c r="H79" s="1325"/>
      <c r="I79" s="1325"/>
      <c r="J79" s="1325"/>
      <c r="K79" s="1325"/>
      <c r="L79" s="1325"/>
      <c r="M79" s="1325"/>
      <c r="N79" s="1325"/>
      <c r="O79" s="1325"/>
      <c r="P79" s="1325"/>
      <c r="Q79" s="1325"/>
      <c r="R79" s="1325"/>
      <c r="S79" s="1325"/>
      <c r="T79" s="1325"/>
      <c r="U79" s="263"/>
      <c r="V79" s="1321"/>
      <c r="W79" s="1321"/>
      <c r="X79" s="1321"/>
      <c r="Y79" s="1321"/>
      <c r="Z79" s="1321"/>
      <c r="AA79" s="263"/>
      <c r="AB79" s="1321"/>
      <c r="AC79" s="1321"/>
      <c r="AD79" s="1321"/>
      <c r="AE79" s="1321"/>
      <c r="AF79" s="263"/>
      <c r="AG79" s="1321"/>
      <c r="AH79" s="1321"/>
      <c r="AI79" s="1321"/>
      <c r="AJ79" s="1321"/>
      <c r="AK79" s="1321"/>
      <c r="AL79" s="1321"/>
      <c r="AM79" s="263"/>
      <c r="AN79" s="1326"/>
      <c r="AO79" s="1326"/>
      <c r="AP79" s="1326"/>
      <c r="AQ79" s="1326"/>
      <c r="AR79" s="263"/>
      <c r="AS79" s="1321"/>
      <c r="AT79" s="1321"/>
      <c r="AU79" s="1321"/>
      <c r="AV79" s="1321"/>
      <c r="AW79" s="263"/>
      <c r="AX79" s="1320"/>
      <c r="AY79" s="1320"/>
      <c r="AZ79" s="1320"/>
      <c r="BA79" s="1320"/>
      <c r="BB79" s="1320"/>
      <c r="BC79" s="1320"/>
      <c r="BD79" s="1320"/>
      <c r="BE79" s="1320"/>
      <c r="BF79" s="1320"/>
      <c r="BG79" s="1320"/>
      <c r="BH79" s="1320"/>
      <c r="BI79" s="1320"/>
      <c r="BJ79" s="1320"/>
      <c r="BK79" s="1320"/>
      <c r="BL79" s="1320"/>
      <c r="BM79" s="1320"/>
      <c r="BN79" s="1320"/>
      <c r="BO79" s="1320"/>
      <c r="BP79" s="1320"/>
      <c r="BQ79" s="1320"/>
      <c r="BR79" s="1320"/>
      <c r="BS79" s="1320"/>
      <c r="BT79" s="1320"/>
      <c r="BU79" s="1320"/>
      <c r="BV79" s="1320"/>
      <c r="BW79" s="165"/>
      <c r="BX79" s="1324" t="str">
        <f>IF(CharacterLevel="",'Character Sheet III'!$CF$202,IF(Spellcasting!AA39="•",'Character Sheet III'!$BX$202,'Character Sheet III'!$CF$202))</f>
        <v>□</v>
      </c>
      <c r="BY79" s="1324"/>
      <c r="BZ79" s="1324"/>
      <c r="CA79" s="1325" t="str">
        <f>IF(OR(CharacterLevel="",Spellcasting!AC$39=""),"",VLOOKUP(Spellcasting!AC$39,Tables!$TK:$UB,Tables!$TN$1,FALSE))</f>
        <v/>
      </c>
      <c r="CB79" s="1325"/>
      <c r="CC79" s="1325"/>
      <c r="CD79" s="1325"/>
      <c r="CE79" s="1325"/>
      <c r="CF79" s="1325"/>
      <c r="CG79" s="1325"/>
      <c r="CH79" s="1325"/>
      <c r="CI79" s="1325"/>
      <c r="CJ79" s="1325"/>
      <c r="CK79" s="1325"/>
      <c r="CL79" s="1325"/>
      <c r="CM79" s="1325"/>
      <c r="CN79" s="1325"/>
      <c r="CO79" s="1325"/>
      <c r="CP79" s="1325"/>
      <c r="CQ79" s="263"/>
      <c r="CR79" s="1048" t="str">
        <f>IF(OR(CharacterLevel="",Spellcasting!AC$39=""),"",VLOOKUP(Spellcasting!AC$39,Tables!$TK:$UB,Tables!$TT$1,FALSE))</f>
        <v/>
      </c>
      <c r="CS79" s="1048"/>
      <c r="CT79" s="1048"/>
      <c r="CU79" s="1048"/>
      <c r="CV79" s="1048"/>
      <c r="CW79" s="263"/>
      <c r="CX79" s="1048" t="str">
        <f>IF(OR(CharacterLevel="",Spellcasting!AC$39=""),"",VLOOKUP(Spellcasting!AC$39,Tables!$TK:$UB,Tables!$TU$1,FALSE))</f>
        <v/>
      </c>
      <c r="CY79" s="1048"/>
      <c r="CZ79" s="1048"/>
      <c r="DA79" s="1048"/>
      <c r="DB79" s="263"/>
      <c r="DC79" s="1048" t="str">
        <f>IF(OR(CharacterLevel="",Spellcasting!AC$39=""),"",VLOOKUP(Spellcasting!AC$39,Tables!$TK:$UB,Tables!$TV$1,FALSE))</f>
        <v/>
      </c>
      <c r="DD79" s="1048"/>
      <c r="DE79" s="1048"/>
      <c r="DF79" s="1048"/>
      <c r="DG79" s="1048"/>
      <c r="DH79" s="1048"/>
      <c r="DI79" s="261"/>
      <c r="DJ79" s="1048" t="str">
        <f>IF(OR(CharacterLevel="",Spellcasting!AC$39=""),"",VLOOKUP(Spellcasting!AC$39,Tables!$TK:$UB,Tables!$TW$1,FALSE))</f>
        <v/>
      </c>
      <c r="DK79" s="1048"/>
      <c r="DL79" s="1048"/>
      <c r="DM79" s="1048"/>
      <c r="DN79" s="261"/>
      <c r="DO79" s="1048" t="str">
        <f>IF(OR(CharacterLevel="",Spellcasting!AC$39=""),"",VLOOKUP(Spellcasting!AC$39,Tables!$TK:$UB,Tables!$TZ$1,FALSE))</f>
        <v/>
      </c>
      <c r="DP79" s="1048"/>
      <c r="DQ79" s="1048"/>
      <c r="DR79" s="1048"/>
      <c r="DS79" s="261"/>
      <c r="DT79" s="1319" t="str">
        <f>IF(OR(CharacterLevel="",Spellcasting!AC$39=""),"",VLOOKUP(Spellcasting!AC$39,Tables!$TK:$UB,Tables!$UB$1,FALSE))</f>
        <v/>
      </c>
      <c r="DU79" s="1319"/>
      <c r="DV79" s="1319"/>
      <c r="DW79" s="1319"/>
      <c r="DX79" s="1319"/>
      <c r="DY79" s="1319"/>
      <c r="DZ79" s="1319"/>
      <c r="EA79" s="1319"/>
      <c r="EB79" s="1319"/>
      <c r="EC79" s="1319"/>
      <c r="ED79" s="1319"/>
      <c r="EE79" s="1319"/>
      <c r="EF79" s="1319"/>
      <c r="EG79" s="1319"/>
      <c r="EH79" s="1319"/>
      <c r="EI79" s="1319"/>
      <c r="EJ79" s="1319"/>
      <c r="EK79" s="1319"/>
      <c r="EL79" s="1319"/>
      <c r="EM79" s="1319"/>
      <c r="EN79" s="1319"/>
      <c r="EO79" s="1319"/>
      <c r="EP79" s="1319"/>
      <c r="EQ79" s="1319"/>
      <c r="ER79" s="1319"/>
      <c r="ES79" s="6">
        <f>ES77+1</f>
        <v>25</v>
      </c>
    </row>
    <row r="80" spans="1:149" ht="9.75" customHeight="1" x14ac:dyDescent="0.2">
      <c r="A80" s="5"/>
      <c r="B80" s="1389" t="str">
        <f>IF(CharacterLevel="",'Character Sheet III'!$CF$202,IF(Spellcasting!AO8="•",'Character Sheet III'!$BX$202,'Character Sheet III'!$CF$202))</f>
        <v>□</v>
      </c>
      <c r="C80" s="1389"/>
      <c r="D80" s="1389"/>
      <c r="E80" s="1325" t="str">
        <f>IF(OR(CharacterLevel="",Spellcasting!AQ$8=""),"",VLOOKUP(Spellcasting!AQ$8,Tables!$TK:$UB,Tables!$TN$1,FALSE))</f>
        <v/>
      </c>
      <c r="F80" s="1325"/>
      <c r="G80" s="1325"/>
      <c r="H80" s="1325"/>
      <c r="I80" s="1325"/>
      <c r="J80" s="1325"/>
      <c r="K80" s="1325"/>
      <c r="L80" s="1325"/>
      <c r="M80" s="1325"/>
      <c r="N80" s="1325"/>
      <c r="O80" s="1325"/>
      <c r="P80" s="1325"/>
      <c r="Q80" s="1325"/>
      <c r="R80" s="1325"/>
      <c r="S80" s="1325"/>
      <c r="T80" s="1325"/>
      <c r="U80" s="263"/>
      <c r="V80" s="1048" t="str">
        <f>IF(OR(CharacterLevel="",Spellcasting!AQ$8=""),"",VLOOKUP(Spellcasting!AQ$8,Tables!$TK:$UB,Tables!$TT$1,FALSE))</f>
        <v/>
      </c>
      <c r="W80" s="1048"/>
      <c r="X80" s="1048"/>
      <c r="Y80" s="1048"/>
      <c r="Z80" s="1048"/>
      <c r="AA80" s="263"/>
      <c r="AB80" s="1048" t="str">
        <f>IF(OR(CharacterLevel="",Spellcasting!AQ$8=""),"",VLOOKUP(Spellcasting!AQ$8,Tables!$TK:$UB,Tables!$TU$1,FALSE))</f>
        <v/>
      </c>
      <c r="AC80" s="1048"/>
      <c r="AD80" s="1048"/>
      <c r="AE80" s="1048"/>
      <c r="AF80" s="263"/>
      <c r="AG80" s="1048" t="str">
        <f>IF(OR(CharacterLevel="",Spellcasting!AQ$8=""),"",VLOOKUP(Spellcasting!AQ$8,Tables!$TK:$UB,Tables!$TV$1,FALSE))</f>
        <v/>
      </c>
      <c r="AH80" s="1048"/>
      <c r="AI80" s="1048"/>
      <c r="AJ80" s="1048"/>
      <c r="AK80" s="1048"/>
      <c r="AL80" s="1048"/>
      <c r="AM80" s="261"/>
      <c r="AN80" s="857" t="str">
        <f>IF(OR(CharacterLevel="",Spellcasting!AQ$8=""),"",VLOOKUP(Spellcasting!AQ$8,Tables!$TK:$UB,Tables!$TW$1,FALSE))</f>
        <v/>
      </c>
      <c r="AO80" s="857"/>
      <c r="AP80" s="857"/>
      <c r="AQ80" s="857"/>
      <c r="AR80" s="261"/>
      <c r="AS80" s="1048" t="str">
        <f>IF(OR(CharacterLevel="",Spellcasting!AQ$8=""),"",VLOOKUP(Spellcasting!AQ$8,Tables!$TK:$UB,Tables!$TZ$1,FALSE))</f>
        <v/>
      </c>
      <c r="AT80" s="1048"/>
      <c r="AU80" s="1048"/>
      <c r="AV80" s="1048"/>
      <c r="AW80" s="261"/>
      <c r="AX80" s="1319" t="str">
        <f>IF(OR(CharacterLevel="",Spellcasting!AQ$8=""),"",VLOOKUP(Spellcasting!AQ$8,Tables!$TK:$UB,Tables!$UB$1,FALSE))</f>
        <v/>
      </c>
      <c r="AY80" s="1319"/>
      <c r="AZ80" s="1319"/>
      <c r="BA80" s="1319"/>
      <c r="BB80" s="1319"/>
      <c r="BC80" s="1319"/>
      <c r="BD80" s="1319"/>
      <c r="BE80" s="1319"/>
      <c r="BF80" s="1319"/>
      <c r="BG80" s="1319"/>
      <c r="BH80" s="1319"/>
      <c r="BI80" s="1319"/>
      <c r="BJ80" s="1319"/>
      <c r="BK80" s="1319"/>
      <c r="BL80" s="1319"/>
      <c r="BM80" s="1319"/>
      <c r="BN80" s="1319"/>
      <c r="BO80" s="1319"/>
      <c r="BP80" s="1319"/>
      <c r="BQ80" s="1319"/>
      <c r="BR80" s="1319"/>
      <c r="BS80" s="1319"/>
      <c r="BT80" s="1319"/>
      <c r="BU80" s="1319"/>
      <c r="BV80" s="1319"/>
      <c r="BW80" s="5"/>
      <c r="BX80" s="1324"/>
      <c r="BY80" s="1324"/>
      <c r="BZ80" s="1324"/>
      <c r="CA80" s="1325"/>
      <c r="CB80" s="1325"/>
      <c r="CC80" s="1325"/>
      <c r="CD80" s="1325"/>
      <c r="CE80" s="1325"/>
      <c r="CF80" s="1325"/>
      <c r="CG80" s="1325"/>
      <c r="CH80" s="1325"/>
      <c r="CI80" s="1325"/>
      <c r="CJ80" s="1325"/>
      <c r="CK80" s="1325"/>
      <c r="CL80" s="1325"/>
      <c r="CM80" s="1325"/>
      <c r="CN80" s="1325"/>
      <c r="CO80" s="1325"/>
      <c r="CP80" s="1325"/>
      <c r="CQ80" s="263"/>
      <c r="CR80" s="1321"/>
      <c r="CS80" s="1321"/>
      <c r="CT80" s="1321"/>
      <c r="CU80" s="1321"/>
      <c r="CV80" s="1321"/>
      <c r="CW80" s="5"/>
      <c r="CX80" s="1321"/>
      <c r="CY80" s="1321"/>
      <c r="CZ80" s="1321"/>
      <c r="DA80" s="1321"/>
      <c r="DB80" s="5"/>
      <c r="DC80" s="1321"/>
      <c r="DD80" s="1321"/>
      <c r="DE80" s="1321"/>
      <c r="DF80" s="1321"/>
      <c r="DG80" s="1321"/>
      <c r="DH80" s="1321"/>
      <c r="DI80" s="5"/>
      <c r="DJ80" s="1321"/>
      <c r="DK80" s="1321"/>
      <c r="DL80" s="1321"/>
      <c r="DM80" s="1321"/>
      <c r="DN80" s="5"/>
      <c r="DO80" s="1321"/>
      <c r="DP80" s="1321"/>
      <c r="DQ80" s="1321"/>
      <c r="DR80" s="1321"/>
      <c r="DS80" s="5"/>
      <c r="DT80" s="1320"/>
      <c r="DU80" s="1320"/>
      <c r="DV80" s="1320"/>
      <c r="DW80" s="1320"/>
      <c r="DX80" s="1320"/>
      <c r="DY80" s="1320"/>
      <c r="DZ80" s="1320"/>
      <c r="EA80" s="1320"/>
      <c r="EB80" s="1320"/>
      <c r="EC80" s="1320"/>
      <c r="ED80" s="1320"/>
      <c r="EE80" s="1320"/>
      <c r="EF80" s="1320"/>
      <c r="EG80" s="1320"/>
      <c r="EH80" s="1320"/>
      <c r="EI80" s="1320"/>
      <c r="EJ80" s="1320"/>
      <c r="EK80" s="1320"/>
      <c r="EL80" s="1320"/>
      <c r="EM80" s="1320"/>
      <c r="EN80" s="1320"/>
      <c r="EO80" s="1320"/>
      <c r="EP80" s="1320"/>
      <c r="EQ80" s="1320"/>
      <c r="ER80" s="1320"/>
    </row>
    <row r="81" spans="1:149" ht="9.75" customHeight="1" x14ac:dyDescent="0.2">
      <c r="A81" s="5"/>
      <c r="B81" s="1389"/>
      <c r="C81" s="1389"/>
      <c r="D81" s="1389"/>
      <c r="E81" s="1325"/>
      <c r="F81" s="1325"/>
      <c r="G81" s="1325"/>
      <c r="H81" s="1325"/>
      <c r="I81" s="1325"/>
      <c r="J81" s="1325"/>
      <c r="K81" s="1325"/>
      <c r="L81" s="1325"/>
      <c r="M81" s="1325"/>
      <c r="N81" s="1325"/>
      <c r="O81" s="1325"/>
      <c r="P81" s="1325"/>
      <c r="Q81" s="1325"/>
      <c r="R81" s="1325"/>
      <c r="S81" s="1325"/>
      <c r="T81" s="1325"/>
      <c r="U81" s="263"/>
      <c r="V81" s="1321"/>
      <c r="W81" s="1321"/>
      <c r="X81" s="1321"/>
      <c r="Y81" s="1321"/>
      <c r="Z81" s="1321"/>
      <c r="AA81" s="263"/>
      <c r="AB81" s="1321"/>
      <c r="AC81" s="1321"/>
      <c r="AD81" s="1321"/>
      <c r="AE81" s="1321"/>
      <c r="AF81" s="263"/>
      <c r="AG81" s="1321"/>
      <c r="AH81" s="1321"/>
      <c r="AI81" s="1321"/>
      <c r="AJ81" s="1321"/>
      <c r="AK81" s="1321"/>
      <c r="AL81" s="1321"/>
      <c r="AM81" s="263"/>
      <c r="AN81" s="1326"/>
      <c r="AO81" s="1326"/>
      <c r="AP81" s="1326"/>
      <c r="AQ81" s="1326"/>
      <c r="AR81" s="263"/>
      <c r="AS81" s="1321"/>
      <c r="AT81" s="1321"/>
      <c r="AU81" s="1321"/>
      <c r="AV81" s="1321"/>
      <c r="AW81" s="263"/>
      <c r="AX81" s="1320"/>
      <c r="AY81" s="1320"/>
      <c r="AZ81" s="1320"/>
      <c r="BA81" s="1320"/>
      <c r="BB81" s="1320"/>
      <c r="BC81" s="1320"/>
      <c r="BD81" s="1320"/>
      <c r="BE81" s="1320"/>
      <c r="BF81" s="1320"/>
      <c r="BG81" s="1320"/>
      <c r="BH81" s="1320"/>
      <c r="BI81" s="1320"/>
      <c r="BJ81" s="1320"/>
      <c r="BK81" s="1320"/>
      <c r="BL81" s="1320"/>
      <c r="BM81" s="1320"/>
      <c r="BN81" s="1320"/>
      <c r="BO81" s="1320"/>
      <c r="BP81" s="1320"/>
      <c r="BQ81" s="1320"/>
      <c r="BR81" s="1320"/>
      <c r="BS81" s="1320"/>
      <c r="BT81" s="1320"/>
      <c r="BU81" s="1320"/>
      <c r="BV81" s="1320"/>
      <c r="BW81" s="5"/>
      <c r="BX81" s="1324" t="str">
        <f>IF(CharacterLevel="",'Character Sheet III'!$CF$202,IF(Spellcasting!AA40="•",'Character Sheet III'!$BX$202,'Character Sheet III'!$CF$202))</f>
        <v>□</v>
      </c>
      <c r="BY81" s="1324"/>
      <c r="BZ81" s="1324"/>
      <c r="CA81" s="1325" t="str">
        <f>IF(OR(CharacterLevel="",Spellcasting!AC$40=""),"",VLOOKUP(Spellcasting!AC$40,Tables!$TK:$UB,Tables!$TN$1,FALSE))</f>
        <v/>
      </c>
      <c r="CB81" s="1325"/>
      <c r="CC81" s="1325"/>
      <c r="CD81" s="1325"/>
      <c r="CE81" s="1325"/>
      <c r="CF81" s="1325"/>
      <c r="CG81" s="1325"/>
      <c r="CH81" s="1325"/>
      <c r="CI81" s="1325"/>
      <c r="CJ81" s="1325"/>
      <c r="CK81" s="1325"/>
      <c r="CL81" s="1325"/>
      <c r="CM81" s="1325"/>
      <c r="CN81" s="1325"/>
      <c r="CO81" s="1325"/>
      <c r="CP81" s="1325"/>
      <c r="CQ81" s="263"/>
      <c r="CR81" s="1048" t="str">
        <f>IF(OR(CharacterLevel="",Spellcasting!AC$40=""),"",VLOOKUP(Spellcasting!AC$40,Tables!$TK:$UB,Tables!$TT$1,FALSE))</f>
        <v/>
      </c>
      <c r="CS81" s="1048"/>
      <c r="CT81" s="1048"/>
      <c r="CU81" s="1048"/>
      <c r="CV81" s="1048"/>
      <c r="CW81" s="263"/>
      <c r="CX81" s="1048" t="str">
        <f>IF(OR(CharacterLevel="",Spellcasting!AC$40=""),"",VLOOKUP(Spellcasting!AC$40,Tables!$TK:$UB,Tables!$TU$1,FALSE))</f>
        <v/>
      </c>
      <c r="CY81" s="1048"/>
      <c r="CZ81" s="1048"/>
      <c r="DA81" s="1048"/>
      <c r="DB81" s="263"/>
      <c r="DC81" s="1048" t="str">
        <f>IF(OR(CharacterLevel="",Spellcasting!AC$40=""),"",VLOOKUP(Spellcasting!AC$40,Tables!$TK:$UB,Tables!$TV$1,FALSE))</f>
        <v/>
      </c>
      <c r="DD81" s="1048"/>
      <c r="DE81" s="1048"/>
      <c r="DF81" s="1048"/>
      <c r="DG81" s="1048"/>
      <c r="DH81" s="1048"/>
      <c r="DI81" s="261"/>
      <c r="DJ81" s="1048" t="str">
        <f>IF(OR(CharacterLevel="",Spellcasting!AC$40=""),"",VLOOKUP(Spellcasting!AC$40,Tables!$TK:$UB,Tables!$TW$1,FALSE))</f>
        <v/>
      </c>
      <c r="DK81" s="1048"/>
      <c r="DL81" s="1048"/>
      <c r="DM81" s="1048"/>
      <c r="DN81" s="261"/>
      <c r="DO81" s="1048" t="str">
        <f>IF(OR(CharacterLevel="",Spellcasting!AC$40=""),"",VLOOKUP(Spellcasting!AC$40,Tables!$TK:$UB,Tables!$TZ$1,FALSE))</f>
        <v/>
      </c>
      <c r="DP81" s="1048"/>
      <c r="DQ81" s="1048"/>
      <c r="DR81" s="1048"/>
      <c r="DS81" s="261"/>
      <c r="DT81" s="1319" t="str">
        <f>IF(OR(CharacterLevel="",Spellcasting!AC$40=""),"",VLOOKUP(Spellcasting!AC$40,Tables!$TK:$UB,Tables!$UB$1,FALSE))</f>
        <v/>
      </c>
      <c r="DU81" s="1319"/>
      <c r="DV81" s="1319"/>
      <c r="DW81" s="1319"/>
      <c r="DX81" s="1319"/>
      <c r="DY81" s="1319"/>
      <c r="DZ81" s="1319"/>
      <c r="EA81" s="1319"/>
      <c r="EB81" s="1319"/>
      <c r="EC81" s="1319"/>
      <c r="ED81" s="1319"/>
      <c r="EE81" s="1319"/>
      <c r="EF81" s="1319"/>
      <c r="EG81" s="1319"/>
      <c r="EH81" s="1319"/>
      <c r="EI81" s="1319"/>
      <c r="EJ81" s="1319"/>
      <c r="EK81" s="1319"/>
      <c r="EL81" s="1319"/>
      <c r="EM81" s="1319"/>
      <c r="EN81" s="1319"/>
      <c r="EO81" s="1319"/>
      <c r="EP81" s="1319"/>
      <c r="EQ81" s="1319"/>
      <c r="ER81" s="1319"/>
      <c r="ES81" s="6">
        <f>ES79+1</f>
        <v>26</v>
      </c>
    </row>
    <row r="82" spans="1:149" ht="9.75" customHeight="1" x14ac:dyDescent="0.2">
      <c r="A82" s="5"/>
      <c r="B82" s="1389" t="str">
        <f>IF(CharacterLevel="",'Character Sheet III'!$CF$202,IF(Spellcasting!AO9="•",'Character Sheet III'!$BX$202,'Character Sheet III'!$CF$202))</f>
        <v>□</v>
      </c>
      <c r="C82" s="1389"/>
      <c r="D82" s="1389"/>
      <c r="E82" s="1325" t="str">
        <f>IF(OR(CharacterLevel="",Spellcasting!AQ$9=""),"",VLOOKUP(Spellcasting!AQ$9,Tables!$TK:$UB,Tables!$TN$1,FALSE))</f>
        <v/>
      </c>
      <c r="F82" s="1325"/>
      <c r="G82" s="1325"/>
      <c r="H82" s="1325"/>
      <c r="I82" s="1325"/>
      <c r="J82" s="1325"/>
      <c r="K82" s="1325"/>
      <c r="L82" s="1325"/>
      <c r="M82" s="1325"/>
      <c r="N82" s="1325"/>
      <c r="O82" s="1325"/>
      <c r="P82" s="1325"/>
      <c r="Q82" s="1325"/>
      <c r="R82" s="1325"/>
      <c r="S82" s="1325"/>
      <c r="T82" s="1325"/>
      <c r="U82" s="263"/>
      <c r="V82" s="1048" t="str">
        <f>IF(OR(CharacterLevel="",Spellcasting!AQ$9=""),"",VLOOKUP(Spellcasting!AQ$9,Tables!$TK:$UB,Tables!$TT$1,FALSE))</f>
        <v/>
      </c>
      <c r="W82" s="1048"/>
      <c r="X82" s="1048"/>
      <c r="Y82" s="1048"/>
      <c r="Z82" s="1048"/>
      <c r="AA82" s="263"/>
      <c r="AB82" s="1048" t="str">
        <f>IF(OR(CharacterLevel="",Spellcasting!AQ$9=""),"",VLOOKUP(Spellcasting!AQ$9,Tables!$TK:$UB,Tables!$TU$1,FALSE))</f>
        <v/>
      </c>
      <c r="AC82" s="1048"/>
      <c r="AD82" s="1048"/>
      <c r="AE82" s="1048"/>
      <c r="AF82" s="263"/>
      <c r="AG82" s="1048" t="str">
        <f>IF(OR(CharacterLevel="",Spellcasting!AQ$9=""),"",VLOOKUP(Spellcasting!AQ$9,Tables!$TK:$UB,Tables!$TV$1,FALSE))</f>
        <v/>
      </c>
      <c r="AH82" s="1048"/>
      <c r="AI82" s="1048"/>
      <c r="AJ82" s="1048"/>
      <c r="AK82" s="1048"/>
      <c r="AL82" s="1048"/>
      <c r="AM82" s="261"/>
      <c r="AN82" s="857" t="str">
        <f>IF(OR(CharacterLevel="",Spellcasting!AQ$9=""),"",VLOOKUP(Spellcasting!AQ$9,Tables!$TK:$UB,Tables!$TW$1,FALSE))</f>
        <v/>
      </c>
      <c r="AO82" s="857"/>
      <c r="AP82" s="857"/>
      <c r="AQ82" s="857"/>
      <c r="AR82" s="261"/>
      <c r="AS82" s="1048" t="str">
        <f>IF(OR(CharacterLevel="",Spellcasting!AQ$9=""),"",VLOOKUP(Spellcasting!AQ$9,Tables!$TK:$UB,Tables!$TZ$1,FALSE))</f>
        <v/>
      </c>
      <c r="AT82" s="1048"/>
      <c r="AU82" s="1048"/>
      <c r="AV82" s="1048"/>
      <c r="AW82" s="261"/>
      <c r="AX82" s="1319" t="str">
        <f>IF(OR(CharacterLevel="",Spellcasting!AQ$9=""),"",VLOOKUP(Spellcasting!AQ$9,Tables!$TK:$UB,Tables!$UB$1,FALSE))</f>
        <v/>
      </c>
      <c r="AY82" s="1319"/>
      <c r="AZ82" s="1319"/>
      <c r="BA82" s="1319"/>
      <c r="BB82" s="1319"/>
      <c r="BC82" s="1319"/>
      <c r="BD82" s="1319"/>
      <c r="BE82" s="1319"/>
      <c r="BF82" s="1319"/>
      <c r="BG82" s="1319"/>
      <c r="BH82" s="1319"/>
      <c r="BI82" s="1319"/>
      <c r="BJ82" s="1319"/>
      <c r="BK82" s="1319"/>
      <c r="BL82" s="1319"/>
      <c r="BM82" s="1319"/>
      <c r="BN82" s="1319"/>
      <c r="BO82" s="1319"/>
      <c r="BP82" s="1319"/>
      <c r="BQ82" s="1319"/>
      <c r="BR82" s="1319"/>
      <c r="BS82" s="1319"/>
      <c r="BT82" s="1319"/>
      <c r="BU82" s="1319"/>
      <c r="BV82" s="1319"/>
      <c r="BW82" s="165"/>
      <c r="BX82" s="1324"/>
      <c r="BY82" s="1324"/>
      <c r="BZ82" s="1324"/>
      <c r="CA82" s="1325"/>
      <c r="CB82" s="1325"/>
      <c r="CC82" s="1325"/>
      <c r="CD82" s="1325"/>
      <c r="CE82" s="1325"/>
      <c r="CF82" s="1325"/>
      <c r="CG82" s="1325"/>
      <c r="CH82" s="1325"/>
      <c r="CI82" s="1325"/>
      <c r="CJ82" s="1325"/>
      <c r="CK82" s="1325"/>
      <c r="CL82" s="1325"/>
      <c r="CM82" s="1325"/>
      <c r="CN82" s="1325"/>
      <c r="CO82" s="1325"/>
      <c r="CP82" s="1325"/>
      <c r="CQ82" s="263"/>
      <c r="CR82" s="1321"/>
      <c r="CS82" s="1321"/>
      <c r="CT82" s="1321"/>
      <c r="CU82" s="1321"/>
      <c r="CV82" s="1321"/>
      <c r="CW82" s="5"/>
      <c r="CX82" s="1321"/>
      <c r="CY82" s="1321"/>
      <c r="CZ82" s="1321"/>
      <c r="DA82" s="1321"/>
      <c r="DB82" s="5"/>
      <c r="DC82" s="1321"/>
      <c r="DD82" s="1321"/>
      <c r="DE82" s="1321"/>
      <c r="DF82" s="1321"/>
      <c r="DG82" s="1321"/>
      <c r="DH82" s="1321"/>
      <c r="DI82" s="5"/>
      <c r="DJ82" s="1321"/>
      <c r="DK82" s="1321"/>
      <c r="DL82" s="1321"/>
      <c r="DM82" s="1321"/>
      <c r="DN82" s="5"/>
      <c r="DO82" s="1321"/>
      <c r="DP82" s="1321"/>
      <c r="DQ82" s="1321"/>
      <c r="DR82" s="1321"/>
      <c r="DS82" s="5"/>
      <c r="DT82" s="1320"/>
      <c r="DU82" s="1320"/>
      <c r="DV82" s="1320"/>
      <c r="DW82" s="1320"/>
      <c r="DX82" s="1320"/>
      <c r="DY82" s="1320"/>
      <c r="DZ82" s="1320"/>
      <c r="EA82" s="1320"/>
      <c r="EB82" s="1320"/>
      <c r="EC82" s="1320"/>
      <c r="ED82" s="1320"/>
      <c r="EE82" s="1320"/>
      <c r="EF82" s="1320"/>
      <c r="EG82" s="1320"/>
      <c r="EH82" s="1320"/>
      <c r="EI82" s="1320"/>
      <c r="EJ82" s="1320"/>
      <c r="EK82" s="1320"/>
      <c r="EL82" s="1320"/>
      <c r="EM82" s="1320"/>
      <c r="EN82" s="1320"/>
      <c r="EO82" s="1320"/>
      <c r="EP82" s="1320"/>
      <c r="EQ82" s="1320"/>
      <c r="ER82" s="1320"/>
    </row>
    <row r="83" spans="1:149" ht="9.75" customHeight="1" x14ac:dyDescent="0.2">
      <c r="A83" s="5"/>
      <c r="B83" s="1389"/>
      <c r="C83" s="1389"/>
      <c r="D83" s="1389"/>
      <c r="E83" s="1325"/>
      <c r="F83" s="1325"/>
      <c r="G83" s="1325"/>
      <c r="H83" s="1325"/>
      <c r="I83" s="1325"/>
      <c r="J83" s="1325"/>
      <c r="K83" s="1325"/>
      <c r="L83" s="1325"/>
      <c r="M83" s="1325"/>
      <c r="N83" s="1325"/>
      <c r="O83" s="1325"/>
      <c r="P83" s="1325"/>
      <c r="Q83" s="1325"/>
      <c r="R83" s="1325"/>
      <c r="S83" s="1325"/>
      <c r="T83" s="1325"/>
      <c r="U83" s="263"/>
      <c r="V83" s="1321"/>
      <c r="W83" s="1321"/>
      <c r="X83" s="1321"/>
      <c r="Y83" s="1321"/>
      <c r="Z83" s="1321"/>
      <c r="AA83" s="263"/>
      <c r="AB83" s="1321"/>
      <c r="AC83" s="1321"/>
      <c r="AD83" s="1321"/>
      <c r="AE83" s="1321"/>
      <c r="AF83" s="263"/>
      <c r="AG83" s="1321"/>
      <c r="AH83" s="1321"/>
      <c r="AI83" s="1321"/>
      <c r="AJ83" s="1321"/>
      <c r="AK83" s="1321"/>
      <c r="AL83" s="1321"/>
      <c r="AM83" s="263"/>
      <c r="AN83" s="1326"/>
      <c r="AO83" s="1326"/>
      <c r="AP83" s="1326"/>
      <c r="AQ83" s="1326"/>
      <c r="AR83" s="263"/>
      <c r="AS83" s="1321"/>
      <c r="AT83" s="1321"/>
      <c r="AU83" s="1321"/>
      <c r="AV83" s="1321"/>
      <c r="AW83" s="263"/>
      <c r="AX83" s="1320"/>
      <c r="AY83" s="1320"/>
      <c r="AZ83" s="1320"/>
      <c r="BA83" s="1320"/>
      <c r="BB83" s="1320"/>
      <c r="BC83" s="1320"/>
      <c r="BD83" s="1320"/>
      <c r="BE83" s="1320"/>
      <c r="BF83" s="1320"/>
      <c r="BG83" s="1320"/>
      <c r="BH83" s="1320"/>
      <c r="BI83" s="1320"/>
      <c r="BJ83" s="1320"/>
      <c r="BK83" s="1320"/>
      <c r="BL83" s="1320"/>
      <c r="BM83" s="1320"/>
      <c r="BN83" s="1320"/>
      <c r="BO83" s="1320"/>
      <c r="BP83" s="1320"/>
      <c r="BQ83" s="1320"/>
      <c r="BR83" s="1320"/>
      <c r="BS83" s="1320"/>
      <c r="BT83" s="1320"/>
      <c r="BU83" s="1320"/>
      <c r="BV83" s="1320"/>
      <c r="BW83" s="165"/>
      <c r="BX83" s="1324" t="str">
        <f>IF(CharacterLevel="",'Character Sheet III'!$CF$202,IF(Spellcasting!AA41="•",'Character Sheet III'!$BX$202,'Character Sheet III'!$CF$202))</f>
        <v>□</v>
      </c>
      <c r="BY83" s="1324"/>
      <c r="BZ83" s="1324"/>
      <c r="CA83" s="1325" t="str">
        <f>IF(OR(CharacterLevel="",Spellcasting!AC$41=""),"",VLOOKUP(Spellcasting!AC$41,Tables!$TK:$UB,Tables!$TN$1,FALSE))</f>
        <v/>
      </c>
      <c r="CB83" s="1325"/>
      <c r="CC83" s="1325"/>
      <c r="CD83" s="1325"/>
      <c r="CE83" s="1325"/>
      <c r="CF83" s="1325"/>
      <c r="CG83" s="1325"/>
      <c r="CH83" s="1325"/>
      <c r="CI83" s="1325"/>
      <c r="CJ83" s="1325"/>
      <c r="CK83" s="1325"/>
      <c r="CL83" s="1325"/>
      <c r="CM83" s="1325"/>
      <c r="CN83" s="1325"/>
      <c r="CO83" s="1325"/>
      <c r="CP83" s="1325"/>
      <c r="CQ83" s="263"/>
      <c r="CR83" s="1048" t="str">
        <f>IF(OR(CharacterLevel="",Spellcasting!AC$41=""),"",VLOOKUP(Spellcasting!AC$41,Tables!$TK:$UB,Tables!$TT$1,FALSE))</f>
        <v/>
      </c>
      <c r="CS83" s="1048"/>
      <c r="CT83" s="1048"/>
      <c r="CU83" s="1048"/>
      <c r="CV83" s="1048"/>
      <c r="CW83" s="263"/>
      <c r="CX83" s="1048" t="str">
        <f>IF(OR(CharacterLevel="",Spellcasting!AC$41=""),"",VLOOKUP(Spellcasting!AC$41,Tables!$TK:$UB,Tables!$TU$1,FALSE))</f>
        <v/>
      </c>
      <c r="CY83" s="1048"/>
      <c r="CZ83" s="1048"/>
      <c r="DA83" s="1048"/>
      <c r="DB83" s="263"/>
      <c r="DC83" s="1048" t="str">
        <f>IF(OR(CharacterLevel="",Spellcasting!AC$41=""),"",VLOOKUP(Spellcasting!AC$41,Tables!$TK:$UB,Tables!$TV$1,FALSE))</f>
        <v/>
      </c>
      <c r="DD83" s="1048"/>
      <c r="DE83" s="1048"/>
      <c r="DF83" s="1048"/>
      <c r="DG83" s="1048"/>
      <c r="DH83" s="1048"/>
      <c r="DI83" s="261"/>
      <c r="DJ83" s="1048" t="str">
        <f>IF(OR(CharacterLevel="",Spellcasting!AC$41=""),"",VLOOKUP(Spellcasting!AC$41,Tables!$TK:$UB,Tables!$TW$1,FALSE))</f>
        <v/>
      </c>
      <c r="DK83" s="1048"/>
      <c r="DL83" s="1048"/>
      <c r="DM83" s="1048"/>
      <c r="DN83" s="261"/>
      <c r="DO83" s="1048" t="str">
        <f>IF(OR(CharacterLevel="",Spellcasting!AC$41=""),"",VLOOKUP(Spellcasting!AC$41,Tables!$TK:$UB,Tables!$TZ$1,FALSE))</f>
        <v/>
      </c>
      <c r="DP83" s="1048"/>
      <c r="DQ83" s="1048"/>
      <c r="DR83" s="1048"/>
      <c r="DS83" s="261"/>
      <c r="DT83" s="1319" t="str">
        <f>IF(OR(CharacterLevel="",Spellcasting!AC$41=""),"",VLOOKUP(Spellcasting!AC$41,Tables!$TK:$UB,Tables!$UB$1,FALSE))</f>
        <v/>
      </c>
      <c r="DU83" s="1319"/>
      <c r="DV83" s="1319"/>
      <c r="DW83" s="1319"/>
      <c r="DX83" s="1319"/>
      <c r="DY83" s="1319"/>
      <c r="DZ83" s="1319"/>
      <c r="EA83" s="1319"/>
      <c r="EB83" s="1319"/>
      <c r="EC83" s="1319"/>
      <c r="ED83" s="1319"/>
      <c r="EE83" s="1319"/>
      <c r="EF83" s="1319"/>
      <c r="EG83" s="1319"/>
      <c r="EH83" s="1319"/>
      <c r="EI83" s="1319"/>
      <c r="EJ83" s="1319"/>
      <c r="EK83" s="1319"/>
      <c r="EL83" s="1319"/>
      <c r="EM83" s="1319"/>
      <c r="EN83" s="1319"/>
      <c r="EO83" s="1319"/>
      <c r="EP83" s="1319"/>
      <c r="EQ83" s="1319"/>
      <c r="ER83" s="1319"/>
      <c r="ES83" s="6">
        <f>ES81+1</f>
        <v>27</v>
      </c>
    </row>
    <row r="84" spans="1:149" ht="9.75" customHeight="1" x14ac:dyDescent="0.2">
      <c r="A84" s="5"/>
      <c r="B84" s="1389" t="str">
        <f>IF(CharacterLevel="",'Character Sheet III'!$CF$202,IF(Spellcasting!AO10="•",'Character Sheet III'!$BX$202,'Character Sheet III'!$CF$202))</f>
        <v>□</v>
      </c>
      <c r="C84" s="1389"/>
      <c r="D84" s="1389"/>
      <c r="E84" s="1325" t="str">
        <f>IF(OR(CharacterLevel="",Spellcasting!AQ$10=""),"",VLOOKUP(Spellcasting!AQ$10,Tables!$TK:$UB,Tables!$TN$1,FALSE))</f>
        <v/>
      </c>
      <c r="F84" s="1325"/>
      <c r="G84" s="1325"/>
      <c r="H84" s="1325"/>
      <c r="I84" s="1325"/>
      <c r="J84" s="1325"/>
      <c r="K84" s="1325"/>
      <c r="L84" s="1325"/>
      <c r="M84" s="1325"/>
      <c r="N84" s="1325"/>
      <c r="O84" s="1325"/>
      <c r="P84" s="1325"/>
      <c r="Q84" s="1325"/>
      <c r="R84" s="1325"/>
      <c r="S84" s="1325"/>
      <c r="T84" s="1325"/>
      <c r="U84" s="263"/>
      <c r="V84" s="1048" t="str">
        <f>IF(OR(CharacterLevel="",Spellcasting!AQ$10=""),"",VLOOKUP(Spellcasting!AQ$10,Tables!$TK:$UB,Tables!$TT$1,FALSE))</f>
        <v/>
      </c>
      <c r="W84" s="1048"/>
      <c r="X84" s="1048"/>
      <c r="Y84" s="1048"/>
      <c r="Z84" s="1048"/>
      <c r="AA84" s="263"/>
      <c r="AB84" s="1048" t="str">
        <f>IF(OR(CharacterLevel="",Spellcasting!AQ$10=""),"",VLOOKUP(Spellcasting!AQ$10,Tables!$TK:$UB,Tables!$TU$1,FALSE))</f>
        <v/>
      </c>
      <c r="AC84" s="1048"/>
      <c r="AD84" s="1048"/>
      <c r="AE84" s="1048"/>
      <c r="AF84" s="263"/>
      <c r="AG84" s="1048" t="str">
        <f>IF(OR(CharacterLevel="",Spellcasting!AQ$10=""),"",VLOOKUP(Spellcasting!AQ$10,Tables!$TK:$UB,Tables!$TV$1,FALSE))</f>
        <v/>
      </c>
      <c r="AH84" s="1048"/>
      <c r="AI84" s="1048"/>
      <c r="AJ84" s="1048"/>
      <c r="AK84" s="1048"/>
      <c r="AL84" s="1048"/>
      <c r="AM84" s="261"/>
      <c r="AN84" s="857" t="str">
        <f>IF(OR(CharacterLevel="",Spellcasting!AQ$10=""),"",VLOOKUP(Spellcasting!AQ$10,Tables!$TK:$UB,Tables!$TW$1,FALSE))</f>
        <v/>
      </c>
      <c r="AO84" s="857"/>
      <c r="AP84" s="857"/>
      <c r="AQ84" s="857"/>
      <c r="AR84" s="261"/>
      <c r="AS84" s="1048" t="str">
        <f>IF(OR(CharacterLevel="",Spellcasting!AQ$10=""),"",VLOOKUP(Spellcasting!AQ$10,Tables!$TK:$UB,Tables!$TZ$1,FALSE))</f>
        <v/>
      </c>
      <c r="AT84" s="1048"/>
      <c r="AU84" s="1048"/>
      <c r="AV84" s="1048"/>
      <c r="AW84" s="261"/>
      <c r="AX84" s="1319" t="str">
        <f>IF(OR(CharacterLevel="",Spellcasting!AQ$10=""),"",VLOOKUP(Spellcasting!AQ$10,Tables!$TK:$UB,Tables!$UB$1,FALSE))</f>
        <v/>
      </c>
      <c r="AY84" s="1319"/>
      <c r="AZ84" s="1319"/>
      <c r="BA84" s="1319"/>
      <c r="BB84" s="1319"/>
      <c r="BC84" s="1319"/>
      <c r="BD84" s="1319"/>
      <c r="BE84" s="1319"/>
      <c r="BF84" s="1319"/>
      <c r="BG84" s="1319"/>
      <c r="BH84" s="1319"/>
      <c r="BI84" s="1319"/>
      <c r="BJ84" s="1319"/>
      <c r="BK84" s="1319"/>
      <c r="BL84" s="1319"/>
      <c r="BM84" s="1319"/>
      <c r="BN84" s="1319"/>
      <c r="BO84" s="1319"/>
      <c r="BP84" s="1319"/>
      <c r="BQ84" s="1319"/>
      <c r="BR84" s="1319"/>
      <c r="BS84" s="1319"/>
      <c r="BT84" s="1319"/>
      <c r="BU84" s="1319"/>
      <c r="BV84" s="1319"/>
      <c r="BW84" s="165"/>
      <c r="BX84" s="1324"/>
      <c r="BY84" s="1324"/>
      <c r="BZ84" s="1324"/>
      <c r="CA84" s="1325"/>
      <c r="CB84" s="1325"/>
      <c r="CC84" s="1325"/>
      <c r="CD84" s="1325"/>
      <c r="CE84" s="1325"/>
      <c r="CF84" s="1325"/>
      <c r="CG84" s="1325"/>
      <c r="CH84" s="1325"/>
      <c r="CI84" s="1325"/>
      <c r="CJ84" s="1325"/>
      <c r="CK84" s="1325"/>
      <c r="CL84" s="1325"/>
      <c r="CM84" s="1325"/>
      <c r="CN84" s="1325"/>
      <c r="CO84" s="1325"/>
      <c r="CP84" s="1325"/>
      <c r="CQ84" s="263"/>
      <c r="CR84" s="1321"/>
      <c r="CS84" s="1321"/>
      <c r="CT84" s="1321"/>
      <c r="CU84" s="1321"/>
      <c r="CV84" s="1321"/>
      <c r="CW84" s="5"/>
      <c r="CX84" s="1321"/>
      <c r="CY84" s="1321"/>
      <c r="CZ84" s="1321"/>
      <c r="DA84" s="1321"/>
      <c r="DB84" s="5"/>
      <c r="DC84" s="1321"/>
      <c r="DD84" s="1321"/>
      <c r="DE84" s="1321"/>
      <c r="DF84" s="1321"/>
      <c r="DG84" s="1321"/>
      <c r="DH84" s="1321"/>
      <c r="DI84" s="5"/>
      <c r="DJ84" s="1321"/>
      <c r="DK84" s="1321"/>
      <c r="DL84" s="1321"/>
      <c r="DM84" s="1321"/>
      <c r="DN84" s="5"/>
      <c r="DO84" s="1321"/>
      <c r="DP84" s="1321"/>
      <c r="DQ84" s="1321"/>
      <c r="DR84" s="1321"/>
      <c r="DS84" s="5"/>
      <c r="DT84" s="1320"/>
      <c r="DU84" s="1320"/>
      <c r="DV84" s="1320"/>
      <c r="DW84" s="1320"/>
      <c r="DX84" s="1320"/>
      <c r="DY84" s="1320"/>
      <c r="DZ84" s="1320"/>
      <c r="EA84" s="1320"/>
      <c r="EB84" s="1320"/>
      <c r="EC84" s="1320"/>
      <c r="ED84" s="1320"/>
      <c r="EE84" s="1320"/>
      <c r="EF84" s="1320"/>
      <c r="EG84" s="1320"/>
      <c r="EH84" s="1320"/>
      <c r="EI84" s="1320"/>
      <c r="EJ84" s="1320"/>
      <c r="EK84" s="1320"/>
      <c r="EL84" s="1320"/>
      <c r="EM84" s="1320"/>
      <c r="EN84" s="1320"/>
      <c r="EO84" s="1320"/>
      <c r="EP84" s="1320"/>
      <c r="EQ84" s="1320"/>
      <c r="ER84" s="1320"/>
    </row>
    <row r="85" spans="1:149" ht="9.75" customHeight="1" x14ac:dyDescent="0.2">
      <c r="A85" s="5"/>
      <c r="B85" s="1389"/>
      <c r="C85" s="1389"/>
      <c r="D85" s="1389"/>
      <c r="E85" s="1325"/>
      <c r="F85" s="1325"/>
      <c r="G85" s="1325"/>
      <c r="H85" s="1325"/>
      <c r="I85" s="1325"/>
      <c r="J85" s="1325"/>
      <c r="K85" s="1325"/>
      <c r="L85" s="1325"/>
      <c r="M85" s="1325"/>
      <c r="N85" s="1325"/>
      <c r="O85" s="1325"/>
      <c r="P85" s="1325"/>
      <c r="Q85" s="1325"/>
      <c r="R85" s="1325"/>
      <c r="S85" s="1325"/>
      <c r="T85" s="1325"/>
      <c r="U85" s="263"/>
      <c r="V85" s="1321"/>
      <c r="W85" s="1321"/>
      <c r="X85" s="1321"/>
      <c r="Y85" s="1321"/>
      <c r="Z85" s="1321"/>
      <c r="AA85" s="263"/>
      <c r="AB85" s="1321"/>
      <c r="AC85" s="1321"/>
      <c r="AD85" s="1321"/>
      <c r="AE85" s="1321"/>
      <c r="AF85" s="263"/>
      <c r="AG85" s="1321"/>
      <c r="AH85" s="1321"/>
      <c r="AI85" s="1321"/>
      <c r="AJ85" s="1321"/>
      <c r="AK85" s="1321"/>
      <c r="AL85" s="1321"/>
      <c r="AM85" s="263"/>
      <c r="AN85" s="1326"/>
      <c r="AO85" s="1326"/>
      <c r="AP85" s="1326"/>
      <c r="AQ85" s="1326"/>
      <c r="AR85" s="263"/>
      <c r="AS85" s="1321"/>
      <c r="AT85" s="1321"/>
      <c r="AU85" s="1321"/>
      <c r="AV85" s="1321"/>
      <c r="AW85" s="263"/>
      <c r="AX85" s="1320"/>
      <c r="AY85" s="1320"/>
      <c r="AZ85" s="1320"/>
      <c r="BA85" s="1320"/>
      <c r="BB85" s="1320"/>
      <c r="BC85" s="1320"/>
      <c r="BD85" s="1320"/>
      <c r="BE85" s="1320"/>
      <c r="BF85" s="1320"/>
      <c r="BG85" s="1320"/>
      <c r="BH85" s="1320"/>
      <c r="BI85" s="1320"/>
      <c r="BJ85" s="1320"/>
      <c r="BK85" s="1320"/>
      <c r="BL85" s="1320"/>
      <c r="BM85" s="1320"/>
      <c r="BN85" s="1320"/>
      <c r="BO85" s="1320"/>
      <c r="BP85" s="1320"/>
      <c r="BQ85" s="1320"/>
      <c r="BR85" s="1320"/>
      <c r="BS85" s="1320"/>
      <c r="BT85" s="1320"/>
      <c r="BU85" s="1320"/>
      <c r="BV85" s="1320"/>
      <c r="BW85" s="165"/>
      <c r="BX85" s="1324" t="str">
        <f>IF(CharacterLevel="",'Character Sheet III'!$CF$202,IF(Spellcasting!AA42="•",'Character Sheet III'!$BX$202,'Character Sheet III'!$CF$202))</f>
        <v>□</v>
      </c>
      <c r="BY85" s="1324"/>
      <c r="BZ85" s="1324"/>
      <c r="CA85" s="1325" t="str">
        <f>IF(OR(CharacterLevel="",Spellcasting!AC$42=""),"",VLOOKUP(Spellcasting!AC$42,Tables!$TK:$UB,Tables!$TN$1,FALSE))</f>
        <v/>
      </c>
      <c r="CB85" s="1325"/>
      <c r="CC85" s="1325"/>
      <c r="CD85" s="1325"/>
      <c r="CE85" s="1325"/>
      <c r="CF85" s="1325"/>
      <c r="CG85" s="1325"/>
      <c r="CH85" s="1325"/>
      <c r="CI85" s="1325"/>
      <c r="CJ85" s="1325"/>
      <c r="CK85" s="1325"/>
      <c r="CL85" s="1325"/>
      <c r="CM85" s="1325"/>
      <c r="CN85" s="1325"/>
      <c r="CO85" s="1325"/>
      <c r="CP85" s="1325"/>
      <c r="CQ85" s="263"/>
      <c r="CR85" s="1048" t="str">
        <f>IF(OR(CharacterLevel="",Spellcasting!AC$42=""),"",VLOOKUP(Spellcasting!AC$42,Tables!$TK:$UB,Tables!$TT$1,FALSE))</f>
        <v/>
      </c>
      <c r="CS85" s="1048"/>
      <c r="CT85" s="1048"/>
      <c r="CU85" s="1048"/>
      <c r="CV85" s="1048"/>
      <c r="CW85" s="263"/>
      <c r="CX85" s="1048" t="str">
        <f>IF(OR(CharacterLevel="",Spellcasting!AC$42=""),"",VLOOKUP(Spellcasting!AC$42,Tables!$TK:$UB,Tables!$TU$1,FALSE))</f>
        <v/>
      </c>
      <c r="CY85" s="1048"/>
      <c r="CZ85" s="1048"/>
      <c r="DA85" s="1048"/>
      <c r="DB85" s="263"/>
      <c r="DC85" s="1048" t="str">
        <f>IF(OR(CharacterLevel="",Spellcasting!AC$42=""),"",VLOOKUP(Spellcasting!AC$42,Tables!$TK:$UB,Tables!$TV$1,FALSE))</f>
        <v/>
      </c>
      <c r="DD85" s="1048"/>
      <c r="DE85" s="1048"/>
      <c r="DF85" s="1048"/>
      <c r="DG85" s="1048"/>
      <c r="DH85" s="1048"/>
      <c r="DI85" s="261"/>
      <c r="DJ85" s="1048" t="str">
        <f>IF(OR(CharacterLevel="",Spellcasting!AC$42=""),"",VLOOKUP(Spellcasting!AC$42,Tables!$TK:$UB,Tables!$TW$1,FALSE))</f>
        <v/>
      </c>
      <c r="DK85" s="1048"/>
      <c r="DL85" s="1048"/>
      <c r="DM85" s="1048"/>
      <c r="DN85" s="261"/>
      <c r="DO85" s="1048" t="str">
        <f>IF(OR(CharacterLevel="",Spellcasting!AC$42=""),"",VLOOKUP(Spellcasting!AC$42,Tables!$TK:$UB,Tables!$TZ$1,FALSE))</f>
        <v/>
      </c>
      <c r="DP85" s="1048"/>
      <c r="DQ85" s="1048"/>
      <c r="DR85" s="1048"/>
      <c r="DS85" s="261"/>
      <c r="DT85" s="1319" t="str">
        <f>IF(OR(CharacterLevel="",Spellcasting!AC$42=""),"",VLOOKUP(Spellcasting!AC$42,Tables!$TK:$UB,Tables!$UB$1,FALSE))</f>
        <v/>
      </c>
      <c r="DU85" s="1319"/>
      <c r="DV85" s="1319"/>
      <c r="DW85" s="1319"/>
      <c r="DX85" s="1319"/>
      <c r="DY85" s="1319"/>
      <c r="DZ85" s="1319"/>
      <c r="EA85" s="1319"/>
      <c r="EB85" s="1319"/>
      <c r="EC85" s="1319"/>
      <c r="ED85" s="1319"/>
      <c r="EE85" s="1319"/>
      <c r="EF85" s="1319"/>
      <c r="EG85" s="1319"/>
      <c r="EH85" s="1319"/>
      <c r="EI85" s="1319"/>
      <c r="EJ85" s="1319"/>
      <c r="EK85" s="1319"/>
      <c r="EL85" s="1319"/>
      <c r="EM85" s="1319"/>
      <c r="EN85" s="1319"/>
      <c r="EO85" s="1319"/>
      <c r="EP85" s="1319"/>
      <c r="EQ85" s="1319"/>
      <c r="ER85" s="1319"/>
      <c r="ES85" s="6">
        <f>ES83+1</f>
        <v>28</v>
      </c>
    </row>
    <row r="86" spans="1:149" ht="9.75" customHeight="1" x14ac:dyDescent="0.2">
      <c r="A86" s="5"/>
      <c r="B86" s="1389" t="str">
        <f>IF(CharacterLevel="",'Character Sheet III'!$CF$202,IF(Spellcasting!AO11="•",'Character Sheet III'!$BX$202,'Character Sheet III'!$CF$202))</f>
        <v>□</v>
      </c>
      <c r="C86" s="1389"/>
      <c r="D86" s="1389"/>
      <c r="E86" s="1325" t="str">
        <f>IF(OR(CharacterLevel="",Spellcasting!AQ$11=""),"",VLOOKUP(Spellcasting!AQ$11,Tables!$TK:$UB,Tables!$TN$1,FALSE))</f>
        <v/>
      </c>
      <c r="F86" s="1325"/>
      <c r="G86" s="1325"/>
      <c r="H86" s="1325"/>
      <c r="I86" s="1325"/>
      <c r="J86" s="1325"/>
      <c r="K86" s="1325"/>
      <c r="L86" s="1325"/>
      <c r="M86" s="1325"/>
      <c r="N86" s="1325"/>
      <c r="O86" s="1325"/>
      <c r="P86" s="1325"/>
      <c r="Q86" s="1325"/>
      <c r="R86" s="1325"/>
      <c r="S86" s="1325"/>
      <c r="T86" s="1325"/>
      <c r="U86" s="263"/>
      <c r="V86" s="1048" t="str">
        <f>IF(OR(CharacterLevel="",Spellcasting!AQ$11=""),"",VLOOKUP(Spellcasting!AQ$11,Tables!$TK:$UB,Tables!$TT$1,FALSE))</f>
        <v/>
      </c>
      <c r="W86" s="1048"/>
      <c r="X86" s="1048"/>
      <c r="Y86" s="1048"/>
      <c r="Z86" s="1048"/>
      <c r="AA86" s="263"/>
      <c r="AB86" s="1048" t="str">
        <f>IF(OR(CharacterLevel="",Spellcasting!AQ$11=""),"",VLOOKUP(Spellcasting!AQ$11,Tables!$TK:$UB,Tables!$TU$1,FALSE))</f>
        <v/>
      </c>
      <c r="AC86" s="1048"/>
      <c r="AD86" s="1048"/>
      <c r="AE86" s="1048"/>
      <c r="AF86" s="263"/>
      <c r="AG86" s="1048" t="str">
        <f>IF(OR(CharacterLevel="",Spellcasting!AQ$11=""),"",VLOOKUP(Spellcasting!AQ$11,Tables!$TK:$UB,Tables!$TV$1,FALSE))</f>
        <v/>
      </c>
      <c r="AH86" s="1048"/>
      <c r="AI86" s="1048"/>
      <c r="AJ86" s="1048"/>
      <c r="AK86" s="1048"/>
      <c r="AL86" s="1048"/>
      <c r="AM86" s="261"/>
      <c r="AN86" s="857" t="str">
        <f>IF(OR(CharacterLevel="",Spellcasting!AQ$11=""),"",VLOOKUP(Spellcasting!AQ$11,Tables!$TK:$UB,Tables!$TW$1,FALSE))</f>
        <v/>
      </c>
      <c r="AO86" s="857"/>
      <c r="AP86" s="857"/>
      <c r="AQ86" s="857"/>
      <c r="AR86" s="261"/>
      <c r="AS86" s="1048" t="str">
        <f>IF(OR(CharacterLevel="",Spellcasting!AQ$11=""),"",VLOOKUP(Spellcasting!AQ$11,Tables!$TK:$UB,Tables!$TZ$1,FALSE))</f>
        <v/>
      </c>
      <c r="AT86" s="1048"/>
      <c r="AU86" s="1048"/>
      <c r="AV86" s="1048"/>
      <c r="AW86" s="261"/>
      <c r="AX86" s="1319" t="str">
        <f>IF(OR(CharacterLevel="",Spellcasting!AQ$11=""),"",VLOOKUP(Spellcasting!AQ$11,Tables!$TK:$UB,Tables!$UB$1,FALSE))</f>
        <v/>
      </c>
      <c r="AY86" s="1319"/>
      <c r="AZ86" s="1319"/>
      <c r="BA86" s="1319"/>
      <c r="BB86" s="1319"/>
      <c r="BC86" s="1319"/>
      <c r="BD86" s="1319"/>
      <c r="BE86" s="1319"/>
      <c r="BF86" s="1319"/>
      <c r="BG86" s="1319"/>
      <c r="BH86" s="1319"/>
      <c r="BI86" s="1319"/>
      <c r="BJ86" s="1319"/>
      <c r="BK86" s="1319"/>
      <c r="BL86" s="1319"/>
      <c r="BM86" s="1319"/>
      <c r="BN86" s="1319"/>
      <c r="BO86" s="1319"/>
      <c r="BP86" s="1319"/>
      <c r="BQ86" s="1319"/>
      <c r="BR86" s="1319"/>
      <c r="BS86" s="1319"/>
      <c r="BT86" s="1319"/>
      <c r="BU86" s="1319"/>
      <c r="BV86" s="1319"/>
      <c r="BW86" s="165"/>
      <c r="BX86" s="1324"/>
      <c r="BY86" s="1324"/>
      <c r="BZ86" s="1324"/>
      <c r="CA86" s="1325"/>
      <c r="CB86" s="1325"/>
      <c r="CC86" s="1325"/>
      <c r="CD86" s="1325"/>
      <c r="CE86" s="1325"/>
      <c r="CF86" s="1325"/>
      <c r="CG86" s="1325"/>
      <c r="CH86" s="1325"/>
      <c r="CI86" s="1325"/>
      <c r="CJ86" s="1325"/>
      <c r="CK86" s="1325"/>
      <c r="CL86" s="1325"/>
      <c r="CM86" s="1325"/>
      <c r="CN86" s="1325"/>
      <c r="CO86" s="1325"/>
      <c r="CP86" s="1325"/>
      <c r="CQ86" s="263"/>
      <c r="CR86" s="1321"/>
      <c r="CS86" s="1321"/>
      <c r="CT86" s="1321"/>
      <c r="CU86" s="1321"/>
      <c r="CV86" s="1321"/>
      <c r="CW86" s="5"/>
      <c r="CX86" s="1321"/>
      <c r="CY86" s="1321"/>
      <c r="CZ86" s="1321"/>
      <c r="DA86" s="1321"/>
      <c r="DB86" s="5"/>
      <c r="DC86" s="1321"/>
      <c r="DD86" s="1321"/>
      <c r="DE86" s="1321"/>
      <c r="DF86" s="1321"/>
      <c r="DG86" s="1321"/>
      <c r="DH86" s="1321"/>
      <c r="DI86" s="5"/>
      <c r="DJ86" s="1321"/>
      <c r="DK86" s="1321"/>
      <c r="DL86" s="1321"/>
      <c r="DM86" s="1321"/>
      <c r="DN86" s="5"/>
      <c r="DO86" s="1321"/>
      <c r="DP86" s="1321"/>
      <c r="DQ86" s="1321"/>
      <c r="DR86" s="1321"/>
      <c r="DS86" s="5"/>
      <c r="DT86" s="1320"/>
      <c r="DU86" s="1320"/>
      <c r="DV86" s="1320"/>
      <c r="DW86" s="1320"/>
      <c r="DX86" s="1320"/>
      <c r="DY86" s="1320"/>
      <c r="DZ86" s="1320"/>
      <c r="EA86" s="1320"/>
      <c r="EB86" s="1320"/>
      <c r="EC86" s="1320"/>
      <c r="ED86" s="1320"/>
      <c r="EE86" s="1320"/>
      <c r="EF86" s="1320"/>
      <c r="EG86" s="1320"/>
      <c r="EH86" s="1320"/>
      <c r="EI86" s="1320"/>
      <c r="EJ86" s="1320"/>
      <c r="EK86" s="1320"/>
      <c r="EL86" s="1320"/>
      <c r="EM86" s="1320"/>
      <c r="EN86" s="1320"/>
      <c r="EO86" s="1320"/>
      <c r="EP86" s="1320"/>
      <c r="EQ86" s="1320"/>
      <c r="ER86" s="1320"/>
    </row>
    <row r="87" spans="1:149" ht="9.75" customHeight="1" x14ac:dyDescent="0.2">
      <c r="A87" s="5"/>
      <c r="B87" s="1389"/>
      <c r="C87" s="1389"/>
      <c r="D87" s="1389"/>
      <c r="E87" s="1325"/>
      <c r="F87" s="1325"/>
      <c r="G87" s="1325"/>
      <c r="H87" s="1325"/>
      <c r="I87" s="1325"/>
      <c r="J87" s="1325"/>
      <c r="K87" s="1325"/>
      <c r="L87" s="1325"/>
      <c r="M87" s="1325"/>
      <c r="N87" s="1325"/>
      <c r="O87" s="1325"/>
      <c r="P87" s="1325"/>
      <c r="Q87" s="1325"/>
      <c r="R87" s="1325"/>
      <c r="S87" s="1325"/>
      <c r="T87" s="1325"/>
      <c r="U87" s="263"/>
      <c r="V87" s="1321"/>
      <c r="W87" s="1321"/>
      <c r="X87" s="1321"/>
      <c r="Y87" s="1321"/>
      <c r="Z87" s="1321"/>
      <c r="AA87" s="263"/>
      <c r="AB87" s="1321"/>
      <c r="AC87" s="1321"/>
      <c r="AD87" s="1321"/>
      <c r="AE87" s="1321"/>
      <c r="AF87" s="263"/>
      <c r="AG87" s="1321"/>
      <c r="AH87" s="1321"/>
      <c r="AI87" s="1321"/>
      <c r="AJ87" s="1321"/>
      <c r="AK87" s="1321"/>
      <c r="AL87" s="1321"/>
      <c r="AM87" s="263"/>
      <c r="AN87" s="1326"/>
      <c r="AO87" s="1326"/>
      <c r="AP87" s="1326"/>
      <c r="AQ87" s="1326"/>
      <c r="AR87" s="263"/>
      <c r="AS87" s="1321"/>
      <c r="AT87" s="1321"/>
      <c r="AU87" s="1321"/>
      <c r="AV87" s="1321"/>
      <c r="AW87" s="263"/>
      <c r="AX87" s="1320"/>
      <c r="AY87" s="1320"/>
      <c r="AZ87" s="1320"/>
      <c r="BA87" s="1320"/>
      <c r="BB87" s="1320"/>
      <c r="BC87" s="1320"/>
      <c r="BD87" s="1320"/>
      <c r="BE87" s="1320"/>
      <c r="BF87" s="1320"/>
      <c r="BG87" s="1320"/>
      <c r="BH87" s="1320"/>
      <c r="BI87" s="1320"/>
      <c r="BJ87" s="1320"/>
      <c r="BK87" s="1320"/>
      <c r="BL87" s="1320"/>
      <c r="BM87" s="1320"/>
      <c r="BN87" s="1320"/>
      <c r="BO87" s="1320"/>
      <c r="BP87" s="1320"/>
      <c r="BQ87" s="1320"/>
      <c r="BR87" s="1320"/>
      <c r="BS87" s="1320"/>
      <c r="BT87" s="1320"/>
      <c r="BU87" s="1320"/>
      <c r="BV87" s="1320"/>
      <c r="BW87" s="165"/>
      <c r="BX87" s="1324" t="str">
        <f>IF(CharacterLevel="",'Character Sheet III'!$CF$202,IF(Spellcasting!AA43="•",'Character Sheet III'!$BX$202,'Character Sheet III'!$CF$202))</f>
        <v>□</v>
      </c>
      <c r="BY87" s="1324"/>
      <c r="BZ87" s="1324"/>
      <c r="CA87" s="1325" t="str">
        <f>IF(OR(CharacterLevel="",Spellcasting!AC$43=""),"",VLOOKUP(Spellcasting!AC$43,Tables!$TK:$UB,Tables!$TN$1,FALSE))</f>
        <v/>
      </c>
      <c r="CB87" s="1325"/>
      <c r="CC87" s="1325"/>
      <c r="CD87" s="1325"/>
      <c r="CE87" s="1325"/>
      <c r="CF87" s="1325"/>
      <c r="CG87" s="1325"/>
      <c r="CH87" s="1325"/>
      <c r="CI87" s="1325"/>
      <c r="CJ87" s="1325"/>
      <c r="CK87" s="1325"/>
      <c r="CL87" s="1325"/>
      <c r="CM87" s="1325"/>
      <c r="CN87" s="1325"/>
      <c r="CO87" s="1325"/>
      <c r="CP87" s="1325"/>
      <c r="CQ87" s="263"/>
      <c r="CR87" s="1048" t="str">
        <f>IF(OR(CharacterLevel="",Spellcasting!AC$43=""),"",VLOOKUP(Spellcasting!AC$43,Tables!$TK:$UB,Tables!$TT$1,FALSE))</f>
        <v/>
      </c>
      <c r="CS87" s="1048"/>
      <c r="CT87" s="1048"/>
      <c r="CU87" s="1048"/>
      <c r="CV87" s="1048"/>
      <c r="CW87" s="263"/>
      <c r="CX87" s="1048" t="str">
        <f>IF(OR(CharacterLevel="",Spellcasting!AC$43=""),"",VLOOKUP(Spellcasting!AC$43,Tables!$TK:$UB,Tables!$TU$1,FALSE))</f>
        <v/>
      </c>
      <c r="CY87" s="1048"/>
      <c r="CZ87" s="1048"/>
      <c r="DA87" s="1048"/>
      <c r="DB87" s="263"/>
      <c r="DC87" s="1048" t="str">
        <f>IF(OR(CharacterLevel="",Spellcasting!AC$43=""),"",VLOOKUP(Spellcasting!AC$43,Tables!$TK:$UB,Tables!$TV$1,FALSE))</f>
        <v/>
      </c>
      <c r="DD87" s="1048"/>
      <c r="DE87" s="1048"/>
      <c r="DF87" s="1048"/>
      <c r="DG87" s="1048"/>
      <c r="DH87" s="1048"/>
      <c r="DI87" s="261"/>
      <c r="DJ87" s="1048" t="str">
        <f>IF(OR(CharacterLevel="",Spellcasting!AC$43=""),"",VLOOKUP(Spellcasting!AC$43,Tables!$TK:$UB,Tables!$TW$1,FALSE))</f>
        <v/>
      </c>
      <c r="DK87" s="1048"/>
      <c r="DL87" s="1048"/>
      <c r="DM87" s="1048"/>
      <c r="DN87" s="261"/>
      <c r="DO87" s="1048" t="str">
        <f>IF(OR(CharacterLevel="",Spellcasting!AC$43=""),"",VLOOKUP(Spellcasting!AC$43,Tables!$TK:$UB,Tables!$TZ$1,FALSE))</f>
        <v/>
      </c>
      <c r="DP87" s="1048"/>
      <c r="DQ87" s="1048"/>
      <c r="DR87" s="1048"/>
      <c r="DS87" s="261"/>
      <c r="DT87" s="1319" t="str">
        <f>IF(OR(CharacterLevel="",Spellcasting!AC$43=""),"",VLOOKUP(Spellcasting!AC$43,Tables!$TK:$UB,Tables!$UB$1,FALSE))</f>
        <v/>
      </c>
      <c r="DU87" s="1319"/>
      <c r="DV87" s="1319"/>
      <c r="DW87" s="1319"/>
      <c r="DX87" s="1319"/>
      <c r="DY87" s="1319"/>
      <c r="DZ87" s="1319"/>
      <c r="EA87" s="1319"/>
      <c r="EB87" s="1319"/>
      <c r="EC87" s="1319"/>
      <c r="ED87" s="1319"/>
      <c r="EE87" s="1319"/>
      <c r="EF87" s="1319"/>
      <c r="EG87" s="1319"/>
      <c r="EH87" s="1319"/>
      <c r="EI87" s="1319"/>
      <c r="EJ87" s="1319"/>
      <c r="EK87" s="1319"/>
      <c r="EL87" s="1319"/>
      <c r="EM87" s="1319"/>
      <c r="EN87" s="1319"/>
      <c r="EO87" s="1319"/>
      <c r="EP87" s="1319"/>
      <c r="EQ87" s="1319"/>
      <c r="ER87" s="1319"/>
      <c r="ES87" s="6">
        <f>ES85+1</f>
        <v>29</v>
      </c>
    </row>
    <row r="88" spans="1:149" ht="9.75" customHeight="1" x14ac:dyDescent="0.2">
      <c r="A88" s="5"/>
      <c r="B88" s="1389" t="str">
        <f>IF(CharacterLevel="",'Character Sheet III'!$CF$202,IF(Spellcasting!AO12="•",'Character Sheet III'!$BX$202,'Character Sheet III'!$CF$202))</f>
        <v>□</v>
      </c>
      <c r="C88" s="1389"/>
      <c r="D88" s="1389"/>
      <c r="E88" s="1325" t="str">
        <f>IF(OR(CharacterLevel="",Spellcasting!AQ$12=""),"",VLOOKUP(Spellcasting!AQ$12,Tables!$TK:$UB,Tables!$TN$1,FALSE))</f>
        <v/>
      </c>
      <c r="F88" s="1325"/>
      <c r="G88" s="1325"/>
      <c r="H88" s="1325"/>
      <c r="I88" s="1325"/>
      <c r="J88" s="1325"/>
      <c r="K88" s="1325"/>
      <c r="L88" s="1325"/>
      <c r="M88" s="1325"/>
      <c r="N88" s="1325"/>
      <c r="O88" s="1325"/>
      <c r="P88" s="1325"/>
      <c r="Q88" s="1325"/>
      <c r="R88" s="1325"/>
      <c r="S88" s="1325"/>
      <c r="T88" s="1325"/>
      <c r="U88" s="263"/>
      <c r="V88" s="1048" t="str">
        <f>IF(OR(CharacterLevel="",Spellcasting!AQ$12=""),"",VLOOKUP(Spellcasting!AQ$12,Tables!$TK:$UB,Tables!$TT$1,FALSE))</f>
        <v/>
      </c>
      <c r="W88" s="1048"/>
      <c r="X88" s="1048"/>
      <c r="Y88" s="1048"/>
      <c r="Z88" s="1048"/>
      <c r="AA88" s="263"/>
      <c r="AB88" s="1048" t="str">
        <f>IF(OR(CharacterLevel="",Spellcasting!AQ$12=""),"",VLOOKUP(Spellcasting!AQ$12,Tables!$TK:$UB,Tables!$TU$1,FALSE))</f>
        <v/>
      </c>
      <c r="AC88" s="1048"/>
      <c r="AD88" s="1048"/>
      <c r="AE88" s="1048"/>
      <c r="AF88" s="263"/>
      <c r="AG88" s="1048" t="str">
        <f>IF(OR(CharacterLevel="",Spellcasting!AQ$12=""),"",VLOOKUP(Spellcasting!AQ$12,Tables!$TK:$UB,Tables!$TV$1,FALSE))</f>
        <v/>
      </c>
      <c r="AH88" s="1048"/>
      <c r="AI88" s="1048"/>
      <c r="AJ88" s="1048"/>
      <c r="AK88" s="1048"/>
      <c r="AL88" s="1048"/>
      <c r="AM88" s="261"/>
      <c r="AN88" s="857" t="str">
        <f>IF(OR(CharacterLevel="",Spellcasting!AQ$12=""),"",VLOOKUP(Spellcasting!AQ$12,Tables!$TK:$UB,Tables!$TW$1,FALSE))</f>
        <v/>
      </c>
      <c r="AO88" s="857"/>
      <c r="AP88" s="857"/>
      <c r="AQ88" s="857"/>
      <c r="AR88" s="261"/>
      <c r="AS88" s="1048" t="str">
        <f>IF(OR(CharacterLevel="",Spellcasting!AQ$12=""),"",VLOOKUP(Spellcasting!AQ$12,Tables!$TK:$UB,Tables!$TZ$1,FALSE))</f>
        <v/>
      </c>
      <c r="AT88" s="1048"/>
      <c r="AU88" s="1048"/>
      <c r="AV88" s="1048"/>
      <c r="AW88" s="261"/>
      <c r="AX88" s="1319" t="str">
        <f>IF(OR(CharacterLevel="",Spellcasting!AQ$12=""),"",VLOOKUP(Spellcasting!AQ$12,Tables!$TK:$UB,Tables!$UB$1,FALSE))</f>
        <v/>
      </c>
      <c r="AY88" s="1319"/>
      <c r="AZ88" s="1319"/>
      <c r="BA88" s="1319"/>
      <c r="BB88" s="1319"/>
      <c r="BC88" s="1319"/>
      <c r="BD88" s="1319"/>
      <c r="BE88" s="1319"/>
      <c r="BF88" s="1319"/>
      <c r="BG88" s="1319"/>
      <c r="BH88" s="1319"/>
      <c r="BI88" s="1319"/>
      <c r="BJ88" s="1319"/>
      <c r="BK88" s="1319"/>
      <c r="BL88" s="1319"/>
      <c r="BM88" s="1319"/>
      <c r="BN88" s="1319"/>
      <c r="BO88" s="1319"/>
      <c r="BP88" s="1319"/>
      <c r="BQ88" s="1319"/>
      <c r="BR88" s="1319"/>
      <c r="BS88" s="1319"/>
      <c r="BT88" s="1319"/>
      <c r="BU88" s="1319"/>
      <c r="BV88" s="1319"/>
      <c r="BW88" s="165"/>
      <c r="BX88" s="1324"/>
      <c r="BY88" s="1324"/>
      <c r="BZ88" s="1324"/>
      <c r="CA88" s="1325" t="e">
        <f>IF(OR(CharacterLevel="",Spellcasting!#REF!=""),"",VLOOKUP(Spellcasting!#REF!,Tables!WX:XQ,Tables!$TN$1,FALSE))</f>
        <v>#REF!</v>
      </c>
      <c r="CB88" s="1325"/>
      <c r="CC88" s="1325"/>
      <c r="CD88" s="1325"/>
      <c r="CE88" s="1325"/>
      <c r="CF88" s="1325"/>
      <c r="CG88" s="1325"/>
      <c r="CH88" s="1325"/>
      <c r="CI88" s="1325"/>
      <c r="CJ88" s="1325"/>
      <c r="CK88" s="1325"/>
      <c r="CL88" s="1325"/>
      <c r="CM88" s="1325"/>
      <c r="CN88" s="1325"/>
      <c r="CO88" s="1325"/>
      <c r="CP88" s="1325"/>
      <c r="CQ88" s="263"/>
      <c r="CR88" s="1321"/>
      <c r="CS88" s="1321"/>
      <c r="CT88" s="1321"/>
      <c r="CU88" s="1321"/>
      <c r="CV88" s="1321"/>
      <c r="CW88" s="5"/>
      <c r="CX88" s="1321"/>
      <c r="CY88" s="1321"/>
      <c r="CZ88" s="1321"/>
      <c r="DA88" s="1321"/>
      <c r="DB88" s="5"/>
      <c r="DC88" s="1321"/>
      <c r="DD88" s="1321"/>
      <c r="DE88" s="1321"/>
      <c r="DF88" s="1321"/>
      <c r="DG88" s="1321"/>
      <c r="DH88" s="1321"/>
      <c r="DI88" s="5"/>
      <c r="DJ88" s="1321"/>
      <c r="DK88" s="1321"/>
      <c r="DL88" s="1321"/>
      <c r="DM88" s="1321"/>
      <c r="DN88" s="5"/>
      <c r="DO88" s="1321"/>
      <c r="DP88" s="1321"/>
      <c r="DQ88" s="1321"/>
      <c r="DR88" s="1321"/>
      <c r="DS88" s="5"/>
      <c r="DT88" s="1320"/>
      <c r="DU88" s="1320"/>
      <c r="DV88" s="1320"/>
      <c r="DW88" s="1320"/>
      <c r="DX88" s="1320"/>
      <c r="DY88" s="1320"/>
      <c r="DZ88" s="1320"/>
      <c r="EA88" s="1320"/>
      <c r="EB88" s="1320"/>
      <c r="EC88" s="1320"/>
      <c r="ED88" s="1320"/>
      <c r="EE88" s="1320"/>
      <c r="EF88" s="1320"/>
      <c r="EG88" s="1320"/>
      <c r="EH88" s="1320"/>
      <c r="EI88" s="1320"/>
      <c r="EJ88" s="1320"/>
      <c r="EK88" s="1320"/>
      <c r="EL88" s="1320"/>
      <c r="EM88" s="1320"/>
      <c r="EN88" s="1320"/>
      <c r="EO88" s="1320"/>
      <c r="EP88" s="1320"/>
      <c r="EQ88" s="1320"/>
      <c r="ER88" s="1320"/>
    </row>
    <row r="89" spans="1:149" ht="9.75" customHeight="1" x14ac:dyDescent="0.2">
      <c r="A89" s="5"/>
      <c r="B89" s="1389"/>
      <c r="C89" s="1389"/>
      <c r="D89" s="1389"/>
      <c r="E89" s="1325"/>
      <c r="F89" s="1325"/>
      <c r="G89" s="1325"/>
      <c r="H89" s="1325"/>
      <c r="I89" s="1325"/>
      <c r="J89" s="1325"/>
      <c r="K89" s="1325"/>
      <c r="L89" s="1325"/>
      <c r="M89" s="1325"/>
      <c r="N89" s="1325"/>
      <c r="O89" s="1325"/>
      <c r="P89" s="1325"/>
      <c r="Q89" s="1325"/>
      <c r="R89" s="1325"/>
      <c r="S89" s="1325"/>
      <c r="T89" s="1325"/>
      <c r="U89" s="263"/>
      <c r="V89" s="1321"/>
      <c r="W89" s="1321"/>
      <c r="X89" s="1321"/>
      <c r="Y89" s="1321"/>
      <c r="Z89" s="1321"/>
      <c r="AA89" s="263"/>
      <c r="AB89" s="1321"/>
      <c r="AC89" s="1321"/>
      <c r="AD89" s="1321"/>
      <c r="AE89" s="1321"/>
      <c r="AF89" s="263"/>
      <c r="AG89" s="1321"/>
      <c r="AH89" s="1321"/>
      <c r="AI89" s="1321"/>
      <c r="AJ89" s="1321"/>
      <c r="AK89" s="1321"/>
      <c r="AL89" s="1321"/>
      <c r="AM89" s="263"/>
      <c r="AN89" s="1326"/>
      <c r="AO89" s="1326"/>
      <c r="AP89" s="1326"/>
      <c r="AQ89" s="1326"/>
      <c r="AR89" s="263"/>
      <c r="AS89" s="1321"/>
      <c r="AT89" s="1321"/>
      <c r="AU89" s="1321"/>
      <c r="AV89" s="1321"/>
      <c r="AW89" s="263"/>
      <c r="AX89" s="1320"/>
      <c r="AY89" s="1320"/>
      <c r="AZ89" s="1320"/>
      <c r="BA89" s="1320"/>
      <c r="BB89" s="1320"/>
      <c r="BC89" s="1320"/>
      <c r="BD89" s="1320"/>
      <c r="BE89" s="1320"/>
      <c r="BF89" s="1320"/>
      <c r="BG89" s="1320"/>
      <c r="BH89" s="1320"/>
      <c r="BI89" s="1320"/>
      <c r="BJ89" s="1320"/>
      <c r="BK89" s="1320"/>
      <c r="BL89" s="1320"/>
      <c r="BM89" s="1320"/>
      <c r="BN89" s="1320"/>
      <c r="BO89" s="1320"/>
      <c r="BP89" s="1320"/>
      <c r="BQ89" s="1320"/>
      <c r="BR89" s="1320"/>
      <c r="BS89" s="1320"/>
      <c r="BT89" s="1320"/>
      <c r="BU89" s="1320"/>
      <c r="BV89" s="1320"/>
      <c r="BW89" s="165"/>
      <c r="BX89" s="1324" t="str">
        <f>IF(CharacterLevel="",'Character Sheet III'!$CF$202,IF(Spellcasting!AA44="•",'Character Sheet III'!$BX$202,'Character Sheet III'!$CF$202))</f>
        <v>□</v>
      </c>
      <c r="BY89" s="1324"/>
      <c r="BZ89" s="1324"/>
      <c r="CA89" s="1325" t="str">
        <f>IF(OR(CharacterLevel="",Spellcasting!AC$44=""),"",VLOOKUP(Spellcasting!AC$44,Tables!$TK:$UB,Tables!$TN$1,FALSE))</f>
        <v/>
      </c>
      <c r="CB89" s="1325"/>
      <c r="CC89" s="1325"/>
      <c r="CD89" s="1325"/>
      <c r="CE89" s="1325"/>
      <c r="CF89" s="1325"/>
      <c r="CG89" s="1325"/>
      <c r="CH89" s="1325"/>
      <c r="CI89" s="1325"/>
      <c r="CJ89" s="1325"/>
      <c r="CK89" s="1325"/>
      <c r="CL89" s="1325"/>
      <c r="CM89" s="1325"/>
      <c r="CN89" s="1325"/>
      <c r="CO89" s="1325"/>
      <c r="CP89" s="1325"/>
      <c r="CQ89" s="263"/>
      <c r="CR89" s="1048" t="str">
        <f>IF(OR(CharacterLevel="",Spellcasting!AC$44=""),"",VLOOKUP(Spellcasting!AC$44,Tables!$TK:$UB,Tables!$TT$1,FALSE))</f>
        <v/>
      </c>
      <c r="CS89" s="1048"/>
      <c r="CT89" s="1048"/>
      <c r="CU89" s="1048"/>
      <c r="CV89" s="1048"/>
      <c r="CW89" s="263"/>
      <c r="CX89" s="1048" t="str">
        <f>IF(OR(CharacterLevel="",Spellcasting!AC$44=""),"",VLOOKUP(Spellcasting!AC$44,Tables!$TK:$UB,Tables!$TU$1,FALSE))</f>
        <v/>
      </c>
      <c r="CY89" s="1048"/>
      <c r="CZ89" s="1048"/>
      <c r="DA89" s="1048"/>
      <c r="DB89" s="263"/>
      <c r="DC89" s="1048" t="str">
        <f>IF(OR(CharacterLevel="",Spellcasting!AC$44=""),"",VLOOKUP(Spellcasting!AC$44,Tables!$TK:$UB,Tables!$TV$1,FALSE))</f>
        <v/>
      </c>
      <c r="DD89" s="1048"/>
      <c r="DE89" s="1048"/>
      <c r="DF89" s="1048"/>
      <c r="DG89" s="1048"/>
      <c r="DH89" s="1048"/>
      <c r="DI89" s="261"/>
      <c r="DJ89" s="1048" t="str">
        <f>IF(OR(CharacterLevel="",Spellcasting!AC$44=""),"",VLOOKUP(Spellcasting!AC$44,Tables!$TK:$UB,Tables!$TW$1,FALSE))</f>
        <v/>
      </c>
      <c r="DK89" s="1048"/>
      <c r="DL89" s="1048"/>
      <c r="DM89" s="1048"/>
      <c r="DN89" s="261"/>
      <c r="DO89" s="1048" t="str">
        <f>IF(OR(CharacterLevel="",Spellcasting!AC$44=""),"",VLOOKUP(Spellcasting!AC$44,Tables!$TK:$UB,Tables!$TZ$1,FALSE))</f>
        <v/>
      </c>
      <c r="DP89" s="1048"/>
      <c r="DQ89" s="1048"/>
      <c r="DR89" s="1048"/>
      <c r="DS89" s="261"/>
      <c r="DT89" s="1319" t="str">
        <f>IF(OR(CharacterLevel="",Spellcasting!AC$44=""),"",VLOOKUP(Spellcasting!AC$44,Tables!$TK:$UB,Tables!$UB$1,FALSE))</f>
        <v/>
      </c>
      <c r="DU89" s="1319"/>
      <c r="DV89" s="1319"/>
      <c r="DW89" s="1319"/>
      <c r="DX89" s="1319"/>
      <c r="DY89" s="1319"/>
      <c r="DZ89" s="1319"/>
      <c r="EA89" s="1319"/>
      <c r="EB89" s="1319"/>
      <c r="EC89" s="1319"/>
      <c r="ED89" s="1319"/>
      <c r="EE89" s="1319"/>
      <c r="EF89" s="1319"/>
      <c r="EG89" s="1319"/>
      <c r="EH89" s="1319"/>
      <c r="EI89" s="1319"/>
      <c r="EJ89" s="1319"/>
      <c r="EK89" s="1319"/>
      <c r="EL89" s="1319"/>
      <c r="EM89" s="1319"/>
      <c r="EN89" s="1319"/>
      <c r="EO89" s="1319"/>
      <c r="EP89" s="1319"/>
      <c r="EQ89" s="1319"/>
      <c r="ER89" s="1319"/>
      <c r="ES89" s="6">
        <f>ES87+1</f>
        <v>30</v>
      </c>
    </row>
    <row r="90" spans="1:149" ht="9.75" customHeight="1" x14ac:dyDescent="0.2">
      <c r="A90" s="5"/>
      <c r="B90" s="1389" t="str">
        <f>IF(CharacterLevel="",'Character Sheet III'!$CF$202,IF(Spellcasting!AO13="•",'Character Sheet III'!$BX$202,'Character Sheet III'!$CF$202))</f>
        <v>□</v>
      </c>
      <c r="C90" s="1389"/>
      <c r="D90" s="1389"/>
      <c r="E90" s="1325" t="str">
        <f>IF(OR(CharacterLevel="",Spellcasting!AQ$13=""),"",VLOOKUP(Spellcasting!AQ$13,Tables!$TK:$UB,Tables!$TN$1,FALSE))</f>
        <v/>
      </c>
      <c r="F90" s="1325"/>
      <c r="G90" s="1325"/>
      <c r="H90" s="1325"/>
      <c r="I90" s="1325"/>
      <c r="J90" s="1325"/>
      <c r="K90" s="1325"/>
      <c r="L90" s="1325"/>
      <c r="M90" s="1325"/>
      <c r="N90" s="1325"/>
      <c r="O90" s="1325"/>
      <c r="P90" s="1325"/>
      <c r="Q90" s="1325"/>
      <c r="R90" s="1325"/>
      <c r="S90" s="1325"/>
      <c r="T90" s="1325"/>
      <c r="U90" s="263"/>
      <c r="V90" s="1048" t="str">
        <f>IF(OR(CharacterLevel="",Spellcasting!AQ$13=""),"",VLOOKUP(Spellcasting!AQ$13,Tables!$TK:$UB,Tables!$TT$1,FALSE))</f>
        <v/>
      </c>
      <c r="W90" s="1048"/>
      <c r="X90" s="1048"/>
      <c r="Y90" s="1048"/>
      <c r="Z90" s="1048"/>
      <c r="AA90" s="263"/>
      <c r="AB90" s="1048" t="str">
        <f>IF(OR(CharacterLevel="",Spellcasting!AQ$13=""),"",VLOOKUP(Spellcasting!AQ$13,Tables!$TK:$UB,Tables!$TU$1,FALSE))</f>
        <v/>
      </c>
      <c r="AC90" s="1048"/>
      <c r="AD90" s="1048"/>
      <c r="AE90" s="1048"/>
      <c r="AF90" s="263"/>
      <c r="AG90" s="1048" t="str">
        <f>IF(OR(CharacterLevel="",Spellcasting!AQ$13=""),"",VLOOKUP(Spellcasting!AQ$13,Tables!$TK:$UB,Tables!$TV$1,FALSE))</f>
        <v/>
      </c>
      <c r="AH90" s="1048"/>
      <c r="AI90" s="1048"/>
      <c r="AJ90" s="1048"/>
      <c r="AK90" s="1048"/>
      <c r="AL90" s="1048"/>
      <c r="AM90" s="261"/>
      <c r="AN90" s="857" t="str">
        <f>IF(OR(CharacterLevel="",Spellcasting!AQ$13=""),"",VLOOKUP(Spellcasting!AQ$13,Tables!$TK:$UB,Tables!$TW$1,FALSE))</f>
        <v/>
      </c>
      <c r="AO90" s="857"/>
      <c r="AP90" s="857"/>
      <c r="AQ90" s="857"/>
      <c r="AR90" s="261"/>
      <c r="AS90" s="1048" t="str">
        <f>IF(OR(CharacterLevel="",Spellcasting!AQ$13=""),"",VLOOKUP(Spellcasting!AQ$13,Tables!$TK:$UB,Tables!$TZ$1,FALSE))</f>
        <v/>
      </c>
      <c r="AT90" s="1048"/>
      <c r="AU90" s="1048"/>
      <c r="AV90" s="1048"/>
      <c r="AW90" s="261"/>
      <c r="AX90" s="1319" t="str">
        <f>IF(OR(CharacterLevel="",Spellcasting!AQ$13=""),"",VLOOKUP(Spellcasting!AQ$13,Tables!$TK:$UB,Tables!$UB$1,FALSE))</f>
        <v/>
      </c>
      <c r="AY90" s="1319"/>
      <c r="AZ90" s="1319"/>
      <c r="BA90" s="1319"/>
      <c r="BB90" s="1319"/>
      <c r="BC90" s="1319"/>
      <c r="BD90" s="1319"/>
      <c r="BE90" s="1319"/>
      <c r="BF90" s="1319"/>
      <c r="BG90" s="1319"/>
      <c r="BH90" s="1319"/>
      <c r="BI90" s="1319"/>
      <c r="BJ90" s="1319"/>
      <c r="BK90" s="1319"/>
      <c r="BL90" s="1319"/>
      <c r="BM90" s="1319"/>
      <c r="BN90" s="1319"/>
      <c r="BO90" s="1319"/>
      <c r="BP90" s="1319"/>
      <c r="BQ90" s="1319"/>
      <c r="BR90" s="1319"/>
      <c r="BS90" s="1319"/>
      <c r="BT90" s="1319"/>
      <c r="BU90" s="1319"/>
      <c r="BV90" s="1319"/>
      <c r="BW90" s="165"/>
      <c r="BX90" s="1324"/>
      <c r="BY90" s="1324"/>
      <c r="BZ90" s="1324"/>
      <c r="CA90" s="1325" t="e">
        <f>IF(OR(CharacterLevel="",Spellcasting!#REF!=""),"",VLOOKUP(Spellcasting!#REF!,Tables!WX:XQ,Tables!$TN$1,FALSE))</f>
        <v>#REF!</v>
      </c>
      <c r="CB90" s="1325"/>
      <c r="CC90" s="1325"/>
      <c r="CD90" s="1325"/>
      <c r="CE90" s="1325"/>
      <c r="CF90" s="1325"/>
      <c r="CG90" s="1325"/>
      <c r="CH90" s="1325"/>
      <c r="CI90" s="1325"/>
      <c r="CJ90" s="1325"/>
      <c r="CK90" s="1325"/>
      <c r="CL90" s="1325"/>
      <c r="CM90" s="1325"/>
      <c r="CN90" s="1325"/>
      <c r="CO90" s="1325"/>
      <c r="CP90" s="1325"/>
      <c r="CQ90" s="263"/>
      <c r="CR90" s="1321"/>
      <c r="CS90" s="1321"/>
      <c r="CT90" s="1321"/>
      <c r="CU90" s="1321"/>
      <c r="CV90" s="1321"/>
      <c r="CW90" s="5"/>
      <c r="CX90" s="1321"/>
      <c r="CY90" s="1321"/>
      <c r="CZ90" s="1321"/>
      <c r="DA90" s="1321"/>
      <c r="DB90" s="5"/>
      <c r="DC90" s="1321"/>
      <c r="DD90" s="1321"/>
      <c r="DE90" s="1321"/>
      <c r="DF90" s="1321"/>
      <c r="DG90" s="1321"/>
      <c r="DH90" s="1321"/>
      <c r="DI90" s="5"/>
      <c r="DJ90" s="1321"/>
      <c r="DK90" s="1321"/>
      <c r="DL90" s="1321"/>
      <c r="DM90" s="1321"/>
      <c r="DN90" s="5"/>
      <c r="DO90" s="1321"/>
      <c r="DP90" s="1321"/>
      <c r="DQ90" s="1321"/>
      <c r="DR90" s="1321"/>
      <c r="DS90" s="5"/>
      <c r="DT90" s="1320"/>
      <c r="DU90" s="1320"/>
      <c r="DV90" s="1320"/>
      <c r="DW90" s="1320"/>
      <c r="DX90" s="1320"/>
      <c r="DY90" s="1320"/>
      <c r="DZ90" s="1320"/>
      <c r="EA90" s="1320"/>
      <c r="EB90" s="1320"/>
      <c r="EC90" s="1320"/>
      <c r="ED90" s="1320"/>
      <c r="EE90" s="1320"/>
      <c r="EF90" s="1320"/>
      <c r="EG90" s="1320"/>
      <c r="EH90" s="1320"/>
      <c r="EI90" s="1320"/>
      <c r="EJ90" s="1320"/>
      <c r="EK90" s="1320"/>
      <c r="EL90" s="1320"/>
      <c r="EM90" s="1320"/>
      <c r="EN90" s="1320"/>
      <c r="EO90" s="1320"/>
      <c r="EP90" s="1320"/>
      <c r="EQ90" s="1320"/>
      <c r="ER90" s="1320"/>
    </row>
    <row r="91" spans="1:149" ht="9.75" customHeight="1" x14ac:dyDescent="0.2">
      <c r="A91" s="5"/>
      <c r="B91" s="1389"/>
      <c r="C91" s="1389"/>
      <c r="D91" s="1389"/>
      <c r="E91" s="1325"/>
      <c r="F91" s="1325"/>
      <c r="G91" s="1325"/>
      <c r="H91" s="1325"/>
      <c r="I91" s="1325"/>
      <c r="J91" s="1325"/>
      <c r="K91" s="1325"/>
      <c r="L91" s="1325"/>
      <c r="M91" s="1325"/>
      <c r="N91" s="1325"/>
      <c r="O91" s="1325"/>
      <c r="P91" s="1325"/>
      <c r="Q91" s="1325"/>
      <c r="R91" s="1325"/>
      <c r="S91" s="1325"/>
      <c r="T91" s="1325"/>
      <c r="U91" s="263"/>
      <c r="V91" s="1321"/>
      <c r="W91" s="1321"/>
      <c r="X91" s="1321"/>
      <c r="Y91" s="1321"/>
      <c r="Z91" s="1321"/>
      <c r="AA91" s="263"/>
      <c r="AB91" s="1321"/>
      <c r="AC91" s="1321"/>
      <c r="AD91" s="1321"/>
      <c r="AE91" s="1321"/>
      <c r="AF91" s="263"/>
      <c r="AG91" s="1321"/>
      <c r="AH91" s="1321"/>
      <c r="AI91" s="1321"/>
      <c r="AJ91" s="1321"/>
      <c r="AK91" s="1321"/>
      <c r="AL91" s="1321"/>
      <c r="AM91" s="263"/>
      <c r="AN91" s="1326"/>
      <c r="AO91" s="1326"/>
      <c r="AP91" s="1326"/>
      <c r="AQ91" s="1326"/>
      <c r="AR91" s="263"/>
      <c r="AS91" s="1321"/>
      <c r="AT91" s="1321"/>
      <c r="AU91" s="1321"/>
      <c r="AV91" s="1321"/>
      <c r="AW91" s="263"/>
      <c r="AX91" s="1320"/>
      <c r="AY91" s="1320"/>
      <c r="AZ91" s="1320"/>
      <c r="BA91" s="1320"/>
      <c r="BB91" s="1320"/>
      <c r="BC91" s="1320"/>
      <c r="BD91" s="1320"/>
      <c r="BE91" s="1320"/>
      <c r="BF91" s="1320"/>
      <c r="BG91" s="1320"/>
      <c r="BH91" s="1320"/>
      <c r="BI91" s="1320"/>
      <c r="BJ91" s="1320"/>
      <c r="BK91" s="1320"/>
      <c r="BL91" s="1320"/>
      <c r="BM91" s="1320"/>
      <c r="BN91" s="1320"/>
      <c r="BO91" s="1320"/>
      <c r="BP91" s="1320"/>
      <c r="BQ91" s="1320"/>
      <c r="BR91" s="1320"/>
      <c r="BS91" s="1320"/>
      <c r="BT91" s="1320"/>
      <c r="BU91" s="1320"/>
      <c r="BV91" s="1320"/>
      <c r="BW91" s="165"/>
      <c r="BX91" s="1324" t="str">
        <f>IF(CharacterLevel="",'Character Sheet III'!$CF$202,IF(Spellcasting!AA45="•",'Character Sheet III'!$BX$202,'Character Sheet III'!$CF$202))</f>
        <v>□</v>
      </c>
      <c r="BY91" s="1324"/>
      <c r="BZ91" s="1324"/>
      <c r="CA91" s="1325" t="str">
        <f>IF(OR(CharacterLevel="",Spellcasting!AC$45=""),"",VLOOKUP(Spellcasting!AC$45,Tables!$TK:$UB,Tables!$TN$1,FALSE))</f>
        <v/>
      </c>
      <c r="CB91" s="1325"/>
      <c r="CC91" s="1325"/>
      <c r="CD91" s="1325"/>
      <c r="CE91" s="1325"/>
      <c r="CF91" s="1325"/>
      <c r="CG91" s="1325"/>
      <c r="CH91" s="1325"/>
      <c r="CI91" s="1325"/>
      <c r="CJ91" s="1325"/>
      <c r="CK91" s="1325"/>
      <c r="CL91" s="1325"/>
      <c r="CM91" s="1325"/>
      <c r="CN91" s="1325"/>
      <c r="CO91" s="1325"/>
      <c r="CP91" s="1325"/>
      <c r="CQ91" s="263"/>
      <c r="CR91" s="1048" t="str">
        <f>IF(OR(CharacterLevel="",Spellcasting!AC$45=""),"",VLOOKUP(Spellcasting!AC$45,Tables!$TK:$UB,Tables!$TT$1,FALSE))</f>
        <v/>
      </c>
      <c r="CS91" s="1048"/>
      <c r="CT91" s="1048"/>
      <c r="CU91" s="1048"/>
      <c r="CV91" s="1048"/>
      <c r="CW91" s="263"/>
      <c r="CX91" s="1048" t="str">
        <f>IF(OR(CharacterLevel="",Spellcasting!AC$45=""),"",VLOOKUP(Spellcasting!AC$45,Tables!$TK:$UB,Tables!$TU$1,FALSE))</f>
        <v/>
      </c>
      <c r="CY91" s="1048"/>
      <c r="CZ91" s="1048"/>
      <c r="DA91" s="1048"/>
      <c r="DB91" s="263"/>
      <c r="DC91" s="1048" t="str">
        <f>IF(OR(CharacterLevel="",Spellcasting!AC$45=""),"",VLOOKUP(Spellcasting!AC$45,Tables!$TK:$UB,Tables!$TV$1,FALSE))</f>
        <v/>
      </c>
      <c r="DD91" s="1048"/>
      <c r="DE91" s="1048"/>
      <c r="DF91" s="1048"/>
      <c r="DG91" s="1048"/>
      <c r="DH91" s="1048"/>
      <c r="DI91" s="261"/>
      <c r="DJ91" s="1048" t="str">
        <f>IF(OR(CharacterLevel="",Spellcasting!AC$45=""),"",VLOOKUP(Spellcasting!AC$45,Tables!$TK:$UB,Tables!$TW$1,FALSE))</f>
        <v/>
      </c>
      <c r="DK91" s="1048"/>
      <c r="DL91" s="1048"/>
      <c r="DM91" s="1048"/>
      <c r="DN91" s="261"/>
      <c r="DO91" s="1048" t="str">
        <f>IF(OR(CharacterLevel="",Spellcasting!AC$45=""),"",VLOOKUP(Spellcasting!AC$45,Tables!$TK:$UB,Tables!$TZ$1,FALSE))</f>
        <v/>
      </c>
      <c r="DP91" s="1048"/>
      <c r="DQ91" s="1048"/>
      <c r="DR91" s="1048"/>
      <c r="DS91" s="261"/>
      <c r="DT91" s="1319" t="str">
        <f>IF(OR(CharacterLevel="",Spellcasting!AC$45=""),"",VLOOKUP(Spellcasting!AC$45,Tables!$TK:$UB,Tables!$UB$1,FALSE))</f>
        <v/>
      </c>
      <c r="DU91" s="1319"/>
      <c r="DV91" s="1319"/>
      <c r="DW91" s="1319"/>
      <c r="DX91" s="1319"/>
      <c r="DY91" s="1319"/>
      <c r="DZ91" s="1319"/>
      <c r="EA91" s="1319"/>
      <c r="EB91" s="1319"/>
      <c r="EC91" s="1319"/>
      <c r="ED91" s="1319"/>
      <c r="EE91" s="1319"/>
      <c r="EF91" s="1319"/>
      <c r="EG91" s="1319"/>
      <c r="EH91" s="1319"/>
      <c r="EI91" s="1319"/>
      <c r="EJ91" s="1319"/>
      <c r="EK91" s="1319"/>
      <c r="EL91" s="1319"/>
      <c r="EM91" s="1319"/>
      <c r="EN91" s="1319"/>
      <c r="EO91" s="1319"/>
      <c r="EP91" s="1319"/>
      <c r="EQ91" s="1319"/>
      <c r="ER91" s="1319"/>
      <c r="ES91" s="6">
        <f>ES89+1</f>
        <v>31</v>
      </c>
    </row>
    <row r="92" spans="1:149" ht="9.75" customHeight="1" x14ac:dyDescent="0.2">
      <c r="A92" s="5"/>
      <c r="B92" s="1389" t="str">
        <f>IF(CharacterLevel="",'Character Sheet III'!$CF$202,IF(Spellcasting!AO14="•",'Character Sheet III'!$BX$202,'Character Sheet III'!$CF$202))</f>
        <v>□</v>
      </c>
      <c r="C92" s="1389"/>
      <c r="D92" s="1389"/>
      <c r="E92" s="1325" t="str">
        <f>IF(OR(CharacterLevel="",Spellcasting!AQ$14=""),"",VLOOKUP(Spellcasting!AQ$14,Tables!$TK:$UB,Tables!$TN$1,FALSE))</f>
        <v/>
      </c>
      <c r="F92" s="1325"/>
      <c r="G92" s="1325"/>
      <c r="H92" s="1325"/>
      <c r="I92" s="1325"/>
      <c r="J92" s="1325"/>
      <c r="K92" s="1325"/>
      <c r="L92" s="1325"/>
      <c r="M92" s="1325"/>
      <c r="N92" s="1325"/>
      <c r="O92" s="1325"/>
      <c r="P92" s="1325"/>
      <c r="Q92" s="1325"/>
      <c r="R92" s="1325"/>
      <c r="S92" s="1325"/>
      <c r="T92" s="1325"/>
      <c r="U92" s="263"/>
      <c r="V92" s="1048" t="str">
        <f>IF(OR(CharacterLevel="",Spellcasting!AQ$14=""),"",VLOOKUP(Spellcasting!AQ$14,Tables!$TK:$UB,Tables!$TT$1,FALSE))</f>
        <v/>
      </c>
      <c r="W92" s="1048"/>
      <c r="X92" s="1048"/>
      <c r="Y92" s="1048"/>
      <c r="Z92" s="1048"/>
      <c r="AA92" s="263"/>
      <c r="AB92" s="1048" t="str">
        <f>IF(OR(CharacterLevel="",Spellcasting!AQ$14=""),"",VLOOKUP(Spellcasting!AQ$14,Tables!$TK:$UB,Tables!$TU$1,FALSE))</f>
        <v/>
      </c>
      <c r="AC92" s="1048"/>
      <c r="AD92" s="1048"/>
      <c r="AE92" s="1048"/>
      <c r="AF92" s="263"/>
      <c r="AG92" s="1048" t="str">
        <f>IF(OR(CharacterLevel="",Spellcasting!AQ$14=""),"",VLOOKUP(Spellcasting!AQ$14,Tables!$TK:$UB,Tables!$TV$1,FALSE))</f>
        <v/>
      </c>
      <c r="AH92" s="1048"/>
      <c r="AI92" s="1048"/>
      <c r="AJ92" s="1048"/>
      <c r="AK92" s="1048"/>
      <c r="AL92" s="1048"/>
      <c r="AM92" s="261"/>
      <c r="AN92" s="857" t="str">
        <f>IF(OR(CharacterLevel="",Spellcasting!AQ$14=""),"",VLOOKUP(Spellcasting!AQ$14,Tables!$TK:$UB,Tables!$TW$1,FALSE))</f>
        <v/>
      </c>
      <c r="AO92" s="857"/>
      <c r="AP92" s="857"/>
      <c r="AQ92" s="857"/>
      <c r="AR92" s="261"/>
      <c r="AS92" s="1048" t="str">
        <f>IF(OR(CharacterLevel="",Spellcasting!AQ$14=""),"",VLOOKUP(Spellcasting!AQ$14,Tables!$TK:$UB,Tables!$TZ$1,FALSE))</f>
        <v/>
      </c>
      <c r="AT92" s="1048"/>
      <c r="AU92" s="1048"/>
      <c r="AV92" s="1048"/>
      <c r="AW92" s="261"/>
      <c r="AX92" s="1319" t="str">
        <f>IF(OR(CharacterLevel="",Spellcasting!AQ$14=""),"",VLOOKUP(Spellcasting!AQ$14,Tables!$TK:$UB,Tables!$UB$1,FALSE))</f>
        <v/>
      </c>
      <c r="AY92" s="1319"/>
      <c r="AZ92" s="1319"/>
      <c r="BA92" s="1319"/>
      <c r="BB92" s="1319"/>
      <c r="BC92" s="1319"/>
      <c r="BD92" s="1319"/>
      <c r="BE92" s="1319"/>
      <c r="BF92" s="1319"/>
      <c r="BG92" s="1319"/>
      <c r="BH92" s="1319"/>
      <c r="BI92" s="1319"/>
      <c r="BJ92" s="1319"/>
      <c r="BK92" s="1319"/>
      <c r="BL92" s="1319"/>
      <c r="BM92" s="1319"/>
      <c r="BN92" s="1319"/>
      <c r="BO92" s="1319"/>
      <c r="BP92" s="1319"/>
      <c r="BQ92" s="1319"/>
      <c r="BR92" s="1319"/>
      <c r="BS92" s="1319"/>
      <c r="BT92" s="1319"/>
      <c r="BU92" s="1319"/>
      <c r="BV92" s="1319"/>
      <c r="BW92" s="165"/>
      <c r="BX92" s="1324"/>
      <c r="BY92" s="1324"/>
      <c r="BZ92" s="1324"/>
      <c r="CA92" s="1325" t="e">
        <f>IF(OR(CharacterLevel="",Spellcasting!#REF!=""),"",VLOOKUP(Spellcasting!#REF!,Tables!WX:XQ,Tables!$TN$1,FALSE))</f>
        <v>#REF!</v>
      </c>
      <c r="CB92" s="1325"/>
      <c r="CC92" s="1325"/>
      <c r="CD92" s="1325"/>
      <c r="CE92" s="1325"/>
      <c r="CF92" s="1325"/>
      <c r="CG92" s="1325"/>
      <c r="CH92" s="1325"/>
      <c r="CI92" s="1325"/>
      <c r="CJ92" s="1325"/>
      <c r="CK92" s="1325"/>
      <c r="CL92" s="1325"/>
      <c r="CM92" s="1325"/>
      <c r="CN92" s="1325"/>
      <c r="CO92" s="1325"/>
      <c r="CP92" s="1325"/>
      <c r="CQ92" s="263"/>
      <c r="CR92" s="1321"/>
      <c r="CS92" s="1321"/>
      <c r="CT92" s="1321"/>
      <c r="CU92" s="1321"/>
      <c r="CV92" s="1321"/>
      <c r="CW92" s="5"/>
      <c r="CX92" s="1321"/>
      <c r="CY92" s="1321"/>
      <c r="CZ92" s="1321"/>
      <c r="DA92" s="1321"/>
      <c r="DB92" s="5"/>
      <c r="DC92" s="1321"/>
      <c r="DD92" s="1321"/>
      <c r="DE92" s="1321"/>
      <c r="DF92" s="1321"/>
      <c r="DG92" s="1321"/>
      <c r="DH92" s="1321"/>
      <c r="DI92" s="5"/>
      <c r="DJ92" s="1321"/>
      <c r="DK92" s="1321"/>
      <c r="DL92" s="1321"/>
      <c r="DM92" s="1321"/>
      <c r="DN92" s="5"/>
      <c r="DO92" s="1321"/>
      <c r="DP92" s="1321"/>
      <c r="DQ92" s="1321"/>
      <c r="DR92" s="1321"/>
      <c r="DS92" s="5"/>
      <c r="DT92" s="1320"/>
      <c r="DU92" s="1320"/>
      <c r="DV92" s="1320"/>
      <c r="DW92" s="1320"/>
      <c r="DX92" s="1320"/>
      <c r="DY92" s="1320"/>
      <c r="DZ92" s="1320"/>
      <c r="EA92" s="1320"/>
      <c r="EB92" s="1320"/>
      <c r="EC92" s="1320"/>
      <c r="ED92" s="1320"/>
      <c r="EE92" s="1320"/>
      <c r="EF92" s="1320"/>
      <c r="EG92" s="1320"/>
      <c r="EH92" s="1320"/>
      <c r="EI92" s="1320"/>
      <c r="EJ92" s="1320"/>
      <c r="EK92" s="1320"/>
      <c r="EL92" s="1320"/>
      <c r="EM92" s="1320"/>
      <c r="EN92" s="1320"/>
      <c r="EO92" s="1320"/>
      <c r="EP92" s="1320"/>
      <c r="EQ92" s="1320"/>
      <c r="ER92" s="1320"/>
    </row>
    <row r="93" spans="1:149" ht="9.75" customHeight="1" x14ac:dyDescent="0.2">
      <c r="A93" s="5"/>
      <c r="B93" s="1389"/>
      <c r="C93" s="1389"/>
      <c r="D93" s="1389"/>
      <c r="E93" s="1325"/>
      <c r="F93" s="1325"/>
      <c r="G93" s="1325"/>
      <c r="H93" s="1325"/>
      <c r="I93" s="1325"/>
      <c r="J93" s="1325"/>
      <c r="K93" s="1325"/>
      <c r="L93" s="1325"/>
      <c r="M93" s="1325"/>
      <c r="N93" s="1325"/>
      <c r="O93" s="1325"/>
      <c r="P93" s="1325"/>
      <c r="Q93" s="1325"/>
      <c r="R93" s="1325"/>
      <c r="S93" s="1325"/>
      <c r="T93" s="1325"/>
      <c r="U93" s="263"/>
      <c r="V93" s="1321"/>
      <c r="W93" s="1321"/>
      <c r="X93" s="1321"/>
      <c r="Y93" s="1321"/>
      <c r="Z93" s="1321"/>
      <c r="AA93" s="263"/>
      <c r="AB93" s="1321"/>
      <c r="AC93" s="1321"/>
      <c r="AD93" s="1321"/>
      <c r="AE93" s="1321"/>
      <c r="AF93" s="263"/>
      <c r="AG93" s="1321"/>
      <c r="AH93" s="1321"/>
      <c r="AI93" s="1321"/>
      <c r="AJ93" s="1321"/>
      <c r="AK93" s="1321"/>
      <c r="AL93" s="1321"/>
      <c r="AM93" s="263"/>
      <c r="AN93" s="1326"/>
      <c r="AO93" s="1326"/>
      <c r="AP93" s="1326"/>
      <c r="AQ93" s="1326"/>
      <c r="AR93" s="263"/>
      <c r="AS93" s="1321"/>
      <c r="AT93" s="1321"/>
      <c r="AU93" s="1321"/>
      <c r="AV93" s="1321"/>
      <c r="AW93" s="263"/>
      <c r="AX93" s="1320"/>
      <c r="AY93" s="1320"/>
      <c r="AZ93" s="1320"/>
      <c r="BA93" s="1320"/>
      <c r="BB93" s="1320"/>
      <c r="BC93" s="1320"/>
      <c r="BD93" s="1320"/>
      <c r="BE93" s="1320"/>
      <c r="BF93" s="1320"/>
      <c r="BG93" s="1320"/>
      <c r="BH93" s="1320"/>
      <c r="BI93" s="1320"/>
      <c r="BJ93" s="1320"/>
      <c r="BK93" s="1320"/>
      <c r="BL93" s="1320"/>
      <c r="BM93" s="1320"/>
      <c r="BN93" s="1320"/>
      <c r="BO93" s="1320"/>
      <c r="BP93" s="1320"/>
      <c r="BQ93" s="1320"/>
      <c r="BR93" s="1320"/>
      <c r="BS93" s="1320"/>
      <c r="BT93" s="1320"/>
      <c r="BU93" s="1320"/>
      <c r="BV93" s="1320"/>
      <c r="BW93" s="165"/>
      <c r="BX93" s="1324" t="str">
        <f>IF(CharacterLevel="",'Character Sheet III'!$CF$202,IF(Spellcasting!AA46="•",'Character Sheet III'!$BX$202,'Character Sheet III'!$CF$202))</f>
        <v>□</v>
      </c>
      <c r="BY93" s="1324"/>
      <c r="BZ93" s="1324"/>
      <c r="CA93" s="1325" t="str">
        <f>IF(OR(CharacterLevel="",Spellcasting!AC$46=""),"",VLOOKUP(Spellcasting!AC$46,Tables!$TK:$UB,Tables!$TN$1,FALSE))</f>
        <v/>
      </c>
      <c r="CB93" s="1325"/>
      <c r="CC93" s="1325"/>
      <c r="CD93" s="1325"/>
      <c r="CE93" s="1325"/>
      <c r="CF93" s="1325"/>
      <c r="CG93" s="1325"/>
      <c r="CH93" s="1325"/>
      <c r="CI93" s="1325"/>
      <c r="CJ93" s="1325"/>
      <c r="CK93" s="1325"/>
      <c r="CL93" s="1325"/>
      <c r="CM93" s="1325"/>
      <c r="CN93" s="1325"/>
      <c r="CO93" s="1325"/>
      <c r="CP93" s="1325"/>
      <c r="CQ93" s="263"/>
      <c r="CR93" s="1048" t="str">
        <f>IF(OR(CharacterLevel="",Spellcasting!AC$46=""),"",VLOOKUP(Spellcasting!AC$46,Tables!$TK:$UB,Tables!$TT$1,FALSE))</f>
        <v/>
      </c>
      <c r="CS93" s="1048"/>
      <c r="CT93" s="1048"/>
      <c r="CU93" s="1048"/>
      <c r="CV93" s="1048"/>
      <c r="CW93" s="263"/>
      <c r="CX93" s="1048" t="str">
        <f>IF(OR(CharacterLevel="",Spellcasting!AC$46=""),"",VLOOKUP(Spellcasting!AC$46,Tables!$TK:$UB,Tables!$TU$1,FALSE))</f>
        <v/>
      </c>
      <c r="CY93" s="1048"/>
      <c r="CZ93" s="1048"/>
      <c r="DA93" s="1048"/>
      <c r="DB93" s="263"/>
      <c r="DC93" s="1048" t="str">
        <f>IF(OR(CharacterLevel="",Spellcasting!AC$46=""),"",VLOOKUP(Spellcasting!AC$46,Tables!$TK:$UB,Tables!$TV$1,FALSE))</f>
        <v/>
      </c>
      <c r="DD93" s="1048"/>
      <c r="DE93" s="1048"/>
      <c r="DF93" s="1048"/>
      <c r="DG93" s="1048"/>
      <c r="DH93" s="1048"/>
      <c r="DI93" s="261"/>
      <c r="DJ93" s="1048" t="str">
        <f>IF(OR(CharacterLevel="",Spellcasting!AC$46=""),"",VLOOKUP(Spellcasting!AC$46,Tables!$TK:$UB,Tables!$TW$1,FALSE))</f>
        <v/>
      </c>
      <c r="DK93" s="1048"/>
      <c r="DL93" s="1048"/>
      <c r="DM93" s="1048"/>
      <c r="DN93" s="261"/>
      <c r="DO93" s="1048" t="str">
        <f>IF(OR(CharacterLevel="",Spellcasting!AC$46=""),"",VLOOKUP(Spellcasting!AC$46,Tables!$TK:$UB,Tables!$TZ$1,FALSE))</f>
        <v/>
      </c>
      <c r="DP93" s="1048"/>
      <c r="DQ93" s="1048"/>
      <c r="DR93" s="1048"/>
      <c r="DS93" s="261"/>
      <c r="DT93" s="1319" t="str">
        <f>IF(OR(CharacterLevel="",Spellcasting!AC$46=""),"",VLOOKUP(Spellcasting!AC$46,Tables!$TK:$UB,Tables!$UB$1,FALSE))</f>
        <v/>
      </c>
      <c r="DU93" s="1319"/>
      <c r="DV93" s="1319"/>
      <c r="DW93" s="1319"/>
      <c r="DX93" s="1319"/>
      <c r="DY93" s="1319"/>
      <c r="DZ93" s="1319"/>
      <c r="EA93" s="1319"/>
      <c r="EB93" s="1319"/>
      <c r="EC93" s="1319"/>
      <c r="ED93" s="1319"/>
      <c r="EE93" s="1319"/>
      <c r="EF93" s="1319"/>
      <c r="EG93" s="1319"/>
      <c r="EH93" s="1319"/>
      <c r="EI93" s="1319"/>
      <c r="EJ93" s="1319"/>
      <c r="EK93" s="1319"/>
      <c r="EL93" s="1319"/>
      <c r="EM93" s="1319"/>
      <c r="EN93" s="1319"/>
      <c r="EO93" s="1319"/>
      <c r="EP93" s="1319"/>
      <c r="EQ93" s="1319"/>
      <c r="ER93" s="1319"/>
      <c r="ES93" s="6">
        <f>ES91+1</f>
        <v>32</v>
      </c>
    </row>
    <row r="94" spans="1:149" ht="9.75" customHeight="1" x14ac:dyDescent="0.2">
      <c r="A94" s="5"/>
      <c r="B94" s="1389" t="str">
        <f>IF(CharacterLevel="",'Character Sheet III'!$CF$202,IF(Spellcasting!AO15="•",'Character Sheet III'!$BX$202,'Character Sheet III'!$CF$202))</f>
        <v>□</v>
      </c>
      <c r="C94" s="1389"/>
      <c r="D94" s="1389"/>
      <c r="E94" s="1325" t="str">
        <f>IF(OR(CharacterLevel="",Spellcasting!AQ$15=""),"",VLOOKUP(Spellcasting!AQ$15,Tables!$TK:$UB,Tables!$TN$1,FALSE))</f>
        <v/>
      </c>
      <c r="F94" s="1325"/>
      <c r="G94" s="1325"/>
      <c r="H94" s="1325"/>
      <c r="I94" s="1325"/>
      <c r="J94" s="1325"/>
      <c r="K94" s="1325"/>
      <c r="L94" s="1325"/>
      <c r="M94" s="1325"/>
      <c r="N94" s="1325"/>
      <c r="O94" s="1325"/>
      <c r="P94" s="1325"/>
      <c r="Q94" s="1325"/>
      <c r="R94" s="1325"/>
      <c r="S94" s="1325"/>
      <c r="T94" s="1325"/>
      <c r="U94" s="263"/>
      <c r="V94" s="1048" t="str">
        <f>IF(OR(CharacterLevel="",Spellcasting!AQ$15=""),"",VLOOKUP(Spellcasting!AQ$15,Tables!$TK:$UB,Tables!$TT$1,FALSE))</f>
        <v/>
      </c>
      <c r="W94" s="1048"/>
      <c r="X94" s="1048"/>
      <c r="Y94" s="1048"/>
      <c r="Z94" s="1048"/>
      <c r="AA94" s="263"/>
      <c r="AB94" s="1048" t="str">
        <f>IF(OR(CharacterLevel="",Spellcasting!AQ$15=""),"",VLOOKUP(Spellcasting!AQ$15,Tables!$TK:$UB,Tables!$TU$1,FALSE))</f>
        <v/>
      </c>
      <c r="AC94" s="1048"/>
      <c r="AD94" s="1048"/>
      <c r="AE94" s="1048"/>
      <c r="AF94" s="263"/>
      <c r="AG94" s="1048" t="str">
        <f>IF(OR(CharacterLevel="",Spellcasting!AQ$15=""),"",VLOOKUP(Spellcasting!AQ$15,Tables!$TK:$UB,Tables!$TV$1,FALSE))</f>
        <v/>
      </c>
      <c r="AH94" s="1048"/>
      <c r="AI94" s="1048"/>
      <c r="AJ94" s="1048"/>
      <c r="AK94" s="1048"/>
      <c r="AL94" s="1048"/>
      <c r="AM94" s="261"/>
      <c r="AN94" s="857" t="str">
        <f>IF(OR(CharacterLevel="",Spellcasting!AQ$15=""),"",VLOOKUP(Spellcasting!AQ$15,Tables!$TK:$UB,Tables!$TW$1,FALSE))</f>
        <v/>
      </c>
      <c r="AO94" s="857"/>
      <c r="AP94" s="857"/>
      <c r="AQ94" s="857"/>
      <c r="AR94" s="261"/>
      <c r="AS94" s="1048" t="str">
        <f>IF(OR(CharacterLevel="",Spellcasting!AQ$15=""),"",VLOOKUP(Spellcasting!AQ$15,Tables!$TK:$UB,Tables!$TZ$1,FALSE))</f>
        <v/>
      </c>
      <c r="AT94" s="1048"/>
      <c r="AU94" s="1048"/>
      <c r="AV94" s="1048"/>
      <c r="AW94" s="261"/>
      <c r="AX94" s="1319" t="str">
        <f>IF(OR(CharacterLevel="",Spellcasting!AQ$15=""),"",VLOOKUP(Spellcasting!AQ$15,Tables!$TK:$UB,Tables!$UB$1,FALSE))</f>
        <v/>
      </c>
      <c r="AY94" s="1319"/>
      <c r="AZ94" s="1319"/>
      <c r="BA94" s="1319"/>
      <c r="BB94" s="1319"/>
      <c r="BC94" s="1319"/>
      <c r="BD94" s="1319"/>
      <c r="BE94" s="1319"/>
      <c r="BF94" s="1319"/>
      <c r="BG94" s="1319"/>
      <c r="BH94" s="1319"/>
      <c r="BI94" s="1319"/>
      <c r="BJ94" s="1319"/>
      <c r="BK94" s="1319"/>
      <c r="BL94" s="1319"/>
      <c r="BM94" s="1319"/>
      <c r="BN94" s="1319"/>
      <c r="BO94" s="1319"/>
      <c r="BP94" s="1319"/>
      <c r="BQ94" s="1319"/>
      <c r="BR94" s="1319"/>
      <c r="BS94" s="1319"/>
      <c r="BT94" s="1319"/>
      <c r="BU94" s="1319"/>
      <c r="BV94" s="1319"/>
      <c r="BW94" s="165"/>
      <c r="BX94" s="1324"/>
      <c r="BY94" s="1324"/>
      <c r="BZ94" s="1324"/>
      <c r="CA94" s="1325" t="e">
        <f>IF(OR(CharacterLevel="",Spellcasting!#REF!=""),"",VLOOKUP(Spellcasting!#REF!,Tables!WX:XQ,Tables!$TN$1,FALSE))</f>
        <v>#REF!</v>
      </c>
      <c r="CB94" s="1325"/>
      <c r="CC94" s="1325"/>
      <c r="CD94" s="1325"/>
      <c r="CE94" s="1325"/>
      <c r="CF94" s="1325"/>
      <c r="CG94" s="1325"/>
      <c r="CH94" s="1325"/>
      <c r="CI94" s="1325"/>
      <c r="CJ94" s="1325"/>
      <c r="CK94" s="1325"/>
      <c r="CL94" s="1325"/>
      <c r="CM94" s="1325"/>
      <c r="CN94" s="1325"/>
      <c r="CO94" s="1325"/>
      <c r="CP94" s="1325"/>
      <c r="CQ94" s="263"/>
      <c r="CR94" s="1321"/>
      <c r="CS94" s="1321"/>
      <c r="CT94" s="1321"/>
      <c r="CU94" s="1321"/>
      <c r="CV94" s="1321"/>
      <c r="CW94" s="5"/>
      <c r="CX94" s="1321"/>
      <c r="CY94" s="1321"/>
      <c r="CZ94" s="1321"/>
      <c r="DA94" s="1321"/>
      <c r="DB94" s="5"/>
      <c r="DC94" s="1321"/>
      <c r="DD94" s="1321"/>
      <c r="DE94" s="1321"/>
      <c r="DF94" s="1321"/>
      <c r="DG94" s="1321"/>
      <c r="DH94" s="1321"/>
      <c r="DI94" s="5"/>
      <c r="DJ94" s="1321"/>
      <c r="DK94" s="1321"/>
      <c r="DL94" s="1321"/>
      <c r="DM94" s="1321"/>
      <c r="DN94" s="5"/>
      <c r="DO94" s="1321"/>
      <c r="DP94" s="1321"/>
      <c r="DQ94" s="1321"/>
      <c r="DR94" s="1321"/>
      <c r="DS94" s="5"/>
      <c r="DT94" s="1320"/>
      <c r="DU94" s="1320"/>
      <c r="DV94" s="1320"/>
      <c r="DW94" s="1320"/>
      <c r="DX94" s="1320"/>
      <c r="DY94" s="1320"/>
      <c r="DZ94" s="1320"/>
      <c r="EA94" s="1320"/>
      <c r="EB94" s="1320"/>
      <c r="EC94" s="1320"/>
      <c r="ED94" s="1320"/>
      <c r="EE94" s="1320"/>
      <c r="EF94" s="1320"/>
      <c r="EG94" s="1320"/>
      <c r="EH94" s="1320"/>
      <c r="EI94" s="1320"/>
      <c r="EJ94" s="1320"/>
      <c r="EK94" s="1320"/>
      <c r="EL94" s="1320"/>
      <c r="EM94" s="1320"/>
      <c r="EN94" s="1320"/>
      <c r="EO94" s="1320"/>
      <c r="EP94" s="1320"/>
      <c r="EQ94" s="1320"/>
      <c r="ER94" s="1320"/>
    </row>
    <row r="95" spans="1:149" ht="9.75" customHeight="1" x14ac:dyDescent="0.2">
      <c r="A95" s="5"/>
      <c r="B95" s="1389"/>
      <c r="C95" s="1389"/>
      <c r="D95" s="1389"/>
      <c r="E95" s="1325"/>
      <c r="F95" s="1325"/>
      <c r="G95" s="1325"/>
      <c r="H95" s="1325"/>
      <c r="I95" s="1325"/>
      <c r="J95" s="1325"/>
      <c r="K95" s="1325"/>
      <c r="L95" s="1325"/>
      <c r="M95" s="1325"/>
      <c r="N95" s="1325"/>
      <c r="O95" s="1325"/>
      <c r="P95" s="1325"/>
      <c r="Q95" s="1325"/>
      <c r="R95" s="1325"/>
      <c r="S95" s="1325"/>
      <c r="T95" s="1325"/>
      <c r="U95" s="263"/>
      <c r="V95" s="1321"/>
      <c r="W95" s="1321"/>
      <c r="X95" s="1321"/>
      <c r="Y95" s="1321"/>
      <c r="Z95" s="1321"/>
      <c r="AA95" s="263"/>
      <c r="AB95" s="1321"/>
      <c r="AC95" s="1321"/>
      <c r="AD95" s="1321"/>
      <c r="AE95" s="1321"/>
      <c r="AF95" s="263"/>
      <c r="AG95" s="1321"/>
      <c r="AH95" s="1321"/>
      <c r="AI95" s="1321"/>
      <c r="AJ95" s="1321"/>
      <c r="AK95" s="1321"/>
      <c r="AL95" s="1321"/>
      <c r="AM95" s="263"/>
      <c r="AN95" s="1326"/>
      <c r="AO95" s="1326"/>
      <c r="AP95" s="1326"/>
      <c r="AQ95" s="1326"/>
      <c r="AR95" s="263"/>
      <c r="AS95" s="1321"/>
      <c r="AT95" s="1321"/>
      <c r="AU95" s="1321"/>
      <c r="AV95" s="1321"/>
      <c r="AW95" s="263"/>
      <c r="AX95" s="1320"/>
      <c r="AY95" s="1320"/>
      <c r="AZ95" s="1320"/>
      <c r="BA95" s="1320"/>
      <c r="BB95" s="1320"/>
      <c r="BC95" s="1320"/>
      <c r="BD95" s="1320"/>
      <c r="BE95" s="1320"/>
      <c r="BF95" s="1320"/>
      <c r="BG95" s="1320"/>
      <c r="BH95" s="1320"/>
      <c r="BI95" s="1320"/>
      <c r="BJ95" s="1320"/>
      <c r="BK95" s="1320"/>
      <c r="BL95" s="1320"/>
      <c r="BM95" s="1320"/>
      <c r="BN95" s="1320"/>
      <c r="BO95" s="1320"/>
      <c r="BP95" s="1320"/>
      <c r="BQ95" s="1320"/>
      <c r="BR95" s="1320"/>
      <c r="BS95" s="1320"/>
      <c r="BT95" s="1320"/>
      <c r="BU95" s="1320"/>
      <c r="BV95" s="1320"/>
      <c r="BW95" s="165"/>
      <c r="BX95" s="1324" t="str">
        <f>IF(CharacterLevel="",'Character Sheet III'!$CF$202,IF(Spellcasting!AA47="•",'Character Sheet III'!$BX$202,'Character Sheet III'!$CF$202))</f>
        <v>□</v>
      </c>
      <c r="BY95" s="1324"/>
      <c r="BZ95" s="1324"/>
      <c r="CA95" s="1325" t="str">
        <f>IF(OR(CharacterLevel="",Spellcasting!AC$47=""),"",VLOOKUP(Spellcasting!AC$47,Tables!$TK:$UB,Tables!$TN$1,FALSE))</f>
        <v/>
      </c>
      <c r="CB95" s="1325"/>
      <c r="CC95" s="1325"/>
      <c r="CD95" s="1325"/>
      <c r="CE95" s="1325"/>
      <c r="CF95" s="1325"/>
      <c r="CG95" s="1325"/>
      <c r="CH95" s="1325"/>
      <c r="CI95" s="1325"/>
      <c r="CJ95" s="1325"/>
      <c r="CK95" s="1325"/>
      <c r="CL95" s="1325"/>
      <c r="CM95" s="1325"/>
      <c r="CN95" s="1325"/>
      <c r="CO95" s="1325"/>
      <c r="CP95" s="1325"/>
      <c r="CQ95" s="263"/>
      <c r="CR95" s="1048" t="str">
        <f>IF(OR(CharacterLevel="",Spellcasting!AC$47=""),"",VLOOKUP(Spellcasting!AC$47,Tables!$TK:$UB,Tables!$TT$1,FALSE))</f>
        <v/>
      </c>
      <c r="CS95" s="1048"/>
      <c r="CT95" s="1048"/>
      <c r="CU95" s="1048"/>
      <c r="CV95" s="1048"/>
      <c r="CW95" s="263"/>
      <c r="CX95" s="1048" t="str">
        <f>IF(OR(CharacterLevel="",Spellcasting!AC$47=""),"",VLOOKUP(Spellcasting!AC$47,Tables!$TK:$UB,Tables!$TU$1,FALSE))</f>
        <v/>
      </c>
      <c r="CY95" s="1048"/>
      <c r="CZ95" s="1048"/>
      <c r="DA95" s="1048"/>
      <c r="DB95" s="263"/>
      <c r="DC95" s="1048" t="str">
        <f>IF(OR(CharacterLevel="",Spellcasting!AC$47=""),"",VLOOKUP(Spellcasting!AC$47,Tables!$TK:$UB,Tables!$TV$1,FALSE))</f>
        <v/>
      </c>
      <c r="DD95" s="1048"/>
      <c r="DE95" s="1048"/>
      <c r="DF95" s="1048"/>
      <c r="DG95" s="1048"/>
      <c r="DH95" s="1048"/>
      <c r="DI95" s="261"/>
      <c r="DJ95" s="1048" t="str">
        <f>IF(OR(CharacterLevel="",Spellcasting!AC$47=""),"",VLOOKUP(Spellcasting!AC$47,Tables!$TK:$UB,Tables!$TW$1,FALSE))</f>
        <v/>
      </c>
      <c r="DK95" s="1048"/>
      <c r="DL95" s="1048"/>
      <c r="DM95" s="1048"/>
      <c r="DN95" s="261"/>
      <c r="DO95" s="1048" t="str">
        <f>IF(OR(CharacterLevel="",Spellcasting!AC$47=""),"",VLOOKUP(Spellcasting!AC$47,Tables!$TK:$UB,Tables!$TZ$1,FALSE))</f>
        <v/>
      </c>
      <c r="DP95" s="1048"/>
      <c r="DQ95" s="1048"/>
      <c r="DR95" s="1048"/>
      <c r="DS95" s="261"/>
      <c r="DT95" s="1319" t="str">
        <f>IF(OR(CharacterLevel="",Spellcasting!AC$47=""),"",VLOOKUP(Spellcasting!AC$47,Tables!$TK:$UB,Tables!$UB$1,FALSE))</f>
        <v/>
      </c>
      <c r="DU95" s="1319"/>
      <c r="DV95" s="1319"/>
      <c r="DW95" s="1319"/>
      <c r="DX95" s="1319"/>
      <c r="DY95" s="1319"/>
      <c r="DZ95" s="1319"/>
      <c r="EA95" s="1319"/>
      <c r="EB95" s="1319"/>
      <c r="EC95" s="1319"/>
      <c r="ED95" s="1319"/>
      <c r="EE95" s="1319"/>
      <c r="EF95" s="1319"/>
      <c r="EG95" s="1319"/>
      <c r="EH95" s="1319"/>
      <c r="EI95" s="1319"/>
      <c r="EJ95" s="1319"/>
      <c r="EK95" s="1319"/>
      <c r="EL95" s="1319"/>
      <c r="EM95" s="1319"/>
      <c r="EN95" s="1319"/>
      <c r="EO95" s="1319"/>
      <c r="EP95" s="1319"/>
      <c r="EQ95" s="1319"/>
      <c r="ER95" s="1319"/>
      <c r="ES95" s="6">
        <f>ES93+1</f>
        <v>33</v>
      </c>
    </row>
    <row r="96" spans="1:149" ht="9.75" customHeight="1" x14ac:dyDescent="0.2">
      <c r="A96" s="5"/>
      <c r="B96" s="1389" t="str">
        <f>IF(CharacterLevel="",'Character Sheet III'!$CF$202,IF(Spellcasting!AO16="•",'Character Sheet III'!$BX$202,'Character Sheet III'!$CF$202))</f>
        <v>□</v>
      </c>
      <c r="C96" s="1389"/>
      <c r="D96" s="1389"/>
      <c r="E96" s="1325" t="str">
        <f>IF(OR(CharacterLevel="",Spellcasting!AQ$16=""),"",VLOOKUP(Spellcasting!AQ$16,Tables!$TK:$UB,Tables!$TN$1,FALSE))</f>
        <v/>
      </c>
      <c r="F96" s="1325"/>
      <c r="G96" s="1325"/>
      <c r="H96" s="1325"/>
      <c r="I96" s="1325"/>
      <c r="J96" s="1325"/>
      <c r="K96" s="1325"/>
      <c r="L96" s="1325"/>
      <c r="M96" s="1325"/>
      <c r="N96" s="1325"/>
      <c r="O96" s="1325"/>
      <c r="P96" s="1325"/>
      <c r="Q96" s="1325"/>
      <c r="R96" s="1325"/>
      <c r="S96" s="1325"/>
      <c r="T96" s="1325"/>
      <c r="U96" s="263"/>
      <c r="V96" s="1048" t="str">
        <f>IF(OR(CharacterLevel="",Spellcasting!AQ$16=""),"",VLOOKUP(Spellcasting!AQ$16,Tables!$TK:$UB,Tables!$TT$1,FALSE))</f>
        <v/>
      </c>
      <c r="W96" s="1048"/>
      <c r="X96" s="1048"/>
      <c r="Y96" s="1048"/>
      <c r="Z96" s="1048"/>
      <c r="AA96" s="263"/>
      <c r="AB96" s="1048" t="str">
        <f>IF(OR(CharacterLevel="",Spellcasting!AQ$16=""),"",VLOOKUP(Spellcasting!AQ$16,Tables!$TK:$UB,Tables!$TU$1,FALSE))</f>
        <v/>
      </c>
      <c r="AC96" s="1048"/>
      <c r="AD96" s="1048"/>
      <c r="AE96" s="1048"/>
      <c r="AF96" s="263"/>
      <c r="AG96" s="1048" t="str">
        <f>IF(OR(CharacterLevel="",Spellcasting!AQ$16=""),"",VLOOKUP(Spellcasting!AQ$16,Tables!$TK:$UB,Tables!$TV$1,FALSE))</f>
        <v/>
      </c>
      <c r="AH96" s="1048"/>
      <c r="AI96" s="1048"/>
      <c r="AJ96" s="1048"/>
      <c r="AK96" s="1048"/>
      <c r="AL96" s="1048"/>
      <c r="AM96" s="261"/>
      <c r="AN96" s="857" t="str">
        <f>IF(OR(CharacterLevel="",Spellcasting!AQ$16=""),"",VLOOKUP(Spellcasting!AQ$16,Tables!$TK:$UB,Tables!$TW$1,FALSE))</f>
        <v/>
      </c>
      <c r="AO96" s="857"/>
      <c r="AP96" s="857"/>
      <c r="AQ96" s="857"/>
      <c r="AR96" s="261"/>
      <c r="AS96" s="1048" t="str">
        <f>IF(OR(CharacterLevel="",Spellcasting!AQ$16=""),"",VLOOKUP(Spellcasting!AQ$16,Tables!$TK:$UB,Tables!$TZ$1,FALSE))</f>
        <v/>
      </c>
      <c r="AT96" s="1048"/>
      <c r="AU96" s="1048"/>
      <c r="AV96" s="1048"/>
      <c r="AW96" s="261"/>
      <c r="AX96" s="1319" t="str">
        <f>IF(OR(CharacterLevel="",Spellcasting!AQ$16=""),"",VLOOKUP(Spellcasting!AQ$16,Tables!$TK:$UB,Tables!$UB$1,FALSE))</f>
        <v/>
      </c>
      <c r="AY96" s="1319"/>
      <c r="AZ96" s="1319"/>
      <c r="BA96" s="1319"/>
      <c r="BB96" s="1319"/>
      <c r="BC96" s="1319"/>
      <c r="BD96" s="1319"/>
      <c r="BE96" s="1319"/>
      <c r="BF96" s="1319"/>
      <c r="BG96" s="1319"/>
      <c r="BH96" s="1319"/>
      <c r="BI96" s="1319"/>
      <c r="BJ96" s="1319"/>
      <c r="BK96" s="1319"/>
      <c r="BL96" s="1319"/>
      <c r="BM96" s="1319"/>
      <c r="BN96" s="1319"/>
      <c r="BO96" s="1319"/>
      <c r="BP96" s="1319"/>
      <c r="BQ96" s="1319"/>
      <c r="BR96" s="1319"/>
      <c r="BS96" s="1319"/>
      <c r="BT96" s="1319"/>
      <c r="BU96" s="1319"/>
      <c r="BV96" s="1319"/>
      <c r="BW96" s="165"/>
      <c r="BX96" s="1324"/>
      <c r="BY96" s="1324"/>
      <c r="BZ96" s="1324"/>
      <c r="CA96" s="1325" t="e">
        <f>IF(OR(CharacterLevel="",Spellcasting!#REF!=""),"",VLOOKUP(Spellcasting!#REF!,Tables!WX:XQ,Tables!$TN$1,FALSE))</f>
        <v>#REF!</v>
      </c>
      <c r="CB96" s="1325"/>
      <c r="CC96" s="1325"/>
      <c r="CD96" s="1325"/>
      <c r="CE96" s="1325"/>
      <c r="CF96" s="1325"/>
      <c r="CG96" s="1325"/>
      <c r="CH96" s="1325"/>
      <c r="CI96" s="1325"/>
      <c r="CJ96" s="1325"/>
      <c r="CK96" s="1325"/>
      <c r="CL96" s="1325"/>
      <c r="CM96" s="1325"/>
      <c r="CN96" s="1325"/>
      <c r="CO96" s="1325"/>
      <c r="CP96" s="1325"/>
      <c r="CQ96" s="263"/>
      <c r="CR96" s="1321"/>
      <c r="CS96" s="1321"/>
      <c r="CT96" s="1321"/>
      <c r="CU96" s="1321"/>
      <c r="CV96" s="1321"/>
      <c r="CW96" s="5"/>
      <c r="CX96" s="1321"/>
      <c r="CY96" s="1321"/>
      <c r="CZ96" s="1321"/>
      <c r="DA96" s="1321"/>
      <c r="DB96" s="5"/>
      <c r="DC96" s="1321"/>
      <c r="DD96" s="1321"/>
      <c r="DE96" s="1321"/>
      <c r="DF96" s="1321"/>
      <c r="DG96" s="1321"/>
      <c r="DH96" s="1321"/>
      <c r="DI96" s="5"/>
      <c r="DJ96" s="1321"/>
      <c r="DK96" s="1321"/>
      <c r="DL96" s="1321"/>
      <c r="DM96" s="1321"/>
      <c r="DN96" s="5"/>
      <c r="DO96" s="1321"/>
      <c r="DP96" s="1321"/>
      <c r="DQ96" s="1321"/>
      <c r="DR96" s="1321"/>
      <c r="DS96" s="5"/>
      <c r="DT96" s="1320"/>
      <c r="DU96" s="1320"/>
      <c r="DV96" s="1320"/>
      <c r="DW96" s="1320"/>
      <c r="DX96" s="1320"/>
      <c r="DY96" s="1320"/>
      <c r="DZ96" s="1320"/>
      <c r="EA96" s="1320"/>
      <c r="EB96" s="1320"/>
      <c r="EC96" s="1320"/>
      <c r="ED96" s="1320"/>
      <c r="EE96" s="1320"/>
      <c r="EF96" s="1320"/>
      <c r="EG96" s="1320"/>
      <c r="EH96" s="1320"/>
      <c r="EI96" s="1320"/>
      <c r="EJ96" s="1320"/>
      <c r="EK96" s="1320"/>
      <c r="EL96" s="1320"/>
      <c r="EM96" s="1320"/>
      <c r="EN96" s="1320"/>
      <c r="EO96" s="1320"/>
      <c r="EP96" s="1320"/>
      <c r="EQ96" s="1320"/>
      <c r="ER96" s="1320"/>
    </row>
    <row r="97" spans="1:149" ht="9.75" customHeight="1" x14ac:dyDescent="0.2">
      <c r="A97" s="5"/>
      <c r="B97" s="1389"/>
      <c r="C97" s="1389"/>
      <c r="D97" s="1389"/>
      <c r="E97" s="1325" t="e">
        <f>IF(OR(CharacterLevel="",Spellcasting!#REF!=""),"",VLOOKUP(Spellcasting!#REF!,Tables!TK:UB,Tables!$TN$1,FALSE))</f>
        <v>#REF!</v>
      </c>
      <c r="F97" s="1325"/>
      <c r="G97" s="1325"/>
      <c r="H97" s="1325"/>
      <c r="I97" s="1325"/>
      <c r="J97" s="1325"/>
      <c r="K97" s="1325"/>
      <c r="L97" s="1325"/>
      <c r="M97" s="1325"/>
      <c r="N97" s="1325"/>
      <c r="O97" s="1325"/>
      <c r="P97" s="1325"/>
      <c r="Q97" s="1325"/>
      <c r="R97" s="1325"/>
      <c r="S97" s="1325"/>
      <c r="T97" s="1325"/>
      <c r="U97" s="263"/>
      <c r="V97" s="1321"/>
      <c r="W97" s="1321"/>
      <c r="X97" s="1321"/>
      <c r="Y97" s="1321"/>
      <c r="Z97" s="1321"/>
      <c r="AA97" s="263"/>
      <c r="AB97" s="1321"/>
      <c r="AC97" s="1321"/>
      <c r="AD97" s="1321"/>
      <c r="AE97" s="1321"/>
      <c r="AF97" s="263"/>
      <c r="AG97" s="1321"/>
      <c r="AH97" s="1321"/>
      <c r="AI97" s="1321"/>
      <c r="AJ97" s="1321"/>
      <c r="AK97" s="1321"/>
      <c r="AL97" s="1321"/>
      <c r="AM97" s="263"/>
      <c r="AN97" s="1326"/>
      <c r="AO97" s="1326"/>
      <c r="AP97" s="1326"/>
      <c r="AQ97" s="1326"/>
      <c r="AR97" s="263"/>
      <c r="AS97" s="1321"/>
      <c r="AT97" s="1321"/>
      <c r="AU97" s="1321"/>
      <c r="AV97" s="1321"/>
      <c r="AW97" s="263"/>
      <c r="AX97" s="1320"/>
      <c r="AY97" s="1320"/>
      <c r="AZ97" s="1320"/>
      <c r="BA97" s="1320"/>
      <c r="BB97" s="1320"/>
      <c r="BC97" s="1320"/>
      <c r="BD97" s="1320"/>
      <c r="BE97" s="1320"/>
      <c r="BF97" s="1320"/>
      <c r="BG97" s="1320"/>
      <c r="BH97" s="1320"/>
      <c r="BI97" s="1320"/>
      <c r="BJ97" s="1320"/>
      <c r="BK97" s="1320"/>
      <c r="BL97" s="1320"/>
      <c r="BM97" s="1320"/>
      <c r="BN97" s="1320"/>
      <c r="BO97" s="1320"/>
      <c r="BP97" s="1320"/>
      <c r="BQ97" s="1320"/>
      <c r="BR97" s="1320"/>
      <c r="BS97" s="1320"/>
      <c r="BT97" s="1320"/>
      <c r="BU97" s="1320"/>
      <c r="BV97" s="1320"/>
      <c r="BW97" s="165"/>
      <c r="BX97" s="1369" t="s">
        <v>463</v>
      </c>
      <c r="BY97" s="1369"/>
      <c r="BZ97" s="1369"/>
      <c r="CA97" s="1369"/>
      <c r="CB97" s="1369"/>
      <c r="CC97" s="1369"/>
      <c r="CD97" s="1369"/>
      <c r="CE97" s="1369"/>
      <c r="CF97" s="1369"/>
      <c r="CG97" s="5"/>
      <c r="CH97" s="5"/>
      <c r="CI97" s="5"/>
      <c r="CJ97" s="5"/>
      <c r="CK97" s="5"/>
      <c r="CL97" s="5"/>
      <c r="CM97" s="5"/>
      <c r="CN97" s="5"/>
      <c r="CO97" s="375"/>
      <c r="CP97" s="5"/>
      <c r="CQ97" s="5"/>
      <c r="CR97" s="5"/>
      <c r="CS97" s="5"/>
      <c r="CT97" s="5"/>
      <c r="CU97" s="5"/>
      <c r="CV97" s="5"/>
      <c r="CW97" s="375"/>
      <c r="CX97" s="5"/>
      <c r="CY97" s="5"/>
      <c r="CZ97" s="5"/>
      <c r="DA97" s="5"/>
      <c r="DB97" s="5"/>
      <c r="DC97" s="5"/>
      <c r="DD97" s="5"/>
      <c r="DE97" s="5"/>
      <c r="DF97" s="5"/>
      <c r="DG97" s="5"/>
      <c r="DH97" s="5"/>
      <c r="DI97" s="5"/>
      <c r="DJ97" s="5"/>
      <c r="DK97" s="375"/>
      <c r="DL97" s="5"/>
      <c r="DM97" s="5"/>
      <c r="DN97" s="5"/>
      <c r="DO97" s="5"/>
      <c r="DP97" s="5"/>
      <c r="DQ97" s="5"/>
      <c r="DR97" s="5"/>
      <c r="DS97" s="5"/>
      <c r="DT97" s="7"/>
      <c r="DU97" s="7"/>
      <c r="DV97" s="7"/>
      <c r="DW97" s="7"/>
      <c r="DX97" s="7"/>
      <c r="DY97" s="7"/>
      <c r="DZ97" s="7"/>
      <c r="EA97" s="7"/>
      <c r="EB97" s="7"/>
      <c r="EC97" s="7"/>
      <c r="ED97" s="7"/>
      <c r="EE97" s="7"/>
      <c r="EF97" s="7"/>
      <c r="EG97" s="7"/>
      <c r="EH97" s="7"/>
      <c r="EI97" s="7"/>
      <c r="EJ97" s="7"/>
      <c r="EK97" s="7"/>
      <c r="EL97" s="7"/>
      <c r="EM97" s="7"/>
      <c r="EN97" s="7"/>
      <c r="EO97" s="7"/>
      <c r="EP97" s="7"/>
      <c r="EQ97" s="542"/>
      <c r="ER97" s="542"/>
      <c r="ES97" s="6">
        <f>ES95+1</f>
        <v>34</v>
      </c>
    </row>
    <row r="98" spans="1:149" ht="9.75" customHeight="1" x14ac:dyDescent="0.2">
      <c r="A98" s="5"/>
      <c r="B98" s="1389" t="str">
        <f>IF(CharacterLevel="",'Character Sheet III'!$CF$202,IF(Spellcasting!AO17="•",'Character Sheet III'!$BX$202,'Character Sheet III'!$CF$202))</f>
        <v>□</v>
      </c>
      <c r="C98" s="1389"/>
      <c r="D98" s="1389"/>
      <c r="E98" s="1325" t="str">
        <f>IF(OR(CharacterLevel="",Spellcasting!AQ$17=""),"",VLOOKUP(Spellcasting!AQ$17,Tables!$TK:$UB,Tables!$TN$1,FALSE))</f>
        <v/>
      </c>
      <c r="F98" s="1325"/>
      <c r="G98" s="1325"/>
      <c r="H98" s="1325"/>
      <c r="I98" s="1325"/>
      <c r="J98" s="1325"/>
      <c r="K98" s="1325"/>
      <c r="L98" s="1325"/>
      <c r="M98" s="1325"/>
      <c r="N98" s="1325"/>
      <c r="O98" s="1325"/>
      <c r="P98" s="1325"/>
      <c r="Q98" s="1325"/>
      <c r="R98" s="1325"/>
      <c r="S98" s="1325"/>
      <c r="T98" s="1325"/>
      <c r="U98" s="263"/>
      <c r="V98" s="1048" t="str">
        <f>IF(OR(CharacterLevel="",Spellcasting!AQ$17=""),"",VLOOKUP(Spellcasting!AQ$17,Tables!$TK:$UB,Tables!$TT$1,FALSE))</f>
        <v/>
      </c>
      <c r="W98" s="1048"/>
      <c r="X98" s="1048"/>
      <c r="Y98" s="1048"/>
      <c r="Z98" s="1048"/>
      <c r="AA98" s="263"/>
      <c r="AB98" s="1048" t="str">
        <f>IF(OR(CharacterLevel="",Spellcasting!AQ$17=""),"",VLOOKUP(Spellcasting!AQ$17,Tables!$TK:$UB,Tables!$TU$1,FALSE))</f>
        <v/>
      </c>
      <c r="AC98" s="1048"/>
      <c r="AD98" s="1048"/>
      <c r="AE98" s="1048"/>
      <c r="AF98" s="263"/>
      <c r="AG98" s="1048" t="str">
        <f>IF(OR(CharacterLevel="",Spellcasting!AQ$17=""),"",VLOOKUP(Spellcasting!AQ$17,Tables!$TK:$UB,Tables!$TV$1,FALSE))</f>
        <v/>
      </c>
      <c r="AH98" s="1048"/>
      <c r="AI98" s="1048"/>
      <c r="AJ98" s="1048"/>
      <c r="AK98" s="1048"/>
      <c r="AL98" s="1048"/>
      <c r="AM98" s="261"/>
      <c r="AN98" s="857" t="str">
        <f>IF(OR(CharacterLevel="",Spellcasting!AQ$17=""),"",VLOOKUP(Spellcasting!AQ$17,Tables!$TK:$UB,Tables!$TW$1,FALSE))</f>
        <v/>
      </c>
      <c r="AO98" s="857"/>
      <c r="AP98" s="857"/>
      <c r="AQ98" s="857"/>
      <c r="AR98" s="261"/>
      <c r="AS98" s="1048" t="str">
        <f>IF(OR(CharacterLevel="",Spellcasting!AQ$17=""),"",VLOOKUP(Spellcasting!AQ$17,Tables!$TK:$UB,Tables!$TZ$1,FALSE))</f>
        <v/>
      </c>
      <c r="AT98" s="1048"/>
      <c r="AU98" s="1048"/>
      <c r="AV98" s="1048"/>
      <c r="AW98" s="261"/>
      <c r="AX98" s="1319" t="str">
        <f>IF(OR(CharacterLevel="",Spellcasting!AQ$17=""),"",VLOOKUP(Spellcasting!AQ$17,Tables!$TK:$UB,Tables!$UB$1,FALSE))</f>
        <v/>
      </c>
      <c r="AY98" s="1319"/>
      <c r="AZ98" s="1319"/>
      <c r="BA98" s="1319"/>
      <c r="BB98" s="1319"/>
      <c r="BC98" s="1319"/>
      <c r="BD98" s="1319"/>
      <c r="BE98" s="1319"/>
      <c r="BF98" s="1319"/>
      <c r="BG98" s="1319"/>
      <c r="BH98" s="1319"/>
      <c r="BI98" s="1319"/>
      <c r="BJ98" s="1319"/>
      <c r="BK98" s="1319"/>
      <c r="BL98" s="1319"/>
      <c r="BM98" s="1319"/>
      <c r="BN98" s="1319"/>
      <c r="BO98" s="1319"/>
      <c r="BP98" s="1319"/>
      <c r="BQ98" s="1319"/>
      <c r="BR98" s="1319"/>
      <c r="BS98" s="1319"/>
      <c r="BT98" s="1319"/>
      <c r="BU98" s="1319"/>
      <c r="BV98" s="1319"/>
      <c r="BW98" s="165"/>
      <c r="BX98" s="1369"/>
      <c r="BY98" s="1369"/>
      <c r="BZ98" s="1369"/>
      <c r="CA98" s="1369"/>
      <c r="CB98" s="1369"/>
      <c r="CC98" s="1369"/>
      <c r="CD98" s="1369"/>
      <c r="CE98" s="1369"/>
      <c r="CF98" s="1369"/>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7"/>
      <c r="DU98" s="7"/>
      <c r="DV98" s="7"/>
      <c r="DW98" s="7"/>
      <c r="DX98" s="7"/>
      <c r="DY98" s="7"/>
      <c r="DZ98" s="7"/>
      <c r="EA98" s="7"/>
      <c r="EB98" s="7"/>
      <c r="EC98" s="7"/>
      <c r="ED98" s="7"/>
      <c r="EE98" s="7"/>
      <c r="EF98" s="7"/>
      <c r="EG98" s="7"/>
      <c r="EH98" s="7"/>
      <c r="EI98" s="7"/>
      <c r="EJ98" s="7"/>
      <c r="EK98" s="7"/>
      <c r="EL98" s="7"/>
      <c r="EM98" s="7"/>
      <c r="EN98" s="7"/>
      <c r="EO98" s="7"/>
      <c r="EP98" s="7"/>
      <c r="EQ98" s="542"/>
      <c r="ER98" s="542"/>
    </row>
    <row r="99" spans="1:149" ht="9.75" customHeight="1" x14ac:dyDescent="0.25">
      <c r="A99" s="5"/>
      <c r="B99" s="1389"/>
      <c r="C99" s="1389"/>
      <c r="D99" s="1389"/>
      <c r="E99" s="1325" t="str">
        <f>IF(OR(CharacterLevel="",Spellcasting!AQ33=""),"",VLOOKUP(Spellcasting!AQ33,Tables!TK:UB,Tables!$TN$1,FALSE))</f>
        <v/>
      </c>
      <c r="F99" s="1325"/>
      <c r="G99" s="1325"/>
      <c r="H99" s="1325"/>
      <c r="I99" s="1325"/>
      <c r="J99" s="1325"/>
      <c r="K99" s="1325"/>
      <c r="L99" s="1325"/>
      <c r="M99" s="1325"/>
      <c r="N99" s="1325"/>
      <c r="O99" s="1325"/>
      <c r="P99" s="1325"/>
      <c r="Q99" s="1325"/>
      <c r="R99" s="1325"/>
      <c r="S99" s="1325"/>
      <c r="T99" s="1325"/>
      <c r="U99" s="263"/>
      <c r="V99" s="1321"/>
      <c r="W99" s="1321"/>
      <c r="X99" s="1321"/>
      <c r="Y99" s="1321"/>
      <c r="Z99" s="1321"/>
      <c r="AA99" s="263"/>
      <c r="AB99" s="1321"/>
      <c r="AC99" s="1321"/>
      <c r="AD99" s="1321"/>
      <c r="AE99" s="1321"/>
      <c r="AF99" s="263"/>
      <c r="AG99" s="1321"/>
      <c r="AH99" s="1321"/>
      <c r="AI99" s="1321"/>
      <c r="AJ99" s="1321"/>
      <c r="AK99" s="1321"/>
      <c r="AL99" s="1321"/>
      <c r="AM99" s="263"/>
      <c r="AN99" s="1326"/>
      <c r="AO99" s="1326"/>
      <c r="AP99" s="1326"/>
      <c r="AQ99" s="1326"/>
      <c r="AR99" s="263"/>
      <c r="AS99" s="1321"/>
      <c r="AT99" s="1321"/>
      <c r="AU99" s="1321"/>
      <c r="AV99" s="1321"/>
      <c r="AW99" s="263"/>
      <c r="AX99" s="1320"/>
      <c r="AY99" s="1320"/>
      <c r="AZ99" s="1320"/>
      <c r="BA99" s="1320"/>
      <c r="BB99" s="1320"/>
      <c r="BC99" s="1320"/>
      <c r="BD99" s="1320"/>
      <c r="BE99" s="1320"/>
      <c r="BF99" s="1320"/>
      <c r="BG99" s="1320"/>
      <c r="BH99" s="1320"/>
      <c r="BI99" s="1320"/>
      <c r="BJ99" s="1320"/>
      <c r="BK99" s="1320"/>
      <c r="BL99" s="1320"/>
      <c r="BM99" s="1320"/>
      <c r="BN99" s="1320"/>
      <c r="BO99" s="1320"/>
      <c r="BP99" s="1320"/>
      <c r="BQ99" s="1320"/>
      <c r="BR99" s="1320"/>
      <c r="BS99" s="1320"/>
      <c r="BT99" s="1320"/>
      <c r="BU99" s="1320"/>
      <c r="BV99" s="1320"/>
      <c r="BW99" s="165"/>
      <c r="BX99" s="857" t="s">
        <v>455</v>
      </c>
      <c r="BY99" s="857"/>
      <c r="BZ99" s="857"/>
      <c r="CA99" s="857" t="s">
        <v>456</v>
      </c>
      <c r="CB99" s="857"/>
      <c r="CC99" s="857"/>
      <c r="CD99" s="857"/>
      <c r="CE99" s="857"/>
      <c r="CF99" s="857"/>
      <c r="CG99" s="857"/>
      <c r="CH99" s="857"/>
      <c r="CI99" s="857"/>
      <c r="CJ99" s="857"/>
      <c r="CK99" s="857"/>
      <c r="CL99" s="857"/>
      <c r="CM99" s="857"/>
      <c r="CN99" s="857"/>
      <c r="CO99" s="857"/>
      <c r="CP99" s="857"/>
      <c r="CQ99" s="377"/>
      <c r="CR99" s="848" t="s">
        <v>452</v>
      </c>
      <c r="CS99" s="848"/>
      <c r="CT99" s="848"/>
      <c r="CU99" s="848"/>
      <c r="CV99" s="848"/>
      <c r="CW99" s="377"/>
      <c r="CX99" s="848" t="s">
        <v>48</v>
      </c>
      <c r="CY99" s="848"/>
      <c r="CZ99" s="848"/>
      <c r="DA99" s="848"/>
      <c r="DB99" s="377"/>
      <c r="DC99" s="848" t="s">
        <v>453</v>
      </c>
      <c r="DD99" s="848"/>
      <c r="DE99" s="848"/>
      <c r="DF99" s="848"/>
      <c r="DG99" s="848"/>
      <c r="DH99" s="848"/>
      <c r="DI99" s="848" t="s">
        <v>454</v>
      </c>
      <c r="DJ99" s="848"/>
      <c r="DK99" s="848"/>
      <c r="DL99" s="848"/>
      <c r="DM99" s="848"/>
      <c r="DN99" s="848"/>
      <c r="DO99" s="848" t="s">
        <v>9</v>
      </c>
      <c r="DP99" s="848"/>
      <c r="DQ99" s="848"/>
      <c r="DR99" s="848"/>
      <c r="DS99" s="259"/>
      <c r="DT99" s="946" t="s">
        <v>457</v>
      </c>
      <c r="DU99" s="946"/>
      <c r="DV99" s="946"/>
      <c r="DW99" s="946"/>
      <c r="DX99" s="946"/>
      <c r="DY99" s="946"/>
      <c r="DZ99" s="946"/>
      <c r="EA99" s="946"/>
      <c r="EB99" s="946"/>
      <c r="EC99" s="946"/>
      <c r="ED99" s="946"/>
      <c r="EE99" s="946"/>
      <c r="EF99" s="946"/>
      <c r="EG99" s="946"/>
      <c r="EH99" s="946"/>
      <c r="EI99" s="946"/>
      <c r="EJ99" s="946"/>
      <c r="EK99" s="946"/>
      <c r="EL99" s="946"/>
      <c r="EM99" s="946"/>
      <c r="EN99" s="946"/>
      <c r="EO99" s="946"/>
      <c r="EP99" s="946"/>
      <c r="EQ99" s="946"/>
      <c r="ER99" s="946"/>
      <c r="ES99" s="6">
        <f>ES97+1</f>
        <v>35</v>
      </c>
    </row>
    <row r="100" spans="1:149" ht="9.75" customHeight="1" x14ac:dyDescent="0.25">
      <c r="A100" s="5"/>
      <c r="B100" s="1389" t="str">
        <f>IF(CharacterLevel="",'Character Sheet III'!$CF$202,IF(Spellcasting!AO18="•",'Character Sheet III'!$BX$202,'Character Sheet III'!$CF$202))</f>
        <v>□</v>
      </c>
      <c r="C100" s="1389"/>
      <c r="D100" s="1389"/>
      <c r="E100" s="1325" t="str">
        <f>IF(OR(CharacterLevel="",Spellcasting!AQ$18=""),"",VLOOKUP(Spellcasting!AQ$18,Tables!$TK:$UB,Tables!$TN$1,FALSE))</f>
        <v/>
      </c>
      <c r="F100" s="1325"/>
      <c r="G100" s="1325"/>
      <c r="H100" s="1325"/>
      <c r="I100" s="1325"/>
      <c r="J100" s="1325"/>
      <c r="K100" s="1325"/>
      <c r="L100" s="1325"/>
      <c r="M100" s="1325"/>
      <c r="N100" s="1325"/>
      <c r="O100" s="1325"/>
      <c r="P100" s="1325"/>
      <c r="Q100" s="1325"/>
      <c r="R100" s="1325"/>
      <c r="S100" s="1325"/>
      <c r="T100" s="1325"/>
      <c r="U100" s="263"/>
      <c r="V100" s="1048" t="str">
        <f>IF(OR(CharacterLevel="",Spellcasting!AQ$18=""),"",VLOOKUP(Spellcasting!AQ$18,Tables!$TK:$UB,Tables!$TT$1,FALSE))</f>
        <v/>
      </c>
      <c r="W100" s="1048"/>
      <c r="X100" s="1048"/>
      <c r="Y100" s="1048"/>
      <c r="Z100" s="1048"/>
      <c r="AA100" s="263"/>
      <c r="AB100" s="1048" t="str">
        <f>IF(OR(CharacterLevel="",Spellcasting!AQ$18=""),"",VLOOKUP(Spellcasting!AQ$18,Tables!$TK:$UB,Tables!$TU$1,FALSE))</f>
        <v/>
      </c>
      <c r="AC100" s="1048"/>
      <c r="AD100" s="1048"/>
      <c r="AE100" s="1048"/>
      <c r="AF100" s="263"/>
      <c r="AG100" s="1048" t="str">
        <f>IF(OR(CharacterLevel="",Spellcasting!AQ$18=""),"",VLOOKUP(Spellcasting!AQ$18,Tables!$TK:$UB,Tables!$TV$1,FALSE))</f>
        <v/>
      </c>
      <c r="AH100" s="1048"/>
      <c r="AI100" s="1048"/>
      <c r="AJ100" s="1048"/>
      <c r="AK100" s="1048"/>
      <c r="AL100" s="1048"/>
      <c r="AM100" s="261"/>
      <c r="AN100" s="857" t="str">
        <f>IF(OR(CharacterLevel="",Spellcasting!AQ$18=""),"",VLOOKUP(Spellcasting!AQ$18,Tables!$TK:$UB,Tables!$TW$1,FALSE))</f>
        <v/>
      </c>
      <c r="AO100" s="857"/>
      <c r="AP100" s="857"/>
      <c r="AQ100" s="857"/>
      <c r="AR100" s="261"/>
      <c r="AS100" s="1048" t="str">
        <f>IF(OR(CharacterLevel="",Spellcasting!AQ$18=""),"",VLOOKUP(Spellcasting!AQ$18,Tables!$TK:$UB,Tables!$TZ$1,FALSE))</f>
        <v/>
      </c>
      <c r="AT100" s="1048"/>
      <c r="AU100" s="1048"/>
      <c r="AV100" s="1048"/>
      <c r="AW100" s="261"/>
      <c r="AX100" s="1319" t="str">
        <f>IF(OR(CharacterLevel="",Spellcasting!AQ$18=""),"",VLOOKUP(Spellcasting!AQ$18,Tables!$TK:$UB,Tables!$UB$1,FALSE))</f>
        <v/>
      </c>
      <c r="AY100" s="1319"/>
      <c r="AZ100" s="1319"/>
      <c r="BA100" s="1319"/>
      <c r="BB100" s="1319"/>
      <c r="BC100" s="1319"/>
      <c r="BD100" s="1319"/>
      <c r="BE100" s="1319"/>
      <c r="BF100" s="1319"/>
      <c r="BG100" s="1319"/>
      <c r="BH100" s="1319"/>
      <c r="BI100" s="1319"/>
      <c r="BJ100" s="1319"/>
      <c r="BK100" s="1319"/>
      <c r="BL100" s="1319"/>
      <c r="BM100" s="1319"/>
      <c r="BN100" s="1319"/>
      <c r="BO100" s="1319"/>
      <c r="BP100" s="1319"/>
      <c r="BQ100" s="1319"/>
      <c r="BR100" s="1319"/>
      <c r="BS100" s="1319"/>
      <c r="BT100" s="1319"/>
      <c r="BU100" s="1319"/>
      <c r="BV100" s="1319"/>
      <c r="BW100" s="165"/>
      <c r="BX100" s="857"/>
      <c r="BY100" s="857"/>
      <c r="BZ100" s="857"/>
      <c r="CA100" s="857"/>
      <c r="CB100" s="857"/>
      <c r="CC100" s="857"/>
      <c r="CD100" s="857"/>
      <c r="CE100" s="857"/>
      <c r="CF100" s="857"/>
      <c r="CG100" s="857"/>
      <c r="CH100" s="857"/>
      <c r="CI100" s="857"/>
      <c r="CJ100" s="857"/>
      <c r="CK100" s="857"/>
      <c r="CL100" s="857"/>
      <c r="CM100" s="857"/>
      <c r="CN100" s="857"/>
      <c r="CO100" s="857"/>
      <c r="CP100" s="857"/>
      <c r="CQ100" s="377"/>
      <c r="CR100" s="848"/>
      <c r="CS100" s="848"/>
      <c r="CT100" s="848"/>
      <c r="CU100" s="848"/>
      <c r="CV100" s="848"/>
      <c r="CW100" s="377"/>
      <c r="CX100" s="848"/>
      <c r="CY100" s="848"/>
      <c r="CZ100" s="848"/>
      <c r="DA100" s="848"/>
      <c r="DB100" s="377"/>
      <c r="DC100" s="848"/>
      <c r="DD100" s="848"/>
      <c r="DE100" s="848"/>
      <c r="DF100" s="848"/>
      <c r="DG100" s="848"/>
      <c r="DH100" s="848"/>
      <c r="DI100" s="848"/>
      <c r="DJ100" s="848"/>
      <c r="DK100" s="848"/>
      <c r="DL100" s="848"/>
      <c r="DM100" s="848"/>
      <c r="DN100" s="848"/>
      <c r="DO100" s="848"/>
      <c r="DP100" s="848"/>
      <c r="DQ100" s="848"/>
      <c r="DR100" s="848"/>
      <c r="DS100" s="260"/>
      <c r="DT100" s="946"/>
      <c r="DU100" s="946"/>
      <c r="DV100" s="946"/>
      <c r="DW100" s="946"/>
      <c r="DX100" s="946"/>
      <c r="DY100" s="946"/>
      <c r="DZ100" s="946"/>
      <c r="EA100" s="946"/>
      <c r="EB100" s="946"/>
      <c r="EC100" s="946"/>
      <c r="ED100" s="946"/>
      <c r="EE100" s="946"/>
      <c r="EF100" s="946"/>
      <c r="EG100" s="946"/>
      <c r="EH100" s="946"/>
      <c r="EI100" s="946"/>
      <c r="EJ100" s="946"/>
      <c r="EK100" s="946"/>
      <c r="EL100" s="946"/>
      <c r="EM100" s="946"/>
      <c r="EN100" s="946"/>
      <c r="EO100" s="946"/>
      <c r="EP100" s="946"/>
      <c r="EQ100" s="946"/>
      <c r="ER100" s="946"/>
    </row>
    <row r="101" spans="1:149" ht="9.75" customHeight="1" x14ac:dyDescent="0.2">
      <c r="A101" s="5"/>
      <c r="B101" s="1389"/>
      <c r="C101" s="1389"/>
      <c r="D101" s="1389"/>
      <c r="E101" s="1325" t="str">
        <f>IF(OR(CharacterLevel="",Spellcasting!AQ35=""),"",VLOOKUP(Spellcasting!AQ35,Tables!TK:UB,Tables!$TN$1,FALSE))</f>
        <v/>
      </c>
      <c r="F101" s="1325"/>
      <c r="G101" s="1325"/>
      <c r="H101" s="1325"/>
      <c r="I101" s="1325"/>
      <c r="J101" s="1325"/>
      <c r="K101" s="1325"/>
      <c r="L101" s="1325"/>
      <c r="M101" s="1325"/>
      <c r="N101" s="1325"/>
      <c r="O101" s="1325"/>
      <c r="P101" s="1325"/>
      <c r="Q101" s="1325"/>
      <c r="R101" s="1325"/>
      <c r="S101" s="1325"/>
      <c r="T101" s="1325"/>
      <c r="U101" s="263"/>
      <c r="V101" s="1321"/>
      <c r="W101" s="1321"/>
      <c r="X101" s="1321"/>
      <c r="Y101" s="1321"/>
      <c r="Z101" s="1321"/>
      <c r="AA101" s="263"/>
      <c r="AB101" s="1321"/>
      <c r="AC101" s="1321"/>
      <c r="AD101" s="1321"/>
      <c r="AE101" s="1321"/>
      <c r="AF101" s="263"/>
      <c r="AG101" s="1321"/>
      <c r="AH101" s="1321"/>
      <c r="AI101" s="1321"/>
      <c r="AJ101" s="1321"/>
      <c r="AK101" s="1321"/>
      <c r="AL101" s="1321"/>
      <c r="AM101" s="263"/>
      <c r="AN101" s="1326"/>
      <c r="AO101" s="1326"/>
      <c r="AP101" s="1326"/>
      <c r="AQ101" s="1326"/>
      <c r="AR101" s="263"/>
      <c r="AS101" s="1321"/>
      <c r="AT101" s="1321"/>
      <c r="AU101" s="1321"/>
      <c r="AV101" s="1321"/>
      <c r="AW101" s="263"/>
      <c r="AX101" s="1320"/>
      <c r="AY101" s="1320"/>
      <c r="AZ101" s="1320"/>
      <c r="BA101" s="1320"/>
      <c r="BB101" s="1320"/>
      <c r="BC101" s="1320"/>
      <c r="BD101" s="1320"/>
      <c r="BE101" s="1320"/>
      <c r="BF101" s="1320"/>
      <c r="BG101" s="1320"/>
      <c r="BH101" s="1320"/>
      <c r="BI101" s="1320"/>
      <c r="BJ101" s="1320"/>
      <c r="BK101" s="1320"/>
      <c r="BL101" s="1320"/>
      <c r="BM101" s="1320"/>
      <c r="BN101" s="1320"/>
      <c r="BO101" s="1320"/>
      <c r="BP101" s="1320"/>
      <c r="BQ101" s="1320"/>
      <c r="BR101" s="1320"/>
      <c r="BS101" s="1320"/>
      <c r="BT101" s="1320"/>
      <c r="BU101" s="1320"/>
      <c r="BV101" s="1320"/>
      <c r="BW101" s="165"/>
      <c r="BX101" s="1324" t="str">
        <f>IF(CharacterLevel="",'Character Sheet III'!$CF$202,IF(Spellcasting!AO33="•",'Character Sheet III'!$BX$202,'Character Sheet III'!$CF$202))</f>
        <v>□</v>
      </c>
      <c r="BY101" s="1324"/>
      <c r="BZ101" s="1324"/>
      <c r="CA101" s="1319" t="str">
        <f>IF(OR(CharacterLevel="",Spellcasting!AQ$33=""),"",VLOOKUP(Spellcasting!AQ$33,Tables!$TK:$UB,Tables!$TN$1,FALSE))</f>
        <v/>
      </c>
      <c r="CB101" s="1319"/>
      <c r="CC101" s="1319"/>
      <c r="CD101" s="1319"/>
      <c r="CE101" s="1319"/>
      <c r="CF101" s="1319"/>
      <c r="CG101" s="1319"/>
      <c r="CH101" s="1319"/>
      <c r="CI101" s="1319"/>
      <c r="CJ101" s="1319"/>
      <c r="CK101" s="1319"/>
      <c r="CL101" s="1319"/>
      <c r="CM101" s="1319"/>
      <c r="CN101" s="1319"/>
      <c r="CO101" s="1319"/>
      <c r="CP101" s="1319"/>
      <c r="CQ101" s="263"/>
      <c r="CR101" s="1048" t="str">
        <f>IF(OR(CharacterLevel="",Spellcasting!AQ$33=""),"",VLOOKUP(Spellcasting!AQ$33,Tables!$TK:$UB,Tables!$TT$1,FALSE))</f>
        <v/>
      </c>
      <c r="CS101" s="1048"/>
      <c r="CT101" s="1048"/>
      <c r="CU101" s="1048"/>
      <c r="CV101" s="1048"/>
      <c r="CW101" s="263"/>
      <c r="CX101" s="1048" t="str">
        <f>IF(OR(CharacterLevel="",Spellcasting!AQ$33=""),"",VLOOKUP(Spellcasting!AQ$33,Tables!$TK:$UB,Tables!$TU$1,FALSE))</f>
        <v/>
      </c>
      <c r="CY101" s="1048"/>
      <c r="CZ101" s="1048"/>
      <c r="DA101" s="1048"/>
      <c r="DB101" s="263"/>
      <c r="DC101" s="1048" t="str">
        <f>IF(OR(CharacterLevel="",Spellcasting!AQ$33=""),"",VLOOKUP(Spellcasting!AQ$33,Tables!$TK:$UB,Tables!$TV$1,FALSE))</f>
        <v/>
      </c>
      <c r="DD101" s="1048"/>
      <c r="DE101" s="1048"/>
      <c r="DF101" s="1048"/>
      <c r="DG101" s="1048"/>
      <c r="DH101" s="1048"/>
      <c r="DI101" s="261"/>
      <c r="DJ101" s="1048" t="str">
        <f>IF(OR(CharacterLevel="",Spellcasting!AQ$33=""),"",VLOOKUP(Spellcasting!AQ$33,Tables!$TK:$UB,Tables!$TW$1,FALSE))</f>
        <v/>
      </c>
      <c r="DK101" s="1048"/>
      <c r="DL101" s="1048"/>
      <c r="DM101" s="1048"/>
      <c r="DN101" s="261"/>
      <c r="DO101" s="1048" t="str">
        <f>IF(OR(CharacterLevel="",Spellcasting!AQ$33=""),"",VLOOKUP(Spellcasting!AQ$33,Tables!$TK:$UB,Tables!$TZ$1,FALSE))</f>
        <v/>
      </c>
      <c r="DP101" s="1048"/>
      <c r="DQ101" s="1048"/>
      <c r="DR101" s="1048"/>
      <c r="DS101" s="261"/>
      <c r="DT101" s="1319" t="str">
        <f>IF(OR(CharacterLevel="",Spellcasting!AQ$33=""),"",VLOOKUP(Spellcasting!AQ$33,Tables!$TK:$UB,Tables!$UB$1,FALSE))</f>
        <v/>
      </c>
      <c r="DU101" s="1319"/>
      <c r="DV101" s="1319"/>
      <c r="DW101" s="1319"/>
      <c r="DX101" s="1319"/>
      <c r="DY101" s="1319"/>
      <c r="DZ101" s="1319"/>
      <c r="EA101" s="1319"/>
      <c r="EB101" s="1319"/>
      <c r="EC101" s="1319"/>
      <c r="ED101" s="1319"/>
      <c r="EE101" s="1319"/>
      <c r="EF101" s="1319"/>
      <c r="EG101" s="1319"/>
      <c r="EH101" s="1319"/>
      <c r="EI101" s="1319"/>
      <c r="EJ101" s="1319"/>
      <c r="EK101" s="1319"/>
      <c r="EL101" s="1319"/>
      <c r="EM101" s="1319"/>
      <c r="EN101" s="1319"/>
      <c r="EO101" s="1319"/>
      <c r="EP101" s="1319"/>
      <c r="EQ101" s="1319"/>
      <c r="ER101" s="1319"/>
      <c r="ES101" s="6">
        <f>ES99+1</f>
        <v>36</v>
      </c>
    </row>
    <row r="102" spans="1:149" ht="9.75" customHeight="1" x14ac:dyDescent="0.2">
      <c r="A102" s="5"/>
      <c r="B102" s="1389" t="str">
        <f>IF(CharacterLevel="",'Character Sheet III'!$CF$202,IF(Spellcasting!AO19="•",'Character Sheet III'!$BX$202,'Character Sheet III'!$CF$202))</f>
        <v>□</v>
      </c>
      <c r="C102" s="1389"/>
      <c r="D102" s="1389"/>
      <c r="E102" s="1325" t="str">
        <f>IF(OR(CharacterLevel="",Spellcasting!AQ$19=""),"",VLOOKUP(Spellcasting!AQ$19,Tables!$TK:$UB,Tables!$TN$1,FALSE))</f>
        <v/>
      </c>
      <c r="F102" s="1325"/>
      <c r="G102" s="1325"/>
      <c r="H102" s="1325"/>
      <c r="I102" s="1325"/>
      <c r="J102" s="1325"/>
      <c r="K102" s="1325"/>
      <c r="L102" s="1325"/>
      <c r="M102" s="1325"/>
      <c r="N102" s="1325"/>
      <c r="O102" s="1325"/>
      <c r="P102" s="1325"/>
      <c r="Q102" s="1325"/>
      <c r="R102" s="1325"/>
      <c r="S102" s="1325"/>
      <c r="T102" s="1325"/>
      <c r="U102" s="263"/>
      <c r="V102" s="1048" t="str">
        <f>IF(OR(CharacterLevel="",Spellcasting!AQ$19=""),"",VLOOKUP(Spellcasting!AQ$19,Tables!$TK:$UB,Tables!$TT$1,FALSE))</f>
        <v/>
      </c>
      <c r="W102" s="1048"/>
      <c r="X102" s="1048"/>
      <c r="Y102" s="1048"/>
      <c r="Z102" s="1048"/>
      <c r="AA102" s="263"/>
      <c r="AB102" s="1048" t="str">
        <f>IF(OR(CharacterLevel="",Spellcasting!AQ$19=""),"",VLOOKUP(Spellcasting!AQ$19,Tables!$TK:$UB,Tables!$TU$1,FALSE))</f>
        <v/>
      </c>
      <c r="AC102" s="1048"/>
      <c r="AD102" s="1048"/>
      <c r="AE102" s="1048"/>
      <c r="AF102" s="263"/>
      <c r="AG102" s="1048" t="str">
        <f>IF(OR(CharacterLevel="",Spellcasting!AQ$19=""),"",VLOOKUP(Spellcasting!AQ$19,Tables!$TK:$UB,Tables!$TV$1,FALSE))</f>
        <v/>
      </c>
      <c r="AH102" s="1048"/>
      <c r="AI102" s="1048"/>
      <c r="AJ102" s="1048"/>
      <c r="AK102" s="1048"/>
      <c r="AL102" s="1048"/>
      <c r="AM102" s="261"/>
      <c r="AN102" s="857" t="str">
        <f>IF(OR(CharacterLevel="",Spellcasting!AQ$19=""),"",VLOOKUP(Spellcasting!AQ$19,Tables!$TK:$UB,Tables!$TW$1,FALSE))</f>
        <v/>
      </c>
      <c r="AO102" s="857"/>
      <c r="AP102" s="857"/>
      <c r="AQ102" s="857"/>
      <c r="AR102" s="261"/>
      <c r="AS102" s="1048" t="str">
        <f>IF(OR(CharacterLevel="",Spellcasting!AQ$19=""),"",VLOOKUP(Spellcasting!AQ$19,Tables!$TK:$UB,Tables!$TZ$1,FALSE))</f>
        <v/>
      </c>
      <c r="AT102" s="1048"/>
      <c r="AU102" s="1048"/>
      <c r="AV102" s="1048"/>
      <c r="AW102" s="261"/>
      <c r="AX102" s="1319" t="str">
        <f>IF(OR(CharacterLevel="",Spellcasting!AQ$19=""),"",VLOOKUP(Spellcasting!AQ$19,Tables!$TK:$UB,Tables!$UB$1,FALSE))</f>
        <v/>
      </c>
      <c r="AY102" s="1319"/>
      <c r="AZ102" s="1319"/>
      <c r="BA102" s="1319"/>
      <c r="BB102" s="1319"/>
      <c r="BC102" s="1319"/>
      <c r="BD102" s="1319"/>
      <c r="BE102" s="1319"/>
      <c r="BF102" s="1319"/>
      <c r="BG102" s="1319"/>
      <c r="BH102" s="1319"/>
      <c r="BI102" s="1319"/>
      <c r="BJ102" s="1319"/>
      <c r="BK102" s="1319"/>
      <c r="BL102" s="1319"/>
      <c r="BM102" s="1319"/>
      <c r="BN102" s="1319"/>
      <c r="BO102" s="1319"/>
      <c r="BP102" s="1319"/>
      <c r="BQ102" s="1319"/>
      <c r="BR102" s="1319"/>
      <c r="BS102" s="1319"/>
      <c r="BT102" s="1319"/>
      <c r="BU102" s="1319"/>
      <c r="BV102" s="1319"/>
      <c r="BW102" s="5"/>
      <c r="BX102" s="1324"/>
      <c r="BY102" s="1324"/>
      <c r="BZ102" s="1324"/>
      <c r="CA102" s="1320"/>
      <c r="CB102" s="1320"/>
      <c r="CC102" s="1320"/>
      <c r="CD102" s="1320"/>
      <c r="CE102" s="1320"/>
      <c r="CF102" s="1320"/>
      <c r="CG102" s="1320"/>
      <c r="CH102" s="1320"/>
      <c r="CI102" s="1320"/>
      <c r="CJ102" s="1320"/>
      <c r="CK102" s="1320"/>
      <c r="CL102" s="1320"/>
      <c r="CM102" s="1320"/>
      <c r="CN102" s="1320"/>
      <c r="CO102" s="1320"/>
      <c r="CP102" s="1320"/>
      <c r="CQ102" s="263"/>
      <c r="CR102" s="1321"/>
      <c r="CS102" s="1321"/>
      <c r="CT102" s="1321"/>
      <c r="CU102" s="1321"/>
      <c r="CV102" s="1321"/>
      <c r="CW102" s="5"/>
      <c r="CX102" s="1321"/>
      <c r="CY102" s="1321"/>
      <c r="CZ102" s="1321"/>
      <c r="DA102" s="1321"/>
      <c r="DB102" s="5"/>
      <c r="DC102" s="1321"/>
      <c r="DD102" s="1321"/>
      <c r="DE102" s="1321"/>
      <c r="DF102" s="1321"/>
      <c r="DG102" s="1321"/>
      <c r="DH102" s="1321"/>
      <c r="DI102" s="5"/>
      <c r="DJ102" s="1321"/>
      <c r="DK102" s="1321"/>
      <c r="DL102" s="1321"/>
      <c r="DM102" s="1321"/>
      <c r="DN102" s="5"/>
      <c r="DO102" s="1321"/>
      <c r="DP102" s="1321"/>
      <c r="DQ102" s="1321"/>
      <c r="DR102" s="1321"/>
      <c r="DS102" s="5"/>
      <c r="DT102" s="1320"/>
      <c r="DU102" s="1320"/>
      <c r="DV102" s="1320"/>
      <c r="DW102" s="1320"/>
      <c r="DX102" s="1320"/>
      <c r="DY102" s="1320"/>
      <c r="DZ102" s="1320"/>
      <c r="EA102" s="1320"/>
      <c r="EB102" s="1320"/>
      <c r="EC102" s="1320"/>
      <c r="ED102" s="1320"/>
      <c r="EE102" s="1320"/>
      <c r="EF102" s="1320"/>
      <c r="EG102" s="1320"/>
      <c r="EH102" s="1320"/>
      <c r="EI102" s="1320"/>
      <c r="EJ102" s="1320"/>
      <c r="EK102" s="1320"/>
      <c r="EL102" s="1320"/>
      <c r="EM102" s="1320"/>
      <c r="EN102" s="1320"/>
      <c r="EO102" s="1320"/>
      <c r="EP102" s="1320"/>
      <c r="EQ102" s="1320"/>
      <c r="ER102" s="1320"/>
    </row>
    <row r="103" spans="1:149" ht="9.75" customHeight="1" x14ac:dyDescent="0.2">
      <c r="A103" s="5"/>
      <c r="B103" s="1389"/>
      <c r="C103" s="1389"/>
      <c r="D103" s="1389"/>
      <c r="E103" s="1325" t="str">
        <f>IF(OR(CharacterLevel="",Spellcasting!AQ37=""),"",VLOOKUP(Spellcasting!AQ37,Tables!TK:UB,Tables!$TN$1,FALSE))</f>
        <v/>
      </c>
      <c r="F103" s="1325"/>
      <c r="G103" s="1325"/>
      <c r="H103" s="1325"/>
      <c r="I103" s="1325"/>
      <c r="J103" s="1325"/>
      <c r="K103" s="1325"/>
      <c r="L103" s="1325"/>
      <c r="M103" s="1325"/>
      <c r="N103" s="1325"/>
      <c r="O103" s="1325"/>
      <c r="P103" s="1325"/>
      <c r="Q103" s="1325"/>
      <c r="R103" s="1325"/>
      <c r="S103" s="1325"/>
      <c r="T103" s="1325"/>
      <c r="U103" s="263"/>
      <c r="V103" s="1321"/>
      <c r="W103" s="1321"/>
      <c r="X103" s="1321"/>
      <c r="Y103" s="1321"/>
      <c r="Z103" s="1321"/>
      <c r="AA103" s="263"/>
      <c r="AB103" s="1321"/>
      <c r="AC103" s="1321"/>
      <c r="AD103" s="1321"/>
      <c r="AE103" s="1321"/>
      <c r="AF103" s="263"/>
      <c r="AG103" s="1321"/>
      <c r="AH103" s="1321"/>
      <c r="AI103" s="1321"/>
      <c r="AJ103" s="1321"/>
      <c r="AK103" s="1321"/>
      <c r="AL103" s="1321"/>
      <c r="AM103" s="263"/>
      <c r="AN103" s="1326"/>
      <c r="AO103" s="1326"/>
      <c r="AP103" s="1326"/>
      <c r="AQ103" s="1326"/>
      <c r="AR103" s="263"/>
      <c r="AS103" s="1321"/>
      <c r="AT103" s="1321"/>
      <c r="AU103" s="1321"/>
      <c r="AV103" s="1321"/>
      <c r="AW103" s="263"/>
      <c r="AX103" s="1320"/>
      <c r="AY103" s="1320"/>
      <c r="AZ103" s="1320"/>
      <c r="BA103" s="1320"/>
      <c r="BB103" s="1320"/>
      <c r="BC103" s="1320"/>
      <c r="BD103" s="1320"/>
      <c r="BE103" s="1320"/>
      <c r="BF103" s="1320"/>
      <c r="BG103" s="1320"/>
      <c r="BH103" s="1320"/>
      <c r="BI103" s="1320"/>
      <c r="BJ103" s="1320"/>
      <c r="BK103" s="1320"/>
      <c r="BL103" s="1320"/>
      <c r="BM103" s="1320"/>
      <c r="BN103" s="1320"/>
      <c r="BO103" s="1320"/>
      <c r="BP103" s="1320"/>
      <c r="BQ103" s="1320"/>
      <c r="BR103" s="1320"/>
      <c r="BS103" s="1320"/>
      <c r="BT103" s="1320"/>
      <c r="BU103" s="1320"/>
      <c r="BV103" s="1320"/>
      <c r="BW103" s="5"/>
      <c r="BX103" s="1324" t="str">
        <f>IF(CharacterLevel="",'Character Sheet III'!$CF$202,IF(Spellcasting!AO34="•",'Character Sheet III'!$BX$202,'Character Sheet III'!$CF$202))</f>
        <v>□</v>
      </c>
      <c r="BY103" s="1324"/>
      <c r="BZ103" s="1324"/>
      <c r="CA103" s="1325" t="str">
        <f>IF(OR(CharacterLevel="",Spellcasting!AQ$34=""),"",VLOOKUP(Spellcasting!AQ$34,Tables!$TK:$UB,Tables!$TN$1,FALSE))</f>
        <v/>
      </c>
      <c r="CB103" s="1325"/>
      <c r="CC103" s="1325"/>
      <c r="CD103" s="1325"/>
      <c r="CE103" s="1325"/>
      <c r="CF103" s="1325"/>
      <c r="CG103" s="1325"/>
      <c r="CH103" s="1325"/>
      <c r="CI103" s="1325"/>
      <c r="CJ103" s="1325"/>
      <c r="CK103" s="1325"/>
      <c r="CL103" s="1325"/>
      <c r="CM103" s="1325"/>
      <c r="CN103" s="1325"/>
      <c r="CO103" s="1325"/>
      <c r="CP103" s="1325"/>
      <c r="CQ103" s="263"/>
      <c r="CR103" s="1048" t="str">
        <f>IF(OR(CharacterLevel="",Spellcasting!AQ$34=""),"",VLOOKUP(Spellcasting!AQ$34,Tables!$TK:$UB,Tables!$TT$1,FALSE))</f>
        <v/>
      </c>
      <c r="CS103" s="1048"/>
      <c r="CT103" s="1048"/>
      <c r="CU103" s="1048"/>
      <c r="CV103" s="1048"/>
      <c r="CW103" s="263"/>
      <c r="CX103" s="1048" t="str">
        <f>IF(OR(CharacterLevel="",Spellcasting!AQ$34=""),"",VLOOKUP(Spellcasting!AQ$34,Tables!$TK:$UB,Tables!$TU$1,FALSE))</f>
        <v/>
      </c>
      <c r="CY103" s="1048"/>
      <c r="CZ103" s="1048"/>
      <c r="DA103" s="1048"/>
      <c r="DB103" s="263"/>
      <c r="DC103" s="1048" t="str">
        <f>IF(OR(CharacterLevel="",Spellcasting!AQ$34=""),"",VLOOKUP(Spellcasting!AQ$34,Tables!$TK:$UB,Tables!$TV$1,FALSE))</f>
        <v/>
      </c>
      <c r="DD103" s="1048"/>
      <c r="DE103" s="1048"/>
      <c r="DF103" s="1048"/>
      <c r="DG103" s="1048"/>
      <c r="DH103" s="1048"/>
      <c r="DI103" s="261"/>
      <c r="DJ103" s="1048" t="str">
        <f>IF(OR(CharacterLevel="",Spellcasting!AQ$34=""),"",VLOOKUP(Spellcasting!AQ$34,Tables!$TK:$UB,Tables!$TW$1,FALSE))</f>
        <v/>
      </c>
      <c r="DK103" s="1048"/>
      <c r="DL103" s="1048"/>
      <c r="DM103" s="1048"/>
      <c r="DN103" s="261"/>
      <c r="DO103" s="1048" t="str">
        <f>IF(OR(CharacterLevel="",Spellcasting!AQ$34=""),"",VLOOKUP(Spellcasting!AQ$34,Tables!$TK:$UB,Tables!$TZ$1,FALSE))</f>
        <v/>
      </c>
      <c r="DP103" s="1048"/>
      <c r="DQ103" s="1048"/>
      <c r="DR103" s="1048"/>
      <c r="DS103" s="261"/>
      <c r="DT103" s="1319" t="str">
        <f>IF(OR(CharacterLevel="",Spellcasting!AQ$34=""),"",VLOOKUP(Spellcasting!AQ$34,Tables!$TK:$UB,Tables!$UB$1,FALSE))</f>
        <v/>
      </c>
      <c r="DU103" s="1319"/>
      <c r="DV103" s="1319"/>
      <c r="DW103" s="1319"/>
      <c r="DX103" s="1319"/>
      <c r="DY103" s="1319"/>
      <c r="DZ103" s="1319"/>
      <c r="EA103" s="1319"/>
      <c r="EB103" s="1319"/>
      <c r="EC103" s="1319"/>
      <c r="ED103" s="1319"/>
      <c r="EE103" s="1319"/>
      <c r="EF103" s="1319"/>
      <c r="EG103" s="1319"/>
      <c r="EH103" s="1319"/>
      <c r="EI103" s="1319"/>
      <c r="EJ103" s="1319"/>
      <c r="EK103" s="1319"/>
      <c r="EL103" s="1319"/>
      <c r="EM103" s="1319"/>
      <c r="EN103" s="1319"/>
      <c r="EO103" s="1319"/>
      <c r="EP103" s="1319"/>
      <c r="EQ103" s="1319"/>
      <c r="ER103" s="1319"/>
      <c r="ES103" s="6">
        <f>ES101+1</f>
        <v>37</v>
      </c>
    </row>
    <row r="104" spans="1:149" ht="9.75" customHeight="1" x14ac:dyDescent="0.2">
      <c r="A104" s="5"/>
      <c r="B104" s="1389" t="str">
        <f>IF(CharacterLevel="",'Character Sheet III'!$CF$202,IF(Spellcasting!AO20="•",'Character Sheet III'!$BX$202,'Character Sheet III'!$CF$202))</f>
        <v>□</v>
      </c>
      <c r="C104" s="1389"/>
      <c r="D104" s="1389"/>
      <c r="E104" s="1325" t="str">
        <f>IF(OR(CharacterLevel="",Spellcasting!AQ$20=""),"",VLOOKUP(Spellcasting!AQ$20,Tables!$TK:$UB,Tables!$TN$1,FALSE))</f>
        <v/>
      </c>
      <c r="F104" s="1325"/>
      <c r="G104" s="1325"/>
      <c r="H104" s="1325"/>
      <c r="I104" s="1325"/>
      <c r="J104" s="1325"/>
      <c r="K104" s="1325"/>
      <c r="L104" s="1325"/>
      <c r="M104" s="1325"/>
      <c r="N104" s="1325"/>
      <c r="O104" s="1325"/>
      <c r="P104" s="1325"/>
      <c r="Q104" s="1325"/>
      <c r="R104" s="1325"/>
      <c r="S104" s="1325"/>
      <c r="T104" s="1325"/>
      <c r="U104" s="263"/>
      <c r="V104" s="1048" t="str">
        <f>IF(OR(CharacterLevel="",Spellcasting!AQ$20=""),"",VLOOKUP(Spellcasting!AQ$20,Tables!$TK:$UB,Tables!$TT$1,FALSE))</f>
        <v/>
      </c>
      <c r="W104" s="1048"/>
      <c r="X104" s="1048"/>
      <c r="Y104" s="1048"/>
      <c r="Z104" s="1048"/>
      <c r="AA104" s="263"/>
      <c r="AB104" s="1048" t="str">
        <f>IF(OR(CharacterLevel="",Spellcasting!AQ$20=""),"",VLOOKUP(Spellcasting!AQ$20,Tables!$TK:$UB,Tables!$TU$1,FALSE))</f>
        <v/>
      </c>
      <c r="AC104" s="1048"/>
      <c r="AD104" s="1048"/>
      <c r="AE104" s="1048"/>
      <c r="AF104" s="263"/>
      <c r="AG104" s="1048" t="str">
        <f>IF(OR(CharacterLevel="",Spellcasting!AQ$20=""),"",VLOOKUP(Spellcasting!AQ$20,Tables!$TK:$UB,Tables!$TV$1,FALSE))</f>
        <v/>
      </c>
      <c r="AH104" s="1048"/>
      <c r="AI104" s="1048"/>
      <c r="AJ104" s="1048"/>
      <c r="AK104" s="1048"/>
      <c r="AL104" s="1048"/>
      <c r="AM104" s="261"/>
      <c r="AN104" s="857" t="str">
        <f>IF(OR(CharacterLevel="",Spellcasting!AQ$20=""),"",VLOOKUP(Spellcasting!AQ$20,Tables!$TK:$UB,Tables!$TW$1,FALSE))</f>
        <v/>
      </c>
      <c r="AO104" s="857"/>
      <c r="AP104" s="857"/>
      <c r="AQ104" s="857"/>
      <c r="AR104" s="261"/>
      <c r="AS104" s="1048" t="str">
        <f>IF(OR(CharacterLevel="",Spellcasting!AQ$20=""),"",VLOOKUP(Spellcasting!AQ$20,Tables!$TK:$UB,Tables!$TZ$1,FALSE))</f>
        <v/>
      </c>
      <c r="AT104" s="1048"/>
      <c r="AU104" s="1048"/>
      <c r="AV104" s="1048"/>
      <c r="AW104" s="261"/>
      <c r="AX104" s="1319" t="str">
        <f>IF(OR(CharacterLevel="",Spellcasting!AQ$20=""),"",VLOOKUP(Spellcasting!AQ$20,Tables!$TK:$UB,Tables!$UB$1,FALSE))</f>
        <v/>
      </c>
      <c r="AY104" s="1319"/>
      <c r="AZ104" s="1319"/>
      <c r="BA104" s="1319"/>
      <c r="BB104" s="1319"/>
      <c r="BC104" s="1319"/>
      <c r="BD104" s="1319"/>
      <c r="BE104" s="1319"/>
      <c r="BF104" s="1319"/>
      <c r="BG104" s="1319"/>
      <c r="BH104" s="1319"/>
      <c r="BI104" s="1319"/>
      <c r="BJ104" s="1319"/>
      <c r="BK104" s="1319"/>
      <c r="BL104" s="1319"/>
      <c r="BM104" s="1319"/>
      <c r="BN104" s="1319"/>
      <c r="BO104" s="1319"/>
      <c r="BP104" s="1319"/>
      <c r="BQ104" s="1319"/>
      <c r="BR104" s="1319"/>
      <c r="BS104" s="1319"/>
      <c r="BT104" s="1319"/>
      <c r="BU104" s="1319"/>
      <c r="BV104" s="1319"/>
      <c r="BW104" s="165"/>
      <c r="BX104" s="1324"/>
      <c r="BY104" s="1324"/>
      <c r="BZ104" s="1324"/>
      <c r="CA104" s="1325"/>
      <c r="CB104" s="1325"/>
      <c r="CC104" s="1325"/>
      <c r="CD104" s="1325"/>
      <c r="CE104" s="1325"/>
      <c r="CF104" s="1325"/>
      <c r="CG104" s="1325"/>
      <c r="CH104" s="1325"/>
      <c r="CI104" s="1325"/>
      <c r="CJ104" s="1325"/>
      <c r="CK104" s="1325"/>
      <c r="CL104" s="1325"/>
      <c r="CM104" s="1325"/>
      <c r="CN104" s="1325"/>
      <c r="CO104" s="1325"/>
      <c r="CP104" s="1325"/>
      <c r="CQ104" s="263"/>
      <c r="CR104" s="1321"/>
      <c r="CS104" s="1321"/>
      <c r="CT104" s="1321"/>
      <c r="CU104" s="1321"/>
      <c r="CV104" s="1321"/>
      <c r="CW104" s="5"/>
      <c r="CX104" s="1321"/>
      <c r="CY104" s="1321"/>
      <c r="CZ104" s="1321"/>
      <c r="DA104" s="1321"/>
      <c r="DB104" s="5"/>
      <c r="DC104" s="1321"/>
      <c r="DD104" s="1321"/>
      <c r="DE104" s="1321"/>
      <c r="DF104" s="1321"/>
      <c r="DG104" s="1321"/>
      <c r="DH104" s="1321"/>
      <c r="DI104" s="5"/>
      <c r="DJ104" s="1321"/>
      <c r="DK104" s="1321"/>
      <c r="DL104" s="1321"/>
      <c r="DM104" s="1321"/>
      <c r="DN104" s="5"/>
      <c r="DO104" s="1321"/>
      <c r="DP104" s="1321"/>
      <c r="DQ104" s="1321"/>
      <c r="DR104" s="1321"/>
      <c r="DS104" s="5"/>
      <c r="DT104" s="1320"/>
      <c r="DU104" s="1320"/>
      <c r="DV104" s="1320"/>
      <c r="DW104" s="1320"/>
      <c r="DX104" s="1320"/>
      <c r="DY104" s="1320"/>
      <c r="DZ104" s="1320"/>
      <c r="EA104" s="1320"/>
      <c r="EB104" s="1320"/>
      <c r="EC104" s="1320"/>
      <c r="ED104" s="1320"/>
      <c r="EE104" s="1320"/>
      <c r="EF104" s="1320"/>
      <c r="EG104" s="1320"/>
      <c r="EH104" s="1320"/>
      <c r="EI104" s="1320"/>
      <c r="EJ104" s="1320"/>
      <c r="EK104" s="1320"/>
      <c r="EL104" s="1320"/>
      <c r="EM104" s="1320"/>
      <c r="EN104" s="1320"/>
      <c r="EO104" s="1320"/>
      <c r="EP104" s="1320"/>
      <c r="EQ104" s="1320"/>
      <c r="ER104" s="1320"/>
    </row>
    <row r="105" spans="1:149" ht="9.75" customHeight="1" x14ac:dyDescent="0.2">
      <c r="A105" s="5"/>
      <c r="B105" s="1389"/>
      <c r="C105" s="1389"/>
      <c r="D105" s="1389"/>
      <c r="E105" s="1325" t="str">
        <f>IF(OR(CharacterLevel="",Spellcasting!AQ39=""),"",VLOOKUP(Spellcasting!AQ39,Tables!TK:UB,Tables!$TN$1,FALSE))</f>
        <v/>
      </c>
      <c r="F105" s="1325"/>
      <c r="G105" s="1325"/>
      <c r="H105" s="1325"/>
      <c r="I105" s="1325"/>
      <c r="J105" s="1325"/>
      <c r="K105" s="1325"/>
      <c r="L105" s="1325"/>
      <c r="M105" s="1325"/>
      <c r="N105" s="1325"/>
      <c r="O105" s="1325"/>
      <c r="P105" s="1325"/>
      <c r="Q105" s="1325"/>
      <c r="R105" s="1325"/>
      <c r="S105" s="1325"/>
      <c r="T105" s="1325"/>
      <c r="U105" s="263"/>
      <c r="V105" s="1321"/>
      <c r="W105" s="1321"/>
      <c r="X105" s="1321"/>
      <c r="Y105" s="1321"/>
      <c r="Z105" s="1321"/>
      <c r="AA105" s="263"/>
      <c r="AB105" s="1321"/>
      <c r="AC105" s="1321"/>
      <c r="AD105" s="1321"/>
      <c r="AE105" s="1321"/>
      <c r="AF105" s="263"/>
      <c r="AG105" s="1321"/>
      <c r="AH105" s="1321"/>
      <c r="AI105" s="1321"/>
      <c r="AJ105" s="1321"/>
      <c r="AK105" s="1321"/>
      <c r="AL105" s="1321"/>
      <c r="AM105" s="263"/>
      <c r="AN105" s="1326"/>
      <c r="AO105" s="1326"/>
      <c r="AP105" s="1326"/>
      <c r="AQ105" s="1326"/>
      <c r="AR105" s="263"/>
      <c r="AS105" s="1321"/>
      <c r="AT105" s="1321"/>
      <c r="AU105" s="1321"/>
      <c r="AV105" s="1321"/>
      <c r="AW105" s="263"/>
      <c r="AX105" s="1320"/>
      <c r="AY105" s="1320"/>
      <c r="AZ105" s="1320"/>
      <c r="BA105" s="1320"/>
      <c r="BB105" s="1320"/>
      <c r="BC105" s="1320"/>
      <c r="BD105" s="1320"/>
      <c r="BE105" s="1320"/>
      <c r="BF105" s="1320"/>
      <c r="BG105" s="1320"/>
      <c r="BH105" s="1320"/>
      <c r="BI105" s="1320"/>
      <c r="BJ105" s="1320"/>
      <c r="BK105" s="1320"/>
      <c r="BL105" s="1320"/>
      <c r="BM105" s="1320"/>
      <c r="BN105" s="1320"/>
      <c r="BO105" s="1320"/>
      <c r="BP105" s="1320"/>
      <c r="BQ105" s="1320"/>
      <c r="BR105" s="1320"/>
      <c r="BS105" s="1320"/>
      <c r="BT105" s="1320"/>
      <c r="BU105" s="1320"/>
      <c r="BV105" s="1320"/>
      <c r="BW105" s="165"/>
      <c r="BX105" s="1324" t="str">
        <f>IF(CharacterLevel="",'Character Sheet III'!$CF$202,IF(Spellcasting!AO35="•",'Character Sheet III'!$BX$202,'Character Sheet III'!$CF$202))</f>
        <v>□</v>
      </c>
      <c r="BY105" s="1324"/>
      <c r="BZ105" s="1324"/>
      <c r="CA105" s="1325" t="str">
        <f>IF(OR(CharacterLevel="",Spellcasting!AQ$35=""),"",VLOOKUP(Spellcasting!AQ$35,Tables!$TK:$UB,Tables!$TN$1,FALSE))</f>
        <v/>
      </c>
      <c r="CB105" s="1325"/>
      <c r="CC105" s="1325"/>
      <c r="CD105" s="1325"/>
      <c r="CE105" s="1325"/>
      <c r="CF105" s="1325"/>
      <c r="CG105" s="1325"/>
      <c r="CH105" s="1325"/>
      <c r="CI105" s="1325"/>
      <c r="CJ105" s="1325"/>
      <c r="CK105" s="1325"/>
      <c r="CL105" s="1325"/>
      <c r="CM105" s="1325"/>
      <c r="CN105" s="1325"/>
      <c r="CO105" s="1325"/>
      <c r="CP105" s="1325"/>
      <c r="CQ105" s="263"/>
      <c r="CR105" s="1048" t="str">
        <f>IF(OR(CharacterLevel="",Spellcasting!AQ$35=""),"",VLOOKUP(Spellcasting!AQ$35,Tables!$TK:$UB,Tables!$TT$1,FALSE))</f>
        <v/>
      </c>
      <c r="CS105" s="1048"/>
      <c r="CT105" s="1048"/>
      <c r="CU105" s="1048"/>
      <c r="CV105" s="1048"/>
      <c r="CW105" s="263"/>
      <c r="CX105" s="1048" t="str">
        <f>IF(OR(CharacterLevel="",Spellcasting!AQ$35=""),"",VLOOKUP(Spellcasting!AQ$35,Tables!$TK:$UB,Tables!$TU$1,FALSE))</f>
        <v/>
      </c>
      <c r="CY105" s="1048"/>
      <c r="CZ105" s="1048"/>
      <c r="DA105" s="1048"/>
      <c r="DB105" s="263"/>
      <c r="DC105" s="1048" t="str">
        <f>IF(OR(CharacterLevel="",Spellcasting!AQ$35=""),"",VLOOKUP(Spellcasting!AQ$35,Tables!$TK:$UB,Tables!$TV$1,FALSE))</f>
        <v/>
      </c>
      <c r="DD105" s="1048"/>
      <c r="DE105" s="1048"/>
      <c r="DF105" s="1048"/>
      <c r="DG105" s="1048"/>
      <c r="DH105" s="1048"/>
      <c r="DI105" s="261"/>
      <c r="DJ105" s="1048" t="str">
        <f>IF(OR(CharacterLevel="",Spellcasting!AQ$35=""),"",VLOOKUP(Spellcasting!AQ$35,Tables!$TK:$UB,Tables!$TW$1,FALSE))</f>
        <v/>
      </c>
      <c r="DK105" s="1048"/>
      <c r="DL105" s="1048"/>
      <c r="DM105" s="1048"/>
      <c r="DN105" s="261"/>
      <c r="DO105" s="1048" t="str">
        <f>IF(OR(CharacterLevel="",Spellcasting!AQ$35=""),"",VLOOKUP(Spellcasting!AQ$35,Tables!$TK:$UB,Tables!$TZ$1,FALSE))</f>
        <v/>
      </c>
      <c r="DP105" s="1048"/>
      <c r="DQ105" s="1048"/>
      <c r="DR105" s="1048"/>
      <c r="DS105" s="261"/>
      <c r="DT105" s="1319" t="str">
        <f>IF(OR(CharacterLevel="",Spellcasting!AQ$35=""),"",VLOOKUP(Spellcasting!AQ$35,Tables!$TK:$UB,Tables!$UB$1,FALSE))</f>
        <v/>
      </c>
      <c r="DU105" s="1319"/>
      <c r="DV105" s="1319"/>
      <c r="DW105" s="1319"/>
      <c r="DX105" s="1319"/>
      <c r="DY105" s="1319"/>
      <c r="DZ105" s="1319"/>
      <c r="EA105" s="1319"/>
      <c r="EB105" s="1319"/>
      <c r="EC105" s="1319"/>
      <c r="ED105" s="1319"/>
      <c r="EE105" s="1319"/>
      <c r="EF105" s="1319"/>
      <c r="EG105" s="1319"/>
      <c r="EH105" s="1319"/>
      <c r="EI105" s="1319"/>
      <c r="EJ105" s="1319"/>
      <c r="EK105" s="1319"/>
      <c r="EL105" s="1319"/>
      <c r="EM105" s="1319"/>
      <c r="EN105" s="1319"/>
      <c r="EO105" s="1319"/>
      <c r="EP105" s="1319"/>
      <c r="EQ105" s="1319"/>
      <c r="ER105" s="1319"/>
      <c r="ES105" s="6">
        <f>ES103+1</f>
        <v>38</v>
      </c>
    </row>
    <row r="106" spans="1:149" ht="9.75" customHeight="1" x14ac:dyDescent="0.2">
      <c r="A106" s="5"/>
      <c r="B106" s="1389" t="str">
        <f>IF(CharacterLevel="",'Character Sheet III'!$CF$202,IF(Spellcasting!AO21="•",'Character Sheet III'!$BX$202,'Character Sheet III'!$CF$202))</f>
        <v>□</v>
      </c>
      <c r="C106" s="1389"/>
      <c r="D106" s="1389"/>
      <c r="E106" s="1325" t="str">
        <f>IF(OR(CharacterLevel="",Spellcasting!AQ$21=""),"",VLOOKUP(Spellcasting!AQ$21,Tables!$TK:$UB,Tables!$TN$1,FALSE))</f>
        <v/>
      </c>
      <c r="F106" s="1325"/>
      <c r="G106" s="1325"/>
      <c r="H106" s="1325"/>
      <c r="I106" s="1325"/>
      <c r="J106" s="1325"/>
      <c r="K106" s="1325"/>
      <c r="L106" s="1325"/>
      <c r="M106" s="1325"/>
      <c r="N106" s="1325"/>
      <c r="O106" s="1325"/>
      <c r="P106" s="1325"/>
      <c r="Q106" s="1325"/>
      <c r="R106" s="1325"/>
      <c r="S106" s="1325"/>
      <c r="T106" s="1325"/>
      <c r="U106" s="263"/>
      <c r="V106" s="1048" t="str">
        <f>IF(OR(CharacterLevel="",Spellcasting!AQ$21=""),"",VLOOKUP(Spellcasting!AQ$21,Tables!$TK:$UB,Tables!$TT$1,FALSE))</f>
        <v/>
      </c>
      <c r="W106" s="1048"/>
      <c r="X106" s="1048"/>
      <c r="Y106" s="1048"/>
      <c r="Z106" s="1048"/>
      <c r="AA106" s="263"/>
      <c r="AB106" s="1048" t="str">
        <f>IF(OR(CharacterLevel="",Spellcasting!AQ$21=""),"",VLOOKUP(Spellcasting!AQ$21,Tables!$TK:$UB,Tables!$TU$1,FALSE))</f>
        <v/>
      </c>
      <c r="AC106" s="1048"/>
      <c r="AD106" s="1048"/>
      <c r="AE106" s="1048"/>
      <c r="AF106" s="263"/>
      <c r="AG106" s="1048" t="str">
        <f>IF(OR(CharacterLevel="",Spellcasting!AQ$21=""),"",VLOOKUP(Spellcasting!AQ$21,Tables!$TK:$UB,Tables!$TV$1,FALSE))</f>
        <v/>
      </c>
      <c r="AH106" s="1048"/>
      <c r="AI106" s="1048"/>
      <c r="AJ106" s="1048"/>
      <c r="AK106" s="1048"/>
      <c r="AL106" s="1048"/>
      <c r="AM106" s="261"/>
      <c r="AN106" s="857" t="str">
        <f>IF(OR(CharacterLevel="",Spellcasting!AQ$21=""),"",VLOOKUP(Spellcasting!AQ$21,Tables!$TK:$UB,Tables!$TW$1,FALSE))</f>
        <v/>
      </c>
      <c r="AO106" s="857"/>
      <c r="AP106" s="857"/>
      <c r="AQ106" s="857"/>
      <c r="AR106" s="261"/>
      <c r="AS106" s="1048" t="str">
        <f>IF(OR(CharacterLevel="",Spellcasting!AQ$21=""),"",VLOOKUP(Spellcasting!AQ$21,Tables!$TK:$UB,Tables!$TZ$1,FALSE))</f>
        <v/>
      </c>
      <c r="AT106" s="1048"/>
      <c r="AU106" s="1048"/>
      <c r="AV106" s="1048"/>
      <c r="AW106" s="261"/>
      <c r="AX106" s="1319" t="str">
        <f>IF(OR(CharacterLevel="",Spellcasting!AQ$21=""),"",VLOOKUP(Spellcasting!AQ$21,Tables!$TK:$UB,Tables!$UB$1,FALSE))</f>
        <v/>
      </c>
      <c r="AY106" s="1319"/>
      <c r="AZ106" s="1319"/>
      <c r="BA106" s="1319"/>
      <c r="BB106" s="1319"/>
      <c r="BC106" s="1319"/>
      <c r="BD106" s="1319"/>
      <c r="BE106" s="1319"/>
      <c r="BF106" s="1319"/>
      <c r="BG106" s="1319"/>
      <c r="BH106" s="1319"/>
      <c r="BI106" s="1319"/>
      <c r="BJ106" s="1319"/>
      <c r="BK106" s="1319"/>
      <c r="BL106" s="1319"/>
      <c r="BM106" s="1319"/>
      <c r="BN106" s="1319"/>
      <c r="BO106" s="1319"/>
      <c r="BP106" s="1319"/>
      <c r="BQ106" s="1319"/>
      <c r="BR106" s="1319"/>
      <c r="BS106" s="1319"/>
      <c r="BT106" s="1319"/>
      <c r="BU106" s="1319"/>
      <c r="BV106" s="1319"/>
      <c r="BW106" s="165"/>
      <c r="BX106" s="1324"/>
      <c r="BY106" s="1324"/>
      <c r="BZ106" s="1324"/>
      <c r="CA106" s="1325"/>
      <c r="CB106" s="1325"/>
      <c r="CC106" s="1325"/>
      <c r="CD106" s="1325"/>
      <c r="CE106" s="1325"/>
      <c r="CF106" s="1325"/>
      <c r="CG106" s="1325"/>
      <c r="CH106" s="1325"/>
      <c r="CI106" s="1325"/>
      <c r="CJ106" s="1325"/>
      <c r="CK106" s="1325"/>
      <c r="CL106" s="1325"/>
      <c r="CM106" s="1325"/>
      <c r="CN106" s="1325"/>
      <c r="CO106" s="1325"/>
      <c r="CP106" s="1325"/>
      <c r="CQ106" s="263"/>
      <c r="CR106" s="1321"/>
      <c r="CS106" s="1321"/>
      <c r="CT106" s="1321"/>
      <c r="CU106" s="1321"/>
      <c r="CV106" s="1321"/>
      <c r="CW106" s="5"/>
      <c r="CX106" s="1321"/>
      <c r="CY106" s="1321"/>
      <c r="CZ106" s="1321"/>
      <c r="DA106" s="1321"/>
      <c r="DB106" s="5"/>
      <c r="DC106" s="1321"/>
      <c r="DD106" s="1321"/>
      <c r="DE106" s="1321"/>
      <c r="DF106" s="1321"/>
      <c r="DG106" s="1321"/>
      <c r="DH106" s="1321"/>
      <c r="DI106" s="5"/>
      <c r="DJ106" s="1321"/>
      <c r="DK106" s="1321"/>
      <c r="DL106" s="1321"/>
      <c r="DM106" s="1321"/>
      <c r="DN106" s="5"/>
      <c r="DO106" s="1321"/>
      <c r="DP106" s="1321"/>
      <c r="DQ106" s="1321"/>
      <c r="DR106" s="1321"/>
      <c r="DS106" s="5"/>
      <c r="DT106" s="1320"/>
      <c r="DU106" s="1320"/>
      <c r="DV106" s="1320"/>
      <c r="DW106" s="1320"/>
      <c r="DX106" s="1320"/>
      <c r="DY106" s="1320"/>
      <c r="DZ106" s="1320"/>
      <c r="EA106" s="1320"/>
      <c r="EB106" s="1320"/>
      <c r="EC106" s="1320"/>
      <c r="ED106" s="1320"/>
      <c r="EE106" s="1320"/>
      <c r="EF106" s="1320"/>
      <c r="EG106" s="1320"/>
      <c r="EH106" s="1320"/>
      <c r="EI106" s="1320"/>
      <c r="EJ106" s="1320"/>
      <c r="EK106" s="1320"/>
      <c r="EL106" s="1320"/>
      <c r="EM106" s="1320"/>
      <c r="EN106" s="1320"/>
      <c r="EO106" s="1320"/>
      <c r="EP106" s="1320"/>
      <c r="EQ106" s="1320"/>
      <c r="ER106" s="1320"/>
    </row>
    <row r="107" spans="1:149" ht="9.75" customHeight="1" x14ac:dyDescent="0.2">
      <c r="A107" s="5"/>
      <c r="B107" s="1389"/>
      <c r="C107" s="1389"/>
      <c r="D107" s="1389"/>
      <c r="E107" s="1325" t="str">
        <f>IF(OR(CharacterLevel="",Spellcasting!AQ41=""),"",VLOOKUP(Spellcasting!AQ41,Tables!TK:UB,Tables!$TN$1,FALSE))</f>
        <v/>
      </c>
      <c r="F107" s="1325"/>
      <c r="G107" s="1325"/>
      <c r="H107" s="1325"/>
      <c r="I107" s="1325"/>
      <c r="J107" s="1325"/>
      <c r="K107" s="1325"/>
      <c r="L107" s="1325"/>
      <c r="M107" s="1325"/>
      <c r="N107" s="1325"/>
      <c r="O107" s="1325"/>
      <c r="P107" s="1325"/>
      <c r="Q107" s="1325"/>
      <c r="R107" s="1325"/>
      <c r="S107" s="1325"/>
      <c r="T107" s="1325"/>
      <c r="U107" s="263"/>
      <c r="V107" s="1321"/>
      <c r="W107" s="1321"/>
      <c r="X107" s="1321"/>
      <c r="Y107" s="1321"/>
      <c r="Z107" s="1321"/>
      <c r="AA107" s="263"/>
      <c r="AB107" s="1321"/>
      <c r="AC107" s="1321"/>
      <c r="AD107" s="1321"/>
      <c r="AE107" s="1321"/>
      <c r="AF107" s="263"/>
      <c r="AG107" s="1321"/>
      <c r="AH107" s="1321"/>
      <c r="AI107" s="1321"/>
      <c r="AJ107" s="1321"/>
      <c r="AK107" s="1321"/>
      <c r="AL107" s="1321"/>
      <c r="AM107" s="263"/>
      <c r="AN107" s="1326"/>
      <c r="AO107" s="1326"/>
      <c r="AP107" s="1326"/>
      <c r="AQ107" s="1326"/>
      <c r="AR107" s="263"/>
      <c r="AS107" s="1321"/>
      <c r="AT107" s="1321"/>
      <c r="AU107" s="1321"/>
      <c r="AV107" s="1321"/>
      <c r="AW107" s="263"/>
      <c r="AX107" s="1320"/>
      <c r="AY107" s="1320"/>
      <c r="AZ107" s="1320"/>
      <c r="BA107" s="1320"/>
      <c r="BB107" s="1320"/>
      <c r="BC107" s="1320"/>
      <c r="BD107" s="1320"/>
      <c r="BE107" s="1320"/>
      <c r="BF107" s="1320"/>
      <c r="BG107" s="1320"/>
      <c r="BH107" s="1320"/>
      <c r="BI107" s="1320"/>
      <c r="BJ107" s="1320"/>
      <c r="BK107" s="1320"/>
      <c r="BL107" s="1320"/>
      <c r="BM107" s="1320"/>
      <c r="BN107" s="1320"/>
      <c r="BO107" s="1320"/>
      <c r="BP107" s="1320"/>
      <c r="BQ107" s="1320"/>
      <c r="BR107" s="1320"/>
      <c r="BS107" s="1320"/>
      <c r="BT107" s="1320"/>
      <c r="BU107" s="1320"/>
      <c r="BV107" s="1320"/>
      <c r="BW107" s="165"/>
      <c r="BX107" s="1324" t="str">
        <f>IF(CharacterLevel="",'Character Sheet III'!$CF$202,IF(Spellcasting!AO36="•",'Character Sheet III'!$BX$202,'Character Sheet III'!$CF$202))</f>
        <v>□</v>
      </c>
      <c r="BY107" s="1324"/>
      <c r="BZ107" s="1324"/>
      <c r="CA107" s="1325" t="str">
        <f>IF(OR(CharacterLevel="",Spellcasting!AQ$36=""),"",VLOOKUP(Spellcasting!AQ$36,Tables!$TK:$UB,Tables!$TN$1,FALSE))</f>
        <v/>
      </c>
      <c r="CB107" s="1325"/>
      <c r="CC107" s="1325"/>
      <c r="CD107" s="1325"/>
      <c r="CE107" s="1325"/>
      <c r="CF107" s="1325"/>
      <c r="CG107" s="1325"/>
      <c r="CH107" s="1325"/>
      <c r="CI107" s="1325"/>
      <c r="CJ107" s="1325"/>
      <c r="CK107" s="1325"/>
      <c r="CL107" s="1325"/>
      <c r="CM107" s="1325"/>
      <c r="CN107" s="1325"/>
      <c r="CO107" s="1325"/>
      <c r="CP107" s="1325"/>
      <c r="CQ107" s="263"/>
      <c r="CR107" s="1048" t="str">
        <f>IF(OR(CharacterLevel="",Spellcasting!AQ$36=""),"",VLOOKUP(Spellcasting!AQ$36,Tables!$TK:$UB,Tables!$TT$1,FALSE))</f>
        <v/>
      </c>
      <c r="CS107" s="1048"/>
      <c r="CT107" s="1048"/>
      <c r="CU107" s="1048"/>
      <c r="CV107" s="1048"/>
      <c r="CW107" s="263"/>
      <c r="CX107" s="1048" t="str">
        <f>IF(OR(CharacterLevel="",Spellcasting!AQ$36=""),"",VLOOKUP(Spellcasting!AQ$36,Tables!$TK:$UB,Tables!$TU$1,FALSE))</f>
        <v/>
      </c>
      <c r="CY107" s="1048"/>
      <c r="CZ107" s="1048"/>
      <c r="DA107" s="1048"/>
      <c r="DB107" s="263"/>
      <c r="DC107" s="1048" t="str">
        <f>IF(OR(CharacterLevel="",Spellcasting!AQ$36=""),"",VLOOKUP(Spellcasting!AQ$36,Tables!$TK:$UB,Tables!$TV$1,FALSE))</f>
        <v/>
      </c>
      <c r="DD107" s="1048"/>
      <c r="DE107" s="1048"/>
      <c r="DF107" s="1048"/>
      <c r="DG107" s="1048"/>
      <c r="DH107" s="1048"/>
      <c r="DI107" s="261"/>
      <c r="DJ107" s="1048" t="str">
        <f>IF(OR(CharacterLevel="",Spellcasting!AQ$36=""),"",VLOOKUP(Spellcasting!AQ$36,Tables!$TK:$UB,Tables!$TW$1,FALSE))</f>
        <v/>
      </c>
      <c r="DK107" s="1048"/>
      <c r="DL107" s="1048"/>
      <c r="DM107" s="1048"/>
      <c r="DN107" s="261"/>
      <c r="DO107" s="1048" t="str">
        <f>IF(OR(CharacterLevel="",Spellcasting!AQ$36=""),"",VLOOKUP(Spellcasting!AQ$36,Tables!$TK:$UB,Tables!$TZ$1,FALSE))</f>
        <v/>
      </c>
      <c r="DP107" s="1048"/>
      <c r="DQ107" s="1048"/>
      <c r="DR107" s="1048"/>
      <c r="DS107" s="261"/>
      <c r="DT107" s="1319" t="str">
        <f>IF(OR(CharacterLevel="",Spellcasting!AQ$36=""),"",VLOOKUP(Spellcasting!AQ$36,Tables!$TK:$UB,Tables!$UB$1,FALSE))</f>
        <v/>
      </c>
      <c r="DU107" s="1319"/>
      <c r="DV107" s="1319"/>
      <c r="DW107" s="1319"/>
      <c r="DX107" s="1319"/>
      <c r="DY107" s="1319"/>
      <c r="DZ107" s="1319"/>
      <c r="EA107" s="1319"/>
      <c r="EB107" s="1319"/>
      <c r="EC107" s="1319"/>
      <c r="ED107" s="1319"/>
      <c r="EE107" s="1319"/>
      <c r="EF107" s="1319"/>
      <c r="EG107" s="1319"/>
      <c r="EH107" s="1319"/>
      <c r="EI107" s="1319"/>
      <c r="EJ107" s="1319"/>
      <c r="EK107" s="1319"/>
      <c r="EL107" s="1319"/>
      <c r="EM107" s="1319"/>
      <c r="EN107" s="1319"/>
      <c r="EO107" s="1319"/>
      <c r="EP107" s="1319"/>
      <c r="EQ107" s="1319"/>
      <c r="ER107" s="1319"/>
      <c r="ES107" s="6">
        <f>ES105+1</f>
        <v>39</v>
      </c>
    </row>
    <row r="108" spans="1:149" ht="9.75" customHeight="1" x14ac:dyDescent="0.2">
      <c r="A108" s="5"/>
      <c r="B108" s="1389" t="str">
        <f>IF(CharacterLevel="",'Character Sheet III'!$CF$202,IF(Spellcasting!AO22="•",'Character Sheet III'!$BX$202,'Character Sheet III'!$CF$202))</f>
        <v>□</v>
      </c>
      <c r="C108" s="1389"/>
      <c r="D108" s="1389"/>
      <c r="E108" s="1325" t="str">
        <f>IF(OR(CharacterLevel="",Spellcasting!AQ$22=""),"",VLOOKUP(Spellcasting!AQ$22,Tables!$TK:$UB,Tables!$TN$1,FALSE))</f>
        <v/>
      </c>
      <c r="F108" s="1325"/>
      <c r="G108" s="1325"/>
      <c r="H108" s="1325"/>
      <c r="I108" s="1325"/>
      <c r="J108" s="1325"/>
      <c r="K108" s="1325"/>
      <c r="L108" s="1325"/>
      <c r="M108" s="1325"/>
      <c r="N108" s="1325"/>
      <c r="O108" s="1325"/>
      <c r="P108" s="1325"/>
      <c r="Q108" s="1325"/>
      <c r="R108" s="1325"/>
      <c r="S108" s="1325"/>
      <c r="T108" s="1325"/>
      <c r="U108" s="263"/>
      <c r="V108" s="1048" t="str">
        <f>IF(OR(CharacterLevel="",Spellcasting!AQ$22=""),"",VLOOKUP(Spellcasting!AQ$22,Tables!$TK:$UB,Tables!$TT$1,FALSE))</f>
        <v/>
      </c>
      <c r="W108" s="1048"/>
      <c r="X108" s="1048"/>
      <c r="Y108" s="1048"/>
      <c r="Z108" s="1048"/>
      <c r="AA108" s="263"/>
      <c r="AB108" s="1048" t="str">
        <f>IF(OR(CharacterLevel="",Spellcasting!AQ$22=""),"",VLOOKUP(Spellcasting!AQ$22,Tables!$TK:$UB,Tables!$TU$1,FALSE))</f>
        <v/>
      </c>
      <c r="AC108" s="1048"/>
      <c r="AD108" s="1048"/>
      <c r="AE108" s="1048"/>
      <c r="AF108" s="263"/>
      <c r="AG108" s="1048" t="str">
        <f>IF(OR(CharacterLevel="",Spellcasting!AQ$22=""),"",VLOOKUP(Spellcasting!AQ$22,Tables!$TK:$UB,Tables!$TV$1,FALSE))</f>
        <v/>
      </c>
      <c r="AH108" s="1048"/>
      <c r="AI108" s="1048"/>
      <c r="AJ108" s="1048"/>
      <c r="AK108" s="1048"/>
      <c r="AL108" s="1048"/>
      <c r="AM108" s="261"/>
      <c r="AN108" s="857" t="str">
        <f>IF(OR(CharacterLevel="",Spellcasting!AQ$22=""),"",VLOOKUP(Spellcasting!AQ$22,Tables!$TK:$UB,Tables!$TW$1,FALSE))</f>
        <v/>
      </c>
      <c r="AO108" s="857"/>
      <c r="AP108" s="857"/>
      <c r="AQ108" s="857"/>
      <c r="AR108" s="261"/>
      <c r="AS108" s="1048" t="str">
        <f>IF(OR(CharacterLevel="",Spellcasting!AQ$22=""),"",VLOOKUP(Spellcasting!AQ$22,Tables!$TK:$UB,Tables!$TZ$1,FALSE))</f>
        <v/>
      </c>
      <c r="AT108" s="1048"/>
      <c r="AU108" s="1048"/>
      <c r="AV108" s="1048"/>
      <c r="AW108" s="261"/>
      <c r="AX108" s="1319" t="str">
        <f>IF(OR(CharacterLevel="",Spellcasting!AQ$22=""),"",VLOOKUP(Spellcasting!AQ$22,Tables!$TK:$UB,Tables!$UB$1,FALSE))</f>
        <v/>
      </c>
      <c r="AY108" s="1319"/>
      <c r="AZ108" s="1319"/>
      <c r="BA108" s="1319"/>
      <c r="BB108" s="1319"/>
      <c r="BC108" s="1319"/>
      <c r="BD108" s="1319"/>
      <c r="BE108" s="1319"/>
      <c r="BF108" s="1319"/>
      <c r="BG108" s="1319"/>
      <c r="BH108" s="1319"/>
      <c r="BI108" s="1319"/>
      <c r="BJ108" s="1319"/>
      <c r="BK108" s="1319"/>
      <c r="BL108" s="1319"/>
      <c r="BM108" s="1319"/>
      <c r="BN108" s="1319"/>
      <c r="BO108" s="1319"/>
      <c r="BP108" s="1319"/>
      <c r="BQ108" s="1319"/>
      <c r="BR108" s="1319"/>
      <c r="BS108" s="1319"/>
      <c r="BT108" s="1319"/>
      <c r="BU108" s="1319"/>
      <c r="BV108" s="1319"/>
      <c r="BW108" s="165"/>
      <c r="BX108" s="1324"/>
      <c r="BY108" s="1324"/>
      <c r="BZ108" s="1324"/>
      <c r="CA108" s="1325"/>
      <c r="CB108" s="1325"/>
      <c r="CC108" s="1325"/>
      <c r="CD108" s="1325"/>
      <c r="CE108" s="1325"/>
      <c r="CF108" s="1325"/>
      <c r="CG108" s="1325"/>
      <c r="CH108" s="1325"/>
      <c r="CI108" s="1325"/>
      <c r="CJ108" s="1325"/>
      <c r="CK108" s="1325"/>
      <c r="CL108" s="1325"/>
      <c r="CM108" s="1325"/>
      <c r="CN108" s="1325"/>
      <c r="CO108" s="1325"/>
      <c r="CP108" s="1325"/>
      <c r="CQ108" s="263"/>
      <c r="CR108" s="1321"/>
      <c r="CS108" s="1321"/>
      <c r="CT108" s="1321"/>
      <c r="CU108" s="1321"/>
      <c r="CV108" s="1321"/>
      <c r="CW108" s="5"/>
      <c r="CX108" s="1321"/>
      <c r="CY108" s="1321"/>
      <c r="CZ108" s="1321"/>
      <c r="DA108" s="1321"/>
      <c r="DB108" s="5"/>
      <c r="DC108" s="1321"/>
      <c r="DD108" s="1321"/>
      <c r="DE108" s="1321"/>
      <c r="DF108" s="1321"/>
      <c r="DG108" s="1321"/>
      <c r="DH108" s="1321"/>
      <c r="DI108" s="5"/>
      <c r="DJ108" s="1321"/>
      <c r="DK108" s="1321"/>
      <c r="DL108" s="1321"/>
      <c r="DM108" s="1321"/>
      <c r="DN108" s="5"/>
      <c r="DO108" s="1321"/>
      <c r="DP108" s="1321"/>
      <c r="DQ108" s="1321"/>
      <c r="DR108" s="1321"/>
      <c r="DS108" s="5"/>
      <c r="DT108" s="1320"/>
      <c r="DU108" s="1320"/>
      <c r="DV108" s="1320"/>
      <c r="DW108" s="1320"/>
      <c r="DX108" s="1320"/>
      <c r="DY108" s="1320"/>
      <c r="DZ108" s="1320"/>
      <c r="EA108" s="1320"/>
      <c r="EB108" s="1320"/>
      <c r="EC108" s="1320"/>
      <c r="ED108" s="1320"/>
      <c r="EE108" s="1320"/>
      <c r="EF108" s="1320"/>
      <c r="EG108" s="1320"/>
      <c r="EH108" s="1320"/>
      <c r="EI108" s="1320"/>
      <c r="EJ108" s="1320"/>
      <c r="EK108" s="1320"/>
      <c r="EL108" s="1320"/>
      <c r="EM108" s="1320"/>
      <c r="EN108" s="1320"/>
      <c r="EO108" s="1320"/>
      <c r="EP108" s="1320"/>
      <c r="EQ108" s="1320"/>
      <c r="ER108" s="1320"/>
    </row>
    <row r="109" spans="1:149" ht="9.75" customHeight="1" x14ac:dyDescent="0.2">
      <c r="A109" s="5"/>
      <c r="B109" s="1389"/>
      <c r="C109" s="1389"/>
      <c r="D109" s="1389"/>
      <c r="E109" s="1325" t="str">
        <f>IF(OR(CharacterLevel="",Spellcasting!AQ43=""),"",VLOOKUP(Spellcasting!AQ43,Tables!TK:UB,Tables!$TN$1,FALSE))</f>
        <v/>
      </c>
      <c r="F109" s="1325"/>
      <c r="G109" s="1325"/>
      <c r="H109" s="1325"/>
      <c r="I109" s="1325"/>
      <c r="J109" s="1325"/>
      <c r="K109" s="1325"/>
      <c r="L109" s="1325"/>
      <c r="M109" s="1325"/>
      <c r="N109" s="1325"/>
      <c r="O109" s="1325"/>
      <c r="P109" s="1325"/>
      <c r="Q109" s="1325"/>
      <c r="R109" s="1325"/>
      <c r="S109" s="1325"/>
      <c r="T109" s="1325"/>
      <c r="U109" s="263"/>
      <c r="V109" s="1321"/>
      <c r="W109" s="1321"/>
      <c r="X109" s="1321"/>
      <c r="Y109" s="1321"/>
      <c r="Z109" s="1321"/>
      <c r="AA109" s="263"/>
      <c r="AB109" s="1321"/>
      <c r="AC109" s="1321"/>
      <c r="AD109" s="1321"/>
      <c r="AE109" s="1321"/>
      <c r="AF109" s="263"/>
      <c r="AG109" s="1321"/>
      <c r="AH109" s="1321"/>
      <c r="AI109" s="1321"/>
      <c r="AJ109" s="1321"/>
      <c r="AK109" s="1321"/>
      <c r="AL109" s="1321"/>
      <c r="AM109" s="263"/>
      <c r="AN109" s="1326"/>
      <c r="AO109" s="1326"/>
      <c r="AP109" s="1326"/>
      <c r="AQ109" s="1326"/>
      <c r="AR109" s="263"/>
      <c r="AS109" s="1321"/>
      <c r="AT109" s="1321"/>
      <c r="AU109" s="1321"/>
      <c r="AV109" s="1321"/>
      <c r="AW109" s="263"/>
      <c r="AX109" s="1320"/>
      <c r="AY109" s="1320"/>
      <c r="AZ109" s="1320"/>
      <c r="BA109" s="1320"/>
      <c r="BB109" s="1320"/>
      <c r="BC109" s="1320"/>
      <c r="BD109" s="1320"/>
      <c r="BE109" s="1320"/>
      <c r="BF109" s="1320"/>
      <c r="BG109" s="1320"/>
      <c r="BH109" s="1320"/>
      <c r="BI109" s="1320"/>
      <c r="BJ109" s="1320"/>
      <c r="BK109" s="1320"/>
      <c r="BL109" s="1320"/>
      <c r="BM109" s="1320"/>
      <c r="BN109" s="1320"/>
      <c r="BO109" s="1320"/>
      <c r="BP109" s="1320"/>
      <c r="BQ109" s="1320"/>
      <c r="BR109" s="1320"/>
      <c r="BS109" s="1320"/>
      <c r="BT109" s="1320"/>
      <c r="BU109" s="1320"/>
      <c r="BV109" s="1320"/>
      <c r="BW109" s="165"/>
      <c r="BX109" s="1324" t="str">
        <f>IF(CharacterLevel="",'Character Sheet III'!$CF$202,IF(Spellcasting!AO37="•",'Character Sheet III'!$BX$202,'Character Sheet III'!$CF$202))</f>
        <v>□</v>
      </c>
      <c r="BY109" s="1324"/>
      <c r="BZ109" s="1324"/>
      <c r="CA109" s="1325" t="str">
        <f>IF(OR(CharacterLevel="",Spellcasting!AQ$37=""),"",VLOOKUP(Spellcasting!AQ$37,Tables!$TK:$UB,Tables!$TN$1,FALSE))</f>
        <v/>
      </c>
      <c r="CB109" s="1325"/>
      <c r="CC109" s="1325"/>
      <c r="CD109" s="1325"/>
      <c r="CE109" s="1325"/>
      <c r="CF109" s="1325"/>
      <c r="CG109" s="1325"/>
      <c r="CH109" s="1325"/>
      <c r="CI109" s="1325"/>
      <c r="CJ109" s="1325"/>
      <c r="CK109" s="1325"/>
      <c r="CL109" s="1325"/>
      <c r="CM109" s="1325"/>
      <c r="CN109" s="1325"/>
      <c r="CO109" s="1325"/>
      <c r="CP109" s="1325"/>
      <c r="CQ109" s="263"/>
      <c r="CR109" s="1048" t="str">
        <f>IF(OR(CharacterLevel="",Spellcasting!AQ$37=""),"",VLOOKUP(Spellcasting!AQ$37,Tables!$TK:$UB,Tables!$TT$1,FALSE))</f>
        <v/>
      </c>
      <c r="CS109" s="1048"/>
      <c r="CT109" s="1048"/>
      <c r="CU109" s="1048"/>
      <c r="CV109" s="1048"/>
      <c r="CW109" s="263"/>
      <c r="CX109" s="1048" t="str">
        <f>IF(OR(CharacterLevel="",Spellcasting!AQ$37=""),"",VLOOKUP(Spellcasting!AQ$37,Tables!$TK:$UB,Tables!$TU$1,FALSE))</f>
        <v/>
      </c>
      <c r="CY109" s="1048"/>
      <c r="CZ109" s="1048"/>
      <c r="DA109" s="1048"/>
      <c r="DB109" s="263"/>
      <c r="DC109" s="1048" t="str">
        <f>IF(OR(CharacterLevel="",Spellcasting!AQ$37=""),"",VLOOKUP(Spellcasting!AQ$37,Tables!$TK:$UB,Tables!$TV$1,FALSE))</f>
        <v/>
      </c>
      <c r="DD109" s="1048"/>
      <c r="DE109" s="1048"/>
      <c r="DF109" s="1048"/>
      <c r="DG109" s="1048"/>
      <c r="DH109" s="1048"/>
      <c r="DI109" s="261"/>
      <c r="DJ109" s="1048" t="str">
        <f>IF(OR(CharacterLevel="",Spellcasting!AQ$37=""),"",VLOOKUP(Spellcasting!AQ$37,Tables!$TK:$UB,Tables!$TW$1,FALSE))</f>
        <v/>
      </c>
      <c r="DK109" s="1048"/>
      <c r="DL109" s="1048"/>
      <c r="DM109" s="1048"/>
      <c r="DN109" s="261"/>
      <c r="DO109" s="1048" t="str">
        <f>IF(OR(CharacterLevel="",Spellcasting!AQ$37=""),"",VLOOKUP(Spellcasting!AQ$37,Tables!$TK:$UB,Tables!$TZ$1,FALSE))</f>
        <v/>
      </c>
      <c r="DP109" s="1048"/>
      <c r="DQ109" s="1048"/>
      <c r="DR109" s="1048"/>
      <c r="DS109" s="261"/>
      <c r="DT109" s="1319" t="str">
        <f>IF(OR(CharacterLevel="",Spellcasting!AQ$37=""),"",VLOOKUP(Spellcasting!AQ$37,Tables!$TK:$UB,Tables!$UB$1,FALSE))</f>
        <v/>
      </c>
      <c r="DU109" s="1319"/>
      <c r="DV109" s="1319"/>
      <c r="DW109" s="1319"/>
      <c r="DX109" s="1319"/>
      <c r="DY109" s="1319"/>
      <c r="DZ109" s="1319"/>
      <c r="EA109" s="1319"/>
      <c r="EB109" s="1319"/>
      <c r="EC109" s="1319"/>
      <c r="ED109" s="1319"/>
      <c r="EE109" s="1319"/>
      <c r="EF109" s="1319"/>
      <c r="EG109" s="1319"/>
      <c r="EH109" s="1319"/>
      <c r="EI109" s="1319"/>
      <c r="EJ109" s="1319"/>
      <c r="EK109" s="1319"/>
      <c r="EL109" s="1319"/>
      <c r="EM109" s="1319"/>
      <c r="EN109" s="1319"/>
      <c r="EO109" s="1319"/>
      <c r="EP109" s="1319"/>
      <c r="EQ109" s="1319"/>
      <c r="ER109" s="1319"/>
      <c r="ES109" s="6">
        <f>ES107+1</f>
        <v>40</v>
      </c>
    </row>
    <row r="110" spans="1:149" ht="9.75" customHeight="1" x14ac:dyDescent="0.2">
      <c r="A110" s="5"/>
      <c r="B110" s="1389" t="str">
        <f>IF(CharacterLevel="",'Character Sheet III'!$CF$202,IF(Spellcasting!AO23="•",'Character Sheet III'!$BX$202,'Character Sheet III'!$CF$202))</f>
        <v>□</v>
      </c>
      <c r="C110" s="1389"/>
      <c r="D110" s="1389"/>
      <c r="E110" s="1325" t="str">
        <f>IF(OR(CharacterLevel="",Spellcasting!AQ$23=""),"",VLOOKUP(Spellcasting!AQ$23,Tables!$TK:$UB,Tables!$TN$1,FALSE))</f>
        <v/>
      </c>
      <c r="F110" s="1325"/>
      <c r="G110" s="1325"/>
      <c r="H110" s="1325"/>
      <c r="I110" s="1325"/>
      <c r="J110" s="1325"/>
      <c r="K110" s="1325"/>
      <c r="L110" s="1325"/>
      <c r="M110" s="1325"/>
      <c r="N110" s="1325"/>
      <c r="O110" s="1325"/>
      <c r="P110" s="1325"/>
      <c r="Q110" s="1325"/>
      <c r="R110" s="1325"/>
      <c r="S110" s="1325"/>
      <c r="T110" s="1325"/>
      <c r="U110" s="263"/>
      <c r="V110" s="1048" t="str">
        <f>IF(OR(CharacterLevel="",Spellcasting!AQ$23=""),"",VLOOKUP(Spellcasting!AQ$23,Tables!$TK:$UB,Tables!$TT$1,FALSE))</f>
        <v/>
      </c>
      <c r="W110" s="1048"/>
      <c r="X110" s="1048"/>
      <c r="Y110" s="1048"/>
      <c r="Z110" s="1048"/>
      <c r="AA110" s="263"/>
      <c r="AB110" s="1048" t="str">
        <f>IF(OR(CharacterLevel="",Spellcasting!AQ$23=""),"",VLOOKUP(Spellcasting!AQ$23,Tables!$TK:$UB,Tables!$TU$1,FALSE))</f>
        <v/>
      </c>
      <c r="AC110" s="1048"/>
      <c r="AD110" s="1048"/>
      <c r="AE110" s="1048"/>
      <c r="AF110" s="263"/>
      <c r="AG110" s="1048" t="str">
        <f>IF(OR(CharacterLevel="",Spellcasting!AQ$23=""),"",VLOOKUP(Spellcasting!AQ$23,Tables!$TK:$UB,Tables!$TV$1,FALSE))</f>
        <v/>
      </c>
      <c r="AH110" s="1048"/>
      <c r="AI110" s="1048"/>
      <c r="AJ110" s="1048"/>
      <c r="AK110" s="1048"/>
      <c r="AL110" s="1048"/>
      <c r="AM110" s="261"/>
      <c r="AN110" s="857" t="str">
        <f>IF(OR(CharacterLevel="",Spellcasting!AQ$23=""),"",VLOOKUP(Spellcasting!AQ$23,Tables!$TK:$UB,Tables!$TW$1,FALSE))</f>
        <v/>
      </c>
      <c r="AO110" s="857"/>
      <c r="AP110" s="857"/>
      <c r="AQ110" s="857"/>
      <c r="AR110" s="261"/>
      <c r="AS110" s="1048" t="str">
        <f>IF(OR(CharacterLevel="",Spellcasting!AQ$23=""),"",VLOOKUP(Spellcasting!AQ$23,Tables!$TK:$UB,Tables!$TZ$1,FALSE))</f>
        <v/>
      </c>
      <c r="AT110" s="1048"/>
      <c r="AU110" s="1048"/>
      <c r="AV110" s="1048"/>
      <c r="AW110" s="261"/>
      <c r="AX110" s="1319" t="str">
        <f>IF(OR(CharacterLevel="",Spellcasting!AQ$23=""),"",VLOOKUP(Spellcasting!AQ$23,Tables!$TK:$UB,Tables!$UB$1,FALSE))</f>
        <v/>
      </c>
      <c r="AY110" s="1319"/>
      <c r="AZ110" s="1319"/>
      <c r="BA110" s="1319"/>
      <c r="BB110" s="1319"/>
      <c r="BC110" s="1319"/>
      <c r="BD110" s="1319"/>
      <c r="BE110" s="1319"/>
      <c r="BF110" s="1319"/>
      <c r="BG110" s="1319"/>
      <c r="BH110" s="1319"/>
      <c r="BI110" s="1319"/>
      <c r="BJ110" s="1319"/>
      <c r="BK110" s="1319"/>
      <c r="BL110" s="1319"/>
      <c r="BM110" s="1319"/>
      <c r="BN110" s="1319"/>
      <c r="BO110" s="1319"/>
      <c r="BP110" s="1319"/>
      <c r="BQ110" s="1319"/>
      <c r="BR110" s="1319"/>
      <c r="BS110" s="1319"/>
      <c r="BT110" s="1319"/>
      <c r="BU110" s="1319"/>
      <c r="BV110" s="1319"/>
      <c r="BW110" s="165"/>
      <c r="BX110" s="1324"/>
      <c r="BY110" s="1324"/>
      <c r="BZ110" s="1324"/>
      <c r="CA110" s="1325"/>
      <c r="CB110" s="1325"/>
      <c r="CC110" s="1325"/>
      <c r="CD110" s="1325"/>
      <c r="CE110" s="1325"/>
      <c r="CF110" s="1325"/>
      <c r="CG110" s="1325"/>
      <c r="CH110" s="1325"/>
      <c r="CI110" s="1325"/>
      <c r="CJ110" s="1325"/>
      <c r="CK110" s="1325"/>
      <c r="CL110" s="1325"/>
      <c r="CM110" s="1325"/>
      <c r="CN110" s="1325"/>
      <c r="CO110" s="1325"/>
      <c r="CP110" s="1325"/>
      <c r="CQ110" s="263"/>
      <c r="CR110" s="1321"/>
      <c r="CS110" s="1321"/>
      <c r="CT110" s="1321"/>
      <c r="CU110" s="1321"/>
      <c r="CV110" s="1321"/>
      <c r="CW110" s="5"/>
      <c r="CX110" s="1321"/>
      <c r="CY110" s="1321"/>
      <c r="CZ110" s="1321"/>
      <c r="DA110" s="1321"/>
      <c r="DB110" s="5"/>
      <c r="DC110" s="1321"/>
      <c r="DD110" s="1321"/>
      <c r="DE110" s="1321"/>
      <c r="DF110" s="1321"/>
      <c r="DG110" s="1321"/>
      <c r="DH110" s="1321"/>
      <c r="DI110" s="5"/>
      <c r="DJ110" s="1321"/>
      <c r="DK110" s="1321"/>
      <c r="DL110" s="1321"/>
      <c r="DM110" s="1321"/>
      <c r="DN110" s="5"/>
      <c r="DO110" s="1321"/>
      <c r="DP110" s="1321"/>
      <c r="DQ110" s="1321"/>
      <c r="DR110" s="1321"/>
      <c r="DS110" s="5"/>
      <c r="DT110" s="1320"/>
      <c r="DU110" s="1320"/>
      <c r="DV110" s="1320"/>
      <c r="DW110" s="1320"/>
      <c r="DX110" s="1320"/>
      <c r="DY110" s="1320"/>
      <c r="DZ110" s="1320"/>
      <c r="EA110" s="1320"/>
      <c r="EB110" s="1320"/>
      <c r="EC110" s="1320"/>
      <c r="ED110" s="1320"/>
      <c r="EE110" s="1320"/>
      <c r="EF110" s="1320"/>
      <c r="EG110" s="1320"/>
      <c r="EH110" s="1320"/>
      <c r="EI110" s="1320"/>
      <c r="EJ110" s="1320"/>
      <c r="EK110" s="1320"/>
      <c r="EL110" s="1320"/>
      <c r="EM110" s="1320"/>
      <c r="EN110" s="1320"/>
      <c r="EO110" s="1320"/>
      <c r="EP110" s="1320"/>
      <c r="EQ110" s="1320"/>
      <c r="ER110" s="1320"/>
    </row>
    <row r="111" spans="1:149" ht="9.75" customHeight="1" x14ac:dyDescent="0.2">
      <c r="A111" s="5"/>
      <c r="B111" s="1389"/>
      <c r="C111" s="1389"/>
      <c r="D111" s="1389"/>
      <c r="E111" s="1325" t="str">
        <f>IF(OR(CharacterLevel="",Spellcasting!AQ45=""),"",VLOOKUP(Spellcasting!AQ45,Tables!TK:UB,Tables!$TN$1,FALSE))</f>
        <v/>
      </c>
      <c r="F111" s="1325"/>
      <c r="G111" s="1325"/>
      <c r="H111" s="1325"/>
      <c r="I111" s="1325"/>
      <c r="J111" s="1325"/>
      <c r="K111" s="1325"/>
      <c r="L111" s="1325"/>
      <c r="M111" s="1325"/>
      <c r="N111" s="1325"/>
      <c r="O111" s="1325"/>
      <c r="P111" s="1325"/>
      <c r="Q111" s="1325"/>
      <c r="R111" s="1325"/>
      <c r="S111" s="1325"/>
      <c r="T111" s="1325"/>
      <c r="U111" s="263"/>
      <c r="V111" s="1321"/>
      <c r="W111" s="1321"/>
      <c r="X111" s="1321"/>
      <c r="Y111" s="1321"/>
      <c r="Z111" s="1321"/>
      <c r="AA111" s="263"/>
      <c r="AB111" s="1321"/>
      <c r="AC111" s="1321"/>
      <c r="AD111" s="1321"/>
      <c r="AE111" s="1321"/>
      <c r="AF111" s="263"/>
      <c r="AG111" s="1321"/>
      <c r="AH111" s="1321"/>
      <c r="AI111" s="1321"/>
      <c r="AJ111" s="1321"/>
      <c r="AK111" s="1321"/>
      <c r="AL111" s="1321"/>
      <c r="AM111" s="263"/>
      <c r="AN111" s="1326"/>
      <c r="AO111" s="1326"/>
      <c r="AP111" s="1326"/>
      <c r="AQ111" s="1326"/>
      <c r="AR111" s="263"/>
      <c r="AS111" s="1321"/>
      <c r="AT111" s="1321"/>
      <c r="AU111" s="1321"/>
      <c r="AV111" s="1321"/>
      <c r="AW111" s="263"/>
      <c r="AX111" s="1320"/>
      <c r="AY111" s="1320"/>
      <c r="AZ111" s="1320"/>
      <c r="BA111" s="1320"/>
      <c r="BB111" s="1320"/>
      <c r="BC111" s="1320"/>
      <c r="BD111" s="1320"/>
      <c r="BE111" s="1320"/>
      <c r="BF111" s="1320"/>
      <c r="BG111" s="1320"/>
      <c r="BH111" s="1320"/>
      <c r="BI111" s="1320"/>
      <c r="BJ111" s="1320"/>
      <c r="BK111" s="1320"/>
      <c r="BL111" s="1320"/>
      <c r="BM111" s="1320"/>
      <c r="BN111" s="1320"/>
      <c r="BO111" s="1320"/>
      <c r="BP111" s="1320"/>
      <c r="BQ111" s="1320"/>
      <c r="BR111" s="1320"/>
      <c r="BS111" s="1320"/>
      <c r="BT111" s="1320"/>
      <c r="BU111" s="1320"/>
      <c r="BV111" s="1320"/>
      <c r="BW111" s="165"/>
      <c r="BX111" s="1324" t="str">
        <f>IF(CharacterLevel="",'Character Sheet III'!$CF$202,IF(Spellcasting!AO38="•",'Character Sheet III'!$BX$202,'Character Sheet III'!$CF$202))</f>
        <v>□</v>
      </c>
      <c r="BY111" s="1324"/>
      <c r="BZ111" s="1324"/>
      <c r="CA111" s="1325" t="str">
        <f>IF(OR(CharacterLevel="",Spellcasting!AQ$38=""),"",VLOOKUP(Spellcasting!AQ$38,Tables!$TK:$UB,Tables!$TN$1,FALSE))</f>
        <v/>
      </c>
      <c r="CB111" s="1325"/>
      <c r="CC111" s="1325"/>
      <c r="CD111" s="1325"/>
      <c r="CE111" s="1325"/>
      <c r="CF111" s="1325"/>
      <c r="CG111" s="1325"/>
      <c r="CH111" s="1325"/>
      <c r="CI111" s="1325"/>
      <c r="CJ111" s="1325"/>
      <c r="CK111" s="1325"/>
      <c r="CL111" s="1325"/>
      <c r="CM111" s="1325"/>
      <c r="CN111" s="1325"/>
      <c r="CO111" s="1325"/>
      <c r="CP111" s="1325"/>
      <c r="CQ111" s="263"/>
      <c r="CR111" s="1048" t="str">
        <f>IF(OR(CharacterLevel="",Spellcasting!AQ$38=""),"",VLOOKUP(Spellcasting!AQ$38,Tables!$TK:$UB,Tables!$TT$1,FALSE))</f>
        <v/>
      </c>
      <c r="CS111" s="1048"/>
      <c r="CT111" s="1048"/>
      <c r="CU111" s="1048"/>
      <c r="CV111" s="1048"/>
      <c r="CW111" s="263"/>
      <c r="CX111" s="1048" t="str">
        <f>IF(OR(CharacterLevel="",Spellcasting!AQ$38=""),"",VLOOKUP(Spellcasting!AQ$38,Tables!$TK:$UB,Tables!$TU$1,FALSE))</f>
        <v/>
      </c>
      <c r="CY111" s="1048"/>
      <c r="CZ111" s="1048"/>
      <c r="DA111" s="1048"/>
      <c r="DB111" s="263"/>
      <c r="DC111" s="1048" t="str">
        <f>IF(OR(CharacterLevel="",Spellcasting!AQ$38=""),"",VLOOKUP(Spellcasting!AQ$38,Tables!$TK:$UB,Tables!$TV$1,FALSE))</f>
        <v/>
      </c>
      <c r="DD111" s="1048"/>
      <c r="DE111" s="1048"/>
      <c r="DF111" s="1048"/>
      <c r="DG111" s="1048"/>
      <c r="DH111" s="1048"/>
      <c r="DI111" s="261"/>
      <c r="DJ111" s="1048" t="str">
        <f>IF(OR(CharacterLevel="",Spellcasting!AQ$38=""),"",VLOOKUP(Spellcasting!AQ$38,Tables!$TK:$UB,Tables!$TW$1,FALSE))</f>
        <v/>
      </c>
      <c r="DK111" s="1048"/>
      <c r="DL111" s="1048"/>
      <c r="DM111" s="1048"/>
      <c r="DN111" s="261"/>
      <c r="DO111" s="1048" t="str">
        <f>IF(OR(CharacterLevel="",Spellcasting!AQ$38=""),"",VLOOKUP(Spellcasting!AQ$38,Tables!$TK:$UB,Tables!$TZ$1,FALSE))</f>
        <v/>
      </c>
      <c r="DP111" s="1048"/>
      <c r="DQ111" s="1048"/>
      <c r="DR111" s="1048"/>
      <c r="DS111" s="261"/>
      <c r="DT111" s="1319" t="str">
        <f>IF(OR(CharacterLevel="",Spellcasting!AQ$38=""),"",VLOOKUP(Spellcasting!AQ$38,Tables!$TK:$UB,Tables!$UB$1,FALSE))</f>
        <v/>
      </c>
      <c r="DU111" s="1319"/>
      <c r="DV111" s="1319"/>
      <c r="DW111" s="1319"/>
      <c r="DX111" s="1319"/>
      <c r="DY111" s="1319"/>
      <c r="DZ111" s="1319"/>
      <c r="EA111" s="1319"/>
      <c r="EB111" s="1319"/>
      <c r="EC111" s="1319"/>
      <c r="ED111" s="1319"/>
      <c r="EE111" s="1319"/>
      <c r="EF111" s="1319"/>
      <c r="EG111" s="1319"/>
      <c r="EH111" s="1319"/>
      <c r="EI111" s="1319"/>
      <c r="EJ111" s="1319"/>
      <c r="EK111" s="1319"/>
      <c r="EL111" s="1319"/>
      <c r="EM111" s="1319"/>
      <c r="EN111" s="1319"/>
      <c r="EO111" s="1319"/>
      <c r="EP111" s="1319"/>
      <c r="EQ111" s="1319"/>
      <c r="ER111" s="1319"/>
      <c r="ES111" s="6">
        <f>ES109+1</f>
        <v>41</v>
      </c>
    </row>
    <row r="112" spans="1:149" ht="9.75" customHeight="1" x14ac:dyDescent="0.2">
      <c r="A112" s="5"/>
      <c r="B112" s="1389" t="str">
        <f>IF(CharacterLevel="",'Character Sheet III'!$CF$202,IF(Spellcasting!AO24="•",'Character Sheet III'!$BX$202,'Character Sheet III'!$CF$202))</f>
        <v>□</v>
      </c>
      <c r="C112" s="1389"/>
      <c r="D112" s="1389"/>
      <c r="E112" s="1325" t="str">
        <f>IF(OR(CharacterLevel="",Spellcasting!AQ$24=""),"",VLOOKUP(Spellcasting!AQ$24,Tables!$TK:$UB,Tables!$TN$1,FALSE))</f>
        <v/>
      </c>
      <c r="F112" s="1325"/>
      <c r="G112" s="1325"/>
      <c r="H112" s="1325"/>
      <c r="I112" s="1325"/>
      <c r="J112" s="1325"/>
      <c r="K112" s="1325"/>
      <c r="L112" s="1325"/>
      <c r="M112" s="1325"/>
      <c r="N112" s="1325"/>
      <c r="O112" s="1325"/>
      <c r="P112" s="1325"/>
      <c r="Q112" s="1325"/>
      <c r="R112" s="1325"/>
      <c r="S112" s="1325"/>
      <c r="T112" s="1325"/>
      <c r="U112" s="263"/>
      <c r="V112" s="1048" t="str">
        <f>IF(OR(CharacterLevel="",Spellcasting!AQ$24=""),"",VLOOKUP(Spellcasting!AQ$24,Tables!$TK:$UB,Tables!$TT$1,FALSE))</f>
        <v/>
      </c>
      <c r="W112" s="1048"/>
      <c r="X112" s="1048"/>
      <c r="Y112" s="1048"/>
      <c r="Z112" s="1048"/>
      <c r="AA112" s="263"/>
      <c r="AB112" s="1048" t="str">
        <f>IF(OR(CharacterLevel="",Spellcasting!AQ$24=""),"",VLOOKUP(Spellcasting!AQ$24,Tables!$TK:$UB,Tables!$TU$1,FALSE))</f>
        <v/>
      </c>
      <c r="AC112" s="1048"/>
      <c r="AD112" s="1048"/>
      <c r="AE112" s="1048"/>
      <c r="AF112" s="263"/>
      <c r="AG112" s="1048" t="str">
        <f>IF(OR(CharacterLevel="",Spellcasting!AQ$24=""),"",VLOOKUP(Spellcasting!AQ$24,Tables!$TK:$UB,Tables!$TV$1,FALSE))</f>
        <v/>
      </c>
      <c r="AH112" s="1048"/>
      <c r="AI112" s="1048"/>
      <c r="AJ112" s="1048"/>
      <c r="AK112" s="1048"/>
      <c r="AL112" s="1048"/>
      <c r="AM112" s="261"/>
      <c r="AN112" s="857" t="str">
        <f>IF(OR(CharacterLevel="",Spellcasting!AQ$24=""),"",VLOOKUP(Spellcasting!AQ$24,Tables!$TK:$UB,Tables!$TW$1,FALSE))</f>
        <v/>
      </c>
      <c r="AO112" s="857"/>
      <c r="AP112" s="857"/>
      <c r="AQ112" s="857"/>
      <c r="AR112" s="261"/>
      <c r="AS112" s="1048" t="str">
        <f>IF(OR(CharacterLevel="",Spellcasting!AQ$24=""),"",VLOOKUP(Spellcasting!AQ$24,Tables!$TK:$UB,Tables!$TZ$1,FALSE))</f>
        <v/>
      </c>
      <c r="AT112" s="1048"/>
      <c r="AU112" s="1048"/>
      <c r="AV112" s="1048"/>
      <c r="AW112" s="261"/>
      <c r="AX112" s="1319" t="str">
        <f>IF(OR(CharacterLevel="",Spellcasting!AQ$24=""),"",VLOOKUP(Spellcasting!AQ$24,Tables!$TK:$UB,Tables!$UB$1,FALSE))</f>
        <v/>
      </c>
      <c r="AY112" s="1319"/>
      <c r="AZ112" s="1319"/>
      <c r="BA112" s="1319"/>
      <c r="BB112" s="1319"/>
      <c r="BC112" s="1319"/>
      <c r="BD112" s="1319"/>
      <c r="BE112" s="1319"/>
      <c r="BF112" s="1319"/>
      <c r="BG112" s="1319"/>
      <c r="BH112" s="1319"/>
      <c r="BI112" s="1319"/>
      <c r="BJ112" s="1319"/>
      <c r="BK112" s="1319"/>
      <c r="BL112" s="1319"/>
      <c r="BM112" s="1319"/>
      <c r="BN112" s="1319"/>
      <c r="BO112" s="1319"/>
      <c r="BP112" s="1319"/>
      <c r="BQ112" s="1319"/>
      <c r="BR112" s="1319"/>
      <c r="BS112" s="1319"/>
      <c r="BT112" s="1319"/>
      <c r="BU112" s="1319"/>
      <c r="BV112" s="1319"/>
      <c r="BW112" s="165"/>
      <c r="BX112" s="1324"/>
      <c r="BY112" s="1324"/>
      <c r="BZ112" s="1324"/>
      <c r="CA112" s="1325"/>
      <c r="CB112" s="1325"/>
      <c r="CC112" s="1325"/>
      <c r="CD112" s="1325"/>
      <c r="CE112" s="1325"/>
      <c r="CF112" s="1325"/>
      <c r="CG112" s="1325"/>
      <c r="CH112" s="1325"/>
      <c r="CI112" s="1325"/>
      <c r="CJ112" s="1325"/>
      <c r="CK112" s="1325"/>
      <c r="CL112" s="1325"/>
      <c r="CM112" s="1325"/>
      <c r="CN112" s="1325"/>
      <c r="CO112" s="1325"/>
      <c r="CP112" s="1325"/>
      <c r="CQ112" s="263"/>
      <c r="CR112" s="1321"/>
      <c r="CS112" s="1321"/>
      <c r="CT112" s="1321"/>
      <c r="CU112" s="1321"/>
      <c r="CV112" s="1321"/>
      <c r="CW112" s="5"/>
      <c r="CX112" s="1321"/>
      <c r="CY112" s="1321"/>
      <c r="CZ112" s="1321"/>
      <c r="DA112" s="1321"/>
      <c r="DB112" s="5"/>
      <c r="DC112" s="1321"/>
      <c r="DD112" s="1321"/>
      <c r="DE112" s="1321"/>
      <c r="DF112" s="1321"/>
      <c r="DG112" s="1321"/>
      <c r="DH112" s="1321"/>
      <c r="DI112" s="5"/>
      <c r="DJ112" s="1321"/>
      <c r="DK112" s="1321"/>
      <c r="DL112" s="1321"/>
      <c r="DM112" s="1321"/>
      <c r="DN112" s="5"/>
      <c r="DO112" s="1321"/>
      <c r="DP112" s="1321"/>
      <c r="DQ112" s="1321"/>
      <c r="DR112" s="1321"/>
      <c r="DS112" s="5"/>
      <c r="DT112" s="1320"/>
      <c r="DU112" s="1320"/>
      <c r="DV112" s="1320"/>
      <c r="DW112" s="1320"/>
      <c r="DX112" s="1320"/>
      <c r="DY112" s="1320"/>
      <c r="DZ112" s="1320"/>
      <c r="EA112" s="1320"/>
      <c r="EB112" s="1320"/>
      <c r="EC112" s="1320"/>
      <c r="ED112" s="1320"/>
      <c r="EE112" s="1320"/>
      <c r="EF112" s="1320"/>
      <c r="EG112" s="1320"/>
      <c r="EH112" s="1320"/>
      <c r="EI112" s="1320"/>
      <c r="EJ112" s="1320"/>
      <c r="EK112" s="1320"/>
      <c r="EL112" s="1320"/>
      <c r="EM112" s="1320"/>
      <c r="EN112" s="1320"/>
      <c r="EO112" s="1320"/>
      <c r="EP112" s="1320"/>
      <c r="EQ112" s="1320"/>
      <c r="ER112" s="1320"/>
    </row>
    <row r="113" spans="1:151" ht="9.75" customHeight="1" x14ac:dyDescent="0.2">
      <c r="A113" s="5"/>
      <c r="B113" s="1389"/>
      <c r="C113" s="1389"/>
      <c r="D113" s="1389"/>
      <c r="E113" s="1325" t="e">
        <f>IF(OR(CharacterLevel="",Spellcasting!#REF!=""),"",VLOOKUP(Spellcasting!#REF!,Tables!TK:UB,Tables!$TN$1,FALSE))</f>
        <v>#REF!</v>
      </c>
      <c r="F113" s="1325"/>
      <c r="G113" s="1325"/>
      <c r="H113" s="1325"/>
      <c r="I113" s="1325"/>
      <c r="J113" s="1325"/>
      <c r="K113" s="1325"/>
      <c r="L113" s="1325"/>
      <c r="M113" s="1325"/>
      <c r="N113" s="1325"/>
      <c r="O113" s="1325"/>
      <c r="P113" s="1325"/>
      <c r="Q113" s="1325"/>
      <c r="R113" s="1325"/>
      <c r="S113" s="1325"/>
      <c r="T113" s="1325"/>
      <c r="U113" s="263"/>
      <c r="V113" s="1321"/>
      <c r="W113" s="1321"/>
      <c r="X113" s="1321"/>
      <c r="Y113" s="1321"/>
      <c r="Z113" s="1321"/>
      <c r="AA113" s="263"/>
      <c r="AB113" s="1321"/>
      <c r="AC113" s="1321"/>
      <c r="AD113" s="1321"/>
      <c r="AE113" s="1321"/>
      <c r="AF113" s="263"/>
      <c r="AG113" s="1321"/>
      <c r="AH113" s="1321"/>
      <c r="AI113" s="1321"/>
      <c r="AJ113" s="1321"/>
      <c r="AK113" s="1321"/>
      <c r="AL113" s="1321"/>
      <c r="AM113" s="263"/>
      <c r="AN113" s="1326"/>
      <c r="AO113" s="1326"/>
      <c r="AP113" s="1326"/>
      <c r="AQ113" s="1326"/>
      <c r="AR113" s="263"/>
      <c r="AS113" s="1321"/>
      <c r="AT113" s="1321"/>
      <c r="AU113" s="1321"/>
      <c r="AV113" s="1321"/>
      <c r="AW113" s="263"/>
      <c r="AX113" s="1320"/>
      <c r="AY113" s="1320"/>
      <c r="AZ113" s="1320"/>
      <c r="BA113" s="1320"/>
      <c r="BB113" s="1320"/>
      <c r="BC113" s="1320"/>
      <c r="BD113" s="1320"/>
      <c r="BE113" s="1320"/>
      <c r="BF113" s="1320"/>
      <c r="BG113" s="1320"/>
      <c r="BH113" s="1320"/>
      <c r="BI113" s="1320"/>
      <c r="BJ113" s="1320"/>
      <c r="BK113" s="1320"/>
      <c r="BL113" s="1320"/>
      <c r="BM113" s="1320"/>
      <c r="BN113" s="1320"/>
      <c r="BO113" s="1320"/>
      <c r="BP113" s="1320"/>
      <c r="BQ113" s="1320"/>
      <c r="BR113" s="1320"/>
      <c r="BS113" s="1320"/>
      <c r="BT113" s="1320"/>
      <c r="BU113" s="1320"/>
      <c r="BV113" s="1320"/>
      <c r="BW113" s="165"/>
      <c r="BX113" s="1324" t="str">
        <f>IF(CharacterLevel="",'Character Sheet III'!$CF$202,IF(Spellcasting!AO39="•",'Character Sheet III'!$BX$202,'Character Sheet III'!$CF$202))</f>
        <v>□</v>
      </c>
      <c r="BY113" s="1324"/>
      <c r="BZ113" s="1324"/>
      <c r="CA113" s="1325" t="str">
        <f>IF(OR(CharacterLevel="",Spellcasting!AQ$39=""),"",VLOOKUP(Spellcasting!AQ$39,Tables!$TK:$UB,Tables!$TN$1,FALSE))</f>
        <v/>
      </c>
      <c r="CB113" s="1325"/>
      <c r="CC113" s="1325"/>
      <c r="CD113" s="1325"/>
      <c r="CE113" s="1325"/>
      <c r="CF113" s="1325"/>
      <c r="CG113" s="1325"/>
      <c r="CH113" s="1325"/>
      <c r="CI113" s="1325"/>
      <c r="CJ113" s="1325"/>
      <c r="CK113" s="1325"/>
      <c r="CL113" s="1325"/>
      <c r="CM113" s="1325"/>
      <c r="CN113" s="1325"/>
      <c r="CO113" s="1325"/>
      <c r="CP113" s="1325"/>
      <c r="CQ113" s="263"/>
      <c r="CR113" s="1048" t="str">
        <f>IF(OR(CharacterLevel="",Spellcasting!AQ$39=""),"",VLOOKUP(Spellcasting!AQ$39,Tables!$TK:$UB,Tables!$TT$1,FALSE))</f>
        <v/>
      </c>
      <c r="CS113" s="1048"/>
      <c r="CT113" s="1048"/>
      <c r="CU113" s="1048"/>
      <c r="CV113" s="1048"/>
      <c r="CW113" s="263"/>
      <c r="CX113" s="1048" t="str">
        <f>IF(OR(CharacterLevel="",Spellcasting!AQ$39=""),"",VLOOKUP(Spellcasting!AQ$39,Tables!$TK:$UB,Tables!$TU$1,FALSE))</f>
        <v/>
      </c>
      <c r="CY113" s="1048"/>
      <c r="CZ113" s="1048"/>
      <c r="DA113" s="1048"/>
      <c r="DB113" s="263"/>
      <c r="DC113" s="1048" t="str">
        <f>IF(OR(CharacterLevel="",Spellcasting!AQ$39=""),"",VLOOKUP(Spellcasting!AQ$39,Tables!$TK:$UB,Tables!$TV$1,FALSE))</f>
        <v/>
      </c>
      <c r="DD113" s="1048"/>
      <c r="DE113" s="1048"/>
      <c r="DF113" s="1048"/>
      <c r="DG113" s="1048"/>
      <c r="DH113" s="1048"/>
      <c r="DI113" s="261"/>
      <c r="DJ113" s="1048" t="str">
        <f>IF(OR(CharacterLevel="",Spellcasting!AQ$39=""),"",VLOOKUP(Spellcasting!AQ$39,Tables!$TK:$UB,Tables!$TW$1,FALSE))</f>
        <v/>
      </c>
      <c r="DK113" s="1048"/>
      <c r="DL113" s="1048"/>
      <c r="DM113" s="1048"/>
      <c r="DN113" s="261"/>
      <c r="DO113" s="1048" t="str">
        <f>IF(OR(CharacterLevel="",Spellcasting!AQ$39=""),"",VLOOKUP(Spellcasting!AQ$39,Tables!$TK:$UB,Tables!$TZ$1,FALSE))</f>
        <v/>
      </c>
      <c r="DP113" s="1048"/>
      <c r="DQ113" s="1048"/>
      <c r="DR113" s="1048"/>
      <c r="DS113" s="261"/>
      <c r="DT113" s="1319" t="str">
        <f>IF(OR(CharacterLevel="",Spellcasting!AQ$39=""),"",VLOOKUP(Spellcasting!AQ$39,Tables!$TK:$UB,Tables!$UB$1,FALSE))</f>
        <v/>
      </c>
      <c r="DU113" s="1319"/>
      <c r="DV113" s="1319"/>
      <c r="DW113" s="1319"/>
      <c r="DX113" s="1319"/>
      <c r="DY113" s="1319"/>
      <c r="DZ113" s="1319"/>
      <c r="EA113" s="1319"/>
      <c r="EB113" s="1319"/>
      <c r="EC113" s="1319"/>
      <c r="ED113" s="1319"/>
      <c r="EE113" s="1319"/>
      <c r="EF113" s="1319"/>
      <c r="EG113" s="1319"/>
      <c r="EH113" s="1319"/>
      <c r="EI113" s="1319"/>
      <c r="EJ113" s="1319"/>
      <c r="EK113" s="1319"/>
      <c r="EL113" s="1319"/>
      <c r="EM113" s="1319"/>
      <c r="EN113" s="1319"/>
      <c r="EO113" s="1319"/>
      <c r="EP113" s="1319"/>
      <c r="EQ113" s="1319"/>
      <c r="ER113" s="1319"/>
      <c r="ES113" s="6">
        <f>ES111+1</f>
        <v>42</v>
      </c>
    </row>
    <row r="114" spans="1:151" ht="9.75" customHeight="1" x14ac:dyDescent="0.2">
      <c r="A114" s="5"/>
      <c r="B114" s="1389" t="str">
        <f>IF(CharacterLevel="",'Character Sheet III'!$CF$202,IF(Spellcasting!AO25="•",'Character Sheet III'!$BX$202,'Character Sheet III'!$CF$202))</f>
        <v>□</v>
      </c>
      <c r="C114" s="1389"/>
      <c r="D114" s="1389"/>
      <c r="E114" s="1325" t="str">
        <f>IF(OR(CharacterLevel="",Spellcasting!AQ$25=""),"",VLOOKUP(Spellcasting!AQ$25,Tables!$TK:$UB,Tables!$TN$1,FALSE))</f>
        <v/>
      </c>
      <c r="F114" s="1325"/>
      <c r="G114" s="1325"/>
      <c r="H114" s="1325"/>
      <c r="I114" s="1325"/>
      <c r="J114" s="1325"/>
      <c r="K114" s="1325"/>
      <c r="L114" s="1325"/>
      <c r="M114" s="1325"/>
      <c r="N114" s="1325"/>
      <c r="O114" s="1325"/>
      <c r="P114" s="1325"/>
      <c r="Q114" s="1325"/>
      <c r="R114" s="1325"/>
      <c r="S114" s="1325"/>
      <c r="T114" s="1325"/>
      <c r="U114" s="263"/>
      <c r="V114" s="1048" t="str">
        <f>IF(OR(CharacterLevel="",Spellcasting!AQ$25=""),"",VLOOKUP(Spellcasting!AQ$25,Tables!$TK:$UB,Tables!$TT$1,FALSE))</f>
        <v/>
      </c>
      <c r="W114" s="1048"/>
      <c r="X114" s="1048"/>
      <c r="Y114" s="1048"/>
      <c r="Z114" s="1048"/>
      <c r="AA114" s="263"/>
      <c r="AB114" s="1048" t="str">
        <f>IF(OR(CharacterLevel="",Spellcasting!AQ$25=""),"",VLOOKUP(Spellcasting!AQ$25,Tables!$TK:$UB,Tables!$TU$1,FALSE))</f>
        <v/>
      </c>
      <c r="AC114" s="1048"/>
      <c r="AD114" s="1048"/>
      <c r="AE114" s="1048"/>
      <c r="AF114" s="263"/>
      <c r="AG114" s="1048" t="str">
        <f>IF(OR(CharacterLevel="",Spellcasting!AQ$25=""),"",VLOOKUP(Spellcasting!AQ$25,Tables!$TK:$UB,Tables!$TV$1,FALSE))</f>
        <v/>
      </c>
      <c r="AH114" s="1048"/>
      <c r="AI114" s="1048"/>
      <c r="AJ114" s="1048"/>
      <c r="AK114" s="1048"/>
      <c r="AL114" s="1048"/>
      <c r="AM114" s="261"/>
      <c r="AN114" s="857" t="str">
        <f>IF(OR(CharacterLevel="",Spellcasting!AQ$25=""),"",VLOOKUP(Spellcasting!AQ$25,Tables!$TK:$UB,Tables!$TW$1,FALSE))</f>
        <v/>
      </c>
      <c r="AO114" s="857"/>
      <c r="AP114" s="857"/>
      <c r="AQ114" s="857"/>
      <c r="AR114" s="261"/>
      <c r="AS114" s="1048" t="str">
        <f>IF(OR(CharacterLevel="",Spellcasting!AQ$25=""),"",VLOOKUP(Spellcasting!AQ$25,Tables!$TK:$UB,Tables!$TZ$1,FALSE))</f>
        <v/>
      </c>
      <c r="AT114" s="1048"/>
      <c r="AU114" s="1048"/>
      <c r="AV114" s="1048"/>
      <c r="AW114" s="261"/>
      <c r="AX114" s="1319" t="str">
        <f>IF(OR(CharacterLevel="",Spellcasting!AQ$25=""),"",VLOOKUP(Spellcasting!AQ$25,Tables!$TK:$UB,Tables!$UB$1,FALSE))</f>
        <v/>
      </c>
      <c r="AY114" s="1319"/>
      <c r="AZ114" s="1319"/>
      <c r="BA114" s="1319"/>
      <c r="BB114" s="1319"/>
      <c r="BC114" s="1319"/>
      <c r="BD114" s="1319"/>
      <c r="BE114" s="1319"/>
      <c r="BF114" s="1319"/>
      <c r="BG114" s="1319"/>
      <c r="BH114" s="1319"/>
      <c r="BI114" s="1319"/>
      <c r="BJ114" s="1319"/>
      <c r="BK114" s="1319"/>
      <c r="BL114" s="1319"/>
      <c r="BM114" s="1319"/>
      <c r="BN114" s="1319"/>
      <c r="BO114" s="1319"/>
      <c r="BP114" s="1319"/>
      <c r="BQ114" s="1319"/>
      <c r="BR114" s="1319"/>
      <c r="BS114" s="1319"/>
      <c r="BT114" s="1319"/>
      <c r="BU114" s="1319"/>
      <c r="BV114" s="1319"/>
      <c r="BW114" s="165"/>
      <c r="BX114" s="1324"/>
      <c r="BY114" s="1324"/>
      <c r="BZ114" s="1324"/>
      <c r="CA114" s="1325"/>
      <c r="CB114" s="1325"/>
      <c r="CC114" s="1325"/>
      <c r="CD114" s="1325"/>
      <c r="CE114" s="1325"/>
      <c r="CF114" s="1325"/>
      <c r="CG114" s="1325"/>
      <c r="CH114" s="1325"/>
      <c r="CI114" s="1325"/>
      <c r="CJ114" s="1325"/>
      <c r="CK114" s="1325"/>
      <c r="CL114" s="1325"/>
      <c r="CM114" s="1325"/>
      <c r="CN114" s="1325"/>
      <c r="CO114" s="1325"/>
      <c r="CP114" s="1325"/>
      <c r="CQ114" s="263"/>
      <c r="CR114" s="1321"/>
      <c r="CS114" s="1321"/>
      <c r="CT114" s="1321"/>
      <c r="CU114" s="1321"/>
      <c r="CV114" s="1321"/>
      <c r="CW114" s="5"/>
      <c r="CX114" s="1321"/>
      <c r="CY114" s="1321"/>
      <c r="CZ114" s="1321"/>
      <c r="DA114" s="1321"/>
      <c r="DB114" s="5"/>
      <c r="DC114" s="1321"/>
      <c r="DD114" s="1321"/>
      <c r="DE114" s="1321"/>
      <c r="DF114" s="1321"/>
      <c r="DG114" s="1321"/>
      <c r="DH114" s="1321"/>
      <c r="DI114" s="5"/>
      <c r="DJ114" s="1321"/>
      <c r="DK114" s="1321"/>
      <c r="DL114" s="1321"/>
      <c r="DM114" s="1321"/>
      <c r="DN114" s="5"/>
      <c r="DO114" s="1321"/>
      <c r="DP114" s="1321"/>
      <c r="DQ114" s="1321"/>
      <c r="DR114" s="1321"/>
      <c r="DS114" s="5"/>
      <c r="DT114" s="1320"/>
      <c r="DU114" s="1320"/>
      <c r="DV114" s="1320"/>
      <c r="DW114" s="1320"/>
      <c r="DX114" s="1320"/>
      <c r="DY114" s="1320"/>
      <c r="DZ114" s="1320"/>
      <c r="EA114" s="1320"/>
      <c r="EB114" s="1320"/>
      <c r="EC114" s="1320"/>
      <c r="ED114" s="1320"/>
      <c r="EE114" s="1320"/>
      <c r="EF114" s="1320"/>
      <c r="EG114" s="1320"/>
      <c r="EH114" s="1320"/>
      <c r="EI114" s="1320"/>
      <c r="EJ114" s="1320"/>
      <c r="EK114" s="1320"/>
      <c r="EL114" s="1320"/>
      <c r="EM114" s="1320"/>
      <c r="EN114" s="1320"/>
      <c r="EO114" s="1320"/>
      <c r="EP114" s="1320"/>
      <c r="EQ114" s="1320"/>
      <c r="ER114" s="1320"/>
    </row>
    <row r="115" spans="1:151" ht="9.75" customHeight="1" x14ac:dyDescent="0.2">
      <c r="A115" s="5"/>
      <c r="B115" s="1389"/>
      <c r="C115" s="1389"/>
      <c r="D115" s="1389"/>
      <c r="E115" s="1325"/>
      <c r="F115" s="1325"/>
      <c r="G115" s="1325"/>
      <c r="H115" s="1325"/>
      <c r="I115" s="1325"/>
      <c r="J115" s="1325"/>
      <c r="K115" s="1325"/>
      <c r="L115" s="1325"/>
      <c r="M115" s="1325"/>
      <c r="N115" s="1325"/>
      <c r="O115" s="1325"/>
      <c r="P115" s="1325"/>
      <c r="Q115" s="1325"/>
      <c r="R115" s="1325"/>
      <c r="S115" s="1325"/>
      <c r="T115" s="1325"/>
      <c r="U115" s="263"/>
      <c r="V115" s="1321"/>
      <c r="W115" s="1321"/>
      <c r="X115" s="1321"/>
      <c r="Y115" s="1321"/>
      <c r="Z115" s="1321"/>
      <c r="AA115" s="263"/>
      <c r="AB115" s="1321"/>
      <c r="AC115" s="1321"/>
      <c r="AD115" s="1321"/>
      <c r="AE115" s="1321"/>
      <c r="AF115" s="263"/>
      <c r="AG115" s="1321"/>
      <c r="AH115" s="1321"/>
      <c r="AI115" s="1321"/>
      <c r="AJ115" s="1321"/>
      <c r="AK115" s="1321"/>
      <c r="AL115" s="1321"/>
      <c r="AM115" s="263"/>
      <c r="AN115" s="1326"/>
      <c r="AO115" s="1326"/>
      <c r="AP115" s="1326"/>
      <c r="AQ115" s="1326"/>
      <c r="AR115" s="263"/>
      <c r="AS115" s="1321"/>
      <c r="AT115" s="1321"/>
      <c r="AU115" s="1321"/>
      <c r="AV115" s="1321"/>
      <c r="AW115" s="263"/>
      <c r="AX115" s="1320"/>
      <c r="AY115" s="1320"/>
      <c r="AZ115" s="1320"/>
      <c r="BA115" s="1320"/>
      <c r="BB115" s="1320"/>
      <c r="BC115" s="1320"/>
      <c r="BD115" s="1320"/>
      <c r="BE115" s="1320"/>
      <c r="BF115" s="1320"/>
      <c r="BG115" s="1320"/>
      <c r="BH115" s="1320"/>
      <c r="BI115" s="1320"/>
      <c r="BJ115" s="1320"/>
      <c r="BK115" s="1320"/>
      <c r="BL115" s="1320"/>
      <c r="BM115" s="1320"/>
      <c r="BN115" s="1320"/>
      <c r="BO115" s="1320"/>
      <c r="BP115" s="1320"/>
      <c r="BQ115" s="1320"/>
      <c r="BR115" s="1320"/>
      <c r="BS115" s="1320"/>
      <c r="BT115" s="1320"/>
      <c r="BU115" s="1320"/>
      <c r="BV115" s="1320"/>
      <c r="BW115" s="165"/>
      <c r="BX115" s="1324" t="str">
        <f>IF(CharacterLevel="",'Character Sheet III'!$CF$202,IF(Spellcasting!AO40="•",'Character Sheet III'!$BX$202,'Character Sheet III'!$CF$202))</f>
        <v>□</v>
      </c>
      <c r="BY115" s="1324"/>
      <c r="BZ115" s="1324"/>
      <c r="CA115" s="1325" t="str">
        <f>IF(OR(CharacterLevel="",Spellcasting!AQ$40=""),"",VLOOKUP(Spellcasting!AQ$40,Tables!$TK:$UB,Tables!$TN$1,FALSE))</f>
        <v/>
      </c>
      <c r="CB115" s="1325"/>
      <c r="CC115" s="1325"/>
      <c r="CD115" s="1325"/>
      <c r="CE115" s="1325"/>
      <c r="CF115" s="1325"/>
      <c r="CG115" s="1325"/>
      <c r="CH115" s="1325"/>
      <c r="CI115" s="1325"/>
      <c r="CJ115" s="1325"/>
      <c r="CK115" s="1325"/>
      <c r="CL115" s="1325"/>
      <c r="CM115" s="1325"/>
      <c r="CN115" s="1325"/>
      <c r="CO115" s="1325"/>
      <c r="CP115" s="1325"/>
      <c r="CQ115" s="263"/>
      <c r="CR115" s="1048" t="str">
        <f>IF(OR(CharacterLevel="",Spellcasting!AQ$40=""),"",VLOOKUP(Spellcasting!AQ$40,Tables!$TK:$UB,Tables!$TT$1,FALSE))</f>
        <v/>
      </c>
      <c r="CS115" s="1048"/>
      <c r="CT115" s="1048"/>
      <c r="CU115" s="1048"/>
      <c r="CV115" s="1048"/>
      <c r="CW115" s="263"/>
      <c r="CX115" s="1048" t="str">
        <f>IF(OR(CharacterLevel="",Spellcasting!AQ$40=""),"",VLOOKUP(Spellcasting!AQ$40,Tables!$TK:$UB,Tables!$TU$1,FALSE))</f>
        <v/>
      </c>
      <c r="CY115" s="1048"/>
      <c r="CZ115" s="1048"/>
      <c r="DA115" s="1048"/>
      <c r="DB115" s="263"/>
      <c r="DC115" s="1048" t="str">
        <f>IF(OR(CharacterLevel="",Spellcasting!AQ$40=""),"",VLOOKUP(Spellcasting!AQ$40,Tables!$TK:$UB,Tables!$TV$1,FALSE))</f>
        <v/>
      </c>
      <c r="DD115" s="1048"/>
      <c r="DE115" s="1048"/>
      <c r="DF115" s="1048"/>
      <c r="DG115" s="1048"/>
      <c r="DH115" s="1048"/>
      <c r="DI115" s="261"/>
      <c r="DJ115" s="1048" t="str">
        <f>IF(OR(CharacterLevel="",Spellcasting!AQ$40=""),"",VLOOKUP(Spellcasting!AQ$40,Tables!$TK:$UB,Tables!$TW$1,FALSE))</f>
        <v/>
      </c>
      <c r="DK115" s="1048"/>
      <c r="DL115" s="1048"/>
      <c r="DM115" s="1048"/>
      <c r="DN115" s="261"/>
      <c r="DO115" s="1048" t="str">
        <f>IF(OR(CharacterLevel="",Spellcasting!AQ$40=""),"",VLOOKUP(Spellcasting!AQ$40,Tables!$TK:$UB,Tables!$TZ$1,FALSE))</f>
        <v/>
      </c>
      <c r="DP115" s="1048"/>
      <c r="DQ115" s="1048"/>
      <c r="DR115" s="1048"/>
      <c r="DS115" s="261"/>
      <c r="DT115" s="1319" t="str">
        <f>IF(OR(CharacterLevel="",Spellcasting!AQ$40=""),"",VLOOKUP(Spellcasting!AQ$40,Tables!$TK:$UB,Tables!$UB$1,FALSE))</f>
        <v/>
      </c>
      <c r="DU115" s="1319"/>
      <c r="DV115" s="1319"/>
      <c r="DW115" s="1319"/>
      <c r="DX115" s="1319"/>
      <c r="DY115" s="1319"/>
      <c r="DZ115" s="1319"/>
      <c r="EA115" s="1319"/>
      <c r="EB115" s="1319"/>
      <c r="EC115" s="1319"/>
      <c r="ED115" s="1319"/>
      <c r="EE115" s="1319"/>
      <c r="EF115" s="1319"/>
      <c r="EG115" s="1319"/>
      <c r="EH115" s="1319"/>
      <c r="EI115" s="1319"/>
      <c r="EJ115" s="1319"/>
      <c r="EK115" s="1319"/>
      <c r="EL115" s="1319"/>
      <c r="EM115" s="1319"/>
      <c r="EN115" s="1319"/>
      <c r="EO115" s="1319"/>
      <c r="EP115" s="1319"/>
      <c r="EQ115" s="1319"/>
      <c r="ER115" s="1319"/>
      <c r="ES115" s="6">
        <f>ES113+1</f>
        <v>43</v>
      </c>
    </row>
    <row r="116" spans="1:151" ht="9.75" customHeight="1" x14ac:dyDescent="0.25">
      <c r="A116" s="5"/>
      <c r="B116" s="1369" t="s">
        <v>459</v>
      </c>
      <c r="C116" s="1369"/>
      <c r="D116" s="1369"/>
      <c r="E116" s="1369"/>
      <c r="F116" s="1369"/>
      <c r="G116" s="1369"/>
      <c r="H116" s="1369"/>
      <c r="I116" s="1369"/>
      <c r="J116" s="1369"/>
      <c r="K116" s="263"/>
      <c r="L116" s="263"/>
      <c r="M116" s="263"/>
      <c r="N116" s="263"/>
      <c r="O116" s="263"/>
      <c r="P116" s="263"/>
      <c r="Q116" s="263"/>
      <c r="R116" s="263"/>
      <c r="S116" s="376"/>
      <c r="T116" s="263"/>
      <c r="U116" s="263"/>
      <c r="V116" s="263"/>
      <c r="W116" s="263"/>
      <c r="X116" s="263"/>
      <c r="Y116" s="263"/>
      <c r="Z116" s="263"/>
      <c r="AA116" s="376"/>
      <c r="AB116" s="263"/>
      <c r="AC116" s="263"/>
      <c r="AD116" s="263"/>
      <c r="AE116" s="263"/>
      <c r="AF116" s="263"/>
      <c r="AG116" s="263"/>
      <c r="AH116" s="263"/>
      <c r="AI116" s="263"/>
      <c r="AJ116" s="263"/>
      <c r="AK116" s="263"/>
      <c r="AL116" s="263"/>
      <c r="AM116" s="263"/>
      <c r="AN116" s="377"/>
      <c r="AO116" s="540"/>
      <c r="AP116" s="377"/>
      <c r="AQ116" s="377"/>
      <c r="AR116" s="263"/>
      <c r="AS116" s="263"/>
      <c r="AT116" s="263"/>
      <c r="AU116" s="263"/>
      <c r="AV116" s="263"/>
      <c r="AW116" s="263"/>
      <c r="AX116" s="541"/>
      <c r="AY116" s="541"/>
      <c r="AZ116" s="541"/>
      <c r="BA116" s="541"/>
      <c r="BB116" s="541"/>
      <c r="BC116" s="541"/>
      <c r="BD116" s="541"/>
      <c r="BE116" s="541"/>
      <c r="BF116" s="541"/>
      <c r="BG116" s="541"/>
      <c r="BH116" s="541"/>
      <c r="BI116" s="541"/>
      <c r="BJ116" s="541"/>
      <c r="BK116" s="541"/>
      <c r="BL116" s="541"/>
      <c r="BM116" s="541"/>
      <c r="BN116" s="541"/>
      <c r="BO116" s="541"/>
      <c r="BP116" s="541"/>
      <c r="BQ116" s="541"/>
      <c r="BR116" s="541"/>
      <c r="BS116" s="541"/>
      <c r="BT116" s="541"/>
      <c r="BU116" s="541"/>
      <c r="BV116" s="541"/>
      <c r="BW116" s="165"/>
      <c r="BX116" s="1324"/>
      <c r="BY116" s="1324"/>
      <c r="BZ116" s="1324"/>
      <c r="CA116" s="1325"/>
      <c r="CB116" s="1325"/>
      <c r="CC116" s="1325"/>
      <c r="CD116" s="1325"/>
      <c r="CE116" s="1325"/>
      <c r="CF116" s="1325"/>
      <c r="CG116" s="1325"/>
      <c r="CH116" s="1325"/>
      <c r="CI116" s="1325"/>
      <c r="CJ116" s="1325"/>
      <c r="CK116" s="1325"/>
      <c r="CL116" s="1325"/>
      <c r="CM116" s="1325"/>
      <c r="CN116" s="1325"/>
      <c r="CO116" s="1325"/>
      <c r="CP116" s="1325"/>
      <c r="CQ116" s="263"/>
      <c r="CR116" s="1321"/>
      <c r="CS116" s="1321"/>
      <c r="CT116" s="1321"/>
      <c r="CU116" s="1321"/>
      <c r="CV116" s="1321"/>
      <c r="CW116" s="5"/>
      <c r="CX116" s="1321"/>
      <c r="CY116" s="1321"/>
      <c r="CZ116" s="1321"/>
      <c r="DA116" s="1321"/>
      <c r="DB116" s="5"/>
      <c r="DC116" s="1321"/>
      <c r="DD116" s="1321"/>
      <c r="DE116" s="1321"/>
      <c r="DF116" s="1321"/>
      <c r="DG116" s="1321"/>
      <c r="DH116" s="1321"/>
      <c r="DI116" s="5"/>
      <c r="DJ116" s="1321"/>
      <c r="DK116" s="1321"/>
      <c r="DL116" s="1321"/>
      <c r="DM116" s="1321"/>
      <c r="DN116" s="5"/>
      <c r="DO116" s="1321"/>
      <c r="DP116" s="1321"/>
      <c r="DQ116" s="1321"/>
      <c r="DR116" s="1321"/>
      <c r="DS116" s="5"/>
      <c r="DT116" s="1320"/>
      <c r="DU116" s="1320"/>
      <c r="DV116" s="1320"/>
      <c r="DW116" s="1320"/>
      <c r="DX116" s="1320"/>
      <c r="DY116" s="1320"/>
      <c r="DZ116" s="1320"/>
      <c r="EA116" s="1320"/>
      <c r="EB116" s="1320"/>
      <c r="EC116" s="1320"/>
      <c r="ED116" s="1320"/>
      <c r="EE116" s="1320"/>
      <c r="EF116" s="1320"/>
      <c r="EG116" s="1320"/>
      <c r="EH116" s="1320"/>
      <c r="EI116" s="1320"/>
      <c r="EJ116" s="1320"/>
      <c r="EK116" s="1320"/>
      <c r="EL116" s="1320"/>
      <c r="EM116" s="1320"/>
      <c r="EN116" s="1320"/>
      <c r="EO116" s="1320"/>
      <c r="EP116" s="1320"/>
      <c r="EQ116" s="1320"/>
      <c r="ER116" s="1320"/>
    </row>
    <row r="117" spans="1:151" ht="9.75" customHeight="1" x14ac:dyDescent="0.25">
      <c r="A117" s="5"/>
      <c r="B117" s="1369"/>
      <c r="C117" s="1369"/>
      <c r="D117" s="1369"/>
      <c r="E117" s="1369"/>
      <c r="F117" s="1369"/>
      <c r="G117" s="1369"/>
      <c r="H117" s="1369"/>
      <c r="I117" s="1369"/>
      <c r="J117" s="1369"/>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377"/>
      <c r="AO117" s="377"/>
      <c r="AP117" s="377"/>
      <c r="AQ117" s="377"/>
      <c r="AR117" s="263"/>
      <c r="AS117" s="263"/>
      <c r="AT117" s="263"/>
      <c r="AU117" s="263"/>
      <c r="AV117" s="263"/>
      <c r="AW117" s="263"/>
      <c r="AX117" s="541"/>
      <c r="AY117" s="541"/>
      <c r="AZ117" s="541"/>
      <c r="BA117" s="541"/>
      <c r="BB117" s="541"/>
      <c r="BC117" s="541"/>
      <c r="BD117" s="541"/>
      <c r="BE117" s="541"/>
      <c r="BF117" s="541"/>
      <c r="BG117" s="541"/>
      <c r="BH117" s="541"/>
      <c r="BI117" s="541"/>
      <c r="BJ117" s="541"/>
      <c r="BK117" s="541"/>
      <c r="BL117" s="541"/>
      <c r="BM117" s="541"/>
      <c r="BN117" s="541"/>
      <c r="BO117" s="541"/>
      <c r="BP117" s="541"/>
      <c r="BQ117" s="541"/>
      <c r="BR117" s="541"/>
      <c r="BS117" s="541"/>
      <c r="BT117" s="541"/>
      <c r="BU117" s="541"/>
      <c r="BV117" s="541"/>
      <c r="BW117" s="165"/>
      <c r="BX117" s="1324" t="str">
        <f>IF(CharacterLevel="",'Character Sheet III'!$CF$202,IF(Spellcasting!AO41="•",'Character Sheet III'!$BX$202,'Character Sheet III'!$CF$202))</f>
        <v>□</v>
      </c>
      <c r="BY117" s="1324"/>
      <c r="BZ117" s="1324"/>
      <c r="CA117" s="1325" t="str">
        <f>IF(OR(CharacterLevel="",Spellcasting!AQ$41=""),"",VLOOKUP(Spellcasting!AQ$41,Tables!$TK:$UB,Tables!$TN$1,FALSE))</f>
        <v/>
      </c>
      <c r="CB117" s="1325"/>
      <c r="CC117" s="1325"/>
      <c r="CD117" s="1325"/>
      <c r="CE117" s="1325"/>
      <c r="CF117" s="1325"/>
      <c r="CG117" s="1325"/>
      <c r="CH117" s="1325"/>
      <c r="CI117" s="1325"/>
      <c r="CJ117" s="1325"/>
      <c r="CK117" s="1325"/>
      <c r="CL117" s="1325"/>
      <c r="CM117" s="1325"/>
      <c r="CN117" s="1325"/>
      <c r="CO117" s="1325"/>
      <c r="CP117" s="1325"/>
      <c r="CQ117" s="263"/>
      <c r="CR117" s="1048" t="str">
        <f>IF(OR(CharacterLevel="",Spellcasting!AQ$41=""),"",VLOOKUP(Spellcasting!AQ$41,Tables!$TK:$UB,Tables!$TT$1,FALSE))</f>
        <v/>
      </c>
      <c r="CS117" s="1048"/>
      <c r="CT117" s="1048"/>
      <c r="CU117" s="1048"/>
      <c r="CV117" s="1048"/>
      <c r="CW117" s="263"/>
      <c r="CX117" s="1048" t="str">
        <f>IF(OR(CharacterLevel="",Spellcasting!AQ$41=""),"",VLOOKUP(Spellcasting!AQ$41,Tables!$TK:$UB,Tables!$TU$1,FALSE))</f>
        <v/>
      </c>
      <c r="CY117" s="1048"/>
      <c r="CZ117" s="1048"/>
      <c r="DA117" s="1048"/>
      <c r="DB117" s="263"/>
      <c r="DC117" s="1048" t="str">
        <f>IF(OR(CharacterLevel="",Spellcasting!AQ$41=""),"",VLOOKUP(Spellcasting!AQ$41,Tables!$TK:$UB,Tables!$TV$1,FALSE))</f>
        <v/>
      </c>
      <c r="DD117" s="1048"/>
      <c r="DE117" s="1048"/>
      <c r="DF117" s="1048"/>
      <c r="DG117" s="1048"/>
      <c r="DH117" s="1048"/>
      <c r="DI117" s="261"/>
      <c r="DJ117" s="1048" t="str">
        <f>IF(OR(CharacterLevel="",Spellcasting!AQ$41=""),"",VLOOKUP(Spellcasting!AQ$41,Tables!$TK:$UB,Tables!$TW$1,FALSE))</f>
        <v/>
      </c>
      <c r="DK117" s="1048"/>
      <c r="DL117" s="1048"/>
      <c r="DM117" s="1048"/>
      <c r="DN117" s="261"/>
      <c r="DO117" s="1048" t="str">
        <f>IF(OR(CharacterLevel="",Spellcasting!AQ$41=""),"",VLOOKUP(Spellcasting!AQ$41,Tables!$TK:$UB,Tables!$TZ$1,FALSE))</f>
        <v/>
      </c>
      <c r="DP117" s="1048"/>
      <c r="DQ117" s="1048"/>
      <c r="DR117" s="1048"/>
      <c r="DS117" s="261"/>
      <c r="DT117" s="1319" t="str">
        <f>IF(OR(CharacterLevel="",Spellcasting!AQ$41=""),"",VLOOKUP(Spellcasting!AQ$41,Tables!$TK:$UB,Tables!$UB$1,FALSE))</f>
        <v/>
      </c>
      <c r="DU117" s="1319"/>
      <c r="DV117" s="1319"/>
      <c r="DW117" s="1319"/>
      <c r="DX117" s="1319"/>
      <c r="DY117" s="1319"/>
      <c r="DZ117" s="1319"/>
      <c r="EA117" s="1319"/>
      <c r="EB117" s="1319"/>
      <c r="EC117" s="1319"/>
      <c r="ED117" s="1319"/>
      <c r="EE117" s="1319"/>
      <c r="EF117" s="1319"/>
      <c r="EG117" s="1319"/>
      <c r="EH117" s="1319"/>
      <c r="EI117" s="1319"/>
      <c r="EJ117" s="1319"/>
      <c r="EK117" s="1319"/>
      <c r="EL117" s="1319"/>
      <c r="EM117" s="1319"/>
      <c r="EN117" s="1319"/>
      <c r="EO117" s="1319"/>
      <c r="EP117" s="1319"/>
      <c r="EQ117" s="1319"/>
      <c r="ER117" s="1319"/>
      <c r="ES117" s="6">
        <f>ES115+1</f>
        <v>44</v>
      </c>
    </row>
    <row r="118" spans="1:151" ht="9.75" customHeight="1" x14ac:dyDescent="0.25">
      <c r="A118" s="5"/>
      <c r="B118" s="857" t="s">
        <v>455</v>
      </c>
      <c r="C118" s="857"/>
      <c r="D118" s="857"/>
      <c r="E118" s="857" t="s">
        <v>456</v>
      </c>
      <c r="F118" s="857"/>
      <c r="G118" s="857"/>
      <c r="H118" s="857"/>
      <c r="I118" s="857"/>
      <c r="J118" s="857"/>
      <c r="K118" s="857"/>
      <c r="L118" s="857"/>
      <c r="M118" s="857"/>
      <c r="N118" s="857"/>
      <c r="O118" s="857"/>
      <c r="P118" s="857"/>
      <c r="Q118" s="857"/>
      <c r="R118" s="857"/>
      <c r="S118" s="857"/>
      <c r="T118" s="857"/>
      <c r="U118" s="377"/>
      <c r="V118" s="848" t="s">
        <v>452</v>
      </c>
      <c r="W118" s="848"/>
      <c r="X118" s="848"/>
      <c r="Y118" s="848"/>
      <c r="Z118" s="848"/>
      <c r="AA118" s="377"/>
      <c r="AB118" s="848" t="s">
        <v>48</v>
      </c>
      <c r="AC118" s="848"/>
      <c r="AD118" s="848"/>
      <c r="AE118" s="848"/>
      <c r="AF118" s="377"/>
      <c r="AG118" s="848" t="s">
        <v>453</v>
      </c>
      <c r="AH118" s="848"/>
      <c r="AI118" s="848"/>
      <c r="AJ118" s="848"/>
      <c r="AK118" s="848"/>
      <c r="AL118" s="848"/>
      <c r="AM118" s="848" t="s">
        <v>454</v>
      </c>
      <c r="AN118" s="848"/>
      <c r="AO118" s="848"/>
      <c r="AP118" s="848"/>
      <c r="AQ118" s="848"/>
      <c r="AR118" s="848"/>
      <c r="AS118" s="848" t="s">
        <v>9</v>
      </c>
      <c r="AT118" s="848"/>
      <c r="AU118" s="848"/>
      <c r="AV118" s="848"/>
      <c r="AW118" s="259"/>
      <c r="AX118" s="946" t="s">
        <v>457</v>
      </c>
      <c r="AY118" s="946"/>
      <c r="AZ118" s="946"/>
      <c r="BA118" s="946"/>
      <c r="BB118" s="946"/>
      <c r="BC118" s="946"/>
      <c r="BD118" s="946"/>
      <c r="BE118" s="946"/>
      <c r="BF118" s="946"/>
      <c r="BG118" s="946"/>
      <c r="BH118" s="946"/>
      <c r="BI118" s="946"/>
      <c r="BJ118" s="946"/>
      <c r="BK118" s="946"/>
      <c r="BL118" s="946"/>
      <c r="BM118" s="946"/>
      <c r="BN118" s="946"/>
      <c r="BO118" s="946"/>
      <c r="BP118" s="946"/>
      <c r="BQ118" s="946"/>
      <c r="BR118" s="946"/>
      <c r="BS118" s="946"/>
      <c r="BT118" s="946"/>
      <c r="BU118" s="946"/>
      <c r="BV118" s="946"/>
      <c r="BW118" s="165"/>
      <c r="BX118" s="1324"/>
      <c r="BY118" s="1324"/>
      <c r="BZ118" s="1324"/>
      <c r="CA118" s="1325"/>
      <c r="CB118" s="1325"/>
      <c r="CC118" s="1325"/>
      <c r="CD118" s="1325"/>
      <c r="CE118" s="1325"/>
      <c r="CF118" s="1325"/>
      <c r="CG118" s="1325"/>
      <c r="CH118" s="1325"/>
      <c r="CI118" s="1325"/>
      <c r="CJ118" s="1325"/>
      <c r="CK118" s="1325"/>
      <c r="CL118" s="1325"/>
      <c r="CM118" s="1325"/>
      <c r="CN118" s="1325"/>
      <c r="CO118" s="1325"/>
      <c r="CP118" s="1325"/>
      <c r="CQ118" s="263"/>
      <c r="CR118" s="1321"/>
      <c r="CS118" s="1321"/>
      <c r="CT118" s="1321"/>
      <c r="CU118" s="1321"/>
      <c r="CV118" s="1321"/>
      <c r="CW118" s="5"/>
      <c r="CX118" s="1321"/>
      <c r="CY118" s="1321"/>
      <c r="CZ118" s="1321"/>
      <c r="DA118" s="1321"/>
      <c r="DB118" s="5"/>
      <c r="DC118" s="1321"/>
      <c r="DD118" s="1321"/>
      <c r="DE118" s="1321"/>
      <c r="DF118" s="1321"/>
      <c r="DG118" s="1321"/>
      <c r="DH118" s="1321"/>
      <c r="DI118" s="5"/>
      <c r="DJ118" s="1321"/>
      <c r="DK118" s="1321"/>
      <c r="DL118" s="1321"/>
      <c r="DM118" s="1321"/>
      <c r="DN118" s="5"/>
      <c r="DO118" s="1321"/>
      <c r="DP118" s="1321"/>
      <c r="DQ118" s="1321"/>
      <c r="DR118" s="1321"/>
      <c r="DS118" s="5"/>
      <c r="DT118" s="1320"/>
      <c r="DU118" s="1320"/>
      <c r="DV118" s="1320"/>
      <c r="DW118" s="1320"/>
      <c r="DX118" s="1320"/>
      <c r="DY118" s="1320"/>
      <c r="DZ118" s="1320"/>
      <c r="EA118" s="1320"/>
      <c r="EB118" s="1320"/>
      <c r="EC118" s="1320"/>
      <c r="ED118" s="1320"/>
      <c r="EE118" s="1320"/>
      <c r="EF118" s="1320"/>
      <c r="EG118" s="1320"/>
      <c r="EH118" s="1320"/>
      <c r="EI118" s="1320"/>
      <c r="EJ118" s="1320"/>
      <c r="EK118" s="1320"/>
      <c r="EL118" s="1320"/>
      <c r="EM118" s="1320"/>
      <c r="EN118" s="1320"/>
      <c r="EO118" s="1320"/>
      <c r="EP118" s="1320"/>
      <c r="EQ118" s="1320"/>
      <c r="ER118" s="1320"/>
    </row>
    <row r="119" spans="1:151" ht="9.75" customHeight="1" x14ac:dyDescent="0.25">
      <c r="A119" s="5"/>
      <c r="B119" s="857"/>
      <c r="C119" s="857"/>
      <c r="D119" s="857"/>
      <c r="E119" s="857"/>
      <c r="F119" s="857"/>
      <c r="G119" s="857"/>
      <c r="H119" s="857"/>
      <c r="I119" s="857"/>
      <c r="J119" s="857"/>
      <c r="K119" s="857"/>
      <c r="L119" s="857"/>
      <c r="M119" s="857"/>
      <c r="N119" s="857"/>
      <c r="O119" s="857"/>
      <c r="P119" s="857"/>
      <c r="Q119" s="857"/>
      <c r="R119" s="857"/>
      <c r="S119" s="857"/>
      <c r="T119" s="857"/>
      <c r="U119" s="377"/>
      <c r="V119" s="848"/>
      <c r="W119" s="848"/>
      <c r="X119" s="848"/>
      <c r="Y119" s="848"/>
      <c r="Z119" s="848"/>
      <c r="AA119" s="377"/>
      <c r="AB119" s="848"/>
      <c r="AC119" s="848"/>
      <c r="AD119" s="848"/>
      <c r="AE119" s="848"/>
      <c r="AF119" s="377"/>
      <c r="AG119" s="848"/>
      <c r="AH119" s="848"/>
      <c r="AI119" s="848"/>
      <c r="AJ119" s="848"/>
      <c r="AK119" s="848"/>
      <c r="AL119" s="848"/>
      <c r="AM119" s="848"/>
      <c r="AN119" s="848"/>
      <c r="AO119" s="848"/>
      <c r="AP119" s="848"/>
      <c r="AQ119" s="848"/>
      <c r="AR119" s="848"/>
      <c r="AS119" s="848"/>
      <c r="AT119" s="848"/>
      <c r="AU119" s="848"/>
      <c r="AV119" s="848"/>
      <c r="AW119" s="260"/>
      <c r="AX119" s="946"/>
      <c r="AY119" s="946"/>
      <c r="AZ119" s="946"/>
      <c r="BA119" s="946"/>
      <c r="BB119" s="946"/>
      <c r="BC119" s="946"/>
      <c r="BD119" s="946"/>
      <c r="BE119" s="946"/>
      <c r="BF119" s="946"/>
      <c r="BG119" s="946"/>
      <c r="BH119" s="946"/>
      <c r="BI119" s="946"/>
      <c r="BJ119" s="946"/>
      <c r="BK119" s="946"/>
      <c r="BL119" s="946"/>
      <c r="BM119" s="946"/>
      <c r="BN119" s="946"/>
      <c r="BO119" s="946"/>
      <c r="BP119" s="946"/>
      <c r="BQ119" s="946"/>
      <c r="BR119" s="946"/>
      <c r="BS119" s="946"/>
      <c r="BT119" s="946"/>
      <c r="BU119" s="946"/>
      <c r="BV119" s="946"/>
      <c r="BW119" s="165"/>
      <c r="BX119" s="1324" t="str">
        <f>IF(CharacterLevel="",'Character Sheet III'!$CF$202,IF(Spellcasting!AO42="•",'Character Sheet III'!$BX$202,'Character Sheet III'!$CF$202))</f>
        <v>□</v>
      </c>
      <c r="BY119" s="1324"/>
      <c r="BZ119" s="1324"/>
      <c r="CA119" s="1325" t="str">
        <f>IF(OR(CharacterLevel="",Spellcasting!AQ$42=""),"",VLOOKUP(Spellcasting!AQ$42,Tables!$TK:$UB,Tables!$TN$1,FALSE))</f>
        <v/>
      </c>
      <c r="CB119" s="1325"/>
      <c r="CC119" s="1325"/>
      <c r="CD119" s="1325"/>
      <c r="CE119" s="1325"/>
      <c r="CF119" s="1325"/>
      <c r="CG119" s="1325"/>
      <c r="CH119" s="1325"/>
      <c r="CI119" s="1325"/>
      <c r="CJ119" s="1325"/>
      <c r="CK119" s="1325"/>
      <c r="CL119" s="1325"/>
      <c r="CM119" s="1325"/>
      <c r="CN119" s="1325"/>
      <c r="CO119" s="1325"/>
      <c r="CP119" s="1325"/>
      <c r="CQ119" s="263"/>
      <c r="CR119" s="1048" t="str">
        <f>IF(OR(CharacterLevel="",Spellcasting!AQ$42=""),"",VLOOKUP(Spellcasting!AQ$42,Tables!$TK:$UB,Tables!$TT$1,FALSE))</f>
        <v/>
      </c>
      <c r="CS119" s="1048"/>
      <c r="CT119" s="1048"/>
      <c r="CU119" s="1048"/>
      <c r="CV119" s="1048"/>
      <c r="CW119" s="263"/>
      <c r="CX119" s="1048" t="str">
        <f>IF(OR(CharacterLevel="",Spellcasting!AQ$42=""),"",VLOOKUP(Spellcasting!AQ$42,Tables!$TK:$UB,Tables!$TU$1,FALSE))</f>
        <v/>
      </c>
      <c r="CY119" s="1048"/>
      <c r="CZ119" s="1048"/>
      <c r="DA119" s="1048"/>
      <c r="DB119" s="263"/>
      <c r="DC119" s="1048" t="str">
        <f>IF(OR(CharacterLevel="",Spellcasting!AQ$42=""),"",VLOOKUP(Spellcasting!AQ$42,Tables!$TK:$UB,Tables!$TV$1,FALSE))</f>
        <v/>
      </c>
      <c r="DD119" s="1048"/>
      <c r="DE119" s="1048"/>
      <c r="DF119" s="1048"/>
      <c r="DG119" s="1048"/>
      <c r="DH119" s="1048"/>
      <c r="DI119" s="261"/>
      <c r="DJ119" s="1048" t="str">
        <f>IF(OR(CharacterLevel="",Spellcasting!AQ$42=""),"",VLOOKUP(Spellcasting!AQ$42,Tables!$TK:$UB,Tables!$TW$1,FALSE))</f>
        <v/>
      </c>
      <c r="DK119" s="1048"/>
      <c r="DL119" s="1048"/>
      <c r="DM119" s="1048"/>
      <c r="DN119" s="261"/>
      <c r="DO119" s="1048" t="str">
        <f>IF(OR(CharacterLevel="",Spellcasting!AQ$42=""),"",VLOOKUP(Spellcasting!AQ$42,Tables!$TK:$UB,Tables!$TZ$1,FALSE))</f>
        <v/>
      </c>
      <c r="DP119" s="1048"/>
      <c r="DQ119" s="1048"/>
      <c r="DR119" s="1048"/>
      <c r="DS119" s="261"/>
      <c r="DT119" s="1319" t="str">
        <f>IF(OR(CharacterLevel="",Spellcasting!AQ$42=""),"",VLOOKUP(Spellcasting!AQ$42,Tables!$TK:$UB,Tables!$UB$1,FALSE))</f>
        <v/>
      </c>
      <c r="DU119" s="1319"/>
      <c r="DV119" s="1319"/>
      <c r="DW119" s="1319"/>
      <c r="DX119" s="1319"/>
      <c r="DY119" s="1319"/>
      <c r="DZ119" s="1319"/>
      <c r="EA119" s="1319"/>
      <c r="EB119" s="1319"/>
      <c r="EC119" s="1319"/>
      <c r="ED119" s="1319"/>
      <c r="EE119" s="1319"/>
      <c r="EF119" s="1319"/>
      <c r="EG119" s="1319"/>
      <c r="EH119" s="1319"/>
      <c r="EI119" s="1319"/>
      <c r="EJ119" s="1319"/>
      <c r="EK119" s="1319"/>
      <c r="EL119" s="1319"/>
      <c r="EM119" s="1319"/>
      <c r="EN119" s="1319"/>
      <c r="EO119" s="1319"/>
      <c r="EP119" s="1319"/>
      <c r="EQ119" s="1319"/>
      <c r="ER119" s="1319"/>
      <c r="ES119" s="6">
        <f>ES117+1</f>
        <v>45</v>
      </c>
    </row>
    <row r="120" spans="1:151" ht="9.75" customHeight="1" x14ac:dyDescent="0.2">
      <c r="A120" s="5"/>
      <c r="B120" s="1389" t="str">
        <f>IF(CharacterLevel="",'Character Sheet III'!$CF$202,IF(Spellcasting!BC6="•",'Character Sheet III'!$BX$202,'Character Sheet III'!$CF$202))</f>
        <v>□</v>
      </c>
      <c r="C120" s="1389"/>
      <c r="D120" s="1389"/>
      <c r="E120" s="1319" t="str">
        <f>IF(OR(CharacterLevel="",Spellcasting!BE$6=""),"",VLOOKUP(Spellcasting!BE$6,Tables!$TK:$UB,Tables!$TN$1,FALSE))</f>
        <v/>
      </c>
      <c r="F120" s="1319"/>
      <c r="G120" s="1319"/>
      <c r="H120" s="1319"/>
      <c r="I120" s="1319"/>
      <c r="J120" s="1319"/>
      <c r="K120" s="1319"/>
      <c r="L120" s="1319"/>
      <c r="M120" s="1319"/>
      <c r="N120" s="1319"/>
      <c r="O120" s="1319"/>
      <c r="P120" s="1319"/>
      <c r="Q120" s="1319"/>
      <c r="R120" s="1319"/>
      <c r="S120" s="1319"/>
      <c r="T120" s="1319"/>
      <c r="U120" s="263"/>
      <c r="V120" s="1048" t="str">
        <f>IF(OR(CharacterLevel="",Spellcasting!BE$6=""),"",VLOOKUP(Spellcasting!BE$6,Tables!$TK:$UB,Tables!$TT$1,FALSE))</f>
        <v/>
      </c>
      <c r="W120" s="1048"/>
      <c r="X120" s="1048"/>
      <c r="Y120" s="1048"/>
      <c r="Z120" s="1048"/>
      <c r="AA120" s="263"/>
      <c r="AB120" s="1048" t="str">
        <f>IF(OR(CharacterLevel="",Spellcasting!BE$6=""),"",VLOOKUP(Spellcasting!BE$6,Tables!$TK:$UB,Tables!$TU$1,FALSE))</f>
        <v/>
      </c>
      <c r="AC120" s="1048"/>
      <c r="AD120" s="1048"/>
      <c r="AE120" s="1048"/>
      <c r="AF120" s="263"/>
      <c r="AG120" s="1048" t="str">
        <f>IF(OR(CharacterLevel="",Spellcasting!BE$6=""),"",VLOOKUP(Spellcasting!BE$6,Tables!$TK:$UB,Tables!$TV$1,FALSE))</f>
        <v/>
      </c>
      <c r="AH120" s="1048"/>
      <c r="AI120" s="1048"/>
      <c r="AJ120" s="1048"/>
      <c r="AK120" s="1048"/>
      <c r="AL120" s="1048"/>
      <c r="AM120" s="261"/>
      <c r="AN120" s="857" t="str">
        <f>IF(OR(CharacterLevel="",Spellcasting!BE$6=""),"",VLOOKUP(Spellcasting!BE$6,Tables!$TK:$UB,Tables!$TW$1,FALSE))</f>
        <v/>
      </c>
      <c r="AO120" s="857"/>
      <c r="AP120" s="857"/>
      <c r="AQ120" s="857"/>
      <c r="AR120" s="261"/>
      <c r="AS120" s="1048" t="str">
        <f>IF(OR(CharacterLevel="",Spellcasting!BE$6=""),"",VLOOKUP(Spellcasting!BE$6,Tables!$TK:$UB,Tables!$TZ$1,FALSE))</f>
        <v/>
      </c>
      <c r="AT120" s="1048"/>
      <c r="AU120" s="1048"/>
      <c r="AV120" s="1048"/>
      <c r="AW120" s="261"/>
      <c r="AX120" s="1319" t="str">
        <f>IF(OR(CharacterLevel="",Spellcasting!BE$6=""),"",VLOOKUP(Spellcasting!BE$6,Tables!$TK:$UB,Tables!$UB$1,FALSE))</f>
        <v/>
      </c>
      <c r="AY120" s="1319"/>
      <c r="AZ120" s="1319"/>
      <c r="BA120" s="1319"/>
      <c r="BB120" s="1319"/>
      <c r="BC120" s="1319"/>
      <c r="BD120" s="1319"/>
      <c r="BE120" s="1319"/>
      <c r="BF120" s="1319"/>
      <c r="BG120" s="1319"/>
      <c r="BH120" s="1319"/>
      <c r="BI120" s="1319"/>
      <c r="BJ120" s="1319"/>
      <c r="BK120" s="1319"/>
      <c r="BL120" s="1319"/>
      <c r="BM120" s="1319"/>
      <c r="BN120" s="1319"/>
      <c r="BO120" s="1319"/>
      <c r="BP120" s="1319"/>
      <c r="BQ120" s="1319"/>
      <c r="BR120" s="1319"/>
      <c r="BS120" s="1319"/>
      <c r="BT120" s="1319"/>
      <c r="BU120" s="1319"/>
      <c r="BV120" s="1319"/>
      <c r="BW120" s="165"/>
      <c r="BX120" s="1324"/>
      <c r="BY120" s="1324"/>
      <c r="BZ120" s="1324"/>
      <c r="CA120" s="1325"/>
      <c r="CB120" s="1325"/>
      <c r="CC120" s="1325"/>
      <c r="CD120" s="1325"/>
      <c r="CE120" s="1325"/>
      <c r="CF120" s="1325"/>
      <c r="CG120" s="1325"/>
      <c r="CH120" s="1325"/>
      <c r="CI120" s="1325"/>
      <c r="CJ120" s="1325"/>
      <c r="CK120" s="1325"/>
      <c r="CL120" s="1325"/>
      <c r="CM120" s="1325"/>
      <c r="CN120" s="1325"/>
      <c r="CO120" s="1325"/>
      <c r="CP120" s="1325"/>
      <c r="CQ120" s="263"/>
      <c r="CR120" s="1321"/>
      <c r="CS120" s="1321"/>
      <c r="CT120" s="1321"/>
      <c r="CU120" s="1321"/>
      <c r="CV120" s="1321"/>
      <c r="CW120" s="5"/>
      <c r="CX120" s="1321"/>
      <c r="CY120" s="1321"/>
      <c r="CZ120" s="1321"/>
      <c r="DA120" s="1321"/>
      <c r="DB120" s="5"/>
      <c r="DC120" s="1321"/>
      <c r="DD120" s="1321"/>
      <c r="DE120" s="1321"/>
      <c r="DF120" s="1321"/>
      <c r="DG120" s="1321"/>
      <c r="DH120" s="1321"/>
      <c r="DI120" s="5"/>
      <c r="DJ120" s="1321"/>
      <c r="DK120" s="1321"/>
      <c r="DL120" s="1321"/>
      <c r="DM120" s="1321"/>
      <c r="DN120" s="5"/>
      <c r="DO120" s="1321"/>
      <c r="DP120" s="1321"/>
      <c r="DQ120" s="1321"/>
      <c r="DR120" s="1321"/>
      <c r="DS120" s="5"/>
      <c r="DT120" s="1320"/>
      <c r="DU120" s="1320"/>
      <c r="DV120" s="1320"/>
      <c r="DW120" s="1320"/>
      <c r="DX120" s="1320"/>
      <c r="DY120" s="1320"/>
      <c r="DZ120" s="1320"/>
      <c r="EA120" s="1320"/>
      <c r="EB120" s="1320"/>
      <c r="EC120" s="1320"/>
      <c r="ED120" s="1320"/>
      <c r="EE120" s="1320"/>
      <c r="EF120" s="1320"/>
      <c r="EG120" s="1320"/>
      <c r="EH120" s="1320"/>
      <c r="EI120" s="1320"/>
      <c r="EJ120" s="1320"/>
      <c r="EK120" s="1320"/>
      <c r="EL120" s="1320"/>
      <c r="EM120" s="1320"/>
      <c r="EN120" s="1320"/>
      <c r="EO120" s="1320"/>
      <c r="EP120" s="1320"/>
      <c r="EQ120" s="1320"/>
      <c r="ER120" s="1320"/>
    </row>
    <row r="121" spans="1:151" ht="9.75" customHeight="1" x14ac:dyDescent="0.2">
      <c r="A121" s="5"/>
      <c r="B121" s="1389"/>
      <c r="C121" s="1389"/>
      <c r="D121" s="1389"/>
      <c r="E121" s="1320"/>
      <c r="F121" s="1320"/>
      <c r="G121" s="1320"/>
      <c r="H121" s="1320"/>
      <c r="I121" s="1320"/>
      <c r="J121" s="1320"/>
      <c r="K121" s="1320"/>
      <c r="L121" s="1320"/>
      <c r="M121" s="1320"/>
      <c r="N121" s="1320"/>
      <c r="O121" s="1320"/>
      <c r="P121" s="1320"/>
      <c r="Q121" s="1320"/>
      <c r="R121" s="1320"/>
      <c r="S121" s="1320"/>
      <c r="T121" s="1320"/>
      <c r="U121" s="263"/>
      <c r="V121" s="1321"/>
      <c r="W121" s="1321"/>
      <c r="X121" s="1321"/>
      <c r="Y121" s="1321"/>
      <c r="Z121" s="1321"/>
      <c r="AA121" s="263"/>
      <c r="AB121" s="1321"/>
      <c r="AC121" s="1321"/>
      <c r="AD121" s="1321"/>
      <c r="AE121" s="1321"/>
      <c r="AF121" s="263"/>
      <c r="AG121" s="1321"/>
      <c r="AH121" s="1321"/>
      <c r="AI121" s="1321"/>
      <c r="AJ121" s="1321"/>
      <c r="AK121" s="1321"/>
      <c r="AL121" s="1321"/>
      <c r="AM121" s="263"/>
      <c r="AN121" s="1326"/>
      <c r="AO121" s="1326"/>
      <c r="AP121" s="1326"/>
      <c r="AQ121" s="1326"/>
      <c r="AR121" s="263"/>
      <c r="AS121" s="1321"/>
      <c r="AT121" s="1321"/>
      <c r="AU121" s="1321"/>
      <c r="AV121" s="1321"/>
      <c r="AW121" s="263"/>
      <c r="AX121" s="1320"/>
      <c r="AY121" s="1320"/>
      <c r="AZ121" s="1320"/>
      <c r="BA121" s="1320"/>
      <c r="BB121" s="1320"/>
      <c r="BC121" s="1320"/>
      <c r="BD121" s="1320"/>
      <c r="BE121" s="1320"/>
      <c r="BF121" s="1320"/>
      <c r="BG121" s="1320"/>
      <c r="BH121" s="1320"/>
      <c r="BI121" s="1320"/>
      <c r="BJ121" s="1320"/>
      <c r="BK121" s="1320"/>
      <c r="BL121" s="1320"/>
      <c r="BM121" s="1320"/>
      <c r="BN121" s="1320"/>
      <c r="BO121" s="1320"/>
      <c r="BP121" s="1320"/>
      <c r="BQ121" s="1320"/>
      <c r="BR121" s="1320"/>
      <c r="BS121" s="1320"/>
      <c r="BT121" s="1320"/>
      <c r="BU121" s="1320"/>
      <c r="BV121" s="1320"/>
      <c r="BW121" s="165"/>
      <c r="BX121" s="1324" t="str">
        <f>IF(CharacterLevel="",'Character Sheet III'!$CF$202,IF(Spellcasting!AO43="•",'Character Sheet III'!$BX$202,'Character Sheet III'!$CF$202))</f>
        <v>□</v>
      </c>
      <c r="BY121" s="1324"/>
      <c r="BZ121" s="1324"/>
      <c r="CA121" s="1325" t="str">
        <f>IF(OR(CharacterLevel="",Spellcasting!AQ$43=""),"",VLOOKUP(Spellcasting!AQ$43,Tables!$TK:$UB,Tables!$TN$1,FALSE))</f>
        <v/>
      </c>
      <c r="CB121" s="1325"/>
      <c r="CC121" s="1325"/>
      <c r="CD121" s="1325"/>
      <c r="CE121" s="1325"/>
      <c r="CF121" s="1325"/>
      <c r="CG121" s="1325"/>
      <c r="CH121" s="1325"/>
      <c r="CI121" s="1325"/>
      <c r="CJ121" s="1325"/>
      <c r="CK121" s="1325"/>
      <c r="CL121" s="1325"/>
      <c r="CM121" s="1325"/>
      <c r="CN121" s="1325"/>
      <c r="CO121" s="1325"/>
      <c r="CP121" s="1325"/>
      <c r="CQ121" s="263"/>
      <c r="CR121" s="1048" t="str">
        <f>IF(OR(CharacterLevel="",Spellcasting!AQ$43=""),"",VLOOKUP(Spellcasting!AQ$43,Tables!$TK:$UB,Tables!$TT$1,FALSE))</f>
        <v/>
      </c>
      <c r="CS121" s="1048"/>
      <c r="CT121" s="1048"/>
      <c r="CU121" s="1048"/>
      <c r="CV121" s="1048"/>
      <c r="CW121" s="263"/>
      <c r="CX121" s="1048" t="str">
        <f>IF(OR(CharacterLevel="",Spellcasting!AQ$43=""),"",VLOOKUP(Spellcasting!AQ$43,Tables!$TK:$UB,Tables!$TU$1,FALSE))</f>
        <v/>
      </c>
      <c r="CY121" s="1048"/>
      <c r="CZ121" s="1048"/>
      <c r="DA121" s="1048"/>
      <c r="DB121" s="263"/>
      <c r="DC121" s="1048" t="str">
        <f>IF(OR(CharacterLevel="",Spellcasting!AQ$43=""),"",VLOOKUP(Spellcasting!AQ$43,Tables!$TK:$UB,Tables!$TV$1,FALSE))</f>
        <v/>
      </c>
      <c r="DD121" s="1048"/>
      <c r="DE121" s="1048"/>
      <c r="DF121" s="1048"/>
      <c r="DG121" s="1048"/>
      <c r="DH121" s="1048"/>
      <c r="DI121" s="261"/>
      <c r="DJ121" s="1048" t="str">
        <f>IF(OR(CharacterLevel="",Spellcasting!AQ$43=""),"",VLOOKUP(Spellcasting!AQ$43,Tables!$TK:$UB,Tables!$TW$1,FALSE))</f>
        <v/>
      </c>
      <c r="DK121" s="1048"/>
      <c r="DL121" s="1048"/>
      <c r="DM121" s="1048"/>
      <c r="DN121" s="261"/>
      <c r="DO121" s="1048" t="str">
        <f>IF(OR(CharacterLevel="",Spellcasting!AQ$43=""),"",VLOOKUP(Spellcasting!AQ$43,Tables!$TK:$UB,Tables!$TZ$1,FALSE))</f>
        <v/>
      </c>
      <c r="DP121" s="1048"/>
      <c r="DQ121" s="1048"/>
      <c r="DR121" s="1048"/>
      <c r="DS121" s="261"/>
      <c r="DT121" s="1319" t="str">
        <f>IF(OR(CharacterLevel="",Spellcasting!AQ$43=""),"",VLOOKUP(Spellcasting!AQ$43,Tables!$TK:$UB,Tables!$UB$1,FALSE))</f>
        <v/>
      </c>
      <c r="DU121" s="1319"/>
      <c r="DV121" s="1319"/>
      <c r="DW121" s="1319"/>
      <c r="DX121" s="1319"/>
      <c r="DY121" s="1319"/>
      <c r="DZ121" s="1319"/>
      <c r="EA121" s="1319"/>
      <c r="EB121" s="1319"/>
      <c r="EC121" s="1319"/>
      <c r="ED121" s="1319"/>
      <c r="EE121" s="1319"/>
      <c r="EF121" s="1319"/>
      <c r="EG121" s="1319"/>
      <c r="EH121" s="1319"/>
      <c r="EI121" s="1319"/>
      <c r="EJ121" s="1319"/>
      <c r="EK121" s="1319"/>
      <c r="EL121" s="1319"/>
      <c r="EM121" s="1319"/>
      <c r="EN121" s="1319"/>
      <c r="EO121" s="1319"/>
      <c r="EP121" s="1319"/>
      <c r="EQ121" s="1319"/>
      <c r="ER121" s="1319"/>
      <c r="ES121" s="6">
        <f>ES119+1</f>
        <v>46</v>
      </c>
    </row>
    <row r="122" spans="1:151" ht="9.75" customHeight="1" x14ac:dyDescent="0.2">
      <c r="A122" s="5"/>
      <c r="B122" s="1389" t="str">
        <f>IF(CharacterLevel="",'Character Sheet III'!$CF$202,IF(Spellcasting!BC7="•",'Character Sheet III'!$BX$202,'Character Sheet III'!$CF$202))</f>
        <v>□</v>
      </c>
      <c r="C122" s="1389"/>
      <c r="D122" s="1389"/>
      <c r="E122" s="1325" t="str">
        <f>IF(OR(CharacterLevel="",Spellcasting!BE$7=""),"",VLOOKUP(Spellcasting!BE$7,Tables!$TK:$UB,Tables!$TN$1,FALSE))</f>
        <v/>
      </c>
      <c r="F122" s="1325"/>
      <c r="G122" s="1325"/>
      <c r="H122" s="1325"/>
      <c r="I122" s="1325"/>
      <c r="J122" s="1325"/>
      <c r="K122" s="1325"/>
      <c r="L122" s="1325"/>
      <c r="M122" s="1325"/>
      <c r="N122" s="1325"/>
      <c r="O122" s="1325"/>
      <c r="P122" s="1325"/>
      <c r="Q122" s="1325"/>
      <c r="R122" s="1325"/>
      <c r="S122" s="1325"/>
      <c r="T122" s="1325"/>
      <c r="U122" s="263"/>
      <c r="V122" s="1048" t="str">
        <f>IF(OR(CharacterLevel="",Spellcasting!BE$7=""),"",VLOOKUP(Spellcasting!BE$7,Tables!$TK:$UB,Tables!$TT$1,FALSE))</f>
        <v/>
      </c>
      <c r="W122" s="1048"/>
      <c r="X122" s="1048"/>
      <c r="Y122" s="1048"/>
      <c r="Z122" s="1048"/>
      <c r="AA122" s="263"/>
      <c r="AB122" s="1048" t="str">
        <f>IF(OR(CharacterLevel="",Spellcasting!BE$7=""),"",VLOOKUP(Spellcasting!BE$7,Tables!$TK:$UB,Tables!$TU$1,FALSE))</f>
        <v/>
      </c>
      <c r="AC122" s="1048"/>
      <c r="AD122" s="1048"/>
      <c r="AE122" s="1048"/>
      <c r="AF122" s="263"/>
      <c r="AG122" s="1048" t="str">
        <f>IF(OR(CharacterLevel="",Spellcasting!BE$7=""),"",VLOOKUP(Spellcasting!BE$7,Tables!$TK:$UB,Tables!$TV$1,FALSE))</f>
        <v/>
      </c>
      <c r="AH122" s="1048"/>
      <c r="AI122" s="1048"/>
      <c r="AJ122" s="1048"/>
      <c r="AK122" s="1048"/>
      <c r="AL122" s="1048"/>
      <c r="AM122" s="261"/>
      <c r="AN122" s="857" t="str">
        <f>IF(OR(CharacterLevel="",Spellcasting!BE$7=""),"",VLOOKUP(Spellcasting!BE$7,Tables!$TK:$UB,Tables!$TW$1,FALSE))</f>
        <v/>
      </c>
      <c r="AO122" s="857"/>
      <c r="AP122" s="857"/>
      <c r="AQ122" s="857"/>
      <c r="AR122" s="261"/>
      <c r="AS122" s="1048" t="str">
        <f>IF(OR(CharacterLevel="",Spellcasting!BE$7=""),"",VLOOKUP(Spellcasting!BE$7,Tables!$TK:$UB,Tables!$TZ$1,FALSE))</f>
        <v/>
      </c>
      <c r="AT122" s="1048"/>
      <c r="AU122" s="1048"/>
      <c r="AV122" s="1048"/>
      <c r="AW122" s="261"/>
      <c r="AX122" s="1319" t="str">
        <f>IF(OR(CharacterLevel="",Spellcasting!BE$7=""),"",VLOOKUP(Spellcasting!BE$7,Tables!$TK:$UB,Tables!$UB$1,FALSE))</f>
        <v/>
      </c>
      <c r="AY122" s="1319"/>
      <c r="AZ122" s="1319"/>
      <c r="BA122" s="1319"/>
      <c r="BB122" s="1319"/>
      <c r="BC122" s="1319"/>
      <c r="BD122" s="1319"/>
      <c r="BE122" s="1319"/>
      <c r="BF122" s="1319"/>
      <c r="BG122" s="1319"/>
      <c r="BH122" s="1319"/>
      <c r="BI122" s="1319"/>
      <c r="BJ122" s="1319"/>
      <c r="BK122" s="1319"/>
      <c r="BL122" s="1319"/>
      <c r="BM122" s="1319"/>
      <c r="BN122" s="1319"/>
      <c r="BO122" s="1319"/>
      <c r="BP122" s="1319"/>
      <c r="BQ122" s="1319"/>
      <c r="BR122" s="1319"/>
      <c r="BS122" s="1319"/>
      <c r="BT122" s="1319"/>
      <c r="BU122" s="1319"/>
      <c r="BV122" s="1319"/>
      <c r="BW122" s="165"/>
      <c r="BX122" s="1324"/>
      <c r="BY122" s="1324"/>
      <c r="BZ122" s="1324"/>
      <c r="CA122" s="1325" t="e">
        <f>IF(OR(CharacterLevel="",Spellcasting!#REF!=""),"",VLOOKUP(Spellcasting!#REF!,Tables!WX:XQ,Tables!$TN$1,FALSE))</f>
        <v>#REF!</v>
      </c>
      <c r="CB122" s="1325"/>
      <c r="CC122" s="1325"/>
      <c r="CD122" s="1325"/>
      <c r="CE122" s="1325"/>
      <c r="CF122" s="1325"/>
      <c r="CG122" s="1325"/>
      <c r="CH122" s="1325"/>
      <c r="CI122" s="1325"/>
      <c r="CJ122" s="1325"/>
      <c r="CK122" s="1325"/>
      <c r="CL122" s="1325"/>
      <c r="CM122" s="1325"/>
      <c r="CN122" s="1325"/>
      <c r="CO122" s="1325"/>
      <c r="CP122" s="1325"/>
      <c r="CQ122" s="263"/>
      <c r="CR122" s="1321"/>
      <c r="CS122" s="1321"/>
      <c r="CT122" s="1321"/>
      <c r="CU122" s="1321"/>
      <c r="CV122" s="1321"/>
      <c r="CW122" s="5"/>
      <c r="CX122" s="1321"/>
      <c r="CY122" s="1321"/>
      <c r="CZ122" s="1321"/>
      <c r="DA122" s="1321"/>
      <c r="DB122" s="5"/>
      <c r="DC122" s="1321"/>
      <c r="DD122" s="1321"/>
      <c r="DE122" s="1321"/>
      <c r="DF122" s="1321"/>
      <c r="DG122" s="1321"/>
      <c r="DH122" s="1321"/>
      <c r="DI122" s="5"/>
      <c r="DJ122" s="1321"/>
      <c r="DK122" s="1321"/>
      <c r="DL122" s="1321"/>
      <c r="DM122" s="1321"/>
      <c r="DN122" s="5"/>
      <c r="DO122" s="1321"/>
      <c r="DP122" s="1321"/>
      <c r="DQ122" s="1321"/>
      <c r="DR122" s="1321"/>
      <c r="DS122" s="5"/>
      <c r="DT122" s="1320"/>
      <c r="DU122" s="1320"/>
      <c r="DV122" s="1320"/>
      <c r="DW122" s="1320"/>
      <c r="DX122" s="1320"/>
      <c r="DY122" s="1320"/>
      <c r="DZ122" s="1320"/>
      <c r="EA122" s="1320"/>
      <c r="EB122" s="1320"/>
      <c r="EC122" s="1320"/>
      <c r="ED122" s="1320"/>
      <c r="EE122" s="1320"/>
      <c r="EF122" s="1320"/>
      <c r="EG122" s="1320"/>
      <c r="EH122" s="1320"/>
      <c r="EI122" s="1320"/>
      <c r="EJ122" s="1320"/>
      <c r="EK122" s="1320"/>
      <c r="EL122" s="1320"/>
      <c r="EM122" s="1320"/>
      <c r="EN122" s="1320"/>
      <c r="EO122" s="1320"/>
      <c r="EP122" s="1320"/>
      <c r="EQ122" s="1320"/>
      <c r="ER122" s="1320"/>
    </row>
    <row r="123" spans="1:151" ht="9.75" customHeight="1" x14ac:dyDescent="0.2">
      <c r="A123" s="5"/>
      <c r="B123" s="1389"/>
      <c r="C123" s="1389"/>
      <c r="D123" s="1389"/>
      <c r="E123" s="1325"/>
      <c r="F123" s="1325"/>
      <c r="G123" s="1325"/>
      <c r="H123" s="1325"/>
      <c r="I123" s="1325"/>
      <c r="J123" s="1325"/>
      <c r="K123" s="1325"/>
      <c r="L123" s="1325"/>
      <c r="M123" s="1325"/>
      <c r="N123" s="1325"/>
      <c r="O123" s="1325"/>
      <c r="P123" s="1325"/>
      <c r="Q123" s="1325"/>
      <c r="R123" s="1325"/>
      <c r="S123" s="1325"/>
      <c r="T123" s="1325"/>
      <c r="U123" s="263"/>
      <c r="V123" s="1321"/>
      <c r="W123" s="1321"/>
      <c r="X123" s="1321"/>
      <c r="Y123" s="1321"/>
      <c r="Z123" s="1321"/>
      <c r="AA123" s="263"/>
      <c r="AB123" s="1321"/>
      <c r="AC123" s="1321"/>
      <c r="AD123" s="1321"/>
      <c r="AE123" s="1321"/>
      <c r="AF123" s="263"/>
      <c r="AG123" s="1321"/>
      <c r="AH123" s="1321"/>
      <c r="AI123" s="1321"/>
      <c r="AJ123" s="1321"/>
      <c r="AK123" s="1321"/>
      <c r="AL123" s="1321"/>
      <c r="AM123" s="263"/>
      <c r="AN123" s="1326"/>
      <c r="AO123" s="1326"/>
      <c r="AP123" s="1326"/>
      <c r="AQ123" s="1326"/>
      <c r="AR123" s="263"/>
      <c r="AS123" s="1321"/>
      <c r="AT123" s="1321"/>
      <c r="AU123" s="1321"/>
      <c r="AV123" s="1321"/>
      <c r="AW123" s="263"/>
      <c r="AX123" s="1320"/>
      <c r="AY123" s="1320"/>
      <c r="AZ123" s="1320"/>
      <c r="BA123" s="1320"/>
      <c r="BB123" s="1320"/>
      <c r="BC123" s="1320"/>
      <c r="BD123" s="1320"/>
      <c r="BE123" s="1320"/>
      <c r="BF123" s="1320"/>
      <c r="BG123" s="1320"/>
      <c r="BH123" s="1320"/>
      <c r="BI123" s="1320"/>
      <c r="BJ123" s="1320"/>
      <c r="BK123" s="1320"/>
      <c r="BL123" s="1320"/>
      <c r="BM123" s="1320"/>
      <c r="BN123" s="1320"/>
      <c r="BO123" s="1320"/>
      <c r="BP123" s="1320"/>
      <c r="BQ123" s="1320"/>
      <c r="BR123" s="1320"/>
      <c r="BS123" s="1320"/>
      <c r="BT123" s="1320"/>
      <c r="BU123" s="1320"/>
      <c r="BV123" s="1320"/>
      <c r="BW123" s="165"/>
      <c r="BX123" s="1324" t="str">
        <f>IF(CharacterLevel="",'Character Sheet III'!$CF$202,IF(Spellcasting!AO44="•",'Character Sheet III'!$BX$202,'Character Sheet III'!$CF$202))</f>
        <v>□</v>
      </c>
      <c r="BY123" s="1324"/>
      <c r="BZ123" s="1324"/>
      <c r="CA123" s="1325" t="str">
        <f>IF(OR(CharacterLevel="",Spellcasting!AQ$44=""),"",VLOOKUP(Spellcasting!AQ$44,Tables!$TK:$UB,Tables!$TN$1,FALSE))</f>
        <v/>
      </c>
      <c r="CB123" s="1325"/>
      <c r="CC123" s="1325"/>
      <c r="CD123" s="1325"/>
      <c r="CE123" s="1325"/>
      <c r="CF123" s="1325"/>
      <c r="CG123" s="1325"/>
      <c r="CH123" s="1325"/>
      <c r="CI123" s="1325"/>
      <c r="CJ123" s="1325"/>
      <c r="CK123" s="1325"/>
      <c r="CL123" s="1325"/>
      <c r="CM123" s="1325"/>
      <c r="CN123" s="1325"/>
      <c r="CO123" s="1325"/>
      <c r="CP123" s="1325"/>
      <c r="CQ123" s="263"/>
      <c r="CR123" s="1048" t="str">
        <f>IF(OR(CharacterLevel="",Spellcasting!AQ$44=""),"",VLOOKUP(Spellcasting!AQ$44,Tables!$TK:$UB,Tables!$TT$1,FALSE))</f>
        <v/>
      </c>
      <c r="CS123" s="1048"/>
      <c r="CT123" s="1048"/>
      <c r="CU123" s="1048"/>
      <c r="CV123" s="1048"/>
      <c r="CW123" s="263"/>
      <c r="CX123" s="1048" t="str">
        <f>IF(OR(CharacterLevel="",Spellcasting!AQ$44=""),"",VLOOKUP(Spellcasting!AQ$44,Tables!$TK:$UB,Tables!$TU$1,FALSE))</f>
        <v/>
      </c>
      <c r="CY123" s="1048"/>
      <c r="CZ123" s="1048"/>
      <c r="DA123" s="1048"/>
      <c r="DB123" s="263"/>
      <c r="DC123" s="1048" t="str">
        <f>IF(OR(CharacterLevel="",Spellcasting!AQ$44=""),"",VLOOKUP(Spellcasting!AQ$44,Tables!$TK:$UB,Tables!$TV$1,FALSE))</f>
        <v/>
      </c>
      <c r="DD123" s="1048"/>
      <c r="DE123" s="1048"/>
      <c r="DF123" s="1048"/>
      <c r="DG123" s="1048"/>
      <c r="DH123" s="1048"/>
      <c r="DI123" s="261"/>
      <c r="DJ123" s="1048" t="str">
        <f>IF(OR(CharacterLevel="",Spellcasting!AQ$44=""),"",VLOOKUP(Spellcasting!AQ$44,Tables!$TK:$UB,Tables!$TW$1,FALSE))</f>
        <v/>
      </c>
      <c r="DK123" s="1048"/>
      <c r="DL123" s="1048"/>
      <c r="DM123" s="1048"/>
      <c r="DN123" s="261"/>
      <c r="DO123" s="1048" t="str">
        <f>IF(OR(CharacterLevel="",Spellcasting!AQ$44=""),"",VLOOKUP(Spellcasting!AQ$44,Tables!$TK:$UB,Tables!$TZ$1,FALSE))</f>
        <v/>
      </c>
      <c r="DP123" s="1048"/>
      <c r="DQ123" s="1048"/>
      <c r="DR123" s="1048"/>
      <c r="DS123" s="261"/>
      <c r="DT123" s="1319" t="str">
        <f>IF(OR(CharacterLevel="",Spellcasting!AQ$44=""),"",VLOOKUP(Spellcasting!AQ$44,Tables!$TK:$UB,Tables!$UB$1,FALSE))</f>
        <v/>
      </c>
      <c r="DU123" s="1319"/>
      <c r="DV123" s="1319"/>
      <c r="DW123" s="1319"/>
      <c r="DX123" s="1319"/>
      <c r="DY123" s="1319"/>
      <c r="DZ123" s="1319"/>
      <c r="EA123" s="1319"/>
      <c r="EB123" s="1319"/>
      <c r="EC123" s="1319"/>
      <c r="ED123" s="1319"/>
      <c r="EE123" s="1319"/>
      <c r="EF123" s="1319"/>
      <c r="EG123" s="1319"/>
      <c r="EH123" s="1319"/>
      <c r="EI123" s="1319"/>
      <c r="EJ123" s="1319"/>
      <c r="EK123" s="1319"/>
      <c r="EL123" s="1319"/>
      <c r="EM123" s="1319"/>
      <c r="EN123" s="1319"/>
      <c r="EO123" s="1319"/>
      <c r="EP123" s="1319"/>
      <c r="EQ123" s="1319"/>
      <c r="ER123" s="1319"/>
      <c r="ES123" s="6">
        <f>ES121+1</f>
        <v>47</v>
      </c>
    </row>
    <row r="124" spans="1:151" ht="9.75" customHeight="1" x14ac:dyDescent="0.2">
      <c r="A124" s="5"/>
      <c r="B124" s="1389" t="str">
        <f>IF(CharacterLevel="",'Character Sheet III'!$CF$202,IF(Spellcasting!BC8="•",'Character Sheet III'!$BX$202,'Character Sheet III'!$CF$202))</f>
        <v>□</v>
      </c>
      <c r="C124" s="1389"/>
      <c r="D124" s="1389"/>
      <c r="E124" s="1325" t="str">
        <f>IF(OR(CharacterLevel="",Spellcasting!BE$8=""),"",VLOOKUP(Spellcasting!BE$8,Tables!$TK:$UB,Tables!$TN$1,FALSE))</f>
        <v/>
      </c>
      <c r="F124" s="1325"/>
      <c r="G124" s="1325"/>
      <c r="H124" s="1325"/>
      <c r="I124" s="1325"/>
      <c r="J124" s="1325"/>
      <c r="K124" s="1325"/>
      <c r="L124" s="1325"/>
      <c r="M124" s="1325"/>
      <c r="N124" s="1325"/>
      <c r="O124" s="1325"/>
      <c r="P124" s="1325"/>
      <c r="Q124" s="1325"/>
      <c r="R124" s="1325"/>
      <c r="S124" s="1325"/>
      <c r="T124" s="1325"/>
      <c r="U124" s="263"/>
      <c r="V124" s="1048" t="str">
        <f>IF(OR(CharacterLevel="",Spellcasting!BE$8=""),"",VLOOKUP(Spellcasting!BE$8,Tables!$TK:$UB,Tables!$TT$1,FALSE))</f>
        <v/>
      </c>
      <c r="W124" s="1048"/>
      <c r="X124" s="1048"/>
      <c r="Y124" s="1048"/>
      <c r="Z124" s="1048"/>
      <c r="AA124" s="263"/>
      <c r="AB124" s="1048" t="str">
        <f>IF(OR(CharacterLevel="",Spellcasting!BE$8=""),"",VLOOKUP(Spellcasting!BE$8,Tables!$TK:$UB,Tables!$TU$1,FALSE))</f>
        <v/>
      </c>
      <c r="AC124" s="1048"/>
      <c r="AD124" s="1048"/>
      <c r="AE124" s="1048"/>
      <c r="AF124" s="263"/>
      <c r="AG124" s="1048" t="str">
        <f>IF(OR(CharacterLevel="",Spellcasting!BE$8=""),"",VLOOKUP(Spellcasting!BE$8,Tables!$TK:$UB,Tables!$TV$1,FALSE))</f>
        <v/>
      </c>
      <c r="AH124" s="1048"/>
      <c r="AI124" s="1048"/>
      <c r="AJ124" s="1048"/>
      <c r="AK124" s="1048"/>
      <c r="AL124" s="1048"/>
      <c r="AM124" s="261"/>
      <c r="AN124" s="857" t="str">
        <f>IF(OR(CharacterLevel="",Spellcasting!BE$8=""),"",VLOOKUP(Spellcasting!BE$8,Tables!$TK:$UB,Tables!$TW$1,FALSE))</f>
        <v/>
      </c>
      <c r="AO124" s="857"/>
      <c r="AP124" s="857"/>
      <c r="AQ124" s="857"/>
      <c r="AR124" s="261"/>
      <c r="AS124" s="1048" t="str">
        <f>IF(OR(CharacterLevel="",Spellcasting!BE$8=""),"",VLOOKUP(Spellcasting!BE$8,Tables!$TK:$UB,Tables!$TZ$1,FALSE))</f>
        <v/>
      </c>
      <c r="AT124" s="1048"/>
      <c r="AU124" s="1048"/>
      <c r="AV124" s="1048"/>
      <c r="AW124" s="261"/>
      <c r="AX124" s="1319" t="str">
        <f>IF(OR(CharacterLevel="",Spellcasting!BE$8=""),"",VLOOKUP(Spellcasting!BE$8,Tables!$TK:$UB,Tables!$UB$1,FALSE))</f>
        <v/>
      </c>
      <c r="AY124" s="1319"/>
      <c r="AZ124" s="1319"/>
      <c r="BA124" s="1319"/>
      <c r="BB124" s="1319"/>
      <c r="BC124" s="1319"/>
      <c r="BD124" s="1319"/>
      <c r="BE124" s="1319"/>
      <c r="BF124" s="1319"/>
      <c r="BG124" s="1319"/>
      <c r="BH124" s="1319"/>
      <c r="BI124" s="1319"/>
      <c r="BJ124" s="1319"/>
      <c r="BK124" s="1319"/>
      <c r="BL124" s="1319"/>
      <c r="BM124" s="1319"/>
      <c r="BN124" s="1319"/>
      <c r="BO124" s="1319"/>
      <c r="BP124" s="1319"/>
      <c r="BQ124" s="1319"/>
      <c r="BR124" s="1319"/>
      <c r="BS124" s="1319"/>
      <c r="BT124" s="1319"/>
      <c r="BU124" s="1319"/>
      <c r="BV124" s="1319"/>
      <c r="BW124" s="165"/>
      <c r="BX124" s="1324"/>
      <c r="BY124" s="1324"/>
      <c r="BZ124" s="1324"/>
      <c r="CA124" s="1325" t="e">
        <f>IF(OR(CharacterLevel="",Spellcasting!#REF!=""),"",VLOOKUP(Spellcasting!#REF!,Tables!WX:XQ,Tables!$TN$1,FALSE))</f>
        <v>#REF!</v>
      </c>
      <c r="CB124" s="1325"/>
      <c r="CC124" s="1325"/>
      <c r="CD124" s="1325"/>
      <c r="CE124" s="1325"/>
      <c r="CF124" s="1325"/>
      <c r="CG124" s="1325"/>
      <c r="CH124" s="1325"/>
      <c r="CI124" s="1325"/>
      <c r="CJ124" s="1325"/>
      <c r="CK124" s="1325"/>
      <c r="CL124" s="1325"/>
      <c r="CM124" s="1325"/>
      <c r="CN124" s="1325"/>
      <c r="CO124" s="1325"/>
      <c r="CP124" s="1325"/>
      <c r="CQ124" s="263"/>
      <c r="CR124" s="1321"/>
      <c r="CS124" s="1321"/>
      <c r="CT124" s="1321"/>
      <c r="CU124" s="1321"/>
      <c r="CV124" s="1321"/>
      <c r="CW124" s="5"/>
      <c r="CX124" s="1321"/>
      <c r="CY124" s="1321"/>
      <c r="CZ124" s="1321"/>
      <c r="DA124" s="1321"/>
      <c r="DB124" s="5"/>
      <c r="DC124" s="1321"/>
      <c r="DD124" s="1321"/>
      <c r="DE124" s="1321"/>
      <c r="DF124" s="1321"/>
      <c r="DG124" s="1321"/>
      <c r="DH124" s="1321"/>
      <c r="DI124" s="5"/>
      <c r="DJ124" s="1321"/>
      <c r="DK124" s="1321"/>
      <c r="DL124" s="1321"/>
      <c r="DM124" s="1321"/>
      <c r="DN124" s="5"/>
      <c r="DO124" s="1321"/>
      <c r="DP124" s="1321"/>
      <c r="DQ124" s="1321"/>
      <c r="DR124" s="1321"/>
      <c r="DS124" s="5"/>
      <c r="DT124" s="1320"/>
      <c r="DU124" s="1320"/>
      <c r="DV124" s="1320"/>
      <c r="DW124" s="1320"/>
      <c r="DX124" s="1320"/>
      <c r="DY124" s="1320"/>
      <c r="DZ124" s="1320"/>
      <c r="EA124" s="1320"/>
      <c r="EB124" s="1320"/>
      <c r="EC124" s="1320"/>
      <c r="ED124" s="1320"/>
      <c r="EE124" s="1320"/>
      <c r="EF124" s="1320"/>
      <c r="EG124" s="1320"/>
      <c r="EH124" s="1320"/>
      <c r="EI124" s="1320"/>
      <c r="EJ124" s="1320"/>
      <c r="EK124" s="1320"/>
      <c r="EL124" s="1320"/>
      <c r="EM124" s="1320"/>
      <c r="EN124" s="1320"/>
      <c r="EO124" s="1320"/>
      <c r="EP124" s="1320"/>
      <c r="EQ124" s="1320"/>
      <c r="ER124" s="1320"/>
    </row>
    <row r="125" spans="1:151" ht="9.75" customHeight="1" x14ac:dyDescent="0.2">
      <c r="A125" s="5"/>
      <c r="B125" s="1389"/>
      <c r="C125" s="1389"/>
      <c r="D125" s="1389"/>
      <c r="E125" s="1325"/>
      <c r="F125" s="1325"/>
      <c r="G125" s="1325"/>
      <c r="H125" s="1325"/>
      <c r="I125" s="1325"/>
      <c r="J125" s="1325"/>
      <c r="K125" s="1325"/>
      <c r="L125" s="1325"/>
      <c r="M125" s="1325"/>
      <c r="N125" s="1325"/>
      <c r="O125" s="1325"/>
      <c r="P125" s="1325"/>
      <c r="Q125" s="1325"/>
      <c r="R125" s="1325"/>
      <c r="S125" s="1325"/>
      <c r="T125" s="1325"/>
      <c r="U125" s="263"/>
      <c r="V125" s="1321"/>
      <c r="W125" s="1321"/>
      <c r="X125" s="1321"/>
      <c r="Y125" s="1321"/>
      <c r="Z125" s="1321"/>
      <c r="AA125" s="263"/>
      <c r="AB125" s="1321"/>
      <c r="AC125" s="1321"/>
      <c r="AD125" s="1321"/>
      <c r="AE125" s="1321"/>
      <c r="AF125" s="263"/>
      <c r="AG125" s="1321"/>
      <c r="AH125" s="1321"/>
      <c r="AI125" s="1321"/>
      <c r="AJ125" s="1321"/>
      <c r="AK125" s="1321"/>
      <c r="AL125" s="1321"/>
      <c r="AM125" s="263"/>
      <c r="AN125" s="1326"/>
      <c r="AO125" s="1326"/>
      <c r="AP125" s="1326"/>
      <c r="AQ125" s="1326"/>
      <c r="AR125" s="263"/>
      <c r="AS125" s="1321"/>
      <c r="AT125" s="1321"/>
      <c r="AU125" s="1321"/>
      <c r="AV125" s="1321"/>
      <c r="AW125" s="263"/>
      <c r="AX125" s="1320"/>
      <c r="AY125" s="1320"/>
      <c r="AZ125" s="1320"/>
      <c r="BA125" s="1320"/>
      <c r="BB125" s="1320"/>
      <c r="BC125" s="1320"/>
      <c r="BD125" s="1320"/>
      <c r="BE125" s="1320"/>
      <c r="BF125" s="1320"/>
      <c r="BG125" s="1320"/>
      <c r="BH125" s="1320"/>
      <c r="BI125" s="1320"/>
      <c r="BJ125" s="1320"/>
      <c r="BK125" s="1320"/>
      <c r="BL125" s="1320"/>
      <c r="BM125" s="1320"/>
      <c r="BN125" s="1320"/>
      <c r="BO125" s="1320"/>
      <c r="BP125" s="1320"/>
      <c r="BQ125" s="1320"/>
      <c r="BR125" s="1320"/>
      <c r="BS125" s="1320"/>
      <c r="BT125" s="1320"/>
      <c r="BU125" s="1320"/>
      <c r="BV125" s="1320"/>
      <c r="BW125" s="165"/>
      <c r="BX125" s="1369" t="s">
        <v>464</v>
      </c>
      <c r="BY125" s="1369"/>
      <c r="BZ125" s="1369"/>
      <c r="CA125" s="1369"/>
      <c r="CB125" s="1369"/>
      <c r="CC125" s="1369"/>
      <c r="CD125" s="1369"/>
      <c r="CE125" s="1369"/>
      <c r="CF125" s="1369"/>
      <c r="CG125" s="5"/>
      <c r="CH125" s="5"/>
      <c r="CI125" s="5"/>
      <c r="CJ125" s="5"/>
      <c r="CK125" s="5"/>
      <c r="CL125" s="5"/>
      <c r="CM125" s="5"/>
      <c r="CN125" s="5"/>
      <c r="CO125" s="375"/>
      <c r="CP125" s="5"/>
      <c r="CQ125" s="5"/>
      <c r="CR125" s="5"/>
      <c r="CS125" s="5"/>
      <c r="CT125" s="5"/>
      <c r="CU125" s="5"/>
      <c r="CV125" s="5"/>
      <c r="CW125" s="375"/>
      <c r="CX125" s="5"/>
      <c r="CY125" s="5"/>
      <c r="CZ125" s="5"/>
      <c r="DA125" s="5"/>
      <c r="DB125" s="5"/>
      <c r="DC125" s="5"/>
      <c r="DD125" s="5"/>
      <c r="DE125" s="5"/>
      <c r="DF125" s="5"/>
      <c r="DG125" s="5"/>
      <c r="DH125" s="5"/>
      <c r="DI125" s="5"/>
      <c r="DJ125" s="5"/>
      <c r="DK125" s="375"/>
      <c r="DL125" s="5"/>
      <c r="DM125" s="5"/>
      <c r="DN125" s="5"/>
      <c r="DO125" s="5"/>
      <c r="DP125" s="5"/>
      <c r="DQ125" s="5"/>
      <c r="DR125" s="5"/>
      <c r="DS125" s="5"/>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542"/>
      <c r="ER125" s="542"/>
      <c r="ES125" s="6">
        <f>ES123+1</f>
        <v>48</v>
      </c>
    </row>
    <row r="126" spans="1:151" ht="9.75" customHeight="1" x14ac:dyDescent="0.2">
      <c r="A126" s="5"/>
      <c r="B126" s="1389" t="str">
        <f>IF(CharacterLevel="",'Character Sheet III'!$CF$202,IF(Spellcasting!BC9="•",'Character Sheet III'!$BX$202,'Character Sheet III'!$CF$202))</f>
        <v>□</v>
      </c>
      <c r="C126" s="1389"/>
      <c r="D126" s="1389"/>
      <c r="E126" s="1325" t="str">
        <f>IF(OR(CharacterLevel="",Spellcasting!BE$9=""),"",VLOOKUP(Spellcasting!BE$9,Tables!$TK:$UB,Tables!$TN$1,FALSE))</f>
        <v/>
      </c>
      <c r="F126" s="1325"/>
      <c r="G126" s="1325"/>
      <c r="H126" s="1325"/>
      <c r="I126" s="1325"/>
      <c r="J126" s="1325"/>
      <c r="K126" s="1325"/>
      <c r="L126" s="1325"/>
      <c r="M126" s="1325"/>
      <c r="N126" s="1325"/>
      <c r="O126" s="1325"/>
      <c r="P126" s="1325"/>
      <c r="Q126" s="1325"/>
      <c r="R126" s="1325"/>
      <c r="S126" s="1325"/>
      <c r="T126" s="1325"/>
      <c r="U126" s="263"/>
      <c r="V126" s="1048" t="str">
        <f>IF(OR(CharacterLevel="",Spellcasting!BE$9=""),"",VLOOKUP(Spellcasting!BE$9,Tables!$TK:$UB,Tables!$TT$1,FALSE))</f>
        <v/>
      </c>
      <c r="W126" s="1048"/>
      <c r="X126" s="1048"/>
      <c r="Y126" s="1048"/>
      <c r="Z126" s="1048"/>
      <c r="AA126" s="263"/>
      <c r="AB126" s="1048" t="str">
        <f>IF(OR(CharacterLevel="",Spellcasting!BE$9=""),"",VLOOKUP(Spellcasting!BE$9,Tables!$TK:$UB,Tables!$TU$1,FALSE))</f>
        <v/>
      </c>
      <c r="AC126" s="1048"/>
      <c r="AD126" s="1048"/>
      <c r="AE126" s="1048"/>
      <c r="AF126" s="263"/>
      <c r="AG126" s="1048" t="str">
        <f>IF(OR(CharacterLevel="",Spellcasting!BE$9=""),"",VLOOKUP(Spellcasting!BE$9,Tables!$TK:$UB,Tables!$TV$1,FALSE))</f>
        <v/>
      </c>
      <c r="AH126" s="1048"/>
      <c r="AI126" s="1048"/>
      <c r="AJ126" s="1048"/>
      <c r="AK126" s="1048"/>
      <c r="AL126" s="1048"/>
      <c r="AM126" s="261"/>
      <c r="AN126" s="857" t="str">
        <f>IF(OR(CharacterLevel="",Spellcasting!BE$9=""),"",VLOOKUP(Spellcasting!BE$9,Tables!$TK:$UB,Tables!$TW$1,FALSE))</f>
        <v/>
      </c>
      <c r="AO126" s="857"/>
      <c r="AP126" s="857"/>
      <c r="AQ126" s="857"/>
      <c r="AR126" s="261"/>
      <c r="AS126" s="1048" t="str">
        <f>IF(OR(CharacterLevel="",Spellcasting!BE$9=""),"",VLOOKUP(Spellcasting!BE$9,Tables!$TK:$UB,Tables!$TZ$1,FALSE))</f>
        <v/>
      </c>
      <c r="AT126" s="1048"/>
      <c r="AU126" s="1048"/>
      <c r="AV126" s="1048"/>
      <c r="AW126" s="261"/>
      <c r="AX126" s="1319" t="str">
        <f>IF(OR(CharacterLevel="",Spellcasting!BE$9=""),"",VLOOKUP(Spellcasting!BE$9,Tables!$TK:$UB,Tables!$UB$1,FALSE))</f>
        <v/>
      </c>
      <c r="AY126" s="1319"/>
      <c r="AZ126" s="1319"/>
      <c r="BA126" s="1319"/>
      <c r="BB126" s="1319"/>
      <c r="BC126" s="1319"/>
      <c r="BD126" s="1319"/>
      <c r="BE126" s="1319"/>
      <c r="BF126" s="1319"/>
      <c r="BG126" s="1319"/>
      <c r="BH126" s="1319"/>
      <c r="BI126" s="1319"/>
      <c r="BJ126" s="1319"/>
      <c r="BK126" s="1319"/>
      <c r="BL126" s="1319"/>
      <c r="BM126" s="1319"/>
      <c r="BN126" s="1319"/>
      <c r="BO126" s="1319"/>
      <c r="BP126" s="1319"/>
      <c r="BQ126" s="1319"/>
      <c r="BR126" s="1319"/>
      <c r="BS126" s="1319"/>
      <c r="BT126" s="1319"/>
      <c r="BU126" s="1319"/>
      <c r="BV126" s="1319"/>
      <c r="BW126" s="165"/>
      <c r="BX126" s="1369"/>
      <c r="BY126" s="1369"/>
      <c r="BZ126" s="1369"/>
      <c r="CA126" s="1369"/>
      <c r="CB126" s="1369"/>
      <c r="CC126" s="1369"/>
      <c r="CD126" s="1369"/>
      <c r="CE126" s="1369"/>
      <c r="CF126" s="1369"/>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542"/>
      <c r="ER126" s="542"/>
    </row>
    <row r="127" spans="1:151" ht="9.75" customHeight="1" x14ac:dyDescent="0.25">
      <c r="A127" s="5"/>
      <c r="B127" s="1389"/>
      <c r="C127" s="1389"/>
      <c r="D127" s="1389"/>
      <c r="E127" s="1325"/>
      <c r="F127" s="1325"/>
      <c r="G127" s="1325"/>
      <c r="H127" s="1325"/>
      <c r="I127" s="1325"/>
      <c r="J127" s="1325"/>
      <c r="K127" s="1325"/>
      <c r="L127" s="1325"/>
      <c r="M127" s="1325"/>
      <c r="N127" s="1325"/>
      <c r="O127" s="1325"/>
      <c r="P127" s="1325"/>
      <c r="Q127" s="1325"/>
      <c r="R127" s="1325"/>
      <c r="S127" s="1325"/>
      <c r="T127" s="1325"/>
      <c r="U127" s="263"/>
      <c r="V127" s="1321"/>
      <c r="W127" s="1321"/>
      <c r="X127" s="1321"/>
      <c r="Y127" s="1321"/>
      <c r="Z127" s="1321"/>
      <c r="AA127" s="263"/>
      <c r="AB127" s="1321"/>
      <c r="AC127" s="1321"/>
      <c r="AD127" s="1321"/>
      <c r="AE127" s="1321"/>
      <c r="AF127" s="263"/>
      <c r="AG127" s="1321"/>
      <c r="AH127" s="1321"/>
      <c r="AI127" s="1321"/>
      <c r="AJ127" s="1321"/>
      <c r="AK127" s="1321"/>
      <c r="AL127" s="1321"/>
      <c r="AM127" s="263"/>
      <c r="AN127" s="1326"/>
      <c r="AO127" s="1326"/>
      <c r="AP127" s="1326"/>
      <c r="AQ127" s="1326"/>
      <c r="AR127" s="263"/>
      <c r="AS127" s="1321"/>
      <c r="AT127" s="1321"/>
      <c r="AU127" s="1321"/>
      <c r="AV127" s="1321"/>
      <c r="AW127" s="263"/>
      <c r="AX127" s="1320"/>
      <c r="AY127" s="1320"/>
      <c r="AZ127" s="1320"/>
      <c r="BA127" s="1320"/>
      <c r="BB127" s="1320"/>
      <c r="BC127" s="1320"/>
      <c r="BD127" s="1320"/>
      <c r="BE127" s="1320"/>
      <c r="BF127" s="1320"/>
      <c r="BG127" s="1320"/>
      <c r="BH127" s="1320"/>
      <c r="BI127" s="1320"/>
      <c r="BJ127" s="1320"/>
      <c r="BK127" s="1320"/>
      <c r="BL127" s="1320"/>
      <c r="BM127" s="1320"/>
      <c r="BN127" s="1320"/>
      <c r="BO127" s="1320"/>
      <c r="BP127" s="1320"/>
      <c r="BQ127" s="1320"/>
      <c r="BR127" s="1320"/>
      <c r="BS127" s="1320"/>
      <c r="BT127" s="1320"/>
      <c r="BU127" s="1320"/>
      <c r="BV127" s="1320"/>
      <c r="BW127" s="165"/>
      <c r="BX127" s="857" t="s">
        <v>455</v>
      </c>
      <c r="BY127" s="857"/>
      <c r="BZ127" s="857"/>
      <c r="CA127" s="857" t="s">
        <v>456</v>
      </c>
      <c r="CB127" s="857"/>
      <c r="CC127" s="857"/>
      <c r="CD127" s="857"/>
      <c r="CE127" s="857"/>
      <c r="CF127" s="857"/>
      <c r="CG127" s="857"/>
      <c r="CH127" s="857"/>
      <c r="CI127" s="857"/>
      <c r="CJ127" s="857"/>
      <c r="CK127" s="857"/>
      <c r="CL127" s="857"/>
      <c r="CM127" s="857"/>
      <c r="CN127" s="857"/>
      <c r="CO127" s="857"/>
      <c r="CP127" s="857"/>
      <c r="CQ127" s="377"/>
      <c r="CR127" s="848" t="s">
        <v>452</v>
      </c>
      <c r="CS127" s="848"/>
      <c r="CT127" s="848"/>
      <c r="CU127" s="848"/>
      <c r="CV127" s="848"/>
      <c r="CW127" s="377"/>
      <c r="CX127" s="848" t="s">
        <v>48</v>
      </c>
      <c r="CY127" s="848"/>
      <c r="CZ127" s="848"/>
      <c r="DA127" s="848"/>
      <c r="DB127" s="377"/>
      <c r="DC127" s="848" t="s">
        <v>453</v>
      </c>
      <c r="DD127" s="848"/>
      <c r="DE127" s="848"/>
      <c r="DF127" s="848"/>
      <c r="DG127" s="848"/>
      <c r="DH127" s="848"/>
      <c r="DI127" s="848" t="s">
        <v>454</v>
      </c>
      <c r="DJ127" s="848"/>
      <c r="DK127" s="848"/>
      <c r="DL127" s="848"/>
      <c r="DM127" s="848"/>
      <c r="DN127" s="848"/>
      <c r="DO127" s="848" t="s">
        <v>9</v>
      </c>
      <c r="DP127" s="848"/>
      <c r="DQ127" s="848"/>
      <c r="DR127" s="848"/>
      <c r="DS127" s="259"/>
      <c r="DT127" s="946" t="s">
        <v>457</v>
      </c>
      <c r="DU127" s="946"/>
      <c r="DV127" s="946"/>
      <c r="DW127" s="946"/>
      <c r="DX127" s="946"/>
      <c r="DY127" s="946"/>
      <c r="DZ127" s="946"/>
      <c r="EA127" s="946"/>
      <c r="EB127" s="946"/>
      <c r="EC127" s="946"/>
      <c r="ED127" s="946"/>
      <c r="EE127" s="946"/>
      <c r="EF127" s="946"/>
      <c r="EG127" s="946"/>
      <c r="EH127" s="946"/>
      <c r="EI127" s="946"/>
      <c r="EJ127" s="946"/>
      <c r="EK127" s="946"/>
      <c r="EL127" s="946"/>
      <c r="EM127" s="946"/>
      <c r="EN127" s="946"/>
      <c r="EO127" s="946"/>
      <c r="EP127" s="946"/>
      <c r="EQ127" s="946"/>
      <c r="ER127" s="946"/>
      <c r="ES127" s="6">
        <f>ES125+1</f>
        <v>49</v>
      </c>
      <c r="ET127" s="53"/>
      <c r="EU127" s="53"/>
    </row>
    <row r="128" spans="1:151" ht="9.75" customHeight="1" x14ac:dyDescent="0.25">
      <c r="A128" s="5"/>
      <c r="B128" s="1389" t="str">
        <f>IF(CharacterLevel="",'Character Sheet III'!$CF$202,IF(Spellcasting!BC10="•",'Character Sheet III'!$BX$202,'Character Sheet III'!$CF$202))</f>
        <v>□</v>
      </c>
      <c r="C128" s="1389"/>
      <c r="D128" s="1389"/>
      <c r="E128" s="1325" t="str">
        <f>IF(OR(CharacterLevel="",Spellcasting!BE$10=""),"",VLOOKUP(Spellcasting!BE$10,Tables!$TK:$UB,Tables!$TN$1,FALSE))</f>
        <v/>
      </c>
      <c r="F128" s="1325"/>
      <c r="G128" s="1325"/>
      <c r="H128" s="1325"/>
      <c r="I128" s="1325"/>
      <c r="J128" s="1325"/>
      <c r="K128" s="1325"/>
      <c r="L128" s="1325"/>
      <c r="M128" s="1325"/>
      <c r="N128" s="1325"/>
      <c r="O128" s="1325"/>
      <c r="P128" s="1325"/>
      <c r="Q128" s="1325"/>
      <c r="R128" s="1325"/>
      <c r="S128" s="1325"/>
      <c r="T128" s="1325"/>
      <c r="U128" s="263"/>
      <c r="V128" s="1048" t="str">
        <f>IF(OR(CharacterLevel="",Spellcasting!BE$10=""),"",VLOOKUP(Spellcasting!BE$10,Tables!$TK:$UB,Tables!$TT$1,FALSE))</f>
        <v/>
      </c>
      <c r="W128" s="1048"/>
      <c r="X128" s="1048"/>
      <c r="Y128" s="1048"/>
      <c r="Z128" s="1048"/>
      <c r="AA128" s="263"/>
      <c r="AB128" s="1048" t="str">
        <f>IF(OR(CharacterLevel="",Spellcasting!BE$10=""),"",VLOOKUP(Spellcasting!BE$10,Tables!$TK:$UB,Tables!$TU$1,FALSE))</f>
        <v/>
      </c>
      <c r="AC128" s="1048"/>
      <c r="AD128" s="1048"/>
      <c r="AE128" s="1048"/>
      <c r="AF128" s="263"/>
      <c r="AG128" s="1048" t="str">
        <f>IF(OR(CharacterLevel="",Spellcasting!BE$10=""),"",VLOOKUP(Spellcasting!BE$10,Tables!$TK:$UB,Tables!$TV$1,FALSE))</f>
        <v/>
      </c>
      <c r="AH128" s="1048"/>
      <c r="AI128" s="1048"/>
      <c r="AJ128" s="1048"/>
      <c r="AK128" s="1048"/>
      <c r="AL128" s="1048"/>
      <c r="AM128" s="261"/>
      <c r="AN128" s="857" t="str">
        <f>IF(OR(CharacterLevel="",Spellcasting!BE$10=""),"",VLOOKUP(Spellcasting!BE$10,Tables!$TK:$UB,Tables!$TW$1,FALSE))</f>
        <v/>
      </c>
      <c r="AO128" s="857"/>
      <c r="AP128" s="857"/>
      <c r="AQ128" s="857"/>
      <c r="AR128" s="261"/>
      <c r="AS128" s="1048" t="str">
        <f>IF(OR(CharacterLevel="",Spellcasting!BE$10=""),"",VLOOKUP(Spellcasting!BE$10,Tables!$TK:$UB,Tables!$TZ$1,FALSE))</f>
        <v/>
      </c>
      <c r="AT128" s="1048"/>
      <c r="AU128" s="1048"/>
      <c r="AV128" s="1048"/>
      <c r="AW128" s="261"/>
      <c r="AX128" s="1319" t="str">
        <f>IF(OR(CharacterLevel="",Spellcasting!BE$10=""),"",VLOOKUP(Spellcasting!BE$10,Tables!$TK:$UB,Tables!$UB$1,FALSE))</f>
        <v/>
      </c>
      <c r="AY128" s="1319"/>
      <c r="AZ128" s="1319"/>
      <c r="BA128" s="1319"/>
      <c r="BB128" s="1319"/>
      <c r="BC128" s="1319"/>
      <c r="BD128" s="1319"/>
      <c r="BE128" s="1319"/>
      <c r="BF128" s="1319"/>
      <c r="BG128" s="1319"/>
      <c r="BH128" s="1319"/>
      <c r="BI128" s="1319"/>
      <c r="BJ128" s="1319"/>
      <c r="BK128" s="1319"/>
      <c r="BL128" s="1319"/>
      <c r="BM128" s="1319"/>
      <c r="BN128" s="1319"/>
      <c r="BO128" s="1319"/>
      <c r="BP128" s="1319"/>
      <c r="BQ128" s="1319"/>
      <c r="BR128" s="1319"/>
      <c r="BS128" s="1319"/>
      <c r="BT128" s="1319"/>
      <c r="BU128" s="1319"/>
      <c r="BV128" s="1319"/>
      <c r="BW128" s="174"/>
      <c r="BX128" s="857"/>
      <c r="BY128" s="857"/>
      <c r="BZ128" s="857"/>
      <c r="CA128" s="857"/>
      <c r="CB128" s="857"/>
      <c r="CC128" s="857"/>
      <c r="CD128" s="857"/>
      <c r="CE128" s="857"/>
      <c r="CF128" s="857"/>
      <c r="CG128" s="857"/>
      <c r="CH128" s="857"/>
      <c r="CI128" s="857"/>
      <c r="CJ128" s="857"/>
      <c r="CK128" s="857"/>
      <c r="CL128" s="857"/>
      <c r="CM128" s="857"/>
      <c r="CN128" s="857"/>
      <c r="CO128" s="857"/>
      <c r="CP128" s="857"/>
      <c r="CQ128" s="377"/>
      <c r="CR128" s="848"/>
      <c r="CS128" s="848"/>
      <c r="CT128" s="848"/>
      <c r="CU128" s="848"/>
      <c r="CV128" s="848"/>
      <c r="CW128" s="377"/>
      <c r="CX128" s="848"/>
      <c r="CY128" s="848"/>
      <c r="CZ128" s="848"/>
      <c r="DA128" s="848"/>
      <c r="DB128" s="377"/>
      <c r="DC128" s="848"/>
      <c r="DD128" s="848"/>
      <c r="DE128" s="848"/>
      <c r="DF128" s="848"/>
      <c r="DG128" s="848"/>
      <c r="DH128" s="848"/>
      <c r="DI128" s="848"/>
      <c r="DJ128" s="848"/>
      <c r="DK128" s="848"/>
      <c r="DL128" s="848"/>
      <c r="DM128" s="848"/>
      <c r="DN128" s="848"/>
      <c r="DO128" s="848"/>
      <c r="DP128" s="848"/>
      <c r="DQ128" s="848"/>
      <c r="DR128" s="848"/>
      <c r="DS128" s="260"/>
      <c r="DT128" s="946"/>
      <c r="DU128" s="946"/>
      <c r="DV128" s="946"/>
      <c r="DW128" s="946"/>
      <c r="DX128" s="946"/>
      <c r="DY128" s="946"/>
      <c r="DZ128" s="946"/>
      <c r="EA128" s="946"/>
      <c r="EB128" s="946"/>
      <c r="EC128" s="946"/>
      <c r="ED128" s="946"/>
      <c r="EE128" s="946"/>
      <c r="EF128" s="946"/>
      <c r="EG128" s="946"/>
      <c r="EH128" s="946"/>
      <c r="EI128" s="946"/>
      <c r="EJ128" s="946"/>
      <c r="EK128" s="946"/>
      <c r="EL128" s="946"/>
      <c r="EM128" s="946"/>
      <c r="EN128" s="946"/>
      <c r="EO128" s="946"/>
      <c r="EP128" s="946"/>
      <c r="EQ128" s="946"/>
      <c r="ER128" s="946"/>
      <c r="ET128" s="53"/>
      <c r="EU128" s="53"/>
    </row>
    <row r="129" spans="1:152" ht="9.75" customHeight="1" x14ac:dyDescent="0.2">
      <c r="A129" s="5"/>
      <c r="B129" s="1389"/>
      <c r="C129" s="1389"/>
      <c r="D129" s="1389"/>
      <c r="E129" s="1325"/>
      <c r="F129" s="1325"/>
      <c r="G129" s="1325"/>
      <c r="H129" s="1325"/>
      <c r="I129" s="1325"/>
      <c r="J129" s="1325"/>
      <c r="K129" s="1325"/>
      <c r="L129" s="1325"/>
      <c r="M129" s="1325"/>
      <c r="N129" s="1325"/>
      <c r="O129" s="1325"/>
      <c r="P129" s="1325"/>
      <c r="Q129" s="1325"/>
      <c r="R129" s="1325"/>
      <c r="S129" s="1325"/>
      <c r="T129" s="1325"/>
      <c r="U129" s="263"/>
      <c r="V129" s="1321"/>
      <c r="W129" s="1321"/>
      <c r="X129" s="1321"/>
      <c r="Y129" s="1321"/>
      <c r="Z129" s="1321"/>
      <c r="AA129" s="263"/>
      <c r="AB129" s="1321"/>
      <c r="AC129" s="1321"/>
      <c r="AD129" s="1321"/>
      <c r="AE129" s="1321"/>
      <c r="AF129" s="263"/>
      <c r="AG129" s="1321"/>
      <c r="AH129" s="1321"/>
      <c r="AI129" s="1321"/>
      <c r="AJ129" s="1321"/>
      <c r="AK129" s="1321"/>
      <c r="AL129" s="1321"/>
      <c r="AM129" s="263"/>
      <c r="AN129" s="1326"/>
      <c r="AO129" s="1326"/>
      <c r="AP129" s="1326"/>
      <c r="AQ129" s="1326"/>
      <c r="AR129" s="263"/>
      <c r="AS129" s="1321"/>
      <c r="AT129" s="1321"/>
      <c r="AU129" s="1321"/>
      <c r="AV129" s="1321"/>
      <c r="AW129" s="263"/>
      <c r="AX129" s="1320"/>
      <c r="AY129" s="1320"/>
      <c r="AZ129" s="1320"/>
      <c r="BA129" s="1320"/>
      <c r="BB129" s="1320"/>
      <c r="BC129" s="1320"/>
      <c r="BD129" s="1320"/>
      <c r="BE129" s="1320"/>
      <c r="BF129" s="1320"/>
      <c r="BG129" s="1320"/>
      <c r="BH129" s="1320"/>
      <c r="BI129" s="1320"/>
      <c r="BJ129" s="1320"/>
      <c r="BK129" s="1320"/>
      <c r="BL129" s="1320"/>
      <c r="BM129" s="1320"/>
      <c r="BN129" s="1320"/>
      <c r="BO129" s="1320"/>
      <c r="BP129" s="1320"/>
      <c r="BQ129" s="1320"/>
      <c r="BR129" s="1320"/>
      <c r="BS129" s="1320"/>
      <c r="BT129" s="1320"/>
      <c r="BU129" s="1320"/>
      <c r="BV129" s="1320"/>
      <c r="BW129" s="174"/>
      <c r="BX129" s="1324" t="str">
        <f>IF(CharacterLevel="",'Character Sheet III'!$CF$202,IF(Spellcasting!BC33="•",'Character Sheet III'!$BX$202,'Character Sheet III'!$CF$202))</f>
        <v>□</v>
      </c>
      <c r="BY129" s="1324"/>
      <c r="BZ129" s="1324"/>
      <c r="CA129" s="1319" t="str">
        <f>IF(OR(CharacterLevel="",Spellcasting!BE$33=""),"",VLOOKUP(Spellcasting!BE$33,Tables!$TK:$UB,Tables!$TN$1,FALSE))</f>
        <v/>
      </c>
      <c r="CB129" s="1319"/>
      <c r="CC129" s="1319"/>
      <c r="CD129" s="1319"/>
      <c r="CE129" s="1319"/>
      <c r="CF129" s="1319"/>
      <c r="CG129" s="1319"/>
      <c r="CH129" s="1319"/>
      <c r="CI129" s="1319"/>
      <c r="CJ129" s="1319"/>
      <c r="CK129" s="1319"/>
      <c r="CL129" s="1319"/>
      <c r="CM129" s="1319"/>
      <c r="CN129" s="1319"/>
      <c r="CO129" s="1319"/>
      <c r="CP129" s="1319"/>
      <c r="CQ129" s="263"/>
      <c r="CR129" s="1048" t="str">
        <f>IF(OR(CharacterLevel="",Spellcasting!BE$33=""),"",VLOOKUP(Spellcasting!BE$33,Tables!$TK:$UB,Tables!$TT$1,FALSE))</f>
        <v/>
      </c>
      <c r="CS129" s="1048"/>
      <c r="CT129" s="1048"/>
      <c r="CU129" s="1048"/>
      <c r="CV129" s="1048"/>
      <c r="CW129" s="263"/>
      <c r="CX129" s="1048" t="str">
        <f>IF(OR(CharacterLevel="",Spellcasting!BE$33=""),"",VLOOKUP(Spellcasting!BE$33,Tables!$TK:$UB,Tables!$TU$1,FALSE))</f>
        <v/>
      </c>
      <c r="CY129" s="1048"/>
      <c r="CZ129" s="1048"/>
      <c r="DA129" s="1048"/>
      <c r="DB129" s="263"/>
      <c r="DC129" s="1048" t="str">
        <f>IF(OR(CharacterLevel="",Spellcasting!BE$33=""),"",VLOOKUP(Spellcasting!BE$33,Tables!$TK:$UB,Tables!$TV$1,FALSE))</f>
        <v/>
      </c>
      <c r="DD129" s="1048"/>
      <c r="DE129" s="1048"/>
      <c r="DF129" s="1048"/>
      <c r="DG129" s="1048"/>
      <c r="DH129" s="1048"/>
      <c r="DI129" s="261"/>
      <c r="DJ129" s="1048" t="str">
        <f>IF(OR(CharacterLevel="",Spellcasting!BE$33=""),"",VLOOKUP(Spellcasting!BE$33,Tables!$TK:$UB,Tables!$TW$1,FALSE))</f>
        <v/>
      </c>
      <c r="DK129" s="1048"/>
      <c r="DL129" s="1048"/>
      <c r="DM129" s="1048"/>
      <c r="DN129" s="261"/>
      <c r="DO129" s="1048" t="str">
        <f>IF(OR(CharacterLevel="",Spellcasting!BE$33=""),"",VLOOKUP(Spellcasting!BE$33,Tables!$TK:$UB,Tables!$TZ$1,FALSE))</f>
        <v/>
      </c>
      <c r="DP129" s="1048"/>
      <c r="DQ129" s="1048"/>
      <c r="DR129" s="1048"/>
      <c r="DS129" s="261"/>
      <c r="DT129" s="1319" t="str">
        <f>IF(OR(CharacterLevel="",Spellcasting!BE$33=""),"",VLOOKUP(Spellcasting!BE$33,Tables!$TK:$UB,Tables!$UB$1,FALSE))</f>
        <v/>
      </c>
      <c r="DU129" s="1319"/>
      <c r="DV129" s="1319"/>
      <c r="DW129" s="1319"/>
      <c r="DX129" s="1319"/>
      <c r="DY129" s="1319"/>
      <c r="DZ129" s="1319"/>
      <c r="EA129" s="1319"/>
      <c r="EB129" s="1319"/>
      <c r="EC129" s="1319"/>
      <c r="ED129" s="1319"/>
      <c r="EE129" s="1319"/>
      <c r="EF129" s="1319"/>
      <c r="EG129" s="1319"/>
      <c r="EH129" s="1319"/>
      <c r="EI129" s="1319"/>
      <c r="EJ129" s="1319"/>
      <c r="EK129" s="1319"/>
      <c r="EL129" s="1319"/>
      <c r="EM129" s="1319"/>
      <c r="EN129" s="1319"/>
      <c r="EO129" s="1319"/>
      <c r="EP129" s="1319"/>
      <c r="EQ129" s="1319"/>
      <c r="ER129" s="1319"/>
      <c r="ES129" s="6">
        <f>ES127+1</f>
        <v>50</v>
      </c>
      <c r="ET129" s="53"/>
      <c r="EU129" s="53"/>
    </row>
    <row r="130" spans="1:152" ht="9.75" customHeight="1" x14ac:dyDescent="0.2">
      <c r="A130" s="5"/>
      <c r="B130" s="1389" t="str">
        <f>IF(CharacterLevel="",'Character Sheet III'!$CF$202,IF(Spellcasting!BC11="•",'Character Sheet III'!$BX$202,'Character Sheet III'!$CF$202))</f>
        <v>□</v>
      </c>
      <c r="C130" s="1389"/>
      <c r="D130" s="1389"/>
      <c r="E130" s="1325" t="str">
        <f>IF(OR(CharacterLevel="",Spellcasting!BE$11=""),"",VLOOKUP(Spellcasting!BE$11,Tables!$TK:$UB,Tables!$TN$1,FALSE))</f>
        <v/>
      </c>
      <c r="F130" s="1325"/>
      <c r="G130" s="1325"/>
      <c r="H130" s="1325"/>
      <c r="I130" s="1325"/>
      <c r="J130" s="1325"/>
      <c r="K130" s="1325"/>
      <c r="L130" s="1325"/>
      <c r="M130" s="1325"/>
      <c r="N130" s="1325"/>
      <c r="O130" s="1325"/>
      <c r="P130" s="1325"/>
      <c r="Q130" s="1325"/>
      <c r="R130" s="1325"/>
      <c r="S130" s="1325"/>
      <c r="T130" s="1325"/>
      <c r="U130" s="263"/>
      <c r="V130" s="1048" t="str">
        <f>IF(OR(CharacterLevel="",Spellcasting!BE$11=""),"",VLOOKUP(Spellcasting!BE$11,Tables!$TK:$UB,Tables!$TT$1,FALSE))</f>
        <v/>
      </c>
      <c r="W130" s="1048"/>
      <c r="X130" s="1048"/>
      <c r="Y130" s="1048"/>
      <c r="Z130" s="1048"/>
      <c r="AA130" s="263"/>
      <c r="AB130" s="1048" t="str">
        <f>IF(OR(CharacterLevel="",Spellcasting!BE$11=""),"",VLOOKUP(Spellcasting!BE$11,Tables!$TK:$UB,Tables!$TU$1,FALSE))</f>
        <v/>
      </c>
      <c r="AC130" s="1048"/>
      <c r="AD130" s="1048"/>
      <c r="AE130" s="1048"/>
      <c r="AF130" s="263"/>
      <c r="AG130" s="1048" t="str">
        <f>IF(OR(CharacterLevel="",Spellcasting!BE$11=""),"",VLOOKUP(Spellcasting!BE$11,Tables!$TK:$UB,Tables!$TV$1,FALSE))</f>
        <v/>
      </c>
      <c r="AH130" s="1048"/>
      <c r="AI130" s="1048"/>
      <c r="AJ130" s="1048"/>
      <c r="AK130" s="1048"/>
      <c r="AL130" s="1048"/>
      <c r="AM130" s="261"/>
      <c r="AN130" s="857" t="str">
        <f>IF(OR(CharacterLevel="",Spellcasting!BE$11=""),"",VLOOKUP(Spellcasting!BE$11,Tables!$TK:$UB,Tables!$TW$1,FALSE))</f>
        <v/>
      </c>
      <c r="AO130" s="857"/>
      <c r="AP130" s="857"/>
      <c r="AQ130" s="857"/>
      <c r="AR130" s="261"/>
      <c r="AS130" s="1048" t="str">
        <f>IF(OR(CharacterLevel="",Spellcasting!BE$11=""),"",VLOOKUP(Spellcasting!BE$11,Tables!$TK:$UB,Tables!$TZ$1,FALSE))</f>
        <v/>
      </c>
      <c r="AT130" s="1048"/>
      <c r="AU130" s="1048"/>
      <c r="AV130" s="1048"/>
      <c r="AW130" s="261"/>
      <c r="AX130" s="1319" t="str">
        <f>IF(OR(CharacterLevel="",Spellcasting!BE$11=""),"",VLOOKUP(Spellcasting!BE$11,Tables!$TK:$UB,Tables!$UB$1,FALSE))</f>
        <v/>
      </c>
      <c r="AY130" s="1319"/>
      <c r="AZ130" s="1319"/>
      <c r="BA130" s="1319"/>
      <c r="BB130" s="1319"/>
      <c r="BC130" s="1319"/>
      <c r="BD130" s="1319"/>
      <c r="BE130" s="1319"/>
      <c r="BF130" s="1319"/>
      <c r="BG130" s="1319"/>
      <c r="BH130" s="1319"/>
      <c r="BI130" s="1319"/>
      <c r="BJ130" s="1319"/>
      <c r="BK130" s="1319"/>
      <c r="BL130" s="1319"/>
      <c r="BM130" s="1319"/>
      <c r="BN130" s="1319"/>
      <c r="BO130" s="1319"/>
      <c r="BP130" s="1319"/>
      <c r="BQ130" s="1319"/>
      <c r="BR130" s="1319"/>
      <c r="BS130" s="1319"/>
      <c r="BT130" s="1319"/>
      <c r="BU130" s="1319"/>
      <c r="BV130" s="1319"/>
      <c r="BW130" s="174"/>
      <c r="BX130" s="1324"/>
      <c r="BY130" s="1324"/>
      <c r="BZ130" s="1324"/>
      <c r="CA130" s="1320"/>
      <c r="CB130" s="1320"/>
      <c r="CC130" s="1320"/>
      <c r="CD130" s="1320"/>
      <c r="CE130" s="1320"/>
      <c r="CF130" s="1320"/>
      <c r="CG130" s="1320"/>
      <c r="CH130" s="1320"/>
      <c r="CI130" s="1320"/>
      <c r="CJ130" s="1320"/>
      <c r="CK130" s="1320"/>
      <c r="CL130" s="1320"/>
      <c r="CM130" s="1320"/>
      <c r="CN130" s="1320"/>
      <c r="CO130" s="1320"/>
      <c r="CP130" s="1320"/>
      <c r="CQ130" s="263"/>
      <c r="CR130" s="1321"/>
      <c r="CS130" s="1321"/>
      <c r="CT130" s="1321"/>
      <c r="CU130" s="1321"/>
      <c r="CV130" s="1321"/>
      <c r="CW130" s="5"/>
      <c r="CX130" s="1321"/>
      <c r="CY130" s="1321"/>
      <c r="CZ130" s="1321"/>
      <c r="DA130" s="1321"/>
      <c r="DB130" s="5"/>
      <c r="DC130" s="1321"/>
      <c r="DD130" s="1321"/>
      <c r="DE130" s="1321"/>
      <c r="DF130" s="1321"/>
      <c r="DG130" s="1321"/>
      <c r="DH130" s="1321"/>
      <c r="DI130" s="5"/>
      <c r="DJ130" s="1321"/>
      <c r="DK130" s="1321"/>
      <c r="DL130" s="1321"/>
      <c r="DM130" s="1321"/>
      <c r="DN130" s="5"/>
      <c r="DO130" s="1321"/>
      <c r="DP130" s="1321"/>
      <c r="DQ130" s="1321"/>
      <c r="DR130" s="1321"/>
      <c r="DS130" s="5"/>
      <c r="DT130" s="1320"/>
      <c r="DU130" s="1320"/>
      <c r="DV130" s="1320"/>
      <c r="DW130" s="1320"/>
      <c r="DX130" s="1320"/>
      <c r="DY130" s="1320"/>
      <c r="DZ130" s="1320"/>
      <c r="EA130" s="1320"/>
      <c r="EB130" s="1320"/>
      <c r="EC130" s="1320"/>
      <c r="ED130" s="1320"/>
      <c r="EE130" s="1320"/>
      <c r="EF130" s="1320"/>
      <c r="EG130" s="1320"/>
      <c r="EH130" s="1320"/>
      <c r="EI130" s="1320"/>
      <c r="EJ130" s="1320"/>
      <c r="EK130" s="1320"/>
      <c r="EL130" s="1320"/>
      <c r="EM130" s="1320"/>
      <c r="EN130" s="1320"/>
      <c r="EO130" s="1320"/>
      <c r="EP130" s="1320"/>
      <c r="EQ130" s="1320"/>
      <c r="ER130" s="1320"/>
      <c r="ET130" s="53"/>
      <c r="EU130" s="53"/>
    </row>
    <row r="131" spans="1:152" ht="9.75" customHeight="1" x14ac:dyDescent="0.2">
      <c r="A131" s="5"/>
      <c r="B131" s="1389"/>
      <c r="C131" s="1389"/>
      <c r="D131" s="1389"/>
      <c r="E131" s="1325"/>
      <c r="F131" s="1325"/>
      <c r="G131" s="1325"/>
      <c r="H131" s="1325"/>
      <c r="I131" s="1325"/>
      <c r="J131" s="1325"/>
      <c r="K131" s="1325"/>
      <c r="L131" s="1325"/>
      <c r="M131" s="1325"/>
      <c r="N131" s="1325"/>
      <c r="O131" s="1325"/>
      <c r="P131" s="1325"/>
      <c r="Q131" s="1325"/>
      <c r="R131" s="1325"/>
      <c r="S131" s="1325"/>
      <c r="T131" s="1325"/>
      <c r="U131" s="263"/>
      <c r="V131" s="1321"/>
      <c r="W131" s="1321"/>
      <c r="X131" s="1321"/>
      <c r="Y131" s="1321"/>
      <c r="Z131" s="1321"/>
      <c r="AA131" s="263"/>
      <c r="AB131" s="1321"/>
      <c r="AC131" s="1321"/>
      <c r="AD131" s="1321"/>
      <c r="AE131" s="1321"/>
      <c r="AF131" s="263"/>
      <c r="AG131" s="1321"/>
      <c r="AH131" s="1321"/>
      <c r="AI131" s="1321"/>
      <c r="AJ131" s="1321"/>
      <c r="AK131" s="1321"/>
      <c r="AL131" s="1321"/>
      <c r="AM131" s="263"/>
      <c r="AN131" s="1326"/>
      <c r="AO131" s="1326"/>
      <c r="AP131" s="1326"/>
      <c r="AQ131" s="1326"/>
      <c r="AR131" s="263"/>
      <c r="AS131" s="1321"/>
      <c r="AT131" s="1321"/>
      <c r="AU131" s="1321"/>
      <c r="AV131" s="1321"/>
      <c r="AW131" s="263"/>
      <c r="AX131" s="1320"/>
      <c r="AY131" s="1320"/>
      <c r="AZ131" s="1320"/>
      <c r="BA131" s="1320"/>
      <c r="BB131" s="1320"/>
      <c r="BC131" s="1320"/>
      <c r="BD131" s="1320"/>
      <c r="BE131" s="1320"/>
      <c r="BF131" s="1320"/>
      <c r="BG131" s="1320"/>
      <c r="BH131" s="1320"/>
      <c r="BI131" s="1320"/>
      <c r="BJ131" s="1320"/>
      <c r="BK131" s="1320"/>
      <c r="BL131" s="1320"/>
      <c r="BM131" s="1320"/>
      <c r="BN131" s="1320"/>
      <c r="BO131" s="1320"/>
      <c r="BP131" s="1320"/>
      <c r="BQ131" s="1320"/>
      <c r="BR131" s="1320"/>
      <c r="BS131" s="1320"/>
      <c r="BT131" s="1320"/>
      <c r="BU131" s="1320"/>
      <c r="BV131" s="1320"/>
      <c r="BW131" s="174"/>
      <c r="BX131" s="1324" t="str">
        <f>IF(CharacterLevel="",'Character Sheet III'!$CF$202,IF(Spellcasting!BC34="•",'Character Sheet III'!$BX$202,'Character Sheet III'!$CF$202))</f>
        <v>□</v>
      </c>
      <c r="BY131" s="1324"/>
      <c r="BZ131" s="1324"/>
      <c r="CA131" s="1325" t="str">
        <f>IF(OR(CharacterLevel="",Spellcasting!BE$34=""),"",VLOOKUP(Spellcasting!BE$34,Tables!$TK:$UB,Tables!$TN$1,FALSE))</f>
        <v/>
      </c>
      <c r="CB131" s="1325"/>
      <c r="CC131" s="1325"/>
      <c r="CD131" s="1325"/>
      <c r="CE131" s="1325"/>
      <c r="CF131" s="1325"/>
      <c r="CG131" s="1325"/>
      <c r="CH131" s="1325"/>
      <c r="CI131" s="1325"/>
      <c r="CJ131" s="1325"/>
      <c r="CK131" s="1325"/>
      <c r="CL131" s="1325"/>
      <c r="CM131" s="1325"/>
      <c r="CN131" s="1325"/>
      <c r="CO131" s="1325"/>
      <c r="CP131" s="1325"/>
      <c r="CQ131" s="263"/>
      <c r="CR131" s="1048" t="str">
        <f>IF(OR(CharacterLevel="",Spellcasting!BE$34=""),"",VLOOKUP(Spellcasting!BE$34,Tables!$TK:$UB,Tables!$TT$1,FALSE))</f>
        <v/>
      </c>
      <c r="CS131" s="1048"/>
      <c r="CT131" s="1048"/>
      <c r="CU131" s="1048"/>
      <c r="CV131" s="1048"/>
      <c r="CW131" s="263"/>
      <c r="CX131" s="1048" t="str">
        <f>IF(OR(CharacterLevel="",Spellcasting!BE$34=""),"",VLOOKUP(Spellcasting!BE$34,Tables!$TK:$UB,Tables!$TU$1,FALSE))</f>
        <v/>
      </c>
      <c r="CY131" s="1048"/>
      <c r="CZ131" s="1048"/>
      <c r="DA131" s="1048"/>
      <c r="DB131" s="263"/>
      <c r="DC131" s="1048" t="str">
        <f>IF(OR(CharacterLevel="",Spellcasting!BE$34=""),"",VLOOKUP(Spellcasting!BE$34,Tables!$TK:$UB,Tables!$TV$1,FALSE))</f>
        <v/>
      </c>
      <c r="DD131" s="1048"/>
      <c r="DE131" s="1048"/>
      <c r="DF131" s="1048"/>
      <c r="DG131" s="1048"/>
      <c r="DH131" s="1048"/>
      <c r="DI131" s="261"/>
      <c r="DJ131" s="1048" t="str">
        <f>IF(OR(CharacterLevel="",Spellcasting!BE$34=""),"",VLOOKUP(Spellcasting!BE$34,Tables!$TK:$UB,Tables!$TW$1,FALSE))</f>
        <v/>
      </c>
      <c r="DK131" s="1048"/>
      <c r="DL131" s="1048"/>
      <c r="DM131" s="1048"/>
      <c r="DN131" s="261"/>
      <c r="DO131" s="1048" t="str">
        <f>IF(OR(CharacterLevel="",Spellcasting!BE$34=""),"",VLOOKUP(Spellcasting!BE$34,Tables!$TK:$UB,Tables!$TZ$1,FALSE))</f>
        <v/>
      </c>
      <c r="DP131" s="1048"/>
      <c r="DQ131" s="1048"/>
      <c r="DR131" s="1048"/>
      <c r="DS131" s="261"/>
      <c r="DT131" s="1319" t="str">
        <f>IF(OR(CharacterLevel="",Spellcasting!BE$34=""),"",VLOOKUP(Spellcasting!BE$34,Tables!$TK:$UB,Tables!$UB$1,FALSE))</f>
        <v/>
      </c>
      <c r="DU131" s="1319"/>
      <c r="DV131" s="1319"/>
      <c r="DW131" s="1319"/>
      <c r="DX131" s="1319"/>
      <c r="DY131" s="1319"/>
      <c r="DZ131" s="1319"/>
      <c r="EA131" s="1319"/>
      <c r="EB131" s="1319"/>
      <c r="EC131" s="1319"/>
      <c r="ED131" s="1319"/>
      <c r="EE131" s="1319"/>
      <c r="EF131" s="1319"/>
      <c r="EG131" s="1319"/>
      <c r="EH131" s="1319"/>
      <c r="EI131" s="1319"/>
      <c r="EJ131" s="1319"/>
      <c r="EK131" s="1319"/>
      <c r="EL131" s="1319"/>
      <c r="EM131" s="1319"/>
      <c r="EN131" s="1319"/>
      <c r="EO131" s="1319"/>
      <c r="EP131" s="1319"/>
      <c r="EQ131" s="1319"/>
      <c r="ER131" s="1319"/>
      <c r="ES131" s="6">
        <f>ES129+1</f>
        <v>51</v>
      </c>
      <c r="ET131" s="53"/>
      <c r="EU131" s="53"/>
    </row>
    <row r="132" spans="1:152" ht="9.75" customHeight="1" x14ac:dyDescent="0.2">
      <c r="A132" s="5"/>
      <c r="B132" s="1389" t="str">
        <f>IF(CharacterLevel="",'Character Sheet III'!$CF$202,IF(Spellcasting!BC12="•",'Character Sheet III'!$BX$202,'Character Sheet III'!$CF$202))</f>
        <v>□</v>
      </c>
      <c r="C132" s="1389"/>
      <c r="D132" s="1389"/>
      <c r="E132" s="1325" t="str">
        <f>IF(OR(CharacterLevel="",Spellcasting!BE$12=""),"",VLOOKUP(Spellcasting!BE$12,Tables!$TK:$UB,Tables!$TN$1,FALSE))</f>
        <v/>
      </c>
      <c r="F132" s="1325"/>
      <c r="G132" s="1325"/>
      <c r="H132" s="1325"/>
      <c r="I132" s="1325"/>
      <c r="J132" s="1325"/>
      <c r="K132" s="1325"/>
      <c r="L132" s="1325"/>
      <c r="M132" s="1325"/>
      <c r="N132" s="1325"/>
      <c r="O132" s="1325"/>
      <c r="P132" s="1325"/>
      <c r="Q132" s="1325"/>
      <c r="R132" s="1325"/>
      <c r="S132" s="1325"/>
      <c r="T132" s="1325"/>
      <c r="U132" s="263"/>
      <c r="V132" s="1048" t="str">
        <f>IF(OR(CharacterLevel="",Spellcasting!BE$12=""),"",VLOOKUP(Spellcasting!BE$12,Tables!$TK:$UB,Tables!$TT$1,FALSE))</f>
        <v/>
      </c>
      <c r="W132" s="1048"/>
      <c r="X132" s="1048"/>
      <c r="Y132" s="1048"/>
      <c r="Z132" s="1048"/>
      <c r="AA132" s="263"/>
      <c r="AB132" s="1048" t="str">
        <f>IF(OR(CharacterLevel="",Spellcasting!BE$12=""),"",VLOOKUP(Spellcasting!BE$12,Tables!$TK:$UB,Tables!$TU$1,FALSE))</f>
        <v/>
      </c>
      <c r="AC132" s="1048"/>
      <c r="AD132" s="1048"/>
      <c r="AE132" s="1048"/>
      <c r="AF132" s="263"/>
      <c r="AG132" s="1048" t="str">
        <f>IF(OR(CharacterLevel="",Spellcasting!BE$12=""),"",VLOOKUP(Spellcasting!BE$12,Tables!$TK:$UB,Tables!$TV$1,FALSE))</f>
        <v/>
      </c>
      <c r="AH132" s="1048"/>
      <c r="AI132" s="1048"/>
      <c r="AJ132" s="1048"/>
      <c r="AK132" s="1048"/>
      <c r="AL132" s="1048"/>
      <c r="AM132" s="261"/>
      <c r="AN132" s="857" t="str">
        <f>IF(OR(CharacterLevel="",Spellcasting!BE$12=""),"",VLOOKUP(Spellcasting!BE$12,Tables!$TK:$UB,Tables!$TW$1,FALSE))</f>
        <v/>
      </c>
      <c r="AO132" s="857"/>
      <c r="AP132" s="857"/>
      <c r="AQ132" s="857"/>
      <c r="AR132" s="261"/>
      <c r="AS132" s="1048" t="str">
        <f>IF(OR(CharacterLevel="",Spellcasting!BE$12=""),"",VLOOKUP(Spellcasting!BE$12,Tables!$TK:$UB,Tables!$TZ$1,FALSE))</f>
        <v/>
      </c>
      <c r="AT132" s="1048"/>
      <c r="AU132" s="1048"/>
      <c r="AV132" s="1048"/>
      <c r="AW132" s="261"/>
      <c r="AX132" s="1319" t="str">
        <f>IF(OR(CharacterLevel="",Spellcasting!BE$12=""),"",VLOOKUP(Spellcasting!BE$12,Tables!$TK:$UB,Tables!$UB$1,FALSE))</f>
        <v/>
      </c>
      <c r="AY132" s="1319"/>
      <c r="AZ132" s="1319"/>
      <c r="BA132" s="1319"/>
      <c r="BB132" s="1319"/>
      <c r="BC132" s="1319"/>
      <c r="BD132" s="1319"/>
      <c r="BE132" s="1319"/>
      <c r="BF132" s="1319"/>
      <c r="BG132" s="1319"/>
      <c r="BH132" s="1319"/>
      <c r="BI132" s="1319"/>
      <c r="BJ132" s="1319"/>
      <c r="BK132" s="1319"/>
      <c r="BL132" s="1319"/>
      <c r="BM132" s="1319"/>
      <c r="BN132" s="1319"/>
      <c r="BO132" s="1319"/>
      <c r="BP132" s="1319"/>
      <c r="BQ132" s="1319"/>
      <c r="BR132" s="1319"/>
      <c r="BS132" s="1319"/>
      <c r="BT132" s="1319"/>
      <c r="BU132" s="1319"/>
      <c r="BV132" s="1319"/>
      <c r="BW132" s="174"/>
      <c r="BX132" s="1324"/>
      <c r="BY132" s="1324"/>
      <c r="BZ132" s="1324"/>
      <c r="CA132" s="1325"/>
      <c r="CB132" s="1325"/>
      <c r="CC132" s="1325"/>
      <c r="CD132" s="1325"/>
      <c r="CE132" s="1325"/>
      <c r="CF132" s="1325"/>
      <c r="CG132" s="1325"/>
      <c r="CH132" s="1325"/>
      <c r="CI132" s="1325"/>
      <c r="CJ132" s="1325"/>
      <c r="CK132" s="1325"/>
      <c r="CL132" s="1325"/>
      <c r="CM132" s="1325"/>
      <c r="CN132" s="1325"/>
      <c r="CO132" s="1325"/>
      <c r="CP132" s="1325"/>
      <c r="CQ132" s="263"/>
      <c r="CR132" s="1321"/>
      <c r="CS132" s="1321"/>
      <c r="CT132" s="1321"/>
      <c r="CU132" s="1321"/>
      <c r="CV132" s="1321"/>
      <c r="CW132" s="5"/>
      <c r="CX132" s="1321"/>
      <c r="CY132" s="1321"/>
      <c r="CZ132" s="1321"/>
      <c r="DA132" s="1321"/>
      <c r="DB132" s="5"/>
      <c r="DC132" s="1321"/>
      <c r="DD132" s="1321"/>
      <c r="DE132" s="1321"/>
      <c r="DF132" s="1321"/>
      <c r="DG132" s="1321"/>
      <c r="DH132" s="1321"/>
      <c r="DI132" s="5"/>
      <c r="DJ132" s="1321"/>
      <c r="DK132" s="1321"/>
      <c r="DL132" s="1321"/>
      <c r="DM132" s="1321"/>
      <c r="DN132" s="5"/>
      <c r="DO132" s="1321"/>
      <c r="DP132" s="1321"/>
      <c r="DQ132" s="1321"/>
      <c r="DR132" s="1321"/>
      <c r="DS132" s="5"/>
      <c r="DT132" s="1320"/>
      <c r="DU132" s="1320"/>
      <c r="DV132" s="1320"/>
      <c r="DW132" s="1320"/>
      <c r="DX132" s="1320"/>
      <c r="DY132" s="1320"/>
      <c r="DZ132" s="1320"/>
      <c r="EA132" s="1320"/>
      <c r="EB132" s="1320"/>
      <c r="EC132" s="1320"/>
      <c r="ED132" s="1320"/>
      <c r="EE132" s="1320"/>
      <c r="EF132" s="1320"/>
      <c r="EG132" s="1320"/>
      <c r="EH132" s="1320"/>
      <c r="EI132" s="1320"/>
      <c r="EJ132" s="1320"/>
      <c r="EK132" s="1320"/>
      <c r="EL132" s="1320"/>
      <c r="EM132" s="1320"/>
      <c r="EN132" s="1320"/>
      <c r="EO132" s="1320"/>
      <c r="EP132" s="1320"/>
      <c r="EQ132" s="1320"/>
      <c r="ER132" s="1320"/>
      <c r="ET132" s="53"/>
      <c r="EU132" s="53"/>
    </row>
    <row r="133" spans="1:152" ht="9.75" customHeight="1" x14ac:dyDescent="0.2">
      <c r="A133" s="5"/>
      <c r="B133" s="1389"/>
      <c r="C133" s="1389"/>
      <c r="D133" s="1389"/>
      <c r="E133" s="1325"/>
      <c r="F133" s="1325"/>
      <c r="G133" s="1325"/>
      <c r="H133" s="1325"/>
      <c r="I133" s="1325"/>
      <c r="J133" s="1325"/>
      <c r="K133" s="1325"/>
      <c r="L133" s="1325"/>
      <c r="M133" s="1325"/>
      <c r="N133" s="1325"/>
      <c r="O133" s="1325"/>
      <c r="P133" s="1325"/>
      <c r="Q133" s="1325"/>
      <c r="R133" s="1325"/>
      <c r="S133" s="1325"/>
      <c r="T133" s="1325"/>
      <c r="U133" s="263"/>
      <c r="V133" s="1321"/>
      <c r="W133" s="1321"/>
      <c r="X133" s="1321"/>
      <c r="Y133" s="1321"/>
      <c r="Z133" s="1321"/>
      <c r="AA133" s="263"/>
      <c r="AB133" s="1321"/>
      <c r="AC133" s="1321"/>
      <c r="AD133" s="1321"/>
      <c r="AE133" s="1321"/>
      <c r="AF133" s="263"/>
      <c r="AG133" s="1321"/>
      <c r="AH133" s="1321"/>
      <c r="AI133" s="1321"/>
      <c r="AJ133" s="1321"/>
      <c r="AK133" s="1321"/>
      <c r="AL133" s="1321"/>
      <c r="AM133" s="263"/>
      <c r="AN133" s="1326"/>
      <c r="AO133" s="1326"/>
      <c r="AP133" s="1326"/>
      <c r="AQ133" s="1326"/>
      <c r="AR133" s="263"/>
      <c r="AS133" s="1321"/>
      <c r="AT133" s="1321"/>
      <c r="AU133" s="1321"/>
      <c r="AV133" s="1321"/>
      <c r="AW133" s="263"/>
      <c r="AX133" s="1320"/>
      <c r="AY133" s="1320"/>
      <c r="AZ133" s="1320"/>
      <c r="BA133" s="1320"/>
      <c r="BB133" s="1320"/>
      <c r="BC133" s="1320"/>
      <c r="BD133" s="1320"/>
      <c r="BE133" s="1320"/>
      <c r="BF133" s="1320"/>
      <c r="BG133" s="1320"/>
      <c r="BH133" s="1320"/>
      <c r="BI133" s="1320"/>
      <c r="BJ133" s="1320"/>
      <c r="BK133" s="1320"/>
      <c r="BL133" s="1320"/>
      <c r="BM133" s="1320"/>
      <c r="BN133" s="1320"/>
      <c r="BO133" s="1320"/>
      <c r="BP133" s="1320"/>
      <c r="BQ133" s="1320"/>
      <c r="BR133" s="1320"/>
      <c r="BS133" s="1320"/>
      <c r="BT133" s="1320"/>
      <c r="BU133" s="1320"/>
      <c r="BV133" s="1320"/>
      <c r="BW133" s="174"/>
      <c r="BX133" s="1324" t="str">
        <f>IF(CharacterLevel="",'Character Sheet III'!$CF$202,IF(Spellcasting!BC35="•",'Character Sheet III'!$BX$202,'Character Sheet III'!$CF$202))</f>
        <v>□</v>
      </c>
      <c r="BY133" s="1324"/>
      <c r="BZ133" s="1324"/>
      <c r="CA133" s="1325" t="str">
        <f>IF(OR(CharacterLevel="",Spellcasting!BE$35=""),"",VLOOKUP(Spellcasting!BE$35,Tables!$TK:$UB,Tables!$TN$1,FALSE))</f>
        <v/>
      </c>
      <c r="CB133" s="1325"/>
      <c r="CC133" s="1325"/>
      <c r="CD133" s="1325"/>
      <c r="CE133" s="1325"/>
      <c r="CF133" s="1325"/>
      <c r="CG133" s="1325"/>
      <c r="CH133" s="1325"/>
      <c r="CI133" s="1325"/>
      <c r="CJ133" s="1325"/>
      <c r="CK133" s="1325"/>
      <c r="CL133" s="1325"/>
      <c r="CM133" s="1325"/>
      <c r="CN133" s="1325"/>
      <c r="CO133" s="1325"/>
      <c r="CP133" s="1325"/>
      <c r="CQ133" s="263"/>
      <c r="CR133" s="1048" t="str">
        <f>IF(OR(CharacterLevel="",Spellcasting!BE$35=""),"",VLOOKUP(Spellcasting!BE$35,Tables!$TK:$UB,Tables!$TT$1,FALSE))</f>
        <v/>
      </c>
      <c r="CS133" s="1048"/>
      <c r="CT133" s="1048"/>
      <c r="CU133" s="1048"/>
      <c r="CV133" s="1048"/>
      <c r="CW133" s="263"/>
      <c r="CX133" s="1048" t="str">
        <f>IF(OR(CharacterLevel="",Spellcasting!BE$35=""),"",VLOOKUP(Spellcasting!BE$35,Tables!$TK:$UB,Tables!$TU$1,FALSE))</f>
        <v/>
      </c>
      <c r="CY133" s="1048"/>
      <c r="CZ133" s="1048"/>
      <c r="DA133" s="1048"/>
      <c r="DB133" s="263"/>
      <c r="DC133" s="1048" t="str">
        <f>IF(OR(CharacterLevel="",Spellcasting!BE$35=""),"",VLOOKUP(Spellcasting!BE$35,Tables!$TK:$UB,Tables!$TV$1,FALSE))</f>
        <v/>
      </c>
      <c r="DD133" s="1048"/>
      <c r="DE133" s="1048"/>
      <c r="DF133" s="1048"/>
      <c r="DG133" s="1048"/>
      <c r="DH133" s="1048"/>
      <c r="DI133" s="261"/>
      <c r="DJ133" s="1048" t="str">
        <f>IF(OR(CharacterLevel="",Spellcasting!BE$35=""),"",VLOOKUP(Spellcasting!BE$35,Tables!$TK:$UB,Tables!$TW$1,FALSE))</f>
        <v/>
      </c>
      <c r="DK133" s="1048"/>
      <c r="DL133" s="1048"/>
      <c r="DM133" s="1048"/>
      <c r="DN133" s="261"/>
      <c r="DO133" s="1048" t="str">
        <f>IF(OR(CharacterLevel="",Spellcasting!BE$35=""),"",VLOOKUP(Spellcasting!BE$35,Tables!$TK:$UB,Tables!$TZ$1,FALSE))</f>
        <v/>
      </c>
      <c r="DP133" s="1048"/>
      <c r="DQ133" s="1048"/>
      <c r="DR133" s="1048"/>
      <c r="DS133" s="261"/>
      <c r="DT133" s="1319" t="str">
        <f>IF(OR(CharacterLevel="",Spellcasting!BE$35=""),"",VLOOKUP(Spellcasting!BE$35,Tables!$TK:$UB,Tables!$UB$1,FALSE))</f>
        <v/>
      </c>
      <c r="DU133" s="1319"/>
      <c r="DV133" s="1319"/>
      <c r="DW133" s="1319"/>
      <c r="DX133" s="1319"/>
      <c r="DY133" s="1319"/>
      <c r="DZ133" s="1319"/>
      <c r="EA133" s="1319"/>
      <c r="EB133" s="1319"/>
      <c r="EC133" s="1319"/>
      <c r="ED133" s="1319"/>
      <c r="EE133" s="1319"/>
      <c r="EF133" s="1319"/>
      <c r="EG133" s="1319"/>
      <c r="EH133" s="1319"/>
      <c r="EI133" s="1319"/>
      <c r="EJ133" s="1319"/>
      <c r="EK133" s="1319"/>
      <c r="EL133" s="1319"/>
      <c r="EM133" s="1319"/>
      <c r="EN133" s="1319"/>
      <c r="EO133" s="1319"/>
      <c r="EP133" s="1319"/>
      <c r="EQ133" s="1319"/>
      <c r="ER133" s="1319"/>
      <c r="ES133" s="6">
        <f>ES131+1</f>
        <v>52</v>
      </c>
      <c r="ET133" s="53"/>
      <c r="EU133" s="53"/>
    </row>
    <row r="134" spans="1:152" ht="9.75" customHeight="1" x14ac:dyDescent="0.2">
      <c r="A134" s="5"/>
      <c r="B134" s="1389" t="str">
        <f>IF(CharacterLevel="",'Character Sheet III'!$CF$202,IF(Spellcasting!BC13="•",'Character Sheet III'!$BX$202,'Character Sheet III'!$CF$202))</f>
        <v>□</v>
      </c>
      <c r="C134" s="1389"/>
      <c r="D134" s="1389"/>
      <c r="E134" s="1325" t="str">
        <f>IF(OR(CharacterLevel="",Spellcasting!BE$13=""),"",VLOOKUP(Spellcasting!BE$13,Tables!$TK:$UB,Tables!$TN$1,FALSE))</f>
        <v/>
      </c>
      <c r="F134" s="1325"/>
      <c r="G134" s="1325"/>
      <c r="H134" s="1325"/>
      <c r="I134" s="1325"/>
      <c r="J134" s="1325"/>
      <c r="K134" s="1325"/>
      <c r="L134" s="1325"/>
      <c r="M134" s="1325"/>
      <c r="N134" s="1325"/>
      <c r="O134" s="1325"/>
      <c r="P134" s="1325"/>
      <c r="Q134" s="1325"/>
      <c r="R134" s="1325"/>
      <c r="S134" s="1325"/>
      <c r="T134" s="1325"/>
      <c r="U134" s="263"/>
      <c r="V134" s="1048" t="str">
        <f>IF(OR(CharacterLevel="",Spellcasting!BE$13=""),"",VLOOKUP(Spellcasting!BE$13,Tables!$TK:$UB,Tables!$TT$1,FALSE))</f>
        <v/>
      </c>
      <c r="W134" s="1048"/>
      <c r="X134" s="1048"/>
      <c r="Y134" s="1048"/>
      <c r="Z134" s="1048"/>
      <c r="AA134" s="263"/>
      <c r="AB134" s="1048" t="str">
        <f>IF(OR(CharacterLevel="",Spellcasting!BE$13=""),"",VLOOKUP(Spellcasting!BE$13,Tables!$TK:$UB,Tables!$TU$1,FALSE))</f>
        <v/>
      </c>
      <c r="AC134" s="1048"/>
      <c r="AD134" s="1048"/>
      <c r="AE134" s="1048"/>
      <c r="AF134" s="263"/>
      <c r="AG134" s="1048" t="str">
        <f>IF(OR(CharacterLevel="",Spellcasting!BE$13=""),"",VLOOKUP(Spellcasting!BE$13,Tables!$TK:$UB,Tables!$TV$1,FALSE))</f>
        <v/>
      </c>
      <c r="AH134" s="1048"/>
      <c r="AI134" s="1048"/>
      <c r="AJ134" s="1048"/>
      <c r="AK134" s="1048"/>
      <c r="AL134" s="1048"/>
      <c r="AM134" s="261"/>
      <c r="AN134" s="857" t="str">
        <f>IF(OR(CharacterLevel="",Spellcasting!BE$13=""),"",VLOOKUP(Spellcasting!BE$13,Tables!$TK:$UB,Tables!$TW$1,FALSE))</f>
        <v/>
      </c>
      <c r="AO134" s="857"/>
      <c r="AP134" s="857"/>
      <c r="AQ134" s="857"/>
      <c r="AR134" s="261"/>
      <c r="AS134" s="1048" t="str">
        <f>IF(OR(CharacterLevel="",Spellcasting!BE$13=""),"",VLOOKUP(Spellcasting!BE$13,Tables!$TK:$UB,Tables!$TZ$1,FALSE))</f>
        <v/>
      </c>
      <c r="AT134" s="1048"/>
      <c r="AU134" s="1048"/>
      <c r="AV134" s="1048"/>
      <c r="AW134" s="261"/>
      <c r="AX134" s="1319" t="str">
        <f>IF(OR(CharacterLevel="",Spellcasting!BE$13=""),"",VLOOKUP(Spellcasting!BE$13,Tables!$TK:$UB,Tables!$UB$1,FALSE))</f>
        <v/>
      </c>
      <c r="AY134" s="1319"/>
      <c r="AZ134" s="1319"/>
      <c r="BA134" s="1319"/>
      <c r="BB134" s="1319"/>
      <c r="BC134" s="1319"/>
      <c r="BD134" s="1319"/>
      <c r="BE134" s="1319"/>
      <c r="BF134" s="1319"/>
      <c r="BG134" s="1319"/>
      <c r="BH134" s="1319"/>
      <c r="BI134" s="1319"/>
      <c r="BJ134" s="1319"/>
      <c r="BK134" s="1319"/>
      <c r="BL134" s="1319"/>
      <c r="BM134" s="1319"/>
      <c r="BN134" s="1319"/>
      <c r="BO134" s="1319"/>
      <c r="BP134" s="1319"/>
      <c r="BQ134" s="1319"/>
      <c r="BR134" s="1319"/>
      <c r="BS134" s="1319"/>
      <c r="BT134" s="1319"/>
      <c r="BU134" s="1319"/>
      <c r="BV134" s="1319"/>
      <c r="BW134" s="174"/>
      <c r="BX134" s="1324"/>
      <c r="BY134" s="1324"/>
      <c r="BZ134" s="1324"/>
      <c r="CA134" s="1325"/>
      <c r="CB134" s="1325"/>
      <c r="CC134" s="1325"/>
      <c r="CD134" s="1325"/>
      <c r="CE134" s="1325"/>
      <c r="CF134" s="1325"/>
      <c r="CG134" s="1325"/>
      <c r="CH134" s="1325"/>
      <c r="CI134" s="1325"/>
      <c r="CJ134" s="1325"/>
      <c r="CK134" s="1325"/>
      <c r="CL134" s="1325"/>
      <c r="CM134" s="1325"/>
      <c r="CN134" s="1325"/>
      <c r="CO134" s="1325"/>
      <c r="CP134" s="1325"/>
      <c r="CQ134" s="263"/>
      <c r="CR134" s="1321"/>
      <c r="CS134" s="1321"/>
      <c r="CT134" s="1321"/>
      <c r="CU134" s="1321"/>
      <c r="CV134" s="1321"/>
      <c r="CW134" s="5"/>
      <c r="CX134" s="1321"/>
      <c r="CY134" s="1321"/>
      <c r="CZ134" s="1321"/>
      <c r="DA134" s="1321"/>
      <c r="DB134" s="5"/>
      <c r="DC134" s="1321"/>
      <c r="DD134" s="1321"/>
      <c r="DE134" s="1321"/>
      <c r="DF134" s="1321"/>
      <c r="DG134" s="1321"/>
      <c r="DH134" s="1321"/>
      <c r="DI134" s="5"/>
      <c r="DJ134" s="1321"/>
      <c r="DK134" s="1321"/>
      <c r="DL134" s="1321"/>
      <c r="DM134" s="1321"/>
      <c r="DN134" s="5"/>
      <c r="DO134" s="1321"/>
      <c r="DP134" s="1321"/>
      <c r="DQ134" s="1321"/>
      <c r="DR134" s="1321"/>
      <c r="DS134" s="5"/>
      <c r="DT134" s="1320"/>
      <c r="DU134" s="1320"/>
      <c r="DV134" s="1320"/>
      <c r="DW134" s="1320"/>
      <c r="DX134" s="1320"/>
      <c r="DY134" s="1320"/>
      <c r="DZ134" s="1320"/>
      <c r="EA134" s="1320"/>
      <c r="EB134" s="1320"/>
      <c r="EC134" s="1320"/>
      <c r="ED134" s="1320"/>
      <c r="EE134" s="1320"/>
      <c r="EF134" s="1320"/>
      <c r="EG134" s="1320"/>
      <c r="EH134" s="1320"/>
      <c r="EI134" s="1320"/>
      <c r="EJ134" s="1320"/>
      <c r="EK134" s="1320"/>
      <c r="EL134" s="1320"/>
      <c r="EM134" s="1320"/>
      <c r="EN134" s="1320"/>
      <c r="EO134" s="1320"/>
      <c r="EP134" s="1320"/>
      <c r="EQ134" s="1320"/>
      <c r="ER134" s="1320"/>
      <c r="ET134" s="53"/>
      <c r="EU134" s="53"/>
    </row>
    <row r="135" spans="1:152" ht="9.75" customHeight="1" x14ac:dyDescent="0.2">
      <c r="A135" s="5"/>
      <c r="B135" s="1389"/>
      <c r="C135" s="1389"/>
      <c r="D135" s="1389"/>
      <c r="E135" s="1325"/>
      <c r="F135" s="1325"/>
      <c r="G135" s="1325"/>
      <c r="H135" s="1325"/>
      <c r="I135" s="1325"/>
      <c r="J135" s="1325"/>
      <c r="K135" s="1325"/>
      <c r="L135" s="1325"/>
      <c r="M135" s="1325"/>
      <c r="N135" s="1325"/>
      <c r="O135" s="1325"/>
      <c r="P135" s="1325"/>
      <c r="Q135" s="1325"/>
      <c r="R135" s="1325"/>
      <c r="S135" s="1325"/>
      <c r="T135" s="1325"/>
      <c r="U135" s="263"/>
      <c r="V135" s="1321"/>
      <c r="W135" s="1321"/>
      <c r="X135" s="1321"/>
      <c r="Y135" s="1321"/>
      <c r="Z135" s="1321"/>
      <c r="AA135" s="263"/>
      <c r="AB135" s="1321"/>
      <c r="AC135" s="1321"/>
      <c r="AD135" s="1321"/>
      <c r="AE135" s="1321"/>
      <c r="AF135" s="263"/>
      <c r="AG135" s="1321"/>
      <c r="AH135" s="1321"/>
      <c r="AI135" s="1321"/>
      <c r="AJ135" s="1321"/>
      <c r="AK135" s="1321"/>
      <c r="AL135" s="1321"/>
      <c r="AM135" s="263"/>
      <c r="AN135" s="1326"/>
      <c r="AO135" s="1326"/>
      <c r="AP135" s="1326"/>
      <c r="AQ135" s="1326"/>
      <c r="AR135" s="263"/>
      <c r="AS135" s="1321"/>
      <c r="AT135" s="1321"/>
      <c r="AU135" s="1321"/>
      <c r="AV135" s="1321"/>
      <c r="AW135" s="263"/>
      <c r="AX135" s="1320"/>
      <c r="AY135" s="1320"/>
      <c r="AZ135" s="1320"/>
      <c r="BA135" s="1320"/>
      <c r="BB135" s="1320"/>
      <c r="BC135" s="1320"/>
      <c r="BD135" s="1320"/>
      <c r="BE135" s="1320"/>
      <c r="BF135" s="1320"/>
      <c r="BG135" s="1320"/>
      <c r="BH135" s="1320"/>
      <c r="BI135" s="1320"/>
      <c r="BJ135" s="1320"/>
      <c r="BK135" s="1320"/>
      <c r="BL135" s="1320"/>
      <c r="BM135" s="1320"/>
      <c r="BN135" s="1320"/>
      <c r="BO135" s="1320"/>
      <c r="BP135" s="1320"/>
      <c r="BQ135" s="1320"/>
      <c r="BR135" s="1320"/>
      <c r="BS135" s="1320"/>
      <c r="BT135" s="1320"/>
      <c r="BU135" s="1320"/>
      <c r="BV135" s="1320"/>
      <c r="BW135" s="174"/>
      <c r="BX135" s="1324" t="str">
        <f>IF(CharacterLevel="",'Character Sheet III'!$CF$202,IF(Spellcasting!BC36="•",'Character Sheet III'!$BX$202,'Character Sheet III'!$CF$202))</f>
        <v>□</v>
      </c>
      <c r="BY135" s="1324"/>
      <c r="BZ135" s="1324"/>
      <c r="CA135" s="1325" t="str">
        <f>IF(OR(CharacterLevel="",Spellcasting!BE$36=""),"",VLOOKUP(Spellcasting!BE$36,Tables!$TK:$UB,Tables!$TN$1,FALSE))</f>
        <v/>
      </c>
      <c r="CB135" s="1325"/>
      <c r="CC135" s="1325"/>
      <c r="CD135" s="1325"/>
      <c r="CE135" s="1325"/>
      <c r="CF135" s="1325"/>
      <c r="CG135" s="1325"/>
      <c r="CH135" s="1325"/>
      <c r="CI135" s="1325"/>
      <c r="CJ135" s="1325"/>
      <c r="CK135" s="1325"/>
      <c r="CL135" s="1325"/>
      <c r="CM135" s="1325"/>
      <c r="CN135" s="1325"/>
      <c r="CO135" s="1325"/>
      <c r="CP135" s="1325"/>
      <c r="CQ135" s="263"/>
      <c r="CR135" s="1048" t="str">
        <f>IF(OR(CharacterLevel="",Spellcasting!BE$36=""),"",VLOOKUP(Spellcasting!BE$36,Tables!$TK:$UB,Tables!$TT$1,FALSE))</f>
        <v/>
      </c>
      <c r="CS135" s="1048"/>
      <c r="CT135" s="1048"/>
      <c r="CU135" s="1048"/>
      <c r="CV135" s="1048"/>
      <c r="CW135" s="263"/>
      <c r="CX135" s="1048" t="str">
        <f>IF(OR(CharacterLevel="",Spellcasting!BE$36=""),"",VLOOKUP(Spellcasting!BE$36,Tables!$TK:$UB,Tables!$TU$1,FALSE))</f>
        <v/>
      </c>
      <c r="CY135" s="1048"/>
      <c r="CZ135" s="1048"/>
      <c r="DA135" s="1048"/>
      <c r="DB135" s="263"/>
      <c r="DC135" s="1048" t="str">
        <f>IF(OR(CharacterLevel="",Spellcasting!BE$36=""),"",VLOOKUP(Spellcasting!BE$36,Tables!$TK:$UB,Tables!$TV$1,FALSE))</f>
        <v/>
      </c>
      <c r="DD135" s="1048"/>
      <c r="DE135" s="1048"/>
      <c r="DF135" s="1048"/>
      <c r="DG135" s="1048"/>
      <c r="DH135" s="1048"/>
      <c r="DI135" s="261"/>
      <c r="DJ135" s="1048" t="str">
        <f>IF(OR(CharacterLevel="",Spellcasting!BE$36=""),"",VLOOKUP(Spellcasting!BE$36,Tables!$TK:$UB,Tables!$TW$1,FALSE))</f>
        <v/>
      </c>
      <c r="DK135" s="1048"/>
      <c r="DL135" s="1048"/>
      <c r="DM135" s="1048"/>
      <c r="DN135" s="261"/>
      <c r="DO135" s="1048" t="str">
        <f>IF(OR(CharacterLevel="",Spellcasting!BE$36=""),"",VLOOKUP(Spellcasting!BE$36,Tables!$TK:$UB,Tables!$TZ$1,FALSE))</f>
        <v/>
      </c>
      <c r="DP135" s="1048"/>
      <c r="DQ135" s="1048"/>
      <c r="DR135" s="1048"/>
      <c r="DS135" s="261"/>
      <c r="DT135" s="1319" t="str">
        <f>IF(OR(CharacterLevel="",Spellcasting!BE$36=""),"",VLOOKUP(Spellcasting!BE$36,Tables!$TK:$UB,Tables!$UB$1,FALSE))</f>
        <v/>
      </c>
      <c r="DU135" s="1319"/>
      <c r="DV135" s="1319"/>
      <c r="DW135" s="1319"/>
      <c r="DX135" s="1319"/>
      <c r="DY135" s="1319"/>
      <c r="DZ135" s="1319"/>
      <c r="EA135" s="1319"/>
      <c r="EB135" s="1319"/>
      <c r="EC135" s="1319"/>
      <c r="ED135" s="1319"/>
      <c r="EE135" s="1319"/>
      <c r="EF135" s="1319"/>
      <c r="EG135" s="1319"/>
      <c r="EH135" s="1319"/>
      <c r="EI135" s="1319"/>
      <c r="EJ135" s="1319"/>
      <c r="EK135" s="1319"/>
      <c r="EL135" s="1319"/>
      <c r="EM135" s="1319"/>
      <c r="EN135" s="1319"/>
      <c r="EO135" s="1319"/>
      <c r="EP135" s="1319"/>
      <c r="EQ135" s="1319"/>
      <c r="ER135" s="1319"/>
      <c r="ES135" s="6">
        <f>ES133+1</f>
        <v>53</v>
      </c>
      <c r="ET135" s="53"/>
      <c r="EU135" s="53"/>
    </row>
    <row r="136" spans="1:152" ht="9.75" customHeight="1" x14ac:dyDescent="0.2">
      <c r="A136" s="5"/>
      <c r="B136" s="1389" t="str">
        <f>IF(CharacterLevel="",'Character Sheet III'!$CF$202,IF(Spellcasting!BC14="•",'Character Sheet III'!$BX$202,'Character Sheet III'!$CF$202))</f>
        <v>□</v>
      </c>
      <c r="C136" s="1389"/>
      <c r="D136" s="1389"/>
      <c r="E136" s="1325" t="str">
        <f>IF(OR(CharacterLevel="",Spellcasting!BE$14=""),"",VLOOKUP(Spellcasting!BE$14,Tables!$TK:$UB,Tables!$TN$1,FALSE))</f>
        <v/>
      </c>
      <c r="F136" s="1325"/>
      <c r="G136" s="1325"/>
      <c r="H136" s="1325"/>
      <c r="I136" s="1325"/>
      <c r="J136" s="1325"/>
      <c r="K136" s="1325"/>
      <c r="L136" s="1325"/>
      <c r="M136" s="1325"/>
      <c r="N136" s="1325"/>
      <c r="O136" s="1325"/>
      <c r="P136" s="1325"/>
      <c r="Q136" s="1325"/>
      <c r="R136" s="1325"/>
      <c r="S136" s="1325"/>
      <c r="T136" s="1325"/>
      <c r="U136" s="263"/>
      <c r="V136" s="1048" t="str">
        <f>IF(OR(CharacterLevel="",Spellcasting!BE$14=""),"",VLOOKUP(Spellcasting!BE$14,Tables!$TK:$UB,Tables!$TT$1,FALSE))</f>
        <v/>
      </c>
      <c r="W136" s="1048"/>
      <c r="X136" s="1048"/>
      <c r="Y136" s="1048"/>
      <c r="Z136" s="1048"/>
      <c r="AA136" s="263"/>
      <c r="AB136" s="1048" t="str">
        <f>IF(OR(CharacterLevel="",Spellcasting!BE$14=""),"",VLOOKUP(Spellcasting!BE$14,Tables!$TK:$UB,Tables!$TU$1,FALSE))</f>
        <v/>
      </c>
      <c r="AC136" s="1048"/>
      <c r="AD136" s="1048"/>
      <c r="AE136" s="1048"/>
      <c r="AF136" s="263"/>
      <c r="AG136" s="1048" t="str">
        <f>IF(OR(CharacterLevel="",Spellcasting!BE$14=""),"",VLOOKUP(Spellcasting!BE$14,Tables!$TK:$UB,Tables!$TV$1,FALSE))</f>
        <v/>
      </c>
      <c r="AH136" s="1048"/>
      <c r="AI136" s="1048"/>
      <c r="AJ136" s="1048"/>
      <c r="AK136" s="1048"/>
      <c r="AL136" s="1048"/>
      <c r="AM136" s="261"/>
      <c r="AN136" s="857" t="str">
        <f>IF(OR(CharacterLevel="",Spellcasting!BE$14=""),"",VLOOKUP(Spellcasting!BE$14,Tables!$TK:$UB,Tables!$TW$1,FALSE))</f>
        <v/>
      </c>
      <c r="AO136" s="857"/>
      <c r="AP136" s="857"/>
      <c r="AQ136" s="857"/>
      <c r="AR136" s="261"/>
      <c r="AS136" s="1048" t="str">
        <f>IF(OR(CharacterLevel="",Spellcasting!BE$14=""),"",VLOOKUP(Spellcasting!BE$14,Tables!$TK:$UB,Tables!$TZ$1,FALSE))</f>
        <v/>
      </c>
      <c r="AT136" s="1048"/>
      <c r="AU136" s="1048"/>
      <c r="AV136" s="1048"/>
      <c r="AW136" s="261"/>
      <c r="AX136" s="1319" t="str">
        <f>IF(OR(CharacterLevel="",Spellcasting!BE$14=""),"",VLOOKUP(Spellcasting!BE$14,Tables!$TK:$UB,Tables!$UB$1,FALSE))</f>
        <v/>
      </c>
      <c r="AY136" s="1319"/>
      <c r="AZ136" s="1319"/>
      <c r="BA136" s="1319"/>
      <c r="BB136" s="1319"/>
      <c r="BC136" s="1319"/>
      <c r="BD136" s="1319"/>
      <c r="BE136" s="1319"/>
      <c r="BF136" s="1319"/>
      <c r="BG136" s="1319"/>
      <c r="BH136" s="1319"/>
      <c r="BI136" s="1319"/>
      <c r="BJ136" s="1319"/>
      <c r="BK136" s="1319"/>
      <c r="BL136" s="1319"/>
      <c r="BM136" s="1319"/>
      <c r="BN136" s="1319"/>
      <c r="BO136" s="1319"/>
      <c r="BP136" s="1319"/>
      <c r="BQ136" s="1319"/>
      <c r="BR136" s="1319"/>
      <c r="BS136" s="1319"/>
      <c r="BT136" s="1319"/>
      <c r="BU136" s="1319"/>
      <c r="BV136" s="1319"/>
      <c r="BW136" s="174"/>
      <c r="BX136" s="1324"/>
      <c r="BY136" s="1324"/>
      <c r="BZ136" s="1324"/>
      <c r="CA136" s="1325"/>
      <c r="CB136" s="1325"/>
      <c r="CC136" s="1325"/>
      <c r="CD136" s="1325"/>
      <c r="CE136" s="1325"/>
      <c r="CF136" s="1325"/>
      <c r="CG136" s="1325"/>
      <c r="CH136" s="1325"/>
      <c r="CI136" s="1325"/>
      <c r="CJ136" s="1325"/>
      <c r="CK136" s="1325"/>
      <c r="CL136" s="1325"/>
      <c r="CM136" s="1325"/>
      <c r="CN136" s="1325"/>
      <c r="CO136" s="1325"/>
      <c r="CP136" s="1325"/>
      <c r="CQ136" s="263"/>
      <c r="CR136" s="1321"/>
      <c r="CS136" s="1321"/>
      <c r="CT136" s="1321"/>
      <c r="CU136" s="1321"/>
      <c r="CV136" s="1321"/>
      <c r="CW136" s="5"/>
      <c r="CX136" s="1321"/>
      <c r="CY136" s="1321"/>
      <c r="CZ136" s="1321"/>
      <c r="DA136" s="1321"/>
      <c r="DB136" s="5"/>
      <c r="DC136" s="1321"/>
      <c r="DD136" s="1321"/>
      <c r="DE136" s="1321"/>
      <c r="DF136" s="1321"/>
      <c r="DG136" s="1321"/>
      <c r="DH136" s="1321"/>
      <c r="DI136" s="5"/>
      <c r="DJ136" s="1321"/>
      <c r="DK136" s="1321"/>
      <c r="DL136" s="1321"/>
      <c r="DM136" s="1321"/>
      <c r="DN136" s="5"/>
      <c r="DO136" s="1321"/>
      <c r="DP136" s="1321"/>
      <c r="DQ136" s="1321"/>
      <c r="DR136" s="1321"/>
      <c r="DS136" s="5"/>
      <c r="DT136" s="1320"/>
      <c r="DU136" s="1320"/>
      <c r="DV136" s="1320"/>
      <c r="DW136" s="1320"/>
      <c r="DX136" s="1320"/>
      <c r="DY136" s="1320"/>
      <c r="DZ136" s="1320"/>
      <c r="EA136" s="1320"/>
      <c r="EB136" s="1320"/>
      <c r="EC136" s="1320"/>
      <c r="ED136" s="1320"/>
      <c r="EE136" s="1320"/>
      <c r="EF136" s="1320"/>
      <c r="EG136" s="1320"/>
      <c r="EH136" s="1320"/>
      <c r="EI136" s="1320"/>
      <c r="EJ136" s="1320"/>
      <c r="EK136" s="1320"/>
      <c r="EL136" s="1320"/>
      <c r="EM136" s="1320"/>
      <c r="EN136" s="1320"/>
      <c r="EO136" s="1320"/>
      <c r="EP136" s="1320"/>
      <c r="EQ136" s="1320"/>
      <c r="ER136" s="1320"/>
      <c r="ET136" s="53"/>
      <c r="EU136" s="53"/>
    </row>
    <row r="137" spans="1:152" ht="9.75" customHeight="1" x14ac:dyDescent="0.2">
      <c r="A137" s="5"/>
      <c r="B137" s="1389"/>
      <c r="C137" s="1389"/>
      <c r="D137" s="1389"/>
      <c r="E137" s="1325"/>
      <c r="F137" s="1325"/>
      <c r="G137" s="1325"/>
      <c r="H137" s="1325"/>
      <c r="I137" s="1325"/>
      <c r="J137" s="1325"/>
      <c r="K137" s="1325"/>
      <c r="L137" s="1325"/>
      <c r="M137" s="1325"/>
      <c r="N137" s="1325"/>
      <c r="O137" s="1325"/>
      <c r="P137" s="1325"/>
      <c r="Q137" s="1325"/>
      <c r="R137" s="1325"/>
      <c r="S137" s="1325"/>
      <c r="T137" s="1325"/>
      <c r="U137" s="263"/>
      <c r="V137" s="1321"/>
      <c r="W137" s="1321"/>
      <c r="X137" s="1321"/>
      <c r="Y137" s="1321"/>
      <c r="Z137" s="1321"/>
      <c r="AA137" s="263"/>
      <c r="AB137" s="1321"/>
      <c r="AC137" s="1321"/>
      <c r="AD137" s="1321"/>
      <c r="AE137" s="1321"/>
      <c r="AF137" s="263"/>
      <c r="AG137" s="1321"/>
      <c r="AH137" s="1321"/>
      <c r="AI137" s="1321"/>
      <c r="AJ137" s="1321"/>
      <c r="AK137" s="1321"/>
      <c r="AL137" s="1321"/>
      <c r="AM137" s="263"/>
      <c r="AN137" s="1326"/>
      <c r="AO137" s="1326"/>
      <c r="AP137" s="1326"/>
      <c r="AQ137" s="1326"/>
      <c r="AR137" s="263"/>
      <c r="AS137" s="1321"/>
      <c r="AT137" s="1321"/>
      <c r="AU137" s="1321"/>
      <c r="AV137" s="1321"/>
      <c r="AW137" s="263"/>
      <c r="AX137" s="1320"/>
      <c r="AY137" s="1320"/>
      <c r="AZ137" s="1320"/>
      <c r="BA137" s="1320"/>
      <c r="BB137" s="1320"/>
      <c r="BC137" s="1320"/>
      <c r="BD137" s="1320"/>
      <c r="BE137" s="1320"/>
      <c r="BF137" s="1320"/>
      <c r="BG137" s="1320"/>
      <c r="BH137" s="1320"/>
      <c r="BI137" s="1320"/>
      <c r="BJ137" s="1320"/>
      <c r="BK137" s="1320"/>
      <c r="BL137" s="1320"/>
      <c r="BM137" s="1320"/>
      <c r="BN137" s="1320"/>
      <c r="BO137" s="1320"/>
      <c r="BP137" s="1320"/>
      <c r="BQ137" s="1320"/>
      <c r="BR137" s="1320"/>
      <c r="BS137" s="1320"/>
      <c r="BT137" s="1320"/>
      <c r="BU137" s="1320"/>
      <c r="BV137" s="1320"/>
      <c r="BW137" s="174"/>
      <c r="BX137" s="1324" t="str">
        <f>IF(CharacterLevel="",'Character Sheet III'!$CF$202,IF(Spellcasting!BC37="•",'Character Sheet III'!$BX$202,'Character Sheet III'!$CF$202))</f>
        <v>□</v>
      </c>
      <c r="BY137" s="1324"/>
      <c r="BZ137" s="1324"/>
      <c r="CA137" s="1325" t="str">
        <f>IF(OR(CharacterLevel="",Spellcasting!BE$37=""),"",VLOOKUP(Spellcasting!BE$37,Tables!$TK:$UB,Tables!$TN$1,FALSE))</f>
        <v/>
      </c>
      <c r="CB137" s="1325"/>
      <c r="CC137" s="1325"/>
      <c r="CD137" s="1325"/>
      <c r="CE137" s="1325"/>
      <c r="CF137" s="1325"/>
      <c r="CG137" s="1325"/>
      <c r="CH137" s="1325"/>
      <c r="CI137" s="1325"/>
      <c r="CJ137" s="1325"/>
      <c r="CK137" s="1325"/>
      <c r="CL137" s="1325"/>
      <c r="CM137" s="1325"/>
      <c r="CN137" s="1325"/>
      <c r="CO137" s="1325"/>
      <c r="CP137" s="1325"/>
      <c r="CQ137" s="263"/>
      <c r="CR137" s="1048" t="str">
        <f>IF(OR(CharacterLevel="",Spellcasting!BE$37=""),"",VLOOKUP(Spellcasting!BE$37,Tables!$TK:$UB,Tables!$TT$1,FALSE))</f>
        <v/>
      </c>
      <c r="CS137" s="1048"/>
      <c r="CT137" s="1048"/>
      <c r="CU137" s="1048"/>
      <c r="CV137" s="1048"/>
      <c r="CW137" s="263"/>
      <c r="CX137" s="1048" t="str">
        <f>IF(OR(CharacterLevel="",Spellcasting!BE$37=""),"",VLOOKUP(Spellcasting!BE$37,Tables!$TK:$UB,Tables!$TU$1,FALSE))</f>
        <v/>
      </c>
      <c r="CY137" s="1048"/>
      <c r="CZ137" s="1048"/>
      <c r="DA137" s="1048"/>
      <c r="DB137" s="263"/>
      <c r="DC137" s="1048" t="str">
        <f>IF(OR(CharacterLevel="",Spellcasting!BE$37=""),"",VLOOKUP(Spellcasting!BE$37,Tables!$TK:$UB,Tables!$TV$1,FALSE))</f>
        <v/>
      </c>
      <c r="DD137" s="1048"/>
      <c r="DE137" s="1048"/>
      <c r="DF137" s="1048"/>
      <c r="DG137" s="1048"/>
      <c r="DH137" s="1048"/>
      <c r="DI137" s="261"/>
      <c r="DJ137" s="1048" t="str">
        <f>IF(OR(CharacterLevel="",Spellcasting!BE$37=""),"",VLOOKUP(Spellcasting!BE$37,Tables!$TK:$UB,Tables!$TW$1,FALSE))</f>
        <v/>
      </c>
      <c r="DK137" s="1048"/>
      <c r="DL137" s="1048"/>
      <c r="DM137" s="1048"/>
      <c r="DN137" s="261"/>
      <c r="DO137" s="1048" t="str">
        <f>IF(OR(CharacterLevel="",Spellcasting!BE$37=""),"",VLOOKUP(Spellcasting!BE$37,Tables!$TK:$UB,Tables!$TZ$1,FALSE))</f>
        <v/>
      </c>
      <c r="DP137" s="1048"/>
      <c r="DQ137" s="1048"/>
      <c r="DR137" s="1048"/>
      <c r="DS137" s="261"/>
      <c r="DT137" s="1319" t="str">
        <f>IF(OR(CharacterLevel="",Spellcasting!BE$37=""),"",VLOOKUP(Spellcasting!BE$37,Tables!$TK:$UB,Tables!$UB$1,FALSE))</f>
        <v/>
      </c>
      <c r="DU137" s="1319"/>
      <c r="DV137" s="1319"/>
      <c r="DW137" s="1319"/>
      <c r="DX137" s="1319"/>
      <c r="DY137" s="1319"/>
      <c r="DZ137" s="1319"/>
      <c r="EA137" s="1319"/>
      <c r="EB137" s="1319"/>
      <c r="EC137" s="1319"/>
      <c r="ED137" s="1319"/>
      <c r="EE137" s="1319"/>
      <c r="EF137" s="1319"/>
      <c r="EG137" s="1319"/>
      <c r="EH137" s="1319"/>
      <c r="EI137" s="1319"/>
      <c r="EJ137" s="1319"/>
      <c r="EK137" s="1319"/>
      <c r="EL137" s="1319"/>
      <c r="EM137" s="1319"/>
      <c r="EN137" s="1319"/>
      <c r="EO137" s="1319"/>
      <c r="EP137" s="1319"/>
      <c r="EQ137" s="1319"/>
      <c r="ER137" s="1319"/>
      <c r="ES137" s="6">
        <f>ES135+1</f>
        <v>54</v>
      </c>
      <c r="ET137" s="53"/>
      <c r="EU137" s="53"/>
    </row>
    <row r="138" spans="1:152" ht="9.75" customHeight="1" x14ac:dyDescent="0.2">
      <c r="A138" s="5"/>
      <c r="B138" s="1389" t="str">
        <f>IF(CharacterLevel="",'Character Sheet III'!$CF$202,IF(Spellcasting!BC15="•",'Character Sheet III'!$BX$202,'Character Sheet III'!$CF$202))</f>
        <v>□</v>
      </c>
      <c r="C138" s="1389"/>
      <c r="D138" s="1389"/>
      <c r="E138" s="1325" t="str">
        <f>IF(OR(CharacterLevel="",Spellcasting!BE$15=""),"",VLOOKUP(Spellcasting!BE$15,Tables!$TK:$UB,Tables!$TN$1,FALSE))</f>
        <v/>
      </c>
      <c r="F138" s="1325"/>
      <c r="G138" s="1325"/>
      <c r="H138" s="1325"/>
      <c r="I138" s="1325"/>
      <c r="J138" s="1325"/>
      <c r="K138" s="1325"/>
      <c r="L138" s="1325"/>
      <c r="M138" s="1325"/>
      <c r="N138" s="1325"/>
      <c r="O138" s="1325"/>
      <c r="P138" s="1325"/>
      <c r="Q138" s="1325"/>
      <c r="R138" s="1325"/>
      <c r="S138" s="1325"/>
      <c r="T138" s="1325"/>
      <c r="U138" s="263"/>
      <c r="V138" s="1048" t="str">
        <f>IF(OR(CharacterLevel="",Spellcasting!BE$15=""),"",VLOOKUP(Spellcasting!BE$15,Tables!$TK:$UB,Tables!$TT$1,FALSE))</f>
        <v/>
      </c>
      <c r="W138" s="1048"/>
      <c r="X138" s="1048"/>
      <c r="Y138" s="1048"/>
      <c r="Z138" s="1048"/>
      <c r="AA138" s="263"/>
      <c r="AB138" s="1048" t="str">
        <f>IF(OR(CharacterLevel="",Spellcasting!BE$15=""),"",VLOOKUP(Spellcasting!BE$15,Tables!$TK:$UB,Tables!$TU$1,FALSE))</f>
        <v/>
      </c>
      <c r="AC138" s="1048"/>
      <c r="AD138" s="1048"/>
      <c r="AE138" s="1048"/>
      <c r="AF138" s="263"/>
      <c r="AG138" s="1048" t="str">
        <f>IF(OR(CharacterLevel="",Spellcasting!BE$15=""),"",VLOOKUP(Spellcasting!BE$15,Tables!$TK:$UB,Tables!$TV$1,FALSE))</f>
        <v/>
      </c>
      <c r="AH138" s="1048"/>
      <c r="AI138" s="1048"/>
      <c r="AJ138" s="1048"/>
      <c r="AK138" s="1048"/>
      <c r="AL138" s="1048"/>
      <c r="AM138" s="261"/>
      <c r="AN138" s="857" t="str">
        <f>IF(OR(CharacterLevel="",Spellcasting!BE$15=""),"",VLOOKUP(Spellcasting!BE$15,Tables!$TK:$UB,Tables!$TW$1,FALSE))</f>
        <v/>
      </c>
      <c r="AO138" s="857"/>
      <c r="AP138" s="857"/>
      <c r="AQ138" s="857"/>
      <c r="AR138" s="261"/>
      <c r="AS138" s="1048" t="str">
        <f>IF(OR(CharacterLevel="",Spellcasting!BE$15=""),"",VLOOKUP(Spellcasting!BE$15,Tables!$TK:$UB,Tables!$TZ$1,FALSE))</f>
        <v/>
      </c>
      <c r="AT138" s="1048"/>
      <c r="AU138" s="1048"/>
      <c r="AV138" s="1048"/>
      <c r="AW138" s="261"/>
      <c r="AX138" s="1319" t="str">
        <f>IF(OR(CharacterLevel="",Spellcasting!BE$15=""),"",VLOOKUP(Spellcasting!BE$15,Tables!$TK:$UB,Tables!$UB$1,FALSE))</f>
        <v/>
      </c>
      <c r="AY138" s="1319"/>
      <c r="AZ138" s="1319"/>
      <c r="BA138" s="1319"/>
      <c r="BB138" s="1319"/>
      <c r="BC138" s="1319"/>
      <c r="BD138" s="1319"/>
      <c r="BE138" s="1319"/>
      <c r="BF138" s="1319"/>
      <c r="BG138" s="1319"/>
      <c r="BH138" s="1319"/>
      <c r="BI138" s="1319"/>
      <c r="BJ138" s="1319"/>
      <c r="BK138" s="1319"/>
      <c r="BL138" s="1319"/>
      <c r="BM138" s="1319"/>
      <c r="BN138" s="1319"/>
      <c r="BO138" s="1319"/>
      <c r="BP138" s="1319"/>
      <c r="BQ138" s="1319"/>
      <c r="BR138" s="1319"/>
      <c r="BS138" s="1319"/>
      <c r="BT138" s="1319"/>
      <c r="BU138" s="1319"/>
      <c r="BV138" s="1319"/>
      <c r="BW138" s="174"/>
      <c r="BX138" s="1324"/>
      <c r="BY138" s="1324"/>
      <c r="BZ138" s="1324"/>
      <c r="CA138" s="1325"/>
      <c r="CB138" s="1325"/>
      <c r="CC138" s="1325"/>
      <c r="CD138" s="1325"/>
      <c r="CE138" s="1325"/>
      <c r="CF138" s="1325"/>
      <c r="CG138" s="1325"/>
      <c r="CH138" s="1325"/>
      <c r="CI138" s="1325"/>
      <c r="CJ138" s="1325"/>
      <c r="CK138" s="1325"/>
      <c r="CL138" s="1325"/>
      <c r="CM138" s="1325"/>
      <c r="CN138" s="1325"/>
      <c r="CO138" s="1325"/>
      <c r="CP138" s="1325"/>
      <c r="CQ138" s="263"/>
      <c r="CR138" s="1321"/>
      <c r="CS138" s="1321"/>
      <c r="CT138" s="1321"/>
      <c r="CU138" s="1321"/>
      <c r="CV138" s="1321"/>
      <c r="CW138" s="5"/>
      <c r="CX138" s="1321"/>
      <c r="CY138" s="1321"/>
      <c r="CZ138" s="1321"/>
      <c r="DA138" s="1321"/>
      <c r="DB138" s="5"/>
      <c r="DC138" s="1321"/>
      <c r="DD138" s="1321"/>
      <c r="DE138" s="1321"/>
      <c r="DF138" s="1321"/>
      <c r="DG138" s="1321"/>
      <c r="DH138" s="1321"/>
      <c r="DI138" s="5"/>
      <c r="DJ138" s="1321"/>
      <c r="DK138" s="1321"/>
      <c r="DL138" s="1321"/>
      <c r="DM138" s="1321"/>
      <c r="DN138" s="5"/>
      <c r="DO138" s="1321"/>
      <c r="DP138" s="1321"/>
      <c r="DQ138" s="1321"/>
      <c r="DR138" s="1321"/>
      <c r="DS138" s="5"/>
      <c r="DT138" s="1320"/>
      <c r="DU138" s="1320"/>
      <c r="DV138" s="1320"/>
      <c r="DW138" s="1320"/>
      <c r="DX138" s="1320"/>
      <c r="DY138" s="1320"/>
      <c r="DZ138" s="1320"/>
      <c r="EA138" s="1320"/>
      <c r="EB138" s="1320"/>
      <c r="EC138" s="1320"/>
      <c r="ED138" s="1320"/>
      <c r="EE138" s="1320"/>
      <c r="EF138" s="1320"/>
      <c r="EG138" s="1320"/>
      <c r="EH138" s="1320"/>
      <c r="EI138" s="1320"/>
      <c r="EJ138" s="1320"/>
      <c r="EK138" s="1320"/>
      <c r="EL138" s="1320"/>
      <c r="EM138" s="1320"/>
      <c r="EN138" s="1320"/>
      <c r="EO138" s="1320"/>
      <c r="EP138" s="1320"/>
      <c r="EQ138" s="1320"/>
      <c r="ER138" s="1320"/>
      <c r="ET138" s="53"/>
      <c r="EU138" s="53"/>
    </row>
    <row r="139" spans="1:152" ht="9.75" customHeight="1" x14ac:dyDescent="0.2">
      <c r="A139" s="5"/>
      <c r="B139" s="1389"/>
      <c r="C139" s="1389"/>
      <c r="D139" s="1389"/>
      <c r="E139" s="1325"/>
      <c r="F139" s="1325"/>
      <c r="G139" s="1325"/>
      <c r="H139" s="1325"/>
      <c r="I139" s="1325"/>
      <c r="J139" s="1325"/>
      <c r="K139" s="1325"/>
      <c r="L139" s="1325"/>
      <c r="M139" s="1325"/>
      <c r="N139" s="1325"/>
      <c r="O139" s="1325"/>
      <c r="P139" s="1325"/>
      <c r="Q139" s="1325"/>
      <c r="R139" s="1325"/>
      <c r="S139" s="1325"/>
      <c r="T139" s="1325"/>
      <c r="U139" s="263"/>
      <c r="V139" s="1321"/>
      <c r="W139" s="1321"/>
      <c r="X139" s="1321"/>
      <c r="Y139" s="1321"/>
      <c r="Z139" s="1321"/>
      <c r="AA139" s="263"/>
      <c r="AB139" s="1321"/>
      <c r="AC139" s="1321"/>
      <c r="AD139" s="1321"/>
      <c r="AE139" s="1321"/>
      <c r="AF139" s="263"/>
      <c r="AG139" s="1321"/>
      <c r="AH139" s="1321"/>
      <c r="AI139" s="1321"/>
      <c r="AJ139" s="1321"/>
      <c r="AK139" s="1321"/>
      <c r="AL139" s="1321"/>
      <c r="AM139" s="263"/>
      <c r="AN139" s="1326"/>
      <c r="AO139" s="1326"/>
      <c r="AP139" s="1326"/>
      <c r="AQ139" s="1326"/>
      <c r="AR139" s="263"/>
      <c r="AS139" s="1321"/>
      <c r="AT139" s="1321"/>
      <c r="AU139" s="1321"/>
      <c r="AV139" s="1321"/>
      <c r="AW139" s="263"/>
      <c r="AX139" s="1320"/>
      <c r="AY139" s="1320"/>
      <c r="AZ139" s="1320"/>
      <c r="BA139" s="1320"/>
      <c r="BB139" s="1320"/>
      <c r="BC139" s="1320"/>
      <c r="BD139" s="1320"/>
      <c r="BE139" s="1320"/>
      <c r="BF139" s="1320"/>
      <c r="BG139" s="1320"/>
      <c r="BH139" s="1320"/>
      <c r="BI139" s="1320"/>
      <c r="BJ139" s="1320"/>
      <c r="BK139" s="1320"/>
      <c r="BL139" s="1320"/>
      <c r="BM139" s="1320"/>
      <c r="BN139" s="1320"/>
      <c r="BO139" s="1320"/>
      <c r="BP139" s="1320"/>
      <c r="BQ139" s="1320"/>
      <c r="BR139" s="1320"/>
      <c r="BS139" s="1320"/>
      <c r="BT139" s="1320"/>
      <c r="BU139" s="1320"/>
      <c r="BV139" s="1320"/>
      <c r="BW139" s="174"/>
      <c r="BX139" s="1324" t="str">
        <f>IF(CharacterLevel="",'Character Sheet III'!$CF$202,IF(Spellcasting!BC38="•",'Character Sheet III'!$BX$202,'Character Sheet III'!$CF$202))</f>
        <v>□</v>
      </c>
      <c r="BY139" s="1324"/>
      <c r="BZ139" s="1324"/>
      <c r="CA139" s="1325" t="str">
        <f>IF(OR(CharacterLevel="",Spellcasting!BE$38=""),"",VLOOKUP(Spellcasting!BE$38,Tables!$TK:$UB,Tables!$TN$1,FALSE))</f>
        <v/>
      </c>
      <c r="CB139" s="1325"/>
      <c r="CC139" s="1325"/>
      <c r="CD139" s="1325"/>
      <c r="CE139" s="1325"/>
      <c r="CF139" s="1325"/>
      <c r="CG139" s="1325"/>
      <c r="CH139" s="1325"/>
      <c r="CI139" s="1325"/>
      <c r="CJ139" s="1325"/>
      <c r="CK139" s="1325"/>
      <c r="CL139" s="1325"/>
      <c r="CM139" s="1325"/>
      <c r="CN139" s="1325"/>
      <c r="CO139" s="1325"/>
      <c r="CP139" s="1325"/>
      <c r="CQ139" s="263"/>
      <c r="CR139" s="1048" t="str">
        <f>IF(OR(CharacterLevel="",Spellcasting!BE$38=""),"",VLOOKUP(Spellcasting!BE$38,Tables!$TK:$UB,Tables!$TT$1,FALSE))</f>
        <v/>
      </c>
      <c r="CS139" s="1048"/>
      <c r="CT139" s="1048"/>
      <c r="CU139" s="1048"/>
      <c r="CV139" s="1048"/>
      <c r="CW139" s="263"/>
      <c r="CX139" s="1048" t="str">
        <f>IF(OR(CharacterLevel="",Spellcasting!BE$38=""),"",VLOOKUP(Spellcasting!BE$38,Tables!$TK:$UB,Tables!$TU$1,FALSE))</f>
        <v/>
      </c>
      <c r="CY139" s="1048"/>
      <c r="CZ139" s="1048"/>
      <c r="DA139" s="1048"/>
      <c r="DB139" s="263"/>
      <c r="DC139" s="1048" t="str">
        <f>IF(OR(CharacterLevel="",Spellcasting!BE$38=""),"",VLOOKUP(Spellcasting!BE$38,Tables!$TK:$UB,Tables!$TV$1,FALSE))</f>
        <v/>
      </c>
      <c r="DD139" s="1048"/>
      <c r="DE139" s="1048"/>
      <c r="DF139" s="1048"/>
      <c r="DG139" s="1048"/>
      <c r="DH139" s="1048"/>
      <c r="DI139" s="261"/>
      <c r="DJ139" s="1048" t="str">
        <f>IF(OR(CharacterLevel="",Spellcasting!BE$38=""),"",VLOOKUP(Spellcasting!BE$38,Tables!$TK:$UB,Tables!$TW$1,FALSE))</f>
        <v/>
      </c>
      <c r="DK139" s="1048"/>
      <c r="DL139" s="1048"/>
      <c r="DM139" s="1048"/>
      <c r="DN139" s="261"/>
      <c r="DO139" s="1048" t="str">
        <f>IF(OR(CharacterLevel="",Spellcasting!BE$38=""),"",VLOOKUP(Spellcasting!BE$38,Tables!$TK:$UB,Tables!$TZ$1,FALSE))</f>
        <v/>
      </c>
      <c r="DP139" s="1048"/>
      <c r="DQ139" s="1048"/>
      <c r="DR139" s="1048"/>
      <c r="DS139" s="261"/>
      <c r="DT139" s="1319" t="str">
        <f>IF(OR(CharacterLevel="",Spellcasting!BE$38=""),"",VLOOKUP(Spellcasting!BE$38,Tables!$TK:$UB,Tables!$UB$1,FALSE))</f>
        <v/>
      </c>
      <c r="DU139" s="1319"/>
      <c r="DV139" s="1319"/>
      <c r="DW139" s="1319"/>
      <c r="DX139" s="1319"/>
      <c r="DY139" s="1319"/>
      <c r="DZ139" s="1319"/>
      <c r="EA139" s="1319"/>
      <c r="EB139" s="1319"/>
      <c r="EC139" s="1319"/>
      <c r="ED139" s="1319"/>
      <c r="EE139" s="1319"/>
      <c r="EF139" s="1319"/>
      <c r="EG139" s="1319"/>
      <c r="EH139" s="1319"/>
      <c r="EI139" s="1319"/>
      <c r="EJ139" s="1319"/>
      <c r="EK139" s="1319"/>
      <c r="EL139" s="1319"/>
      <c r="EM139" s="1319"/>
      <c r="EN139" s="1319"/>
      <c r="EO139" s="1319"/>
      <c r="EP139" s="1319"/>
      <c r="EQ139" s="1319"/>
      <c r="ER139" s="1319"/>
      <c r="ES139" s="6">
        <f>ES137+1</f>
        <v>55</v>
      </c>
      <c r="ET139" s="53"/>
      <c r="EU139" s="53"/>
    </row>
    <row r="140" spans="1:152" ht="9.75" customHeight="1" x14ac:dyDescent="0.2">
      <c r="A140" s="5"/>
      <c r="B140" s="1389" t="str">
        <f>IF(CharacterLevel="",'Character Sheet III'!$CF$202,IF(Spellcasting!BC16="•",'Character Sheet III'!$BX$202,'Character Sheet III'!$CF$202))</f>
        <v>□</v>
      </c>
      <c r="C140" s="1389"/>
      <c r="D140" s="1389"/>
      <c r="E140" s="1325" t="str">
        <f>IF(OR(CharacterLevel="",Spellcasting!BE$16=""),"",VLOOKUP(Spellcasting!BE$16,Tables!$TK:$UB,Tables!$TN$1,FALSE))</f>
        <v/>
      </c>
      <c r="F140" s="1325"/>
      <c r="G140" s="1325"/>
      <c r="H140" s="1325"/>
      <c r="I140" s="1325"/>
      <c r="J140" s="1325"/>
      <c r="K140" s="1325"/>
      <c r="L140" s="1325"/>
      <c r="M140" s="1325"/>
      <c r="N140" s="1325"/>
      <c r="O140" s="1325"/>
      <c r="P140" s="1325"/>
      <c r="Q140" s="1325"/>
      <c r="R140" s="1325"/>
      <c r="S140" s="1325"/>
      <c r="T140" s="1325"/>
      <c r="U140" s="263"/>
      <c r="V140" s="1048" t="str">
        <f>IF(OR(CharacterLevel="",Spellcasting!BE$16=""),"",VLOOKUP(Spellcasting!BE$16,Tables!$TK:$UB,Tables!$TT$1,FALSE))</f>
        <v/>
      </c>
      <c r="W140" s="1048"/>
      <c r="X140" s="1048"/>
      <c r="Y140" s="1048"/>
      <c r="Z140" s="1048"/>
      <c r="AA140" s="263"/>
      <c r="AB140" s="1048" t="str">
        <f>IF(OR(CharacterLevel="",Spellcasting!BE$16=""),"",VLOOKUP(Spellcasting!BE$16,Tables!$TK:$UB,Tables!$TU$1,FALSE))</f>
        <v/>
      </c>
      <c r="AC140" s="1048"/>
      <c r="AD140" s="1048"/>
      <c r="AE140" s="1048"/>
      <c r="AF140" s="263"/>
      <c r="AG140" s="1048" t="str">
        <f>IF(OR(CharacterLevel="",Spellcasting!BE$16=""),"",VLOOKUP(Spellcasting!BE$16,Tables!$TK:$UB,Tables!$TV$1,FALSE))</f>
        <v/>
      </c>
      <c r="AH140" s="1048"/>
      <c r="AI140" s="1048"/>
      <c r="AJ140" s="1048"/>
      <c r="AK140" s="1048"/>
      <c r="AL140" s="1048"/>
      <c r="AM140" s="261"/>
      <c r="AN140" s="857" t="str">
        <f>IF(OR(CharacterLevel="",Spellcasting!BE$16=""),"",VLOOKUP(Spellcasting!BE$16,Tables!$TK:$UB,Tables!$TW$1,FALSE))</f>
        <v/>
      </c>
      <c r="AO140" s="857"/>
      <c r="AP140" s="857"/>
      <c r="AQ140" s="857"/>
      <c r="AR140" s="261"/>
      <c r="AS140" s="1048" t="str">
        <f>IF(OR(CharacterLevel="",Spellcasting!BE$16=""),"",VLOOKUP(Spellcasting!BE$16,Tables!$TK:$UB,Tables!$TZ$1,FALSE))</f>
        <v/>
      </c>
      <c r="AT140" s="1048"/>
      <c r="AU140" s="1048"/>
      <c r="AV140" s="1048"/>
      <c r="AW140" s="261"/>
      <c r="AX140" s="1319" t="str">
        <f>IF(OR(CharacterLevel="",Spellcasting!BE$16=""),"",VLOOKUP(Spellcasting!BE$16,Tables!$TK:$UB,Tables!$UB$1,FALSE))</f>
        <v/>
      </c>
      <c r="AY140" s="1319"/>
      <c r="AZ140" s="1319"/>
      <c r="BA140" s="1319"/>
      <c r="BB140" s="1319"/>
      <c r="BC140" s="1319"/>
      <c r="BD140" s="1319"/>
      <c r="BE140" s="1319"/>
      <c r="BF140" s="1319"/>
      <c r="BG140" s="1319"/>
      <c r="BH140" s="1319"/>
      <c r="BI140" s="1319"/>
      <c r="BJ140" s="1319"/>
      <c r="BK140" s="1319"/>
      <c r="BL140" s="1319"/>
      <c r="BM140" s="1319"/>
      <c r="BN140" s="1319"/>
      <c r="BO140" s="1319"/>
      <c r="BP140" s="1319"/>
      <c r="BQ140" s="1319"/>
      <c r="BR140" s="1319"/>
      <c r="BS140" s="1319"/>
      <c r="BT140" s="1319"/>
      <c r="BU140" s="1319"/>
      <c r="BV140" s="1319"/>
      <c r="BW140" s="174"/>
      <c r="BX140" s="1324"/>
      <c r="BY140" s="1324"/>
      <c r="BZ140" s="1324"/>
      <c r="CA140" s="1325"/>
      <c r="CB140" s="1325"/>
      <c r="CC140" s="1325"/>
      <c r="CD140" s="1325"/>
      <c r="CE140" s="1325"/>
      <c r="CF140" s="1325"/>
      <c r="CG140" s="1325"/>
      <c r="CH140" s="1325"/>
      <c r="CI140" s="1325"/>
      <c r="CJ140" s="1325"/>
      <c r="CK140" s="1325"/>
      <c r="CL140" s="1325"/>
      <c r="CM140" s="1325"/>
      <c r="CN140" s="1325"/>
      <c r="CO140" s="1325"/>
      <c r="CP140" s="1325"/>
      <c r="CQ140" s="263"/>
      <c r="CR140" s="1321"/>
      <c r="CS140" s="1321"/>
      <c r="CT140" s="1321"/>
      <c r="CU140" s="1321"/>
      <c r="CV140" s="1321"/>
      <c r="CW140" s="5"/>
      <c r="CX140" s="1321"/>
      <c r="CY140" s="1321"/>
      <c r="CZ140" s="1321"/>
      <c r="DA140" s="1321"/>
      <c r="DB140" s="5"/>
      <c r="DC140" s="1321"/>
      <c r="DD140" s="1321"/>
      <c r="DE140" s="1321"/>
      <c r="DF140" s="1321"/>
      <c r="DG140" s="1321"/>
      <c r="DH140" s="1321"/>
      <c r="DI140" s="5"/>
      <c r="DJ140" s="1321"/>
      <c r="DK140" s="1321"/>
      <c r="DL140" s="1321"/>
      <c r="DM140" s="1321"/>
      <c r="DN140" s="5"/>
      <c r="DO140" s="1321"/>
      <c r="DP140" s="1321"/>
      <c r="DQ140" s="1321"/>
      <c r="DR140" s="1321"/>
      <c r="DS140" s="5"/>
      <c r="DT140" s="1320"/>
      <c r="DU140" s="1320"/>
      <c r="DV140" s="1320"/>
      <c r="DW140" s="1320"/>
      <c r="DX140" s="1320"/>
      <c r="DY140" s="1320"/>
      <c r="DZ140" s="1320"/>
      <c r="EA140" s="1320"/>
      <c r="EB140" s="1320"/>
      <c r="EC140" s="1320"/>
      <c r="ED140" s="1320"/>
      <c r="EE140" s="1320"/>
      <c r="EF140" s="1320"/>
      <c r="EG140" s="1320"/>
      <c r="EH140" s="1320"/>
      <c r="EI140" s="1320"/>
      <c r="EJ140" s="1320"/>
      <c r="EK140" s="1320"/>
      <c r="EL140" s="1320"/>
      <c r="EM140" s="1320"/>
      <c r="EN140" s="1320"/>
      <c r="EO140" s="1320"/>
      <c r="EP140" s="1320"/>
      <c r="EQ140" s="1320"/>
      <c r="ER140" s="1320"/>
      <c r="ET140" s="53"/>
      <c r="EU140" s="53"/>
      <c r="EV140" s="53"/>
    </row>
    <row r="141" spans="1:152" ht="9.75" customHeight="1" x14ac:dyDescent="0.2">
      <c r="A141" s="5"/>
      <c r="B141" s="1389"/>
      <c r="C141" s="1389"/>
      <c r="D141" s="1389"/>
      <c r="E141" s="1325" t="str">
        <f>IF(OR(CharacterLevel="",Spellcasting!AQ72=""),"",VLOOKUP(Spellcasting!AQ72,Tables!TK:UB,Tables!$TN$1,FALSE))</f>
        <v/>
      </c>
      <c r="F141" s="1325"/>
      <c r="G141" s="1325"/>
      <c r="H141" s="1325"/>
      <c r="I141" s="1325"/>
      <c r="J141" s="1325"/>
      <c r="K141" s="1325"/>
      <c r="L141" s="1325"/>
      <c r="M141" s="1325"/>
      <c r="N141" s="1325"/>
      <c r="O141" s="1325"/>
      <c r="P141" s="1325"/>
      <c r="Q141" s="1325"/>
      <c r="R141" s="1325"/>
      <c r="S141" s="1325"/>
      <c r="T141" s="1325"/>
      <c r="U141" s="263"/>
      <c r="V141" s="1321"/>
      <c r="W141" s="1321"/>
      <c r="X141" s="1321"/>
      <c r="Y141" s="1321"/>
      <c r="Z141" s="1321"/>
      <c r="AA141" s="263"/>
      <c r="AB141" s="1321"/>
      <c r="AC141" s="1321"/>
      <c r="AD141" s="1321"/>
      <c r="AE141" s="1321"/>
      <c r="AF141" s="263"/>
      <c r="AG141" s="1321"/>
      <c r="AH141" s="1321"/>
      <c r="AI141" s="1321"/>
      <c r="AJ141" s="1321"/>
      <c r="AK141" s="1321"/>
      <c r="AL141" s="1321"/>
      <c r="AM141" s="263"/>
      <c r="AN141" s="1326"/>
      <c r="AO141" s="1326"/>
      <c r="AP141" s="1326"/>
      <c r="AQ141" s="1326"/>
      <c r="AR141" s="263"/>
      <c r="AS141" s="1321"/>
      <c r="AT141" s="1321"/>
      <c r="AU141" s="1321"/>
      <c r="AV141" s="1321"/>
      <c r="AW141" s="263"/>
      <c r="AX141" s="1320"/>
      <c r="AY141" s="1320"/>
      <c r="AZ141" s="1320"/>
      <c r="BA141" s="1320"/>
      <c r="BB141" s="1320"/>
      <c r="BC141" s="1320"/>
      <c r="BD141" s="1320"/>
      <c r="BE141" s="1320"/>
      <c r="BF141" s="1320"/>
      <c r="BG141" s="1320"/>
      <c r="BH141" s="1320"/>
      <c r="BI141" s="1320"/>
      <c r="BJ141" s="1320"/>
      <c r="BK141" s="1320"/>
      <c r="BL141" s="1320"/>
      <c r="BM141" s="1320"/>
      <c r="BN141" s="1320"/>
      <c r="BO141" s="1320"/>
      <c r="BP141" s="1320"/>
      <c r="BQ141" s="1320"/>
      <c r="BR141" s="1320"/>
      <c r="BS141" s="1320"/>
      <c r="BT141" s="1320"/>
      <c r="BU141" s="1320"/>
      <c r="BV141" s="1320"/>
      <c r="BW141" s="174"/>
      <c r="BX141" s="1324" t="str">
        <f>IF(CharacterLevel="",'Character Sheet III'!$CF$202,IF(Spellcasting!BC39="•",'Character Sheet III'!$BX$202,'Character Sheet III'!$CF$202))</f>
        <v>□</v>
      </c>
      <c r="BY141" s="1324"/>
      <c r="BZ141" s="1324"/>
      <c r="CA141" s="1325" t="str">
        <f>IF(OR(CharacterLevel="",Spellcasting!BE$39=""),"",VLOOKUP(Spellcasting!BE$39,Tables!$TK:$UB,Tables!$TN$1,FALSE))</f>
        <v/>
      </c>
      <c r="CB141" s="1325"/>
      <c r="CC141" s="1325"/>
      <c r="CD141" s="1325"/>
      <c r="CE141" s="1325"/>
      <c r="CF141" s="1325"/>
      <c r="CG141" s="1325"/>
      <c r="CH141" s="1325"/>
      <c r="CI141" s="1325"/>
      <c r="CJ141" s="1325"/>
      <c r="CK141" s="1325"/>
      <c r="CL141" s="1325"/>
      <c r="CM141" s="1325"/>
      <c r="CN141" s="1325"/>
      <c r="CO141" s="1325"/>
      <c r="CP141" s="1325"/>
      <c r="CQ141" s="263"/>
      <c r="CR141" s="1048" t="str">
        <f>IF(OR(CharacterLevel="",Spellcasting!BE$39=""),"",VLOOKUP(Spellcasting!BE$39,Tables!$TK:$UB,Tables!$TT$1,FALSE))</f>
        <v/>
      </c>
      <c r="CS141" s="1048"/>
      <c r="CT141" s="1048"/>
      <c r="CU141" s="1048"/>
      <c r="CV141" s="1048"/>
      <c r="CW141" s="263"/>
      <c r="CX141" s="1048" t="str">
        <f>IF(OR(CharacterLevel="",Spellcasting!BE$39=""),"",VLOOKUP(Spellcasting!BE$39,Tables!$TK:$UB,Tables!$TU$1,FALSE))</f>
        <v/>
      </c>
      <c r="CY141" s="1048"/>
      <c r="CZ141" s="1048"/>
      <c r="DA141" s="1048"/>
      <c r="DB141" s="263"/>
      <c r="DC141" s="1048" t="str">
        <f>IF(OR(CharacterLevel="",Spellcasting!BE$39=""),"",VLOOKUP(Spellcasting!BE$39,Tables!$TK:$UB,Tables!$TV$1,FALSE))</f>
        <v/>
      </c>
      <c r="DD141" s="1048"/>
      <c r="DE141" s="1048"/>
      <c r="DF141" s="1048"/>
      <c r="DG141" s="1048"/>
      <c r="DH141" s="1048"/>
      <c r="DI141" s="261"/>
      <c r="DJ141" s="1048" t="str">
        <f>IF(OR(CharacterLevel="",Spellcasting!BE$39=""),"",VLOOKUP(Spellcasting!BE$39,Tables!$TK:$UB,Tables!$TW$1,FALSE))</f>
        <v/>
      </c>
      <c r="DK141" s="1048"/>
      <c r="DL141" s="1048"/>
      <c r="DM141" s="1048"/>
      <c r="DN141" s="261"/>
      <c r="DO141" s="1048" t="str">
        <f>IF(OR(CharacterLevel="",Spellcasting!BE$39=""),"",VLOOKUP(Spellcasting!BE$39,Tables!$TK:$UB,Tables!$TZ$1,FALSE))</f>
        <v/>
      </c>
      <c r="DP141" s="1048"/>
      <c r="DQ141" s="1048"/>
      <c r="DR141" s="1048"/>
      <c r="DS141" s="261"/>
      <c r="DT141" s="1319" t="str">
        <f>IF(OR(CharacterLevel="",Spellcasting!BE$39=""),"",VLOOKUP(Spellcasting!BE$39,Tables!$TK:$UB,Tables!$UB$1,FALSE))</f>
        <v/>
      </c>
      <c r="DU141" s="1319"/>
      <c r="DV141" s="1319"/>
      <c r="DW141" s="1319"/>
      <c r="DX141" s="1319"/>
      <c r="DY141" s="1319"/>
      <c r="DZ141" s="1319"/>
      <c r="EA141" s="1319"/>
      <c r="EB141" s="1319"/>
      <c r="EC141" s="1319"/>
      <c r="ED141" s="1319"/>
      <c r="EE141" s="1319"/>
      <c r="EF141" s="1319"/>
      <c r="EG141" s="1319"/>
      <c r="EH141" s="1319"/>
      <c r="EI141" s="1319"/>
      <c r="EJ141" s="1319"/>
      <c r="EK141" s="1319"/>
      <c r="EL141" s="1319"/>
      <c r="EM141" s="1319"/>
      <c r="EN141" s="1319"/>
      <c r="EO141" s="1319"/>
      <c r="EP141" s="1319"/>
      <c r="EQ141" s="1319"/>
      <c r="ER141" s="1319"/>
      <c r="ES141" s="6">
        <f>ES139+1</f>
        <v>56</v>
      </c>
      <c r="ET141" s="53"/>
      <c r="EU141" s="53"/>
      <c r="EV141" s="53"/>
    </row>
    <row r="142" spans="1:152" ht="9.75" customHeight="1" x14ac:dyDescent="0.2">
      <c r="A142" s="5"/>
      <c r="B142" s="1389" t="str">
        <f>IF(CharacterLevel="",'Character Sheet III'!$CF$202,IF(Spellcasting!BC17="•",'Character Sheet III'!$BX$202,'Character Sheet III'!$CF$202))</f>
        <v>□</v>
      </c>
      <c r="C142" s="1389"/>
      <c r="D142" s="1389"/>
      <c r="E142" s="1325" t="str">
        <f>IF(OR(CharacterLevel="",Spellcasting!BE$17=""),"",VLOOKUP(Spellcasting!BE$17,Tables!$TK:$UB,Tables!$TN$1,FALSE))</f>
        <v/>
      </c>
      <c r="F142" s="1325"/>
      <c r="G142" s="1325"/>
      <c r="H142" s="1325"/>
      <c r="I142" s="1325"/>
      <c r="J142" s="1325"/>
      <c r="K142" s="1325"/>
      <c r="L142" s="1325"/>
      <c r="M142" s="1325"/>
      <c r="N142" s="1325"/>
      <c r="O142" s="1325"/>
      <c r="P142" s="1325"/>
      <c r="Q142" s="1325"/>
      <c r="R142" s="1325"/>
      <c r="S142" s="1325"/>
      <c r="T142" s="1325"/>
      <c r="U142" s="263"/>
      <c r="V142" s="1048" t="str">
        <f>IF(OR(CharacterLevel="",Spellcasting!BE$17=""),"",VLOOKUP(Spellcasting!BE$17,Tables!$TK:$UB,Tables!$TT$1,FALSE))</f>
        <v/>
      </c>
      <c r="W142" s="1048"/>
      <c r="X142" s="1048"/>
      <c r="Y142" s="1048"/>
      <c r="Z142" s="1048"/>
      <c r="AA142" s="263"/>
      <c r="AB142" s="1048" t="str">
        <f>IF(OR(CharacterLevel="",Spellcasting!BE$17=""),"",VLOOKUP(Spellcasting!BE$17,Tables!$TK:$UB,Tables!$TU$1,FALSE))</f>
        <v/>
      </c>
      <c r="AC142" s="1048"/>
      <c r="AD142" s="1048"/>
      <c r="AE142" s="1048"/>
      <c r="AF142" s="263"/>
      <c r="AG142" s="1048" t="str">
        <f>IF(OR(CharacterLevel="",Spellcasting!BE$17=""),"",VLOOKUP(Spellcasting!BE$17,Tables!$TK:$UB,Tables!$TV$1,FALSE))</f>
        <v/>
      </c>
      <c r="AH142" s="1048"/>
      <c r="AI142" s="1048"/>
      <c r="AJ142" s="1048"/>
      <c r="AK142" s="1048"/>
      <c r="AL142" s="1048"/>
      <c r="AM142" s="261"/>
      <c r="AN142" s="857" t="str">
        <f>IF(OR(CharacterLevel="",Spellcasting!BE$17=""),"",VLOOKUP(Spellcasting!BE$17,Tables!$TK:$UB,Tables!$TW$1,FALSE))</f>
        <v/>
      </c>
      <c r="AO142" s="857"/>
      <c r="AP142" s="857"/>
      <c r="AQ142" s="857"/>
      <c r="AR142" s="261"/>
      <c r="AS142" s="1048" t="str">
        <f>IF(OR(CharacterLevel="",Spellcasting!BE$17=""),"",VLOOKUP(Spellcasting!BE$17,Tables!$TK:$UB,Tables!$TZ$1,FALSE))</f>
        <v/>
      </c>
      <c r="AT142" s="1048"/>
      <c r="AU142" s="1048"/>
      <c r="AV142" s="1048"/>
      <c r="AW142" s="261"/>
      <c r="AX142" s="1319" t="str">
        <f>IF(OR(CharacterLevel="",Spellcasting!BE$17=""),"",VLOOKUP(Spellcasting!BE$17,Tables!$TK:$UB,Tables!$UB$1,FALSE))</f>
        <v/>
      </c>
      <c r="AY142" s="1319"/>
      <c r="AZ142" s="1319"/>
      <c r="BA142" s="1319"/>
      <c r="BB142" s="1319"/>
      <c r="BC142" s="1319"/>
      <c r="BD142" s="1319"/>
      <c r="BE142" s="1319"/>
      <c r="BF142" s="1319"/>
      <c r="BG142" s="1319"/>
      <c r="BH142" s="1319"/>
      <c r="BI142" s="1319"/>
      <c r="BJ142" s="1319"/>
      <c r="BK142" s="1319"/>
      <c r="BL142" s="1319"/>
      <c r="BM142" s="1319"/>
      <c r="BN142" s="1319"/>
      <c r="BO142" s="1319"/>
      <c r="BP142" s="1319"/>
      <c r="BQ142" s="1319"/>
      <c r="BR142" s="1319"/>
      <c r="BS142" s="1319"/>
      <c r="BT142" s="1319"/>
      <c r="BU142" s="1319"/>
      <c r="BV142" s="1319"/>
      <c r="BW142" s="174"/>
      <c r="BX142" s="1324"/>
      <c r="BY142" s="1324"/>
      <c r="BZ142" s="1324"/>
      <c r="CA142" s="1325"/>
      <c r="CB142" s="1325"/>
      <c r="CC142" s="1325"/>
      <c r="CD142" s="1325"/>
      <c r="CE142" s="1325"/>
      <c r="CF142" s="1325"/>
      <c r="CG142" s="1325"/>
      <c r="CH142" s="1325"/>
      <c r="CI142" s="1325"/>
      <c r="CJ142" s="1325"/>
      <c r="CK142" s="1325"/>
      <c r="CL142" s="1325"/>
      <c r="CM142" s="1325"/>
      <c r="CN142" s="1325"/>
      <c r="CO142" s="1325"/>
      <c r="CP142" s="1325"/>
      <c r="CQ142" s="263"/>
      <c r="CR142" s="1321"/>
      <c r="CS142" s="1321"/>
      <c r="CT142" s="1321"/>
      <c r="CU142" s="1321"/>
      <c r="CV142" s="1321"/>
      <c r="CW142" s="5"/>
      <c r="CX142" s="1321"/>
      <c r="CY142" s="1321"/>
      <c r="CZ142" s="1321"/>
      <c r="DA142" s="1321"/>
      <c r="DB142" s="5"/>
      <c r="DC142" s="1321"/>
      <c r="DD142" s="1321"/>
      <c r="DE142" s="1321"/>
      <c r="DF142" s="1321"/>
      <c r="DG142" s="1321"/>
      <c r="DH142" s="1321"/>
      <c r="DI142" s="5"/>
      <c r="DJ142" s="1321"/>
      <c r="DK142" s="1321"/>
      <c r="DL142" s="1321"/>
      <c r="DM142" s="1321"/>
      <c r="DN142" s="5"/>
      <c r="DO142" s="1321"/>
      <c r="DP142" s="1321"/>
      <c r="DQ142" s="1321"/>
      <c r="DR142" s="1321"/>
      <c r="DS142" s="5"/>
      <c r="DT142" s="1320"/>
      <c r="DU142" s="1320"/>
      <c r="DV142" s="1320"/>
      <c r="DW142" s="1320"/>
      <c r="DX142" s="1320"/>
      <c r="DY142" s="1320"/>
      <c r="DZ142" s="1320"/>
      <c r="EA142" s="1320"/>
      <c r="EB142" s="1320"/>
      <c r="EC142" s="1320"/>
      <c r="ED142" s="1320"/>
      <c r="EE142" s="1320"/>
      <c r="EF142" s="1320"/>
      <c r="EG142" s="1320"/>
      <c r="EH142" s="1320"/>
      <c r="EI142" s="1320"/>
      <c r="EJ142" s="1320"/>
      <c r="EK142" s="1320"/>
      <c r="EL142" s="1320"/>
      <c r="EM142" s="1320"/>
      <c r="EN142" s="1320"/>
      <c r="EO142" s="1320"/>
      <c r="EP142" s="1320"/>
      <c r="EQ142" s="1320"/>
      <c r="ER142" s="1320"/>
      <c r="ET142" s="53"/>
      <c r="EU142" s="53"/>
      <c r="EV142" s="53"/>
    </row>
    <row r="143" spans="1:152" ht="9.75" customHeight="1" x14ac:dyDescent="0.2">
      <c r="A143" s="5"/>
      <c r="B143" s="1389"/>
      <c r="C143" s="1389"/>
      <c r="D143" s="1389"/>
      <c r="E143" s="1325" t="str">
        <f>IF(OR(CharacterLevel="",Spellcasting!AQ74=""),"",VLOOKUP(Spellcasting!AQ74,Tables!TK:UB,Tables!$TN$1,FALSE))</f>
        <v/>
      </c>
      <c r="F143" s="1325"/>
      <c r="G143" s="1325"/>
      <c r="H143" s="1325"/>
      <c r="I143" s="1325"/>
      <c r="J143" s="1325"/>
      <c r="K143" s="1325"/>
      <c r="L143" s="1325"/>
      <c r="M143" s="1325"/>
      <c r="N143" s="1325"/>
      <c r="O143" s="1325"/>
      <c r="P143" s="1325"/>
      <c r="Q143" s="1325"/>
      <c r="R143" s="1325"/>
      <c r="S143" s="1325"/>
      <c r="T143" s="1325"/>
      <c r="U143" s="263"/>
      <c r="V143" s="1321"/>
      <c r="W143" s="1321"/>
      <c r="X143" s="1321"/>
      <c r="Y143" s="1321"/>
      <c r="Z143" s="1321"/>
      <c r="AA143" s="263"/>
      <c r="AB143" s="1321"/>
      <c r="AC143" s="1321"/>
      <c r="AD143" s="1321"/>
      <c r="AE143" s="1321"/>
      <c r="AF143" s="263"/>
      <c r="AG143" s="1321"/>
      <c r="AH143" s="1321"/>
      <c r="AI143" s="1321"/>
      <c r="AJ143" s="1321"/>
      <c r="AK143" s="1321"/>
      <c r="AL143" s="1321"/>
      <c r="AM143" s="263"/>
      <c r="AN143" s="1326"/>
      <c r="AO143" s="1326"/>
      <c r="AP143" s="1326"/>
      <c r="AQ143" s="1326"/>
      <c r="AR143" s="263"/>
      <c r="AS143" s="1321"/>
      <c r="AT143" s="1321"/>
      <c r="AU143" s="1321"/>
      <c r="AV143" s="1321"/>
      <c r="AW143" s="263"/>
      <c r="AX143" s="1320"/>
      <c r="AY143" s="1320"/>
      <c r="AZ143" s="1320"/>
      <c r="BA143" s="1320"/>
      <c r="BB143" s="1320"/>
      <c r="BC143" s="1320"/>
      <c r="BD143" s="1320"/>
      <c r="BE143" s="1320"/>
      <c r="BF143" s="1320"/>
      <c r="BG143" s="1320"/>
      <c r="BH143" s="1320"/>
      <c r="BI143" s="1320"/>
      <c r="BJ143" s="1320"/>
      <c r="BK143" s="1320"/>
      <c r="BL143" s="1320"/>
      <c r="BM143" s="1320"/>
      <c r="BN143" s="1320"/>
      <c r="BO143" s="1320"/>
      <c r="BP143" s="1320"/>
      <c r="BQ143" s="1320"/>
      <c r="BR143" s="1320"/>
      <c r="BS143" s="1320"/>
      <c r="BT143" s="1320"/>
      <c r="BU143" s="1320"/>
      <c r="BV143" s="1320"/>
      <c r="BW143" s="174"/>
      <c r="BX143" s="1324" t="str">
        <f>IF(CharacterLevel="",'Character Sheet III'!$CF$202,IF(Spellcasting!BC40="•",'Character Sheet III'!$BX$202,'Character Sheet III'!$CF$202))</f>
        <v>□</v>
      </c>
      <c r="BY143" s="1324"/>
      <c r="BZ143" s="1324"/>
      <c r="CA143" s="1325" t="str">
        <f>IF(OR(CharacterLevel="",Spellcasting!BE$40=""),"",VLOOKUP(Spellcasting!BE$40,Tables!$TK:$UB,Tables!$TN$1,FALSE))</f>
        <v/>
      </c>
      <c r="CB143" s="1325"/>
      <c r="CC143" s="1325"/>
      <c r="CD143" s="1325"/>
      <c r="CE143" s="1325"/>
      <c r="CF143" s="1325"/>
      <c r="CG143" s="1325"/>
      <c r="CH143" s="1325"/>
      <c r="CI143" s="1325"/>
      <c r="CJ143" s="1325"/>
      <c r="CK143" s="1325"/>
      <c r="CL143" s="1325"/>
      <c r="CM143" s="1325"/>
      <c r="CN143" s="1325"/>
      <c r="CO143" s="1325"/>
      <c r="CP143" s="1325"/>
      <c r="CQ143" s="263"/>
      <c r="CR143" s="1048" t="str">
        <f>IF(OR(CharacterLevel="",Spellcasting!BE$40=""),"",VLOOKUP(Spellcasting!BE$40,Tables!$TK:$UB,Tables!$TT$1,FALSE))</f>
        <v/>
      </c>
      <c r="CS143" s="1048"/>
      <c r="CT143" s="1048"/>
      <c r="CU143" s="1048"/>
      <c r="CV143" s="1048"/>
      <c r="CW143" s="263"/>
      <c r="CX143" s="1048" t="str">
        <f>IF(OR(CharacterLevel="",Spellcasting!BE$40=""),"",VLOOKUP(Spellcasting!BE$40,Tables!$TK:$UB,Tables!$TU$1,FALSE))</f>
        <v/>
      </c>
      <c r="CY143" s="1048"/>
      <c r="CZ143" s="1048"/>
      <c r="DA143" s="1048"/>
      <c r="DB143" s="263"/>
      <c r="DC143" s="1048" t="str">
        <f>IF(OR(CharacterLevel="",Spellcasting!BE$40=""),"",VLOOKUP(Spellcasting!BE$40,Tables!$TK:$UB,Tables!$TV$1,FALSE))</f>
        <v/>
      </c>
      <c r="DD143" s="1048"/>
      <c r="DE143" s="1048"/>
      <c r="DF143" s="1048"/>
      <c r="DG143" s="1048"/>
      <c r="DH143" s="1048"/>
      <c r="DI143" s="261"/>
      <c r="DJ143" s="1048" t="str">
        <f>IF(OR(CharacterLevel="",Spellcasting!BE$40=""),"",VLOOKUP(Spellcasting!BE$40,Tables!$TK:$UB,Tables!$TW$1,FALSE))</f>
        <v/>
      </c>
      <c r="DK143" s="1048"/>
      <c r="DL143" s="1048"/>
      <c r="DM143" s="1048"/>
      <c r="DN143" s="261"/>
      <c r="DO143" s="1048" t="str">
        <f>IF(OR(CharacterLevel="",Spellcasting!BE$40=""),"",VLOOKUP(Spellcasting!BE$40,Tables!$TK:$UB,Tables!$TZ$1,FALSE))</f>
        <v/>
      </c>
      <c r="DP143" s="1048"/>
      <c r="DQ143" s="1048"/>
      <c r="DR143" s="1048"/>
      <c r="DS143" s="261"/>
      <c r="DT143" s="1319" t="str">
        <f>IF(OR(CharacterLevel="",Spellcasting!BE$40=""),"",VLOOKUP(Spellcasting!BE$40,Tables!$TK:$UB,Tables!$UB$1,FALSE))</f>
        <v/>
      </c>
      <c r="DU143" s="1319"/>
      <c r="DV143" s="1319"/>
      <c r="DW143" s="1319"/>
      <c r="DX143" s="1319"/>
      <c r="DY143" s="1319"/>
      <c r="DZ143" s="1319"/>
      <c r="EA143" s="1319"/>
      <c r="EB143" s="1319"/>
      <c r="EC143" s="1319"/>
      <c r="ED143" s="1319"/>
      <c r="EE143" s="1319"/>
      <c r="EF143" s="1319"/>
      <c r="EG143" s="1319"/>
      <c r="EH143" s="1319"/>
      <c r="EI143" s="1319"/>
      <c r="EJ143" s="1319"/>
      <c r="EK143" s="1319"/>
      <c r="EL143" s="1319"/>
      <c r="EM143" s="1319"/>
      <c r="EN143" s="1319"/>
      <c r="EO143" s="1319"/>
      <c r="EP143" s="1319"/>
      <c r="EQ143" s="1319"/>
      <c r="ER143" s="1319"/>
      <c r="ES143" s="6">
        <f>ES141+1</f>
        <v>57</v>
      </c>
      <c r="ET143" s="53"/>
      <c r="EU143" s="53"/>
      <c r="EV143" s="53"/>
    </row>
    <row r="144" spans="1:152" ht="9.75" customHeight="1" x14ac:dyDescent="0.2">
      <c r="A144" s="5"/>
      <c r="B144" s="1389" t="str">
        <f>IF(CharacterLevel="",'Character Sheet III'!$CF$202,IF(Spellcasting!BC18="•",'Character Sheet III'!$BX$202,'Character Sheet III'!$CF$202))</f>
        <v>□</v>
      </c>
      <c r="C144" s="1389"/>
      <c r="D144" s="1389"/>
      <c r="E144" s="1325" t="str">
        <f>IF(OR(CharacterLevel="",Spellcasting!BE$18=""),"",VLOOKUP(Spellcasting!BE$18,Tables!$TK:$UB,Tables!$TN$1,FALSE))</f>
        <v/>
      </c>
      <c r="F144" s="1325"/>
      <c r="G144" s="1325"/>
      <c r="H144" s="1325"/>
      <c r="I144" s="1325"/>
      <c r="J144" s="1325"/>
      <c r="K144" s="1325"/>
      <c r="L144" s="1325"/>
      <c r="M144" s="1325"/>
      <c r="N144" s="1325"/>
      <c r="O144" s="1325"/>
      <c r="P144" s="1325"/>
      <c r="Q144" s="1325"/>
      <c r="R144" s="1325"/>
      <c r="S144" s="1325"/>
      <c r="T144" s="1325"/>
      <c r="U144" s="263"/>
      <c r="V144" s="1048" t="str">
        <f>IF(OR(CharacterLevel="",Spellcasting!BE$18=""),"",VLOOKUP(Spellcasting!BE$18,Tables!$TK:$UB,Tables!$TT$1,FALSE))</f>
        <v/>
      </c>
      <c r="W144" s="1048"/>
      <c r="X144" s="1048"/>
      <c r="Y144" s="1048"/>
      <c r="Z144" s="1048"/>
      <c r="AA144" s="263"/>
      <c r="AB144" s="1048" t="str">
        <f>IF(OR(CharacterLevel="",Spellcasting!BE$18=""),"",VLOOKUP(Spellcasting!BE$18,Tables!$TK:$UB,Tables!$TU$1,FALSE))</f>
        <v/>
      </c>
      <c r="AC144" s="1048"/>
      <c r="AD144" s="1048"/>
      <c r="AE144" s="1048"/>
      <c r="AF144" s="263"/>
      <c r="AG144" s="1048" t="str">
        <f>IF(OR(CharacterLevel="",Spellcasting!BE$18=""),"",VLOOKUP(Spellcasting!BE$18,Tables!$TK:$UB,Tables!$TV$1,FALSE))</f>
        <v/>
      </c>
      <c r="AH144" s="1048"/>
      <c r="AI144" s="1048"/>
      <c r="AJ144" s="1048"/>
      <c r="AK144" s="1048"/>
      <c r="AL144" s="1048"/>
      <c r="AM144" s="261"/>
      <c r="AN144" s="857" t="str">
        <f>IF(OR(CharacterLevel="",Spellcasting!BE$18=""),"",VLOOKUP(Spellcasting!BE$18,Tables!$TK:$UB,Tables!$TW$1,FALSE))</f>
        <v/>
      </c>
      <c r="AO144" s="857"/>
      <c r="AP144" s="857"/>
      <c r="AQ144" s="857"/>
      <c r="AR144" s="261"/>
      <c r="AS144" s="1048" t="str">
        <f>IF(OR(CharacterLevel="",Spellcasting!BE$18=""),"",VLOOKUP(Spellcasting!BE$18,Tables!$TK:$UB,Tables!$TZ$1,FALSE))</f>
        <v/>
      </c>
      <c r="AT144" s="1048"/>
      <c r="AU144" s="1048"/>
      <c r="AV144" s="1048"/>
      <c r="AW144" s="261"/>
      <c r="AX144" s="1319" t="str">
        <f>IF(OR(CharacterLevel="",Spellcasting!BE$18=""),"",VLOOKUP(Spellcasting!BE$18,Tables!$TK:$UB,Tables!$UB$1,FALSE))</f>
        <v/>
      </c>
      <c r="AY144" s="1319"/>
      <c r="AZ144" s="1319"/>
      <c r="BA144" s="1319"/>
      <c r="BB144" s="1319"/>
      <c r="BC144" s="1319"/>
      <c r="BD144" s="1319"/>
      <c r="BE144" s="1319"/>
      <c r="BF144" s="1319"/>
      <c r="BG144" s="1319"/>
      <c r="BH144" s="1319"/>
      <c r="BI144" s="1319"/>
      <c r="BJ144" s="1319"/>
      <c r="BK144" s="1319"/>
      <c r="BL144" s="1319"/>
      <c r="BM144" s="1319"/>
      <c r="BN144" s="1319"/>
      <c r="BO144" s="1319"/>
      <c r="BP144" s="1319"/>
      <c r="BQ144" s="1319"/>
      <c r="BR144" s="1319"/>
      <c r="BS144" s="1319"/>
      <c r="BT144" s="1319"/>
      <c r="BU144" s="1319"/>
      <c r="BV144" s="1319"/>
      <c r="BW144" s="174"/>
      <c r="BX144" s="1324"/>
      <c r="BY144" s="1324"/>
      <c r="BZ144" s="1324"/>
      <c r="CA144" s="1325"/>
      <c r="CB144" s="1325"/>
      <c r="CC144" s="1325"/>
      <c r="CD144" s="1325"/>
      <c r="CE144" s="1325"/>
      <c r="CF144" s="1325"/>
      <c r="CG144" s="1325"/>
      <c r="CH144" s="1325"/>
      <c r="CI144" s="1325"/>
      <c r="CJ144" s="1325"/>
      <c r="CK144" s="1325"/>
      <c r="CL144" s="1325"/>
      <c r="CM144" s="1325"/>
      <c r="CN144" s="1325"/>
      <c r="CO144" s="1325"/>
      <c r="CP144" s="1325"/>
      <c r="CQ144" s="263"/>
      <c r="CR144" s="1321"/>
      <c r="CS144" s="1321"/>
      <c r="CT144" s="1321"/>
      <c r="CU144" s="1321"/>
      <c r="CV144" s="1321"/>
      <c r="CW144" s="5"/>
      <c r="CX144" s="1321"/>
      <c r="CY144" s="1321"/>
      <c r="CZ144" s="1321"/>
      <c r="DA144" s="1321"/>
      <c r="DB144" s="5"/>
      <c r="DC144" s="1321"/>
      <c r="DD144" s="1321"/>
      <c r="DE144" s="1321"/>
      <c r="DF144" s="1321"/>
      <c r="DG144" s="1321"/>
      <c r="DH144" s="1321"/>
      <c r="DI144" s="5"/>
      <c r="DJ144" s="1321"/>
      <c r="DK144" s="1321"/>
      <c r="DL144" s="1321"/>
      <c r="DM144" s="1321"/>
      <c r="DN144" s="5"/>
      <c r="DO144" s="1321"/>
      <c r="DP144" s="1321"/>
      <c r="DQ144" s="1321"/>
      <c r="DR144" s="1321"/>
      <c r="DS144" s="5"/>
      <c r="DT144" s="1320"/>
      <c r="DU144" s="1320"/>
      <c r="DV144" s="1320"/>
      <c r="DW144" s="1320"/>
      <c r="DX144" s="1320"/>
      <c r="DY144" s="1320"/>
      <c r="DZ144" s="1320"/>
      <c r="EA144" s="1320"/>
      <c r="EB144" s="1320"/>
      <c r="EC144" s="1320"/>
      <c r="ED144" s="1320"/>
      <c r="EE144" s="1320"/>
      <c r="EF144" s="1320"/>
      <c r="EG144" s="1320"/>
      <c r="EH144" s="1320"/>
      <c r="EI144" s="1320"/>
      <c r="EJ144" s="1320"/>
      <c r="EK144" s="1320"/>
      <c r="EL144" s="1320"/>
      <c r="EM144" s="1320"/>
      <c r="EN144" s="1320"/>
      <c r="EO144" s="1320"/>
      <c r="EP144" s="1320"/>
      <c r="EQ144" s="1320"/>
      <c r="ER144" s="1320"/>
      <c r="ES144" s="53"/>
      <c r="ET144" s="53"/>
      <c r="EU144" s="53"/>
      <c r="EV144" s="53"/>
    </row>
    <row r="145" spans="1:152" ht="9.75" customHeight="1" x14ac:dyDescent="0.2">
      <c r="A145" s="5"/>
      <c r="B145" s="1389"/>
      <c r="C145" s="1389"/>
      <c r="D145" s="1389"/>
      <c r="E145" s="1325" t="str">
        <f>IF(OR(CharacterLevel="",Spellcasting!AQ76=""),"",VLOOKUP(Spellcasting!AQ76,Tables!TK:UB,Tables!$TN$1,FALSE))</f>
        <v/>
      </c>
      <c r="F145" s="1325"/>
      <c r="G145" s="1325"/>
      <c r="H145" s="1325"/>
      <c r="I145" s="1325"/>
      <c r="J145" s="1325"/>
      <c r="K145" s="1325"/>
      <c r="L145" s="1325"/>
      <c r="M145" s="1325"/>
      <c r="N145" s="1325"/>
      <c r="O145" s="1325"/>
      <c r="P145" s="1325"/>
      <c r="Q145" s="1325"/>
      <c r="R145" s="1325"/>
      <c r="S145" s="1325"/>
      <c r="T145" s="1325"/>
      <c r="U145" s="263"/>
      <c r="V145" s="1321"/>
      <c r="W145" s="1321"/>
      <c r="X145" s="1321"/>
      <c r="Y145" s="1321"/>
      <c r="Z145" s="1321"/>
      <c r="AA145" s="263"/>
      <c r="AB145" s="1321"/>
      <c r="AC145" s="1321"/>
      <c r="AD145" s="1321"/>
      <c r="AE145" s="1321"/>
      <c r="AF145" s="263"/>
      <c r="AG145" s="1321"/>
      <c r="AH145" s="1321"/>
      <c r="AI145" s="1321"/>
      <c r="AJ145" s="1321"/>
      <c r="AK145" s="1321"/>
      <c r="AL145" s="1321"/>
      <c r="AM145" s="263"/>
      <c r="AN145" s="1326"/>
      <c r="AO145" s="1326"/>
      <c r="AP145" s="1326"/>
      <c r="AQ145" s="1326"/>
      <c r="AR145" s="263"/>
      <c r="AS145" s="1321"/>
      <c r="AT145" s="1321"/>
      <c r="AU145" s="1321"/>
      <c r="AV145" s="1321"/>
      <c r="AW145" s="263"/>
      <c r="AX145" s="1320"/>
      <c r="AY145" s="1320"/>
      <c r="AZ145" s="1320"/>
      <c r="BA145" s="1320"/>
      <c r="BB145" s="1320"/>
      <c r="BC145" s="1320"/>
      <c r="BD145" s="1320"/>
      <c r="BE145" s="1320"/>
      <c r="BF145" s="1320"/>
      <c r="BG145" s="1320"/>
      <c r="BH145" s="1320"/>
      <c r="BI145" s="1320"/>
      <c r="BJ145" s="1320"/>
      <c r="BK145" s="1320"/>
      <c r="BL145" s="1320"/>
      <c r="BM145" s="1320"/>
      <c r="BN145" s="1320"/>
      <c r="BO145" s="1320"/>
      <c r="BP145" s="1320"/>
      <c r="BQ145" s="1320"/>
      <c r="BR145" s="1320"/>
      <c r="BS145" s="1320"/>
      <c r="BT145" s="1320"/>
      <c r="BU145" s="1320"/>
      <c r="BV145" s="1320"/>
      <c r="BW145" s="174"/>
      <c r="BX145" s="1324" t="str">
        <f>IF(CharacterLevel="",'Character Sheet III'!$CF$202,IF(Spellcasting!BC41="•",'Character Sheet III'!$BX$202,'Character Sheet III'!$CF$202))</f>
        <v>□</v>
      </c>
      <c r="BY145" s="1324"/>
      <c r="BZ145" s="1324"/>
      <c r="CA145" s="1325" t="str">
        <f>IF(OR(CharacterLevel="",Spellcasting!BE$41=""),"",VLOOKUP(Spellcasting!BE$41,Tables!$TK:$UB,Tables!$TN$1,FALSE))</f>
        <v/>
      </c>
      <c r="CB145" s="1325"/>
      <c r="CC145" s="1325"/>
      <c r="CD145" s="1325"/>
      <c r="CE145" s="1325"/>
      <c r="CF145" s="1325"/>
      <c r="CG145" s="1325"/>
      <c r="CH145" s="1325"/>
      <c r="CI145" s="1325"/>
      <c r="CJ145" s="1325"/>
      <c r="CK145" s="1325"/>
      <c r="CL145" s="1325"/>
      <c r="CM145" s="1325"/>
      <c r="CN145" s="1325"/>
      <c r="CO145" s="1325"/>
      <c r="CP145" s="1325"/>
      <c r="CQ145" s="263"/>
      <c r="CR145" s="1048" t="str">
        <f>IF(OR(CharacterLevel="",Spellcasting!BE$41=""),"",VLOOKUP(Spellcasting!BE$41,Tables!$TK:$UB,Tables!$TT$1,FALSE))</f>
        <v/>
      </c>
      <c r="CS145" s="1048"/>
      <c r="CT145" s="1048"/>
      <c r="CU145" s="1048"/>
      <c r="CV145" s="1048"/>
      <c r="CW145" s="263"/>
      <c r="CX145" s="1048" t="str">
        <f>IF(OR(CharacterLevel="",Spellcasting!BE$41=""),"",VLOOKUP(Spellcasting!BE$41,Tables!$TK:$UB,Tables!$TU$1,FALSE))</f>
        <v/>
      </c>
      <c r="CY145" s="1048"/>
      <c r="CZ145" s="1048"/>
      <c r="DA145" s="1048"/>
      <c r="DB145" s="263"/>
      <c r="DC145" s="1048" t="str">
        <f>IF(OR(CharacterLevel="",Spellcasting!BE$41=""),"",VLOOKUP(Spellcasting!BE$41,Tables!$TK:$UB,Tables!$TV$1,FALSE))</f>
        <v/>
      </c>
      <c r="DD145" s="1048"/>
      <c r="DE145" s="1048"/>
      <c r="DF145" s="1048"/>
      <c r="DG145" s="1048"/>
      <c r="DH145" s="1048"/>
      <c r="DI145" s="261"/>
      <c r="DJ145" s="1048" t="str">
        <f>IF(OR(CharacterLevel="",Spellcasting!BE$41=""),"",VLOOKUP(Spellcasting!BE$41,Tables!$TK:$UB,Tables!$TW$1,FALSE))</f>
        <v/>
      </c>
      <c r="DK145" s="1048"/>
      <c r="DL145" s="1048"/>
      <c r="DM145" s="1048"/>
      <c r="DN145" s="261"/>
      <c r="DO145" s="1048" t="str">
        <f>IF(OR(CharacterLevel="",Spellcasting!BE$41=""),"",VLOOKUP(Spellcasting!BE$41,Tables!$TK:$UB,Tables!$TZ$1,FALSE))</f>
        <v/>
      </c>
      <c r="DP145" s="1048"/>
      <c r="DQ145" s="1048"/>
      <c r="DR145" s="1048"/>
      <c r="DS145" s="261"/>
      <c r="DT145" s="1319" t="str">
        <f>IF(OR(CharacterLevel="",Spellcasting!BE$41=""),"",VLOOKUP(Spellcasting!BE$41,Tables!$TK:$UB,Tables!$UB$1,FALSE))</f>
        <v/>
      </c>
      <c r="DU145" s="1319"/>
      <c r="DV145" s="1319"/>
      <c r="DW145" s="1319"/>
      <c r="DX145" s="1319"/>
      <c r="DY145" s="1319"/>
      <c r="DZ145" s="1319"/>
      <c r="EA145" s="1319"/>
      <c r="EB145" s="1319"/>
      <c r="EC145" s="1319"/>
      <c r="ED145" s="1319"/>
      <c r="EE145" s="1319"/>
      <c r="EF145" s="1319"/>
      <c r="EG145" s="1319"/>
      <c r="EH145" s="1319"/>
      <c r="EI145" s="1319"/>
      <c r="EJ145" s="1319"/>
      <c r="EK145" s="1319"/>
      <c r="EL145" s="1319"/>
      <c r="EM145" s="1319"/>
      <c r="EN145" s="1319"/>
      <c r="EO145" s="1319"/>
      <c r="EP145" s="1319"/>
      <c r="EQ145" s="1319"/>
      <c r="ER145" s="1319"/>
      <c r="ES145" s="53"/>
      <c r="ET145" s="53"/>
      <c r="EU145" s="53"/>
      <c r="EV145" s="53"/>
    </row>
    <row r="146" spans="1:152" ht="9.75" customHeight="1" x14ac:dyDescent="0.2">
      <c r="A146" s="5"/>
      <c r="B146" s="1389" t="str">
        <f>IF(CharacterLevel="",'Character Sheet III'!$CF$202,IF(Spellcasting!BC19="•",'Character Sheet III'!$BX$202,'Character Sheet III'!$CF$202))</f>
        <v>□</v>
      </c>
      <c r="C146" s="1389"/>
      <c r="D146" s="1389"/>
      <c r="E146" s="1325" t="str">
        <f>IF(OR(CharacterLevel="",Spellcasting!BE$19=""),"",VLOOKUP(Spellcasting!BE$19,Tables!$TK:$UB,Tables!$TN$1,FALSE))</f>
        <v/>
      </c>
      <c r="F146" s="1325"/>
      <c r="G146" s="1325"/>
      <c r="H146" s="1325"/>
      <c r="I146" s="1325"/>
      <c r="J146" s="1325"/>
      <c r="K146" s="1325"/>
      <c r="L146" s="1325"/>
      <c r="M146" s="1325"/>
      <c r="N146" s="1325"/>
      <c r="O146" s="1325"/>
      <c r="P146" s="1325"/>
      <c r="Q146" s="1325"/>
      <c r="R146" s="1325"/>
      <c r="S146" s="1325"/>
      <c r="T146" s="1325"/>
      <c r="U146" s="263"/>
      <c r="V146" s="1048" t="str">
        <f>IF(OR(CharacterLevel="",Spellcasting!BE$19=""),"",VLOOKUP(Spellcasting!BE$19,Tables!$TK:$UB,Tables!$TT$1,FALSE))</f>
        <v/>
      </c>
      <c r="W146" s="1048"/>
      <c r="X146" s="1048"/>
      <c r="Y146" s="1048"/>
      <c r="Z146" s="1048"/>
      <c r="AA146" s="263"/>
      <c r="AB146" s="1048" t="str">
        <f>IF(OR(CharacterLevel="",Spellcasting!BE$19=""),"",VLOOKUP(Spellcasting!BE$19,Tables!$TK:$UB,Tables!$TU$1,FALSE))</f>
        <v/>
      </c>
      <c r="AC146" s="1048"/>
      <c r="AD146" s="1048"/>
      <c r="AE146" s="1048"/>
      <c r="AF146" s="263"/>
      <c r="AG146" s="1048" t="str">
        <f>IF(OR(CharacterLevel="",Spellcasting!BE$19=""),"",VLOOKUP(Spellcasting!BE$19,Tables!$TK:$UB,Tables!$TV$1,FALSE))</f>
        <v/>
      </c>
      <c r="AH146" s="1048"/>
      <c r="AI146" s="1048"/>
      <c r="AJ146" s="1048"/>
      <c r="AK146" s="1048"/>
      <c r="AL146" s="1048"/>
      <c r="AM146" s="261"/>
      <c r="AN146" s="857" t="str">
        <f>IF(OR(CharacterLevel="",Spellcasting!BE$19=""),"",VLOOKUP(Spellcasting!BE$19,Tables!$TK:$UB,Tables!$TW$1,FALSE))</f>
        <v/>
      </c>
      <c r="AO146" s="857"/>
      <c r="AP146" s="857"/>
      <c r="AQ146" s="857"/>
      <c r="AR146" s="261"/>
      <c r="AS146" s="1048" t="str">
        <f>IF(OR(CharacterLevel="",Spellcasting!BE$19=""),"",VLOOKUP(Spellcasting!BE$19,Tables!$TK:$UB,Tables!$TZ$1,FALSE))</f>
        <v/>
      </c>
      <c r="AT146" s="1048"/>
      <c r="AU146" s="1048"/>
      <c r="AV146" s="1048"/>
      <c r="AW146" s="261"/>
      <c r="AX146" s="1319" t="str">
        <f>IF(OR(CharacterLevel="",Spellcasting!BE$19=""),"",VLOOKUP(Spellcasting!BE$19,Tables!$TK:$UB,Tables!$UB$1,FALSE))</f>
        <v/>
      </c>
      <c r="AY146" s="1319"/>
      <c r="AZ146" s="1319"/>
      <c r="BA146" s="1319"/>
      <c r="BB146" s="1319"/>
      <c r="BC146" s="1319"/>
      <c r="BD146" s="1319"/>
      <c r="BE146" s="1319"/>
      <c r="BF146" s="1319"/>
      <c r="BG146" s="1319"/>
      <c r="BH146" s="1319"/>
      <c r="BI146" s="1319"/>
      <c r="BJ146" s="1319"/>
      <c r="BK146" s="1319"/>
      <c r="BL146" s="1319"/>
      <c r="BM146" s="1319"/>
      <c r="BN146" s="1319"/>
      <c r="BO146" s="1319"/>
      <c r="BP146" s="1319"/>
      <c r="BQ146" s="1319"/>
      <c r="BR146" s="1319"/>
      <c r="BS146" s="1319"/>
      <c r="BT146" s="1319"/>
      <c r="BU146" s="1319"/>
      <c r="BV146" s="1319"/>
      <c r="BW146" s="174"/>
      <c r="BX146" s="1324"/>
      <c r="BY146" s="1324"/>
      <c r="BZ146" s="1324"/>
      <c r="CA146" s="1325"/>
      <c r="CB146" s="1325"/>
      <c r="CC146" s="1325"/>
      <c r="CD146" s="1325"/>
      <c r="CE146" s="1325"/>
      <c r="CF146" s="1325"/>
      <c r="CG146" s="1325"/>
      <c r="CH146" s="1325"/>
      <c r="CI146" s="1325"/>
      <c r="CJ146" s="1325"/>
      <c r="CK146" s="1325"/>
      <c r="CL146" s="1325"/>
      <c r="CM146" s="1325"/>
      <c r="CN146" s="1325"/>
      <c r="CO146" s="1325"/>
      <c r="CP146" s="1325"/>
      <c r="CQ146" s="263"/>
      <c r="CR146" s="1321"/>
      <c r="CS146" s="1321"/>
      <c r="CT146" s="1321"/>
      <c r="CU146" s="1321"/>
      <c r="CV146" s="1321"/>
      <c r="CW146" s="5"/>
      <c r="CX146" s="1321"/>
      <c r="CY146" s="1321"/>
      <c r="CZ146" s="1321"/>
      <c r="DA146" s="1321"/>
      <c r="DB146" s="5"/>
      <c r="DC146" s="1321"/>
      <c r="DD146" s="1321"/>
      <c r="DE146" s="1321"/>
      <c r="DF146" s="1321"/>
      <c r="DG146" s="1321"/>
      <c r="DH146" s="1321"/>
      <c r="DI146" s="5"/>
      <c r="DJ146" s="1321"/>
      <c r="DK146" s="1321"/>
      <c r="DL146" s="1321"/>
      <c r="DM146" s="1321"/>
      <c r="DN146" s="5"/>
      <c r="DO146" s="1321"/>
      <c r="DP146" s="1321"/>
      <c r="DQ146" s="1321"/>
      <c r="DR146" s="1321"/>
      <c r="DS146" s="5"/>
      <c r="DT146" s="1320"/>
      <c r="DU146" s="1320"/>
      <c r="DV146" s="1320"/>
      <c r="DW146" s="1320"/>
      <c r="DX146" s="1320"/>
      <c r="DY146" s="1320"/>
      <c r="DZ146" s="1320"/>
      <c r="EA146" s="1320"/>
      <c r="EB146" s="1320"/>
      <c r="EC146" s="1320"/>
      <c r="ED146" s="1320"/>
      <c r="EE146" s="1320"/>
      <c r="EF146" s="1320"/>
      <c r="EG146" s="1320"/>
      <c r="EH146" s="1320"/>
      <c r="EI146" s="1320"/>
      <c r="EJ146" s="1320"/>
      <c r="EK146" s="1320"/>
      <c r="EL146" s="1320"/>
      <c r="EM146" s="1320"/>
      <c r="EN146" s="1320"/>
      <c r="EO146" s="1320"/>
      <c r="EP146" s="1320"/>
      <c r="EQ146" s="1320"/>
      <c r="ER146" s="1320"/>
      <c r="ES146" s="53"/>
      <c r="ET146" s="53"/>
      <c r="EU146" s="53"/>
      <c r="EV146" s="53"/>
    </row>
    <row r="147" spans="1:152" ht="9.75" customHeight="1" x14ac:dyDescent="0.2">
      <c r="A147" s="5"/>
      <c r="B147" s="1389"/>
      <c r="C147" s="1389"/>
      <c r="D147" s="1389"/>
      <c r="E147" s="1325" t="str">
        <f>IF(OR(CharacterLevel="",Spellcasting!AQ78=""),"",VLOOKUP(Spellcasting!AQ78,Tables!TK:UB,Tables!$TN$1,FALSE))</f>
        <v/>
      </c>
      <c r="F147" s="1325"/>
      <c r="G147" s="1325"/>
      <c r="H147" s="1325"/>
      <c r="I147" s="1325"/>
      <c r="J147" s="1325"/>
      <c r="K147" s="1325"/>
      <c r="L147" s="1325"/>
      <c r="M147" s="1325"/>
      <c r="N147" s="1325"/>
      <c r="O147" s="1325"/>
      <c r="P147" s="1325"/>
      <c r="Q147" s="1325"/>
      <c r="R147" s="1325"/>
      <c r="S147" s="1325"/>
      <c r="T147" s="1325"/>
      <c r="U147" s="263"/>
      <c r="V147" s="1321"/>
      <c r="W147" s="1321"/>
      <c r="X147" s="1321"/>
      <c r="Y147" s="1321"/>
      <c r="Z147" s="1321"/>
      <c r="AA147" s="263"/>
      <c r="AB147" s="1321"/>
      <c r="AC147" s="1321"/>
      <c r="AD147" s="1321"/>
      <c r="AE147" s="1321"/>
      <c r="AF147" s="263"/>
      <c r="AG147" s="1321"/>
      <c r="AH147" s="1321"/>
      <c r="AI147" s="1321"/>
      <c r="AJ147" s="1321"/>
      <c r="AK147" s="1321"/>
      <c r="AL147" s="1321"/>
      <c r="AM147" s="263"/>
      <c r="AN147" s="1326"/>
      <c r="AO147" s="1326"/>
      <c r="AP147" s="1326"/>
      <c r="AQ147" s="1326"/>
      <c r="AR147" s="263"/>
      <c r="AS147" s="1321"/>
      <c r="AT147" s="1321"/>
      <c r="AU147" s="1321"/>
      <c r="AV147" s="1321"/>
      <c r="AW147" s="263"/>
      <c r="AX147" s="1320"/>
      <c r="AY147" s="1320"/>
      <c r="AZ147" s="1320"/>
      <c r="BA147" s="1320"/>
      <c r="BB147" s="1320"/>
      <c r="BC147" s="1320"/>
      <c r="BD147" s="1320"/>
      <c r="BE147" s="1320"/>
      <c r="BF147" s="1320"/>
      <c r="BG147" s="1320"/>
      <c r="BH147" s="1320"/>
      <c r="BI147" s="1320"/>
      <c r="BJ147" s="1320"/>
      <c r="BK147" s="1320"/>
      <c r="BL147" s="1320"/>
      <c r="BM147" s="1320"/>
      <c r="BN147" s="1320"/>
      <c r="BO147" s="1320"/>
      <c r="BP147" s="1320"/>
      <c r="BQ147" s="1320"/>
      <c r="BR147" s="1320"/>
      <c r="BS147" s="1320"/>
      <c r="BT147" s="1320"/>
      <c r="BU147" s="1320"/>
      <c r="BV147" s="1320"/>
      <c r="BW147" s="174"/>
      <c r="BX147" s="1324" t="str">
        <f>IF(CharacterLevel="",'Character Sheet III'!$CF$202,IF(Spellcasting!BC42="•",'Character Sheet III'!$BX$202,'Character Sheet III'!$CF$202))</f>
        <v>□</v>
      </c>
      <c r="BY147" s="1324"/>
      <c r="BZ147" s="1324"/>
      <c r="CA147" s="1325" t="str">
        <f>IF(OR(CharacterLevel="",Spellcasting!BE$42=""),"",VLOOKUP(Spellcasting!BE$42,Tables!$TK:$UB,Tables!$TN$1,FALSE))</f>
        <v/>
      </c>
      <c r="CB147" s="1325"/>
      <c r="CC147" s="1325"/>
      <c r="CD147" s="1325"/>
      <c r="CE147" s="1325"/>
      <c r="CF147" s="1325"/>
      <c r="CG147" s="1325"/>
      <c r="CH147" s="1325"/>
      <c r="CI147" s="1325"/>
      <c r="CJ147" s="1325"/>
      <c r="CK147" s="1325"/>
      <c r="CL147" s="1325"/>
      <c r="CM147" s="1325"/>
      <c r="CN147" s="1325"/>
      <c r="CO147" s="1325"/>
      <c r="CP147" s="1325"/>
      <c r="CQ147" s="263"/>
      <c r="CR147" s="1048" t="str">
        <f>IF(OR(CharacterLevel="",Spellcasting!BE$42=""),"",VLOOKUP(Spellcasting!BE$42,Tables!$TK:$UB,Tables!$TT$1,FALSE))</f>
        <v/>
      </c>
      <c r="CS147" s="1048"/>
      <c r="CT147" s="1048"/>
      <c r="CU147" s="1048"/>
      <c r="CV147" s="1048"/>
      <c r="CW147" s="263"/>
      <c r="CX147" s="1048" t="str">
        <f>IF(OR(CharacterLevel="",Spellcasting!BE$42=""),"",VLOOKUP(Spellcasting!BE$42,Tables!$TK:$UB,Tables!$TU$1,FALSE))</f>
        <v/>
      </c>
      <c r="CY147" s="1048"/>
      <c r="CZ147" s="1048"/>
      <c r="DA147" s="1048"/>
      <c r="DB147" s="263"/>
      <c r="DC147" s="1048" t="str">
        <f>IF(OR(CharacterLevel="",Spellcasting!BE$42=""),"",VLOOKUP(Spellcasting!BE$42,Tables!$TK:$UB,Tables!$TV$1,FALSE))</f>
        <v/>
      </c>
      <c r="DD147" s="1048"/>
      <c r="DE147" s="1048"/>
      <c r="DF147" s="1048"/>
      <c r="DG147" s="1048"/>
      <c r="DH147" s="1048"/>
      <c r="DI147" s="261"/>
      <c r="DJ147" s="1048" t="str">
        <f>IF(OR(CharacterLevel="",Spellcasting!BE$42=""),"",VLOOKUP(Spellcasting!BE$42,Tables!$TK:$UB,Tables!$TW$1,FALSE))</f>
        <v/>
      </c>
      <c r="DK147" s="1048"/>
      <c r="DL147" s="1048"/>
      <c r="DM147" s="1048"/>
      <c r="DN147" s="261"/>
      <c r="DO147" s="1048" t="str">
        <f>IF(OR(CharacterLevel="",Spellcasting!BE$42=""),"",VLOOKUP(Spellcasting!BE$42,Tables!$TK:$UB,Tables!$TZ$1,FALSE))</f>
        <v/>
      </c>
      <c r="DP147" s="1048"/>
      <c r="DQ147" s="1048"/>
      <c r="DR147" s="1048"/>
      <c r="DS147" s="261"/>
      <c r="DT147" s="1319" t="str">
        <f>IF(OR(CharacterLevel="",Spellcasting!BE$42=""),"",VLOOKUP(Spellcasting!BE$42,Tables!$TK:$UB,Tables!$UB$1,FALSE))</f>
        <v/>
      </c>
      <c r="DU147" s="1319"/>
      <c r="DV147" s="1319"/>
      <c r="DW147" s="1319"/>
      <c r="DX147" s="1319"/>
      <c r="DY147" s="1319"/>
      <c r="DZ147" s="1319"/>
      <c r="EA147" s="1319"/>
      <c r="EB147" s="1319"/>
      <c r="EC147" s="1319"/>
      <c r="ED147" s="1319"/>
      <c r="EE147" s="1319"/>
      <c r="EF147" s="1319"/>
      <c r="EG147" s="1319"/>
      <c r="EH147" s="1319"/>
      <c r="EI147" s="1319"/>
      <c r="EJ147" s="1319"/>
      <c r="EK147" s="1319"/>
      <c r="EL147" s="1319"/>
      <c r="EM147" s="1319"/>
      <c r="EN147" s="1319"/>
      <c r="EO147" s="1319"/>
      <c r="EP147" s="1319"/>
      <c r="EQ147" s="1319"/>
      <c r="ER147" s="1319"/>
      <c r="ES147" s="53"/>
      <c r="ET147" s="53"/>
      <c r="EU147" s="53"/>
      <c r="EV147" s="53"/>
    </row>
    <row r="148" spans="1:152" ht="9.75" customHeight="1" x14ac:dyDescent="0.2">
      <c r="A148" s="5"/>
      <c r="B148" s="1389" t="str">
        <f>IF(CharacterLevel="",'Character Sheet III'!$CF$202,IF(Spellcasting!BC20="•",'Character Sheet III'!$BX$202,'Character Sheet III'!$CF$202))</f>
        <v>□</v>
      </c>
      <c r="C148" s="1389"/>
      <c r="D148" s="1389"/>
      <c r="E148" s="1325" t="str">
        <f>IF(OR(CharacterLevel="",Spellcasting!BE$20=""),"",VLOOKUP(Spellcasting!BE$20,Tables!$TK:$UB,Tables!$TN$1,FALSE))</f>
        <v/>
      </c>
      <c r="F148" s="1325"/>
      <c r="G148" s="1325"/>
      <c r="H148" s="1325"/>
      <c r="I148" s="1325"/>
      <c r="J148" s="1325"/>
      <c r="K148" s="1325"/>
      <c r="L148" s="1325"/>
      <c r="M148" s="1325"/>
      <c r="N148" s="1325"/>
      <c r="O148" s="1325"/>
      <c r="P148" s="1325"/>
      <c r="Q148" s="1325"/>
      <c r="R148" s="1325"/>
      <c r="S148" s="1325"/>
      <c r="T148" s="1325"/>
      <c r="U148" s="263"/>
      <c r="V148" s="1048" t="str">
        <f>IF(OR(CharacterLevel="",Spellcasting!BE$20=""),"",VLOOKUP(Spellcasting!BE$20,Tables!$TK:$UB,Tables!$TT$1,FALSE))</f>
        <v/>
      </c>
      <c r="W148" s="1048"/>
      <c r="X148" s="1048"/>
      <c r="Y148" s="1048"/>
      <c r="Z148" s="1048"/>
      <c r="AA148" s="263"/>
      <c r="AB148" s="1048" t="str">
        <f>IF(OR(CharacterLevel="",Spellcasting!BE$20=""),"",VLOOKUP(Spellcasting!BE$20,Tables!$TK:$UB,Tables!$TU$1,FALSE))</f>
        <v/>
      </c>
      <c r="AC148" s="1048"/>
      <c r="AD148" s="1048"/>
      <c r="AE148" s="1048"/>
      <c r="AF148" s="263"/>
      <c r="AG148" s="1048" t="str">
        <f>IF(OR(CharacterLevel="",Spellcasting!BE$20=""),"",VLOOKUP(Spellcasting!BE$20,Tables!$TK:$UB,Tables!$TV$1,FALSE))</f>
        <v/>
      </c>
      <c r="AH148" s="1048"/>
      <c r="AI148" s="1048"/>
      <c r="AJ148" s="1048"/>
      <c r="AK148" s="1048"/>
      <c r="AL148" s="1048"/>
      <c r="AM148" s="261"/>
      <c r="AN148" s="857" t="str">
        <f>IF(OR(CharacterLevel="",Spellcasting!BE$20=""),"",VLOOKUP(Spellcasting!BE$20,Tables!$TK:$UB,Tables!$TW$1,FALSE))</f>
        <v/>
      </c>
      <c r="AO148" s="857"/>
      <c r="AP148" s="857"/>
      <c r="AQ148" s="857"/>
      <c r="AR148" s="261"/>
      <c r="AS148" s="1048" t="str">
        <f>IF(OR(CharacterLevel="",Spellcasting!BE$20=""),"",VLOOKUP(Spellcasting!BE$20,Tables!$TK:$UB,Tables!$TZ$1,FALSE))</f>
        <v/>
      </c>
      <c r="AT148" s="1048"/>
      <c r="AU148" s="1048"/>
      <c r="AV148" s="1048"/>
      <c r="AW148" s="261"/>
      <c r="AX148" s="1319" t="str">
        <f>IF(OR(CharacterLevel="",Spellcasting!BE$20=""),"",VLOOKUP(Spellcasting!BE$20,Tables!$TK:$UB,Tables!$UB$1,FALSE))</f>
        <v/>
      </c>
      <c r="AY148" s="1319"/>
      <c r="AZ148" s="1319"/>
      <c r="BA148" s="1319"/>
      <c r="BB148" s="1319"/>
      <c r="BC148" s="1319"/>
      <c r="BD148" s="1319"/>
      <c r="BE148" s="1319"/>
      <c r="BF148" s="1319"/>
      <c r="BG148" s="1319"/>
      <c r="BH148" s="1319"/>
      <c r="BI148" s="1319"/>
      <c r="BJ148" s="1319"/>
      <c r="BK148" s="1319"/>
      <c r="BL148" s="1319"/>
      <c r="BM148" s="1319"/>
      <c r="BN148" s="1319"/>
      <c r="BO148" s="1319"/>
      <c r="BP148" s="1319"/>
      <c r="BQ148" s="1319"/>
      <c r="BR148" s="1319"/>
      <c r="BS148" s="1319"/>
      <c r="BT148" s="1319"/>
      <c r="BU148" s="1319"/>
      <c r="BV148" s="1319"/>
      <c r="BW148" s="174"/>
      <c r="BX148" s="1324"/>
      <c r="BY148" s="1324"/>
      <c r="BZ148" s="1324"/>
      <c r="CA148" s="1325"/>
      <c r="CB148" s="1325"/>
      <c r="CC148" s="1325"/>
      <c r="CD148" s="1325"/>
      <c r="CE148" s="1325"/>
      <c r="CF148" s="1325"/>
      <c r="CG148" s="1325"/>
      <c r="CH148" s="1325"/>
      <c r="CI148" s="1325"/>
      <c r="CJ148" s="1325"/>
      <c r="CK148" s="1325"/>
      <c r="CL148" s="1325"/>
      <c r="CM148" s="1325"/>
      <c r="CN148" s="1325"/>
      <c r="CO148" s="1325"/>
      <c r="CP148" s="1325"/>
      <c r="CQ148" s="263"/>
      <c r="CR148" s="1321"/>
      <c r="CS148" s="1321"/>
      <c r="CT148" s="1321"/>
      <c r="CU148" s="1321"/>
      <c r="CV148" s="1321"/>
      <c r="CW148" s="5"/>
      <c r="CX148" s="1321"/>
      <c r="CY148" s="1321"/>
      <c r="CZ148" s="1321"/>
      <c r="DA148" s="1321"/>
      <c r="DB148" s="5"/>
      <c r="DC148" s="1321"/>
      <c r="DD148" s="1321"/>
      <c r="DE148" s="1321"/>
      <c r="DF148" s="1321"/>
      <c r="DG148" s="1321"/>
      <c r="DH148" s="1321"/>
      <c r="DI148" s="5"/>
      <c r="DJ148" s="1321"/>
      <c r="DK148" s="1321"/>
      <c r="DL148" s="1321"/>
      <c r="DM148" s="1321"/>
      <c r="DN148" s="5"/>
      <c r="DO148" s="1321"/>
      <c r="DP148" s="1321"/>
      <c r="DQ148" s="1321"/>
      <c r="DR148" s="1321"/>
      <c r="DS148" s="5"/>
      <c r="DT148" s="1320"/>
      <c r="DU148" s="1320"/>
      <c r="DV148" s="1320"/>
      <c r="DW148" s="1320"/>
      <c r="DX148" s="1320"/>
      <c r="DY148" s="1320"/>
      <c r="DZ148" s="1320"/>
      <c r="EA148" s="1320"/>
      <c r="EB148" s="1320"/>
      <c r="EC148" s="1320"/>
      <c r="ED148" s="1320"/>
      <c r="EE148" s="1320"/>
      <c r="EF148" s="1320"/>
      <c r="EG148" s="1320"/>
      <c r="EH148" s="1320"/>
      <c r="EI148" s="1320"/>
      <c r="EJ148" s="1320"/>
      <c r="EK148" s="1320"/>
      <c r="EL148" s="1320"/>
      <c r="EM148" s="1320"/>
      <c r="EN148" s="1320"/>
      <c r="EO148" s="1320"/>
      <c r="EP148" s="1320"/>
      <c r="EQ148" s="1320"/>
      <c r="ER148" s="1320"/>
      <c r="ES148" s="53"/>
      <c r="ET148" s="53"/>
      <c r="EU148" s="53"/>
      <c r="EV148" s="53"/>
    </row>
    <row r="149" spans="1:152" ht="9.75" customHeight="1" x14ac:dyDescent="0.2">
      <c r="A149" s="5"/>
      <c r="B149" s="1389"/>
      <c r="C149" s="1389"/>
      <c r="D149" s="1389"/>
      <c r="E149" s="1325" t="str">
        <f>IF(OR(CharacterLevel="",Spellcasting!AQ80=""),"",VLOOKUP(Spellcasting!AQ80,Tables!TK:UB,Tables!$TN$1,FALSE))</f>
        <v/>
      </c>
      <c r="F149" s="1325"/>
      <c r="G149" s="1325"/>
      <c r="H149" s="1325"/>
      <c r="I149" s="1325"/>
      <c r="J149" s="1325"/>
      <c r="K149" s="1325"/>
      <c r="L149" s="1325"/>
      <c r="M149" s="1325"/>
      <c r="N149" s="1325"/>
      <c r="O149" s="1325"/>
      <c r="P149" s="1325"/>
      <c r="Q149" s="1325"/>
      <c r="R149" s="1325"/>
      <c r="S149" s="1325"/>
      <c r="T149" s="1325"/>
      <c r="U149" s="263"/>
      <c r="V149" s="1321"/>
      <c r="W149" s="1321"/>
      <c r="X149" s="1321"/>
      <c r="Y149" s="1321"/>
      <c r="Z149" s="1321"/>
      <c r="AA149" s="263"/>
      <c r="AB149" s="1321"/>
      <c r="AC149" s="1321"/>
      <c r="AD149" s="1321"/>
      <c r="AE149" s="1321"/>
      <c r="AF149" s="263"/>
      <c r="AG149" s="1321"/>
      <c r="AH149" s="1321"/>
      <c r="AI149" s="1321"/>
      <c r="AJ149" s="1321"/>
      <c r="AK149" s="1321"/>
      <c r="AL149" s="1321"/>
      <c r="AM149" s="263"/>
      <c r="AN149" s="1326"/>
      <c r="AO149" s="1326"/>
      <c r="AP149" s="1326"/>
      <c r="AQ149" s="1326"/>
      <c r="AR149" s="263"/>
      <c r="AS149" s="1321"/>
      <c r="AT149" s="1321"/>
      <c r="AU149" s="1321"/>
      <c r="AV149" s="1321"/>
      <c r="AW149" s="263"/>
      <c r="AX149" s="1320"/>
      <c r="AY149" s="1320"/>
      <c r="AZ149" s="1320"/>
      <c r="BA149" s="1320"/>
      <c r="BB149" s="1320"/>
      <c r="BC149" s="1320"/>
      <c r="BD149" s="1320"/>
      <c r="BE149" s="1320"/>
      <c r="BF149" s="1320"/>
      <c r="BG149" s="1320"/>
      <c r="BH149" s="1320"/>
      <c r="BI149" s="1320"/>
      <c r="BJ149" s="1320"/>
      <c r="BK149" s="1320"/>
      <c r="BL149" s="1320"/>
      <c r="BM149" s="1320"/>
      <c r="BN149" s="1320"/>
      <c r="BO149" s="1320"/>
      <c r="BP149" s="1320"/>
      <c r="BQ149" s="1320"/>
      <c r="BR149" s="1320"/>
      <c r="BS149" s="1320"/>
      <c r="BT149" s="1320"/>
      <c r="BU149" s="1320"/>
      <c r="BV149" s="1320"/>
      <c r="BW149" s="174"/>
      <c r="BX149" s="1324" t="str">
        <f>IF(CharacterLevel="",'Character Sheet III'!$CF$202,IF(Spellcasting!BC43="•",'Character Sheet III'!$BX$202,'Character Sheet III'!$CF$202))</f>
        <v>□</v>
      </c>
      <c r="BY149" s="1324"/>
      <c r="BZ149" s="1324"/>
      <c r="CA149" s="1325" t="str">
        <f>IF(OR(CharacterLevel="",Spellcasting!BE$43=""),"",VLOOKUP(Spellcasting!BE$43,Tables!$TK:$UB,Tables!$TN$1,FALSE))</f>
        <v/>
      </c>
      <c r="CB149" s="1325"/>
      <c r="CC149" s="1325"/>
      <c r="CD149" s="1325"/>
      <c r="CE149" s="1325"/>
      <c r="CF149" s="1325"/>
      <c r="CG149" s="1325"/>
      <c r="CH149" s="1325"/>
      <c r="CI149" s="1325"/>
      <c r="CJ149" s="1325"/>
      <c r="CK149" s="1325"/>
      <c r="CL149" s="1325"/>
      <c r="CM149" s="1325"/>
      <c r="CN149" s="1325"/>
      <c r="CO149" s="1325"/>
      <c r="CP149" s="1325"/>
      <c r="CQ149" s="263"/>
      <c r="CR149" s="1048" t="str">
        <f>IF(OR(CharacterLevel="",Spellcasting!BE$43=""),"",VLOOKUP(Spellcasting!BE$43,Tables!$TK:$UB,Tables!$TT$1,FALSE))</f>
        <v/>
      </c>
      <c r="CS149" s="1048"/>
      <c r="CT149" s="1048"/>
      <c r="CU149" s="1048"/>
      <c r="CV149" s="1048"/>
      <c r="CW149" s="263"/>
      <c r="CX149" s="1048" t="str">
        <f>IF(OR(CharacterLevel="",Spellcasting!BE$43=""),"",VLOOKUP(Spellcasting!BE$43,Tables!$TK:$UB,Tables!$TU$1,FALSE))</f>
        <v/>
      </c>
      <c r="CY149" s="1048"/>
      <c r="CZ149" s="1048"/>
      <c r="DA149" s="1048"/>
      <c r="DB149" s="263"/>
      <c r="DC149" s="1048" t="str">
        <f>IF(OR(CharacterLevel="",Spellcasting!BE$43=""),"",VLOOKUP(Spellcasting!BE$43,Tables!$TK:$UB,Tables!$TV$1,FALSE))</f>
        <v/>
      </c>
      <c r="DD149" s="1048"/>
      <c r="DE149" s="1048"/>
      <c r="DF149" s="1048"/>
      <c r="DG149" s="1048"/>
      <c r="DH149" s="1048"/>
      <c r="DI149" s="261"/>
      <c r="DJ149" s="1048" t="str">
        <f>IF(OR(CharacterLevel="",Spellcasting!BE$43=""),"",VLOOKUP(Spellcasting!BE$43,Tables!$TK:$UB,Tables!$TW$1,FALSE))</f>
        <v/>
      </c>
      <c r="DK149" s="1048"/>
      <c r="DL149" s="1048"/>
      <c r="DM149" s="1048"/>
      <c r="DN149" s="261"/>
      <c r="DO149" s="1048" t="str">
        <f>IF(OR(CharacterLevel="",Spellcasting!BE$43=""),"",VLOOKUP(Spellcasting!BE$43,Tables!$TK:$UB,Tables!$TZ$1,FALSE))</f>
        <v/>
      </c>
      <c r="DP149" s="1048"/>
      <c r="DQ149" s="1048"/>
      <c r="DR149" s="1048"/>
      <c r="DS149" s="261"/>
      <c r="DT149" s="1319" t="str">
        <f>IF(OR(CharacterLevel="",Spellcasting!BE$43=""),"",VLOOKUP(Spellcasting!BE$43,Tables!$TK:$UB,Tables!$UB$1,FALSE))</f>
        <v/>
      </c>
      <c r="DU149" s="1319"/>
      <c r="DV149" s="1319"/>
      <c r="DW149" s="1319"/>
      <c r="DX149" s="1319"/>
      <c r="DY149" s="1319"/>
      <c r="DZ149" s="1319"/>
      <c r="EA149" s="1319"/>
      <c r="EB149" s="1319"/>
      <c r="EC149" s="1319"/>
      <c r="ED149" s="1319"/>
      <c r="EE149" s="1319"/>
      <c r="EF149" s="1319"/>
      <c r="EG149" s="1319"/>
      <c r="EH149" s="1319"/>
      <c r="EI149" s="1319"/>
      <c r="EJ149" s="1319"/>
      <c r="EK149" s="1319"/>
      <c r="EL149" s="1319"/>
      <c r="EM149" s="1319"/>
      <c r="EN149" s="1319"/>
      <c r="EO149" s="1319"/>
      <c r="EP149" s="1319"/>
      <c r="EQ149" s="1319"/>
      <c r="ER149" s="1319"/>
    </row>
    <row r="150" spans="1:152" ht="9.75" customHeight="1" x14ac:dyDescent="0.2">
      <c r="A150" s="5"/>
      <c r="B150" s="1389" t="str">
        <f>IF(CharacterLevel="",'Character Sheet III'!$CF$202,IF(Spellcasting!BC21="•",'Character Sheet III'!$BX$202,'Character Sheet III'!$CF$202))</f>
        <v>□</v>
      </c>
      <c r="C150" s="1389"/>
      <c r="D150" s="1389"/>
      <c r="E150" s="1325" t="str">
        <f>IF(OR(CharacterLevel="",Spellcasting!BE$21=""),"",VLOOKUP(Spellcasting!BE$21,Tables!$TK:$UB,Tables!$TN$1,FALSE))</f>
        <v/>
      </c>
      <c r="F150" s="1325"/>
      <c r="G150" s="1325"/>
      <c r="H150" s="1325"/>
      <c r="I150" s="1325"/>
      <c r="J150" s="1325"/>
      <c r="K150" s="1325"/>
      <c r="L150" s="1325"/>
      <c r="M150" s="1325"/>
      <c r="N150" s="1325"/>
      <c r="O150" s="1325"/>
      <c r="P150" s="1325"/>
      <c r="Q150" s="1325"/>
      <c r="R150" s="1325"/>
      <c r="S150" s="1325"/>
      <c r="T150" s="1325"/>
      <c r="U150" s="263"/>
      <c r="V150" s="1048" t="str">
        <f>IF(OR(CharacterLevel="",Spellcasting!BE$21=""),"",VLOOKUP(Spellcasting!BE$21,Tables!$TK:$UB,Tables!$TT$1,FALSE))</f>
        <v/>
      </c>
      <c r="W150" s="1048"/>
      <c r="X150" s="1048"/>
      <c r="Y150" s="1048"/>
      <c r="Z150" s="1048"/>
      <c r="AA150" s="263"/>
      <c r="AB150" s="1048" t="str">
        <f>IF(OR(CharacterLevel="",Spellcasting!BE$21=""),"",VLOOKUP(Spellcasting!BE$21,Tables!$TK:$UB,Tables!$TU$1,FALSE))</f>
        <v/>
      </c>
      <c r="AC150" s="1048"/>
      <c r="AD150" s="1048"/>
      <c r="AE150" s="1048"/>
      <c r="AF150" s="263"/>
      <c r="AG150" s="1048" t="str">
        <f>IF(OR(CharacterLevel="",Spellcasting!BE$21=""),"",VLOOKUP(Spellcasting!BE$21,Tables!$TK:$UB,Tables!$TV$1,FALSE))</f>
        <v/>
      </c>
      <c r="AH150" s="1048"/>
      <c r="AI150" s="1048"/>
      <c r="AJ150" s="1048"/>
      <c r="AK150" s="1048"/>
      <c r="AL150" s="1048"/>
      <c r="AM150" s="261"/>
      <c r="AN150" s="857" t="str">
        <f>IF(OR(CharacterLevel="",Spellcasting!BE$21=""),"",VLOOKUP(Spellcasting!BE$21,Tables!$TK:$UB,Tables!$TW$1,FALSE))</f>
        <v/>
      </c>
      <c r="AO150" s="857"/>
      <c r="AP150" s="857"/>
      <c r="AQ150" s="857"/>
      <c r="AR150" s="261"/>
      <c r="AS150" s="1048" t="str">
        <f>IF(OR(CharacterLevel="",Spellcasting!BE$21=""),"",VLOOKUP(Spellcasting!BE$21,Tables!$TK:$UB,Tables!$TZ$1,FALSE))</f>
        <v/>
      </c>
      <c r="AT150" s="1048"/>
      <c r="AU150" s="1048"/>
      <c r="AV150" s="1048"/>
      <c r="AW150" s="261"/>
      <c r="AX150" s="1319" t="str">
        <f>IF(OR(CharacterLevel="",Spellcasting!BE$21=""),"",VLOOKUP(Spellcasting!BE$21,Tables!$TK:$UB,Tables!$UB$1,FALSE))</f>
        <v/>
      </c>
      <c r="AY150" s="1319"/>
      <c r="AZ150" s="1319"/>
      <c r="BA150" s="1319"/>
      <c r="BB150" s="1319"/>
      <c r="BC150" s="1319"/>
      <c r="BD150" s="1319"/>
      <c r="BE150" s="1319"/>
      <c r="BF150" s="1319"/>
      <c r="BG150" s="1319"/>
      <c r="BH150" s="1319"/>
      <c r="BI150" s="1319"/>
      <c r="BJ150" s="1319"/>
      <c r="BK150" s="1319"/>
      <c r="BL150" s="1319"/>
      <c r="BM150" s="1319"/>
      <c r="BN150" s="1319"/>
      <c r="BO150" s="1319"/>
      <c r="BP150" s="1319"/>
      <c r="BQ150" s="1319"/>
      <c r="BR150" s="1319"/>
      <c r="BS150" s="1319"/>
      <c r="BT150" s="1319"/>
      <c r="BU150" s="1319"/>
      <c r="BV150" s="1319"/>
      <c r="BW150" s="174"/>
      <c r="BX150" s="1324"/>
      <c r="BY150" s="1324"/>
      <c r="BZ150" s="1324"/>
      <c r="CA150" s="1325" t="e">
        <f>IF(OR(CharacterLevel="",Spellcasting!#REF!=""),"",VLOOKUP(Spellcasting!#REF!,Tables!WX:XQ,Tables!$TN$1,FALSE))</f>
        <v>#REF!</v>
      </c>
      <c r="CB150" s="1325"/>
      <c r="CC150" s="1325"/>
      <c r="CD150" s="1325"/>
      <c r="CE150" s="1325"/>
      <c r="CF150" s="1325"/>
      <c r="CG150" s="1325"/>
      <c r="CH150" s="1325"/>
      <c r="CI150" s="1325"/>
      <c r="CJ150" s="1325"/>
      <c r="CK150" s="1325"/>
      <c r="CL150" s="1325"/>
      <c r="CM150" s="1325"/>
      <c r="CN150" s="1325"/>
      <c r="CO150" s="1325"/>
      <c r="CP150" s="1325"/>
      <c r="CQ150" s="263"/>
      <c r="CR150" s="1321"/>
      <c r="CS150" s="1321"/>
      <c r="CT150" s="1321"/>
      <c r="CU150" s="1321"/>
      <c r="CV150" s="1321"/>
      <c r="CW150" s="5"/>
      <c r="CX150" s="1321"/>
      <c r="CY150" s="1321"/>
      <c r="CZ150" s="1321"/>
      <c r="DA150" s="1321"/>
      <c r="DB150" s="5"/>
      <c r="DC150" s="1321"/>
      <c r="DD150" s="1321"/>
      <c r="DE150" s="1321"/>
      <c r="DF150" s="1321"/>
      <c r="DG150" s="1321"/>
      <c r="DH150" s="1321"/>
      <c r="DI150" s="5"/>
      <c r="DJ150" s="1321"/>
      <c r="DK150" s="1321"/>
      <c r="DL150" s="1321"/>
      <c r="DM150" s="1321"/>
      <c r="DN150" s="5"/>
      <c r="DO150" s="1321"/>
      <c r="DP150" s="1321"/>
      <c r="DQ150" s="1321"/>
      <c r="DR150" s="1321"/>
      <c r="DS150" s="5"/>
      <c r="DT150" s="1320"/>
      <c r="DU150" s="1320"/>
      <c r="DV150" s="1320"/>
      <c r="DW150" s="1320"/>
      <c r="DX150" s="1320"/>
      <c r="DY150" s="1320"/>
      <c r="DZ150" s="1320"/>
      <c r="EA150" s="1320"/>
      <c r="EB150" s="1320"/>
      <c r="EC150" s="1320"/>
      <c r="ED150" s="1320"/>
      <c r="EE150" s="1320"/>
      <c r="EF150" s="1320"/>
      <c r="EG150" s="1320"/>
      <c r="EH150" s="1320"/>
      <c r="EI150" s="1320"/>
      <c r="EJ150" s="1320"/>
      <c r="EK150" s="1320"/>
      <c r="EL150" s="1320"/>
      <c r="EM150" s="1320"/>
      <c r="EN150" s="1320"/>
      <c r="EO150" s="1320"/>
      <c r="EP150" s="1320"/>
      <c r="EQ150" s="1320"/>
      <c r="ER150" s="1320"/>
    </row>
    <row r="151" spans="1:152" ht="9.75" customHeight="1" x14ac:dyDescent="0.2">
      <c r="A151" s="5"/>
      <c r="B151" s="1389"/>
      <c r="C151" s="1389"/>
      <c r="D151" s="1389"/>
      <c r="E151" s="1325" t="str">
        <f>IF(OR(CharacterLevel="",Spellcasting!AQ82=""),"",VLOOKUP(Spellcasting!AQ82,Tables!TK:UB,Tables!$TN$1,FALSE))</f>
        <v/>
      </c>
      <c r="F151" s="1325"/>
      <c r="G151" s="1325"/>
      <c r="H151" s="1325"/>
      <c r="I151" s="1325"/>
      <c r="J151" s="1325"/>
      <c r="K151" s="1325"/>
      <c r="L151" s="1325"/>
      <c r="M151" s="1325"/>
      <c r="N151" s="1325"/>
      <c r="O151" s="1325"/>
      <c r="P151" s="1325"/>
      <c r="Q151" s="1325"/>
      <c r="R151" s="1325"/>
      <c r="S151" s="1325"/>
      <c r="T151" s="1325"/>
      <c r="U151" s="263"/>
      <c r="V151" s="1321"/>
      <c r="W151" s="1321"/>
      <c r="X151" s="1321"/>
      <c r="Y151" s="1321"/>
      <c r="Z151" s="1321"/>
      <c r="AA151" s="263"/>
      <c r="AB151" s="1321"/>
      <c r="AC151" s="1321"/>
      <c r="AD151" s="1321"/>
      <c r="AE151" s="1321"/>
      <c r="AF151" s="263"/>
      <c r="AG151" s="1321"/>
      <c r="AH151" s="1321"/>
      <c r="AI151" s="1321"/>
      <c r="AJ151" s="1321"/>
      <c r="AK151" s="1321"/>
      <c r="AL151" s="1321"/>
      <c r="AM151" s="263"/>
      <c r="AN151" s="1326"/>
      <c r="AO151" s="1326"/>
      <c r="AP151" s="1326"/>
      <c r="AQ151" s="1326"/>
      <c r="AR151" s="263"/>
      <c r="AS151" s="1321"/>
      <c r="AT151" s="1321"/>
      <c r="AU151" s="1321"/>
      <c r="AV151" s="1321"/>
      <c r="AW151" s="263"/>
      <c r="AX151" s="1320"/>
      <c r="AY151" s="1320"/>
      <c r="AZ151" s="1320"/>
      <c r="BA151" s="1320"/>
      <c r="BB151" s="1320"/>
      <c r="BC151" s="1320"/>
      <c r="BD151" s="1320"/>
      <c r="BE151" s="1320"/>
      <c r="BF151" s="1320"/>
      <c r="BG151" s="1320"/>
      <c r="BH151" s="1320"/>
      <c r="BI151" s="1320"/>
      <c r="BJ151" s="1320"/>
      <c r="BK151" s="1320"/>
      <c r="BL151" s="1320"/>
      <c r="BM151" s="1320"/>
      <c r="BN151" s="1320"/>
      <c r="BO151" s="1320"/>
      <c r="BP151" s="1320"/>
      <c r="BQ151" s="1320"/>
      <c r="BR151" s="1320"/>
      <c r="BS151" s="1320"/>
      <c r="BT151" s="1320"/>
      <c r="BU151" s="1320"/>
      <c r="BV151" s="1320"/>
      <c r="BW151" s="174"/>
      <c r="BX151" s="1324" t="str">
        <f>IF(CharacterLevel="",'Character Sheet III'!$CF$202,IF(Spellcasting!BC44="•",'Character Sheet III'!$BX$202,'Character Sheet III'!$CF$202))</f>
        <v>□</v>
      </c>
      <c r="BY151" s="1324"/>
      <c r="BZ151" s="1324"/>
      <c r="CA151" s="1325" t="str">
        <f>IF(OR(CharacterLevel="",Spellcasting!BE$44=""),"",VLOOKUP(Spellcasting!BE$44,Tables!$TK:$UB,Tables!$TN$1,FALSE))</f>
        <v/>
      </c>
      <c r="CB151" s="1325"/>
      <c r="CC151" s="1325"/>
      <c r="CD151" s="1325"/>
      <c r="CE151" s="1325"/>
      <c r="CF151" s="1325"/>
      <c r="CG151" s="1325"/>
      <c r="CH151" s="1325"/>
      <c r="CI151" s="1325"/>
      <c r="CJ151" s="1325"/>
      <c r="CK151" s="1325"/>
      <c r="CL151" s="1325"/>
      <c r="CM151" s="1325"/>
      <c r="CN151" s="1325"/>
      <c r="CO151" s="1325"/>
      <c r="CP151" s="1325"/>
      <c r="CQ151" s="263"/>
      <c r="CR151" s="1048" t="str">
        <f>IF(OR(CharacterLevel="",Spellcasting!BE$44=""),"",VLOOKUP(Spellcasting!BE$44,Tables!$TK:$UB,Tables!$TT$1,FALSE))</f>
        <v/>
      </c>
      <c r="CS151" s="1048"/>
      <c r="CT151" s="1048"/>
      <c r="CU151" s="1048"/>
      <c r="CV151" s="1048"/>
      <c r="CW151" s="263"/>
      <c r="CX151" s="1048" t="str">
        <f>IF(OR(CharacterLevel="",Spellcasting!BE$44=""),"",VLOOKUP(Spellcasting!BE$44,Tables!$TK:$UB,Tables!$TU$1,FALSE))</f>
        <v/>
      </c>
      <c r="CY151" s="1048"/>
      <c r="CZ151" s="1048"/>
      <c r="DA151" s="1048"/>
      <c r="DB151" s="263"/>
      <c r="DC151" s="1048" t="str">
        <f>IF(OR(CharacterLevel="",Spellcasting!BE$44=""),"",VLOOKUP(Spellcasting!BE$44,Tables!$TK:$UB,Tables!$TV$1,FALSE))</f>
        <v/>
      </c>
      <c r="DD151" s="1048"/>
      <c r="DE151" s="1048"/>
      <c r="DF151" s="1048"/>
      <c r="DG151" s="1048"/>
      <c r="DH151" s="1048"/>
      <c r="DI151" s="261"/>
      <c r="DJ151" s="1048" t="str">
        <f>IF(OR(CharacterLevel="",Spellcasting!BE$44=""),"",VLOOKUP(Spellcasting!BE$44,Tables!$TK:$UB,Tables!$TW$1,FALSE))</f>
        <v/>
      </c>
      <c r="DK151" s="1048"/>
      <c r="DL151" s="1048"/>
      <c r="DM151" s="1048"/>
      <c r="DN151" s="261"/>
      <c r="DO151" s="1048" t="str">
        <f>IF(OR(CharacterLevel="",Spellcasting!BE$44=""),"",VLOOKUP(Spellcasting!BE$44,Tables!$TK:$UB,Tables!$TZ$1,FALSE))</f>
        <v/>
      </c>
      <c r="DP151" s="1048"/>
      <c r="DQ151" s="1048"/>
      <c r="DR151" s="1048"/>
      <c r="DS151" s="261"/>
      <c r="DT151" s="1319" t="str">
        <f>IF(OR(CharacterLevel="",Spellcasting!BE$44=""),"",VLOOKUP(Spellcasting!BE$44,Tables!$TK:$UB,Tables!$UB$1,FALSE))</f>
        <v/>
      </c>
      <c r="DU151" s="1319"/>
      <c r="DV151" s="1319"/>
      <c r="DW151" s="1319"/>
      <c r="DX151" s="1319"/>
      <c r="DY151" s="1319"/>
      <c r="DZ151" s="1319"/>
      <c r="EA151" s="1319"/>
      <c r="EB151" s="1319"/>
      <c r="EC151" s="1319"/>
      <c r="ED151" s="1319"/>
      <c r="EE151" s="1319"/>
      <c r="EF151" s="1319"/>
      <c r="EG151" s="1319"/>
      <c r="EH151" s="1319"/>
      <c r="EI151" s="1319"/>
      <c r="EJ151" s="1319"/>
      <c r="EK151" s="1319"/>
      <c r="EL151" s="1319"/>
      <c r="EM151" s="1319"/>
      <c r="EN151" s="1319"/>
      <c r="EO151" s="1319"/>
      <c r="EP151" s="1319"/>
      <c r="EQ151" s="1319"/>
      <c r="ER151" s="1319"/>
    </row>
    <row r="152" spans="1:152" ht="9.75" customHeight="1" x14ac:dyDescent="0.2">
      <c r="A152" s="5"/>
      <c r="B152" s="1389" t="str">
        <f>IF(CharacterLevel="",'Character Sheet III'!$CF$202,IF(Spellcasting!BC22="•",'Character Sheet III'!$BX$202,'Character Sheet III'!$CF$202))</f>
        <v>□</v>
      </c>
      <c r="C152" s="1389"/>
      <c r="D152" s="1389"/>
      <c r="E152" s="1325" t="str">
        <f>IF(OR(CharacterLevel="",Spellcasting!BE$22=""),"",VLOOKUP(Spellcasting!BE$22,Tables!$TK:$UB,Tables!$TN$1,FALSE))</f>
        <v/>
      </c>
      <c r="F152" s="1325"/>
      <c r="G152" s="1325"/>
      <c r="H152" s="1325"/>
      <c r="I152" s="1325"/>
      <c r="J152" s="1325"/>
      <c r="K152" s="1325"/>
      <c r="L152" s="1325"/>
      <c r="M152" s="1325"/>
      <c r="N152" s="1325"/>
      <c r="O152" s="1325"/>
      <c r="P152" s="1325"/>
      <c r="Q152" s="1325"/>
      <c r="R152" s="1325"/>
      <c r="S152" s="1325"/>
      <c r="T152" s="1325"/>
      <c r="U152" s="263"/>
      <c r="V152" s="1048" t="str">
        <f>IF(OR(CharacterLevel="",Spellcasting!BE$22=""),"",VLOOKUP(Spellcasting!BE$22,Tables!$TK:$UB,Tables!$TT$1,FALSE))</f>
        <v/>
      </c>
      <c r="W152" s="1048"/>
      <c r="X152" s="1048"/>
      <c r="Y152" s="1048"/>
      <c r="Z152" s="1048"/>
      <c r="AA152" s="263"/>
      <c r="AB152" s="1048" t="str">
        <f>IF(OR(CharacterLevel="",Spellcasting!BE$22=""),"",VLOOKUP(Spellcasting!BE$22,Tables!$TK:$UB,Tables!$TU$1,FALSE))</f>
        <v/>
      </c>
      <c r="AC152" s="1048"/>
      <c r="AD152" s="1048"/>
      <c r="AE152" s="1048"/>
      <c r="AF152" s="263"/>
      <c r="AG152" s="1048" t="str">
        <f>IF(OR(CharacterLevel="",Spellcasting!BE$22=""),"",VLOOKUP(Spellcasting!BE$22,Tables!$TK:$UB,Tables!$TV$1,FALSE))</f>
        <v/>
      </c>
      <c r="AH152" s="1048"/>
      <c r="AI152" s="1048"/>
      <c r="AJ152" s="1048"/>
      <c r="AK152" s="1048"/>
      <c r="AL152" s="1048"/>
      <c r="AM152" s="261"/>
      <c r="AN152" s="857" t="str">
        <f>IF(OR(CharacterLevel="",Spellcasting!BE$22=""),"",VLOOKUP(Spellcasting!BE$22,Tables!$TK:$UB,Tables!$TW$1,FALSE))</f>
        <v/>
      </c>
      <c r="AO152" s="857"/>
      <c r="AP152" s="857"/>
      <c r="AQ152" s="857"/>
      <c r="AR152" s="261"/>
      <c r="AS152" s="1048" t="str">
        <f>IF(OR(CharacterLevel="",Spellcasting!BE$22=""),"",VLOOKUP(Spellcasting!BE$22,Tables!$TK:$UB,Tables!$TZ$1,FALSE))</f>
        <v/>
      </c>
      <c r="AT152" s="1048"/>
      <c r="AU152" s="1048"/>
      <c r="AV152" s="1048"/>
      <c r="AW152" s="261"/>
      <c r="AX152" s="1319" t="str">
        <f>IF(OR(CharacterLevel="",Spellcasting!BE$22=""),"",VLOOKUP(Spellcasting!BE$22,Tables!$TK:$UB,Tables!$UB$1,FALSE))</f>
        <v/>
      </c>
      <c r="AY152" s="1319"/>
      <c r="AZ152" s="1319"/>
      <c r="BA152" s="1319"/>
      <c r="BB152" s="1319"/>
      <c r="BC152" s="1319"/>
      <c r="BD152" s="1319"/>
      <c r="BE152" s="1319"/>
      <c r="BF152" s="1319"/>
      <c r="BG152" s="1319"/>
      <c r="BH152" s="1319"/>
      <c r="BI152" s="1319"/>
      <c r="BJ152" s="1319"/>
      <c r="BK152" s="1319"/>
      <c r="BL152" s="1319"/>
      <c r="BM152" s="1319"/>
      <c r="BN152" s="1319"/>
      <c r="BO152" s="1319"/>
      <c r="BP152" s="1319"/>
      <c r="BQ152" s="1319"/>
      <c r="BR152" s="1319"/>
      <c r="BS152" s="1319"/>
      <c r="BT152" s="1319"/>
      <c r="BU152" s="1319"/>
      <c r="BV152" s="1319"/>
      <c r="BW152" s="174"/>
      <c r="BX152" s="1324"/>
      <c r="BY152" s="1324"/>
      <c r="BZ152" s="1324"/>
      <c r="CA152" s="1325" t="e">
        <f>IF(OR(CharacterLevel="",Spellcasting!#REF!=""),"",VLOOKUP(Spellcasting!#REF!,Tables!WX:XQ,Tables!$TN$1,FALSE))</f>
        <v>#REF!</v>
      </c>
      <c r="CB152" s="1325"/>
      <c r="CC152" s="1325"/>
      <c r="CD152" s="1325"/>
      <c r="CE152" s="1325"/>
      <c r="CF152" s="1325"/>
      <c r="CG152" s="1325"/>
      <c r="CH152" s="1325"/>
      <c r="CI152" s="1325"/>
      <c r="CJ152" s="1325"/>
      <c r="CK152" s="1325"/>
      <c r="CL152" s="1325"/>
      <c r="CM152" s="1325"/>
      <c r="CN152" s="1325"/>
      <c r="CO152" s="1325"/>
      <c r="CP152" s="1325"/>
      <c r="CQ152" s="263"/>
      <c r="CR152" s="1321"/>
      <c r="CS152" s="1321"/>
      <c r="CT152" s="1321"/>
      <c r="CU152" s="1321"/>
      <c r="CV152" s="1321"/>
      <c r="CW152" s="5"/>
      <c r="CX152" s="1321"/>
      <c r="CY152" s="1321"/>
      <c r="CZ152" s="1321"/>
      <c r="DA152" s="1321"/>
      <c r="DB152" s="5"/>
      <c r="DC152" s="1321"/>
      <c r="DD152" s="1321"/>
      <c r="DE152" s="1321"/>
      <c r="DF152" s="1321"/>
      <c r="DG152" s="1321"/>
      <c r="DH152" s="1321"/>
      <c r="DI152" s="5"/>
      <c r="DJ152" s="1321"/>
      <c r="DK152" s="1321"/>
      <c r="DL152" s="1321"/>
      <c r="DM152" s="1321"/>
      <c r="DN152" s="5"/>
      <c r="DO152" s="1321"/>
      <c r="DP152" s="1321"/>
      <c r="DQ152" s="1321"/>
      <c r="DR152" s="1321"/>
      <c r="DS152" s="5"/>
      <c r="DT152" s="1320"/>
      <c r="DU152" s="1320"/>
      <c r="DV152" s="1320"/>
      <c r="DW152" s="1320"/>
      <c r="DX152" s="1320"/>
      <c r="DY152" s="1320"/>
      <c r="DZ152" s="1320"/>
      <c r="EA152" s="1320"/>
      <c r="EB152" s="1320"/>
      <c r="EC152" s="1320"/>
      <c r="ED152" s="1320"/>
      <c r="EE152" s="1320"/>
      <c r="EF152" s="1320"/>
      <c r="EG152" s="1320"/>
      <c r="EH152" s="1320"/>
      <c r="EI152" s="1320"/>
      <c r="EJ152" s="1320"/>
      <c r="EK152" s="1320"/>
      <c r="EL152" s="1320"/>
      <c r="EM152" s="1320"/>
      <c r="EN152" s="1320"/>
      <c r="EO152" s="1320"/>
      <c r="EP152" s="1320"/>
      <c r="EQ152" s="1320"/>
      <c r="ER152" s="1320"/>
    </row>
    <row r="153" spans="1:152" ht="9.75" customHeight="1" x14ac:dyDescent="0.2">
      <c r="A153" s="5"/>
      <c r="B153" s="1389"/>
      <c r="C153" s="1389"/>
      <c r="D153" s="1389"/>
      <c r="E153" s="1325" t="str">
        <f>IF(OR(CharacterLevel="",Spellcasting!AQ84=""),"",VLOOKUP(Spellcasting!AQ84,Tables!TK:UB,Tables!$TN$1,FALSE))</f>
        <v/>
      </c>
      <c r="F153" s="1325"/>
      <c r="G153" s="1325"/>
      <c r="H153" s="1325"/>
      <c r="I153" s="1325"/>
      <c r="J153" s="1325"/>
      <c r="K153" s="1325"/>
      <c r="L153" s="1325"/>
      <c r="M153" s="1325"/>
      <c r="N153" s="1325"/>
      <c r="O153" s="1325"/>
      <c r="P153" s="1325"/>
      <c r="Q153" s="1325"/>
      <c r="R153" s="1325"/>
      <c r="S153" s="1325"/>
      <c r="T153" s="1325"/>
      <c r="U153" s="263"/>
      <c r="V153" s="1321"/>
      <c r="W153" s="1321"/>
      <c r="X153" s="1321"/>
      <c r="Y153" s="1321"/>
      <c r="Z153" s="1321"/>
      <c r="AA153" s="263"/>
      <c r="AB153" s="1321"/>
      <c r="AC153" s="1321"/>
      <c r="AD153" s="1321"/>
      <c r="AE153" s="1321"/>
      <c r="AF153" s="263"/>
      <c r="AG153" s="1321"/>
      <c r="AH153" s="1321"/>
      <c r="AI153" s="1321"/>
      <c r="AJ153" s="1321"/>
      <c r="AK153" s="1321"/>
      <c r="AL153" s="1321"/>
      <c r="AM153" s="263"/>
      <c r="AN153" s="1326"/>
      <c r="AO153" s="1326"/>
      <c r="AP153" s="1326"/>
      <c r="AQ153" s="1326"/>
      <c r="AR153" s="263"/>
      <c r="AS153" s="1321"/>
      <c r="AT153" s="1321"/>
      <c r="AU153" s="1321"/>
      <c r="AV153" s="1321"/>
      <c r="AW153" s="263"/>
      <c r="AX153" s="1320"/>
      <c r="AY153" s="1320"/>
      <c r="AZ153" s="1320"/>
      <c r="BA153" s="1320"/>
      <c r="BB153" s="1320"/>
      <c r="BC153" s="1320"/>
      <c r="BD153" s="1320"/>
      <c r="BE153" s="1320"/>
      <c r="BF153" s="1320"/>
      <c r="BG153" s="1320"/>
      <c r="BH153" s="1320"/>
      <c r="BI153" s="1320"/>
      <c r="BJ153" s="1320"/>
      <c r="BK153" s="1320"/>
      <c r="BL153" s="1320"/>
      <c r="BM153" s="1320"/>
      <c r="BN153" s="1320"/>
      <c r="BO153" s="1320"/>
      <c r="BP153" s="1320"/>
      <c r="BQ153" s="1320"/>
      <c r="BR153" s="1320"/>
      <c r="BS153" s="1320"/>
      <c r="BT153" s="1320"/>
      <c r="BU153" s="1320"/>
      <c r="BV153" s="1320"/>
      <c r="BW153" s="174"/>
      <c r="BX153" s="1369" t="s">
        <v>465</v>
      </c>
      <c r="BY153" s="1369"/>
      <c r="BZ153" s="1369"/>
      <c r="CA153" s="1369"/>
      <c r="CB153" s="1369"/>
      <c r="CC153" s="1369"/>
      <c r="CD153" s="1369"/>
      <c r="CE153" s="1369"/>
      <c r="CF153" s="1369"/>
      <c r="CG153" s="5"/>
      <c r="CH153" s="5"/>
      <c r="CI153" s="5"/>
      <c r="CJ153" s="5"/>
      <c r="CK153" s="5"/>
      <c r="CL153" s="5"/>
      <c r="CM153" s="5"/>
      <c r="CN153" s="5"/>
      <c r="CO153" s="375"/>
      <c r="CP153" s="5"/>
      <c r="CQ153" s="5"/>
      <c r="CR153" s="5"/>
      <c r="CS153" s="5"/>
      <c r="CT153" s="5"/>
      <c r="CU153" s="5"/>
      <c r="CV153" s="5"/>
      <c r="CW153" s="375"/>
      <c r="CX153" s="5"/>
      <c r="CY153" s="5"/>
      <c r="CZ153" s="5"/>
      <c r="DA153" s="5"/>
      <c r="DB153" s="5"/>
      <c r="DC153" s="5"/>
      <c r="DD153" s="5"/>
      <c r="DE153" s="5"/>
      <c r="DF153" s="5"/>
      <c r="DG153" s="5"/>
      <c r="DH153" s="5"/>
      <c r="DI153" s="5"/>
      <c r="DJ153" s="5"/>
      <c r="DK153" s="375"/>
      <c r="DL153" s="5"/>
      <c r="DM153" s="5"/>
      <c r="DN153" s="5"/>
      <c r="DO153" s="5"/>
      <c r="DP153" s="5"/>
      <c r="DQ153" s="5"/>
      <c r="DR153" s="5"/>
      <c r="DS153" s="5"/>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542"/>
      <c r="ER153" s="542"/>
    </row>
    <row r="154" spans="1:152" ht="9.75" customHeight="1" x14ac:dyDescent="0.2">
      <c r="A154" s="5"/>
      <c r="B154" s="1389" t="str">
        <f>IF(CharacterLevel="",'Character Sheet III'!$CF$202,IF(Spellcasting!BC23="•",'Character Sheet III'!$BX$202,'Character Sheet III'!$CF$202))</f>
        <v>□</v>
      </c>
      <c r="C154" s="1389"/>
      <c r="D154" s="1389"/>
      <c r="E154" s="1325" t="str">
        <f>IF(OR(CharacterLevel="",Spellcasting!BE$23=""),"",VLOOKUP(Spellcasting!BE$23,Tables!$TK:$UB,Tables!$TN$1,FALSE))</f>
        <v/>
      </c>
      <c r="F154" s="1325"/>
      <c r="G154" s="1325"/>
      <c r="H154" s="1325"/>
      <c r="I154" s="1325"/>
      <c r="J154" s="1325"/>
      <c r="K154" s="1325"/>
      <c r="L154" s="1325"/>
      <c r="M154" s="1325"/>
      <c r="N154" s="1325"/>
      <c r="O154" s="1325"/>
      <c r="P154" s="1325"/>
      <c r="Q154" s="1325"/>
      <c r="R154" s="1325"/>
      <c r="S154" s="1325"/>
      <c r="T154" s="1325"/>
      <c r="U154" s="263"/>
      <c r="V154" s="1048" t="str">
        <f>IF(OR(CharacterLevel="",Spellcasting!BE$23=""),"",VLOOKUP(Spellcasting!BE$23,Tables!$TK:$UB,Tables!$TT$1,FALSE))</f>
        <v/>
      </c>
      <c r="W154" s="1048"/>
      <c r="X154" s="1048"/>
      <c r="Y154" s="1048"/>
      <c r="Z154" s="1048"/>
      <c r="AA154" s="263"/>
      <c r="AB154" s="1048" t="str">
        <f>IF(OR(CharacterLevel="",Spellcasting!BE$23=""),"",VLOOKUP(Spellcasting!BE$23,Tables!$TK:$UB,Tables!$TU$1,FALSE))</f>
        <v/>
      </c>
      <c r="AC154" s="1048"/>
      <c r="AD154" s="1048"/>
      <c r="AE154" s="1048"/>
      <c r="AF154" s="263"/>
      <c r="AG154" s="1048" t="str">
        <f>IF(OR(CharacterLevel="",Spellcasting!BE$23=""),"",VLOOKUP(Spellcasting!BE$23,Tables!$TK:$UB,Tables!$TV$1,FALSE))</f>
        <v/>
      </c>
      <c r="AH154" s="1048"/>
      <c r="AI154" s="1048"/>
      <c r="AJ154" s="1048"/>
      <c r="AK154" s="1048"/>
      <c r="AL154" s="1048"/>
      <c r="AM154" s="261"/>
      <c r="AN154" s="857" t="str">
        <f>IF(OR(CharacterLevel="",Spellcasting!BE$23=""),"",VLOOKUP(Spellcasting!BE$23,Tables!$TK:$UB,Tables!$TW$1,FALSE))</f>
        <v/>
      </c>
      <c r="AO154" s="857"/>
      <c r="AP154" s="857"/>
      <c r="AQ154" s="857"/>
      <c r="AR154" s="261"/>
      <c r="AS154" s="1048" t="str">
        <f>IF(OR(CharacterLevel="",Spellcasting!BE$23=""),"",VLOOKUP(Spellcasting!BE$23,Tables!$TK:$UB,Tables!$TZ$1,FALSE))</f>
        <v/>
      </c>
      <c r="AT154" s="1048"/>
      <c r="AU154" s="1048"/>
      <c r="AV154" s="1048"/>
      <c r="AW154" s="261"/>
      <c r="AX154" s="1319" t="str">
        <f>IF(OR(CharacterLevel="",Spellcasting!BE$23=""),"",VLOOKUP(Spellcasting!BE$23,Tables!$TK:$UB,Tables!$UB$1,FALSE))</f>
        <v/>
      </c>
      <c r="AY154" s="1319"/>
      <c r="AZ154" s="1319"/>
      <c r="BA154" s="1319"/>
      <c r="BB154" s="1319"/>
      <c r="BC154" s="1319"/>
      <c r="BD154" s="1319"/>
      <c r="BE154" s="1319"/>
      <c r="BF154" s="1319"/>
      <c r="BG154" s="1319"/>
      <c r="BH154" s="1319"/>
      <c r="BI154" s="1319"/>
      <c r="BJ154" s="1319"/>
      <c r="BK154" s="1319"/>
      <c r="BL154" s="1319"/>
      <c r="BM154" s="1319"/>
      <c r="BN154" s="1319"/>
      <c r="BO154" s="1319"/>
      <c r="BP154" s="1319"/>
      <c r="BQ154" s="1319"/>
      <c r="BR154" s="1319"/>
      <c r="BS154" s="1319"/>
      <c r="BT154" s="1319"/>
      <c r="BU154" s="1319"/>
      <c r="BV154" s="1319"/>
      <c r="BW154" s="174"/>
      <c r="BX154" s="1369"/>
      <c r="BY154" s="1369"/>
      <c r="BZ154" s="1369"/>
      <c r="CA154" s="1369"/>
      <c r="CB154" s="1369"/>
      <c r="CC154" s="1369"/>
      <c r="CD154" s="1369"/>
      <c r="CE154" s="1369"/>
      <c r="CF154" s="1369"/>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542"/>
      <c r="ER154" s="542"/>
    </row>
    <row r="155" spans="1:152" ht="9.75" customHeight="1" x14ac:dyDescent="0.25">
      <c r="A155" s="5"/>
      <c r="B155" s="1389"/>
      <c r="C155" s="1389"/>
      <c r="D155" s="1389"/>
      <c r="E155" s="1325" t="str">
        <f>IF(OR(CharacterLevel="",Spellcasting!AQ87=""),"",VLOOKUP(Spellcasting!AQ87,Tables!TK:UB,Tables!$TN$1,FALSE))</f>
        <v/>
      </c>
      <c r="F155" s="1325"/>
      <c r="G155" s="1325"/>
      <c r="H155" s="1325"/>
      <c r="I155" s="1325"/>
      <c r="J155" s="1325"/>
      <c r="K155" s="1325"/>
      <c r="L155" s="1325"/>
      <c r="M155" s="1325"/>
      <c r="N155" s="1325"/>
      <c r="O155" s="1325"/>
      <c r="P155" s="1325"/>
      <c r="Q155" s="1325"/>
      <c r="R155" s="1325"/>
      <c r="S155" s="1325"/>
      <c r="T155" s="1325"/>
      <c r="U155" s="263"/>
      <c r="V155" s="1321"/>
      <c r="W155" s="1321"/>
      <c r="X155" s="1321"/>
      <c r="Y155" s="1321"/>
      <c r="Z155" s="1321"/>
      <c r="AA155" s="263"/>
      <c r="AB155" s="1321"/>
      <c r="AC155" s="1321"/>
      <c r="AD155" s="1321"/>
      <c r="AE155" s="1321"/>
      <c r="AF155" s="263"/>
      <c r="AG155" s="1321"/>
      <c r="AH155" s="1321"/>
      <c r="AI155" s="1321"/>
      <c r="AJ155" s="1321"/>
      <c r="AK155" s="1321"/>
      <c r="AL155" s="1321"/>
      <c r="AM155" s="263"/>
      <c r="AN155" s="1326"/>
      <c r="AO155" s="1326"/>
      <c r="AP155" s="1326"/>
      <c r="AQ155" s="1326"/>
      <c r="AR155" s="263"/>
      <c r="AS155" s="1321"/>
      <c r="AT155" s="1321"/>
      <c r="AU155" s="1321"/>
      <c r="AV155" s="1321"/>
      <c r="AW155" s="263"/>
      <c r="AX155" s="1320"/>
      <c r="AY155" s="1320"/>
      <c r="AZ155" s="1320"/>
      <c r="BA155" s="1320"/>
      <c r="BB155" s="1320"/>
      <c r="BC155" s="1320"/>
      <c r="BD155" s="1320"/>
      <c r="BE155" s="1320"/>
      <c r="BF155" s="1320"/>
      <c r="BG155" s="1320"/>
      <c r="BH155" s="1320"/>
      <c r="BI155" s="1320"/>
      <c r="BJ155" s="1320"/>
      <c r="BK155" s="1320"/>
      <c r="BL155" s="1320"/>
      <c r="BM155" s="1320"/>
      <c r="BN155" s="1320"/>
      <c r="BO155" s="1320"/>
      <c r="BP155" s="1320"/>
      <c r="BQ155" s="1320"/>
      <c r="BR155" s="1320"/>
      <c r="BS155" s="1320"/>
      <c r="BT155" s="1320"/>
      <c r="BU155" s="1320"/>
      <c r="BV155" s="1320"/>
      <c r="BW155" s="174"/>
      <c r="BX155" s="857" t="s">
        <v>455</v>
      </c>
      <c r="BY155" s="857"/>
      <c r="BZ155" s="857"/>
      <c r="CA155" s="857" t="s">
        <v>456</v>
      </c>
      <c r="CB155" s="857"/>
      <c r="CC155" s="857"/>
      <c r="CD155" s="857"/>
      <c r="CE155" s="857"/>
      <c r="CF155" s="857"/>
      <c r="CG155" s="857"/>
      <c r="CH155" s="857"/>
      <c r="CI155" s="857"/>
      <c r="CJ155" s="857"/>
      <c r="CK155" s="857"/>
      <c r="CL155" s="857"/>
      <c r="CM155" s="857"/>
      <c r="CN155" s="857"/>
      <c r="CO155" s="857"/>
      <c r="CP155" s="857"/>
      <c r="CQ155" s="377"/>
      <c r="CR155" s="848" t="s">
        <v>452</v>
      </c>
      <c r="CS155" s="848"/>
      <c r="CT155" s="848"/>
      <c r="CU155" s="848"/>
      <c r="CV155" s="848"/>
      <c r="CW155" s="377"/>
      <c r="CX155" s="848" t="s">
        <v>48</v>
      </c>
      <c r="CY155" s="848"/>
      <c r="CZ155" s="848"/>
      <c r="DA155" s="848"/>
      <c r="DB155" s="377"/>
      <c r="DC155" s="848" t="s">
        <v>453</v>
      </c>
      <c r="DD155" s="848"/>
      <c r="DE155" s="848"/>
      <c r="DF155" s="848"/>
      <c r="DG155" s="848"/>
      <c r="DH155" s="848"/>
      <c r="DI155" s="848" t="s">
        <v>454</v>
      </c>
      <c r="DJ155" s="848"/>
      <c r="DK155" s="848"/>
      <c r="DL155" s="848"/>
      <c r="DM155" s="848"/>
      <c r="DN155" s="848"/>
      <c r="DO155" s="848" t="s">
        <v>9</v>
      </c>
      <c r="DP155" s="848"/>
      <c r="DQ155" s="848"/>
      <c r="DR155" s="848"/>
      <c r="DS155" s="259"/>
      <c r="DT155" s="946" t="s">
        <v>457</v>
      </c>
      <c r="DU155" s="946"/>
      <c r="DV155" s="946"/>
      <c r="DW155" s="946"/>
      <c r="DX155" s="946"/>
      <c r="DY155" s="946"/>
      <c r="DZ155" s="946"/>
      <c r="EA155" s="946"/>
      <c r="EB155" s="946"/>
      <c r="EC155" s="946"/>
      <c r="ED155" s="946"/>
      <c r="EE155" s="946"/>
      <c r="EF155" s="946"/>
      <c r="EG155" s="946"/>
      <c r="EH155" s="946"/>
      <c r="EI155" s="946"/>
      <c r="EJ155" s="946"/>
      <c r="EK155" s="946"/>
      <c r="EL155" s="946"/>
      <c r="EM155" s="946"/>
      <c r="EN155" s="946"/>
      <c r="EO155" s="946"/>
      <c r="EP155" s="946"/>
      <c r="EQ155" s="946"/>
      <c r="ER155" s="946"/>
    </row>
    <row r="156" spans="1:152" ht="9.75" customHeight="1" x14ac:dyDescent="0.25">
      <c r="A156" s="5"/>
      <c r="B156" s="1389" t="str">
        <f>IF(CharacterLevel="",'Character Sheet III'!$CF$202,IF(Spellcasting!BC24="•",'Character Sheet III'!$BX$202,'Character Sheet III'!$CF$202))</f>
        <v>□</v>
      </c>
      <c r="C156" s="1389"/>
      <c r="D156" s="1389"/>
      <c r="E156" s="1325" t="str">
        <f>IF(OR(CharacterLevel="",Spellcasting!BE$24=""),"",VLOOKUP(Spellcasting!BE$24,Tables!$TK:$UB,Tables!$TN$1,FALSE))</f>
        <v/>
      </c>
      <c r="F156" s="1325"/>
      <c r="G156" s="1325"/>
      <c r="H156" s="1325"/>
      <c r="I156" s="1325"/>
      <c r="J156" s="1325"/>
      <c r="K156" s="1325"/>
      <c r="L156" s="1325"/>
      <c r="M156" s="1325"/>
      <c r="N156" s="1325"/>
      <c r="O156" s="1325"/>
      <c r="P156" s="1325"/>
      <c r="Q156" s="1325"/>
      <c r="R156" s="1325"/>
      <c r="S156" s="1325"/>
      <c r="T156" s="1325"/>
      <c r="U156" s="263"/>
      <c r="V156" s="1048" t="str">
        <f>IF(OR(CharacterLevel="",Spellcasting!BE$24=""),"",VLOOKUP(Spellcasting!BE$24,Tables!$TK:$UB,Tables!$TT$1,FALSE))</f>
        <v/>
      </c>
      <c r="W156" s="1048"/>
      <c r="X156" s="1048"/>
      <c r="Y156" s="1048"/>
      <c r="Z156" s="1048"/>
      <c r="AA156" s="263"/>
      <c r="AB156" s="1048" t="str">
        <f>IF(OR(CharacterLevel="",Spellcasting!BE$24=""),"",VLOOKUP(Spellcasting!BE$24,Tables!$TK:$UB,Tables!$TU$1,FALSE))</f>
        <v/>
      </c>
      <c r="AC156" s="1048"/>
      <c r="AD156" s="1048"/>
      <c r="AE156" s="1048"/>
      <c r="AF156" s="263"/>
      <c r="AG156" s="1048" t="str">
        <f>IF(OR(CharacterLevel="",Spellcasting!BE$24=""),"",VLOOKUP(Spellcasting!BE$24,Tables!$TK:$UB,Tables!$TV$1,FALSE))</f>
        <v/>
      </c>
      <c r="AH156" s="1048"/>
      <c r="AI156" s="1048"/>
      <c r="AJ156" s="1048"/>
      <c r="AK156" s="1048"/>
      <c r="AL156" s="1048"/>
      <c r="AM156" s="261"/>
      <c r="AN156" s="857" t="str">
        <f>IF(OR(CharacterLevel="",Spellcasting!BE$24=""),"",VLOOKUP(Spellcasting!BE$24,Tables!$TK:$UB,Tables!$TW$1,FALSE))</f>
        <v/>
      </c>
      <c r="AO156" s="857"/>
      <c r="AP156" s="857"/>
      <c r="AQ156" s="857"/>
      <c r="AR156" s="261"/>
      <c r="AS156" s="1048" t="str">
        <f>IF(OR(CharacterLevel="",Spellcasting!BE$24=""),"",VLOOKUP(Spellcasting!BE$24,Tables!$TK:$UB,Tables!$TZ$1,FALSE))</f>
        <v/>
      </c>
      <c r="AT156" s="1048"/>
      <c r="AU156" s="1048"/>
      <c r="AV156" s="1048"/>
      <c r="AW156" s="261"/>
      <c r="AX156" s="1319" t="str">
        <f>IF(OR(CharacterLevel="",Spellcasting!BE$24=""),"",VLOOKUP(Spellcasting!BE$24,Tables!$TK:$UB,Tables!$UB$1,FALSE))</f>
        <v/>
      </c>
      <c r="AY156" s="1319"/>
      <c r="AZ156" s="1319"/>
      <c r="BA156" s="1319"/>
      <c r="BB156" s="1319"/>
      <c r="BC156" s="1319"/>
      <c r="BD156" s="1319"/>
      <c r="BE156" s="1319"/>
      <c r="BF156" s="1319"/>
      <c r="BG156" s="1319"/>
      <c r="BH156" s="1319"/>
      <c r="BI156" s="1319"/>
      <c r="BJ156" s="1319"/>
      <c r="BK156" s="1319"/>
      <c r="BL156" s="1319"/>
      <c r="BM156" s="1319"/>
      <c r="BN156" s="1319"/>
      <c r="BO156" s="1319"/>
      <c r="BP156" s="1319"/>
      <c r="BQ156" s="1319"/>
      <c r="BR156" s="1319"/>
      <c r="BS156" s="1319"/>
      <c r="BT156" s="1319"/>
      <c r="BU156" s="1319"/>
      <c r="BV156" s="1319"/>
      <c r="BW156" s="174"/>
      <c r="BX156" s="857"/>
      <c r="BY156" s="857"/>
      <c r="BZ156" s="857"/>
      <c r="CA156" s="857"/>
      <c r="CB156" s="857"/>
      <c r="CC156" s="857"/>
      <c r="CD156" s="857"/>
      <c r="CE156" s="857"/>
      <c r="CF156" s="857"/>
      <c r="CG156" s="857"/>
      <c r="CH156" s="857"/>
      <c r="CI156" s="857"/>
      <c r="CJ156" s="857"/>
      <c r="CK156" s="857"/>
      <c r="CL156" s="857"/>
      <c r="CM156" s="857"/>
      <c r="CN156" s="857"/>
      <c r="CO156" s="857"/>
      <c r="CP156" s="857"/>
      <c r="CQ156" s="377"/>
      <c r="CR156" s="848"/>
      <c r="CS156" s="848"/>
      <c r="CT156" s="848"/>
      <c r="CU156" s="848"/>
      <c r="CV156" s="848"/>
      <c r="CW156" s="377"/>
      <c r="CX156" s="848"/>
      <c r="CY156" s="848"/>
      <c r="CZ156" s="848"/>
      <c r="DA156" s="848"/>
      <c r="DB156" s="377"/>
      <c r="DC156" s="848"/>
      <c r="DD156" s="848"/>
      <c r="DE156" s="848"/>
      <c r="DF156" s="848"/>
      <c r="DG156" s="848"/>
      <c r="DH156" s="848"/>
      <c r="DI156" s="848"/>
      <c r="DJ156" s="848"/>
      <c r="DK156" s="848"/>
      <c r="DL156" s="848"/>
      <c r="DM156" s="848"/>
      <c r="DN156" s="848"/>
      <c r="DO156" s="848"/>
      <c r="DP156" s="848"/>
      <c r="DQ156" s="848"/>
      <c r="DR156" s="848"/>
      <c r="DS156" s="260"/>
      <c r="DT156" s="946"/>
      <c r="DU156" s="946"/>
      <c r="DV156" s="946"/>
      <c r="DW156" s="946"/>
      <c r="DX156" s="946"/>
      <c r="DY156" s="946"/>
      <c r="DZ156" s="946"/>
      <c r="EA156" s="946"/>
      <c r="EB156" s="946"/>
      <c r="EC156" s="946"/>
      <c r="ED156" s="946"/>
      <c r="EE156" s="946"/>
      <c r="EF156" s="946"/>
      <c r="EG156" s="946"/>
      <c r="EH156" s="946"/>
      <c r="EI156" s="946"/>
      <c r="EJ156" s="946"/>
      <c r="EK156" s="946"/>
      <c r="EL156" s="946"/>
      <c r="EM156" s="946"/>
      <c r="EN156" s="946"/>
      <c r="EO156" s="946"/>
      <c r="EP156" s="946"/>
      <c r="EQ156" s="946"/>
      <c r="ER156" s="946"/>
    </row>
    <row r="157" spans="1:152" ht="9.75" customHeight="1" x14ac:dyDescent="0.2">
      <c r="A157" s="5"/>
      <c r="B157" s="1389"/>
      <c r="C157" s="1389"/>
      <c r="D157" s="1389"/>
      <c r="E157" s="1325" t="str">
        <f>IF(OR(CharacterLevel="",Spellcasting!AQ89=""),"",VLOOKUP(Spellcasting!AQ89,Tables!TK:UB,Tables!$TN$1,FALSE))</f>
        <v/>
      </c>
      <c r="F157" s="1325"/>
      <c r="G157" s="1325"/>
      <c r="H157" s="1325"/>
      <c r="I157" s="1325"/>
      <c r="J157" s="1325"/>
      <c r="K157" s="1325"/>
      <c r="L157" s="1325"/>
      <c r="M157" s="1325"/>
      <c r="N157" s="1325"/>
      <c r="O157" s="1325"/>
      <c r="P157" s="1325"/>
      <c r="Q157" s="1325"/>
      <c r="R157" s="1325"/>
      <c r="S157" s="1325"/>
      <c r="T157" s="1325"/>
      <c r="U157" s="263"/>
      <c r="V157" s="1321"/>
      <c r="W157" s="1321"/>
      <c r="X157" s="1321"/>
      <c r="Y157" s="1321"/>
      <c r="Z157" s="1321"/>
      <c r="AA157" s="263"/>
      <c r="AB157" s="1321"/>
      <c r="AC157" s="1321"/>
      <c r="AD157" s="1321"/>
      <c r="AE157" s="1321"/>
      <c r="AF157" s="263"/>
      <c r="AG157" s="1321"/>
      <c r="AH157" s="1321"/>
      <c r="AI157" s="1321"/>
      <c r="AJ157" s="1321"/>
      <c r="AK157" s="1321"/>
      <c r="AL157" s="1321"/>
      <c r="AM157" s="263"/>
      <c r="AN157" s="1326"/>
      <c r="AO157" s="1326"/>
      <c r="AP157" s="1326"/>
      <c r="AQ157" s="1326"/>
      <c r="AR157" s="263"/>
      <c r="AS157" s="1321"/>
      <c r="AT157" s="1321"/>
      <c r="AU157" s="1321"/>
      <c r="AV157" s="1321"/>
      <c r="AW157" s="263"/>
      <c r="AX157" s="1320"/>
      <c r="AY157" s="1320"/>
      <c r="AZ157" s="1320"/>
      <c r="BA157" s="1320"/>
      <c r="BB157" s="1320"/>
      <c r="BC157" s="1320"/>
      <c r="BD157" s="1320"/>
      <c r="BE157" s="1320"/>
      <c r="BF157" s="1320"/>
      <c r="BG157" s="1320"/>
      <c r="BH157" s="1320"/>
      <c r="BI157" s="1320"/>
      <c r="BJ157" s="1320"/>
      <c r="BK157" s="1320"/>
      <c r="BL157" s="1320"/>
      <c r="BM157" s="1320"/>
      <c r="BN157" s="1320"/>
      <c r="BO157" s="1320"/>
      <c r="BP157" s="1320"/>
      <c r="BQ157" s="1320"/>
      <c r="BR157" s="1320"/>
      <c r="BS157" s="1320"/>
      <c r="BT157" s="1320"/>
      <c r="BU157" s="1320"/>
      <c r="BV157" s="1320"/>
      <c r="BW157" s="174"/>
      <c r="BX157" s="1324" t="str">
        <f>IF(CharacterLevel="",'Character Sheet III'!$CF$202,IF(Spellcasting!BQ33="•",'Character Sheet III'!$BX$202,'Character Sheet III'!$CF$202))</f>
        <v>□</v>
      </c>
      <c r="BY157" s="1324"/>
      <c r="BZ157" s="1324"/>
      <c r="CA157" s="1319" t="str">
        <f>IF(OR(CharacterLevel="",Spellcasting!BS$33=""),"",VLOOKUP(Spellcasting!BS$33,Tables!$TK:$UB,Tables!$TN$1,FALSE))</f>
        <v/>
      </c>
      <c r="CB157" s="1319"/>
      <c r="CC157" s="1319"/>
      <c r="CD157" s="1319"/>
      <c r="CE157" s="1319"/>
      <c r="CF157" s="1319"/>
      <c r="CG157" s="1319"/>
      <c r="CH157" s="1319"/>
      <c r="CI157" s="1319"/>
      <c r="CJ157" s="1319"/>
      <c r="CK157" s="1319"/>
      <c r="CL157" s="1319"/>
      <c r="CM157" s="1319"/>
      <c r="CN157" s="1319"/>
      <c r="CO157" s="1319"/>
      <c r="CP157" s="1319"/>
      <c r="CQ157" s="263"/>
      <c r="CR157" s="1048" t="str">
        <f>IF(OR(CharacterLevel="",Spellcasting!BS$33=""),"",VLOOKUP(Spellcasting!BS$33,Tables!$TK:$UB,Tables!$TT$1,FALSE))</f>
        <v/>
      </c>
      <c r="CS157" s="1048"/>
      <c r="CT157" s="1048"/>
      <c r="CU157" s="1048"/>
      <c r="CV157" s="1048"/>
      <c r="CW157" s="263"/>
      <c r="CX157" s="1048" t="str">
        <f>IF(OR(CharacterLevel="",Spellcasting!BS$33=""),"",VLOOKUP(Spellcasting!BS$33,Tables!$TK:$UB,Tables!$TU$1,FALSE))</f>
        <v/>
      </c>
      <c r="CY157" s="1048"/>
      <c r="CZ157" s="1048"/>
      <c r="DA157" s="1048"/>
      <c r="DB157" s="263"/>
      <c r="DC157" s="1048" t="str">
        <f>IF(OR(CharacterLevel="",Spellcasting!BS$33=""),"",VLOOKUP(Spellcasting!BS$33,Tables!$TK:$UB,Tables!$TV$1,FALSE))</f>
        <v/>
      </c>
      <c r="DD157" s="1048"/>
      <c r="DE157" s="1048"/>
      <c r="DF157" s="1048"/>
      <c r="DG157" s="1048"/>
      <c r="DH157" s="1048"/>
      <c r="DI157" s="261"/>
      <c r="DJ157" s="1048" t="str">
        <f>IF(OR(CharacterLevel="",Spellcasting!BS$33=""),"",VLOOKUP(Spellcasting!BS$33,Tables!$TK:$UB,Tables!$TW$1,FALSE))</f>
        <v/>
      </c>
      <c r="DK157" s="1048"/>
      <c r="DL157" s="1048"/>
      <c r="DM157" s="1048"/>
      <c r="DN157" s="261"/>
      <c r="DO157" s="1048" t="str">
        <f>IF(OR(CharacterLevel="",Spellcasting!BS$33=""),"",VLOOKUP(Spellcasting!BS$33,Tables!$TK:$UB,Tables!$TZ$1,FALSE))</f>
        <v/>
      </c>
      <c r="DP157" s="1048"/>
      <c r="DQ157" s="1048"/>
      <c r="DR157" s="1048"/>
      <c r="DS157" s="261"/>
      <c r="DT157" s="1319" t="str">
        <f>IF(OR(CharacterLevel="",Spellcasting!BS$33=""),"",VLOOKUP(Spellcasting!BS$33,Tables!$TK:$UB,Tables!$UB$1,FALSE))</f>
        <v/>
      </c>
      <c r="DU157" s="1319"/>
      <c r="DV157" s="1319"/>
      <c r="DW157" s="1319"/>
      <c r="DX157" s="1319"/>
      <c r="DY157" s="1319"/>
      <c r="DZ157" s="1319"/>
      <c r="EA157" s="1319"/>
      <c r="EB157" s="1319"/>
      <c r="EC157" s="1319"/>
      <c r="ED157" s="1319"/>
      <c r="EE157" s="1319"/>
      <c r="EF157" s="1319"/>
      <c r="EG157" s="1319"/>
      <c r="EH157" s="1319"/>
      <c r="EI157" s="1319"/>
      <c r="EJ157" s="1319"/>
      <c r="EK157" s="1319"/>
      <c r="EL157" s="1319"/>
      <c r="EM157" s="1319"/>
      <c r="EN157" s="1319"/>
      <c r="EO157" s="1319"/>
      <c r="EP157" s="1319"/>
      <c r="EQ157" s="1319"/>
      <c r="ER157" s="1319"/>
    </row>
    <row r="158" spans="1:152" ht="9.75" customHeight="1" x14ac:dyDescent="0.2">
      <c r="A158" s="5"/>
      <c r="B158" s="1389" t="str">
        <f>IF(CharacterLevel="",'Character Sheet III'!$CF$202,IF(Spellcasting!BC25="•",'Character Sheet III'!$BX$202,'Character Sheet III'!$CF$202))</f>
        <v>□</v>
      </c>
      <c r="C158" s="1389"/>
      <c r="D158" s="1389"/>
      <c r="E158" s="1325" t="str">
        <f>IF(OR(CharacterLevel="",Spellcasting!BE$25=""),"",VLOOKUP(Spellcasting!BE$25,Tables!$TK:$UB,Tables!$TN$1,FALSE))</f>
        <v/>
      </c>
      <c r="F158" s="1325"/>
      <c r="G158" s="1325"/>
      <c r="H158" s="1325"/>
      <c r="I158" s="1325"/>
      <c r="J158" s="1325"/>
      <c r="K158" s="1325"/>
      <c r="L158" s="1325"/>
      <c r="M158" s="1325"/>
      <c r="N158" s="1325"/>
      <c r="O158" s="1325"/>
      <c r="P158" s="1325"/>
      <c r="Q158" s="1325"/>
      <c r="R158" s="1325"/>
      <c r="S158" s="1325"/>
      <c r="T158" s="1325"/>
      <c r="U158" s="263"/>
      <c r="V158" s="1048" t="str">
        <f>IF(OR(CharacterLevel="",Spellcasting!BE$25=""),"",VLOOKUP(Spellcasting!BE$25,Tables!$TK:$UB,Tables!$TT$1,FALSE))</f>
        <v/>
      </c>
      <c r="W158" s="1048"/>
      <c r="X158" s="1048"/>
      <c r="Y158" s="1048"/>
      <c r="Z158" s="1048"/>
      <c r="AA158" s="263"/>
      <c r="AB158" s="1048" t="str">
        <f>IF(OR(CharacterLevel="",Spellcasting!BE$25=""),"",VLOOKUP(Spellcasting!BE$25,Tables!$TK:$UB,Tables!$TU$1,FALSE))</f>
        <v/>
      </c>
      <c r="AC158" s="1048"/>
      <c r="AD158" s="1048"/>
      <c r="AE158" s="1048"/>
      <c r="AF158" s="263"/>
      <c r="AG158" s="1048" t="str">
        <f>IF(OR(CharacterLevel="",Spellcasting!BE$25=""),"",VLOOKUP(Spellcasting!BE$25,Tables!$TK:$UB,Tables!$TV$1,FALSE))</f>
        <v/>
      </c>
      <c r="AH158" s="1048"/>
      <c r="AI158" s="1048"/>
      <c r="AJ158" s="1048"/>
      <c r="AK158" s="1048"/>
      <c r="AL158" s="1048"/>
      <c r="AM158" s="261"/>
      <c r="AN158" s="857" t="str">
        <f>IF(OR(CharacterLevel="",Spellcasting!BE$25=""),"",VLOOKUP(Spellcasting!BE$25,Tables!$TK:$UB,Tables!$TW$1,FALSE))</f>
        <v/>
      </c>
      <c r="AO158" s="857"/>
      <c r="AP158" s="857"/>
      <c r="AQ158" s="857"/>
      <c r="AR158" s="261"/>
      <c r="AS158" s="1048" t="str">
        <f>IF(OR(CharacterLevel="",Spellcasting!BE$25=""),"",VLOOKUP(Spellcasting!BE$25,Tables!$TK:$UB,Tables!$TZ$1,FALSE))</f>
        <v/>
      </c>
      <c r="AT158" s="1048"/>
      <c r="AU158" s="1048"/>
      <c r="AV158" s="1048"/>
      <c r="AW158" s="261"/>
      <c r="AX158" s="1319" t="str">
        <f>IF(OR(CharacterLevel="",Spellcasting!BE$25=""),"",VLOOKUP(Spellcasting!BE$25,Tables!$TK:$UB,Tables!$UB$1,FALSE))</f>
        <v/>
      </c>
      <c r="AY158" s="1319"/>
      <c r="AZ158" s="1319"/>
      <c r="BA158" s="1319"/>
      <c r="BB158" s="1319"/>
      <c r="BC158" s="1319"/>
      <c r="BD158" s="1319"/>
      <c r="BE158" s="1319"/>
      <c r="BF158" s="1319"/>
      <c r="BG158" s="1319"/>
      <c r="BH158" s="1319"/>
      <c r="BI158" s="1319"/>
      <c r="BJ158" s="1319"/>
      <c r="BK158" s="1319"/>
      <c r="BL158" s="1319"/>
      <c r="BM158" s="1319"/>
      <c r="BN158" s="1319"/>
      <c r="BO158" s="1319"/>
      <c r="BP158" s="1319"/>
      <c r="BQ158" s="1319"/>
      <c r="BR158" s="1319"/>
      <c r="BS158" s="1319"/>
      <c r="BT158" s="1319"/>
      <c r="BU158" s="1319"/>
      <c r="BV158" s="1319"/>
      <c r="BW158" s="174"/>
      <c r="BX158" s="1324"/>
      <c r="BY158" s="1324"/>
      <c r="BZ158" s="1324"/>
      <c r="CA158" s="1320"/>
      <c r="CB158" s="1320"/>
      <c r="CC158" s="1320"/>
      <c r="CD158" s="1320"/>
      <c r="CE158" s="1320"/>
      <c r="CF158" s="1320"/>
      <c r="CG158" s="1320"/>
      <c r="CH158" s="1320"/>
      <c r="CI158" s="1320"/>
      <c r="CJ158" s="1320"/>
      <c r="CK158" s="1320"/>
      <c r="CL158" s="1320"/>
      <c r="CM158" s="1320"/>
      <c r="CN158" s="1320"/>
      <c r="CO158" s="1320"/>
      <c r="CP158" s="1320"/>
      <c r="CQ158" s="263"/>
      <c r="CR158" s="1321"/>
      <c r="CS158" s="1321"/>
      <c r="CT158" s="1321"/>
      <c r="CU158" s="1321"/>
      <c r="CV158" s="1321"/>
      <c r="CW158" s="5"/>
      <c r="CX158" s="1321"/>
      <c r="CY158" s="1321"/>
      <c r="CZ158" s="1321"/>
      <c r="DA158" s="1321"/>
      <c r="DB158" s="5"/>
      <c r="DC158" s="1321"/>
      <c r="DD158" s="1321"/>
      <c r="DE158" s="1321"/>
      <c r="DF158" s="1321"/>
      <c r="DG158" s="1321"/>
      <c r="DH158" s="1321"/>
      <c r="DI158" s="5"/>
      <c r="DJ158" s="1321"/>
      <c r="DK158" s="1321"/>
      <c r="DL158" s="1321"/>
      <c r="DM158" s="1321"/>
      <c r="DN158" s="5"/>
      <c r="DO158" s="1321"/>
      <c r="DP158" s="1321"/>
      <c r="DQ158" s="1321"/>
      <c r="DR158" s="1321"/>
      <c r="DS158" s="5"/>
      <c r="DT158" s="1320"/>
      <c r="DU158" s="1320"/>
      <c r="DV158" s="1320"/>
      <c r="DW158" s="1320"/>
      <c r="DX158" s="1320"/>
      <c r="DY158" s="1320"/>
      <c r="DZ158" s="1320"/>
      <c r="EA158" s="1320"/>
      <c r="EB158" s="1320"/>
      <c r="EC158" s="1320"/>
      <c r="ED158" s="1320"/>
      <c r="EE158" s="1320"/>
      <c r="EF158" s="1320"/>
      <c r="EG158" s="1320"/>
      <c r="EH158" s="1320"/>
      <c r="EI158" s="1320"/>
      <c r="EJ158" s="1320"/>
      <c r="EK158" s="1320"/>
      <c r="EL158" s="1320"/>
      <c r="EM158" s="1320"/>
      <c r="EN158" s="1320"/>
      <c r="EO158" s="1320"/>
      <c r="EP158" s="1320"/>
      <c r="EQ158" s="1320"/>
      <c r="ER158" s="1320"/>
    </row>
    <row r="159" spans="1:152" ht="9.75" customHeight="1" x14ac:dyDescent="0.2">
      <c r="A159" s="5"/>
      <c r="B159" s="1389"/>
      <c r="C159" s="1389"/>
      <c r="D159" s="1389"/>
      <c r="E159" s="1325"/>
      <c r="F159" s="1325"/>
      <c r="G159" s="1325"/>
      <c r="H159" s="1325"/>
      <c r="I159" s="1325"/>
      <c r="J159" s="1325"/>
      <c r="K159" s="1325"/>
      <c r="L159" s="1325"/>
      <c r="M159" s="1325"/>
      <c r="N159" s="1325"/>
      <c r="O159" s="1325"/>
      <c r="P159" s="1325"/>
      <c r="Q159" s="1325"/>
      <c r="R159" s="1325"/>
      <c r="S159" s="1325"/>
      <c r="T159" s="1325"/>
      <c r="U159" s="263"/>
      <c r="V159" s="1321"/>
      <c r="W159" s="1321"/>
      <c r="X159" s="1321"/>
      <c r="Y159" s="1321"/>
      <c r="Z159" s="1321"/>
      <c r="AA159" s="263"/>
      <c r="AB159" s="1321"/>
      <c r="AC159" s="1321"/>
      <c r="AD159" s="1321"/>
      <c r="AE159" s="1321"/>
      <c r="AF159" s="263"/>
      <c r="AG159" s="1321"/>
      <c r="AH159" s="1321"/>
      <c r="AI159" s="1321"/>
      <c r="AJ159" s="1321"/>
      <c r="AK159" s="1321"/>
      <c r="AL159" s="1321"/>
      <c r="AM159" s="263"/>
      <c r="AN159" s="1326"/>
      <c r="AO159" s="1326"/>
      <c r="AP159" s="1326"/>
      <c r="AQ159" s="1326"/>
      <c r="AR159" s="263"/>
      <c r="AS159" s="1321"/>
      <c r="AT159" s="1321"/>
      <c r="AU159" s="1321"/>
      <c r="AV159" s="1321"/>
      <c r="AW159" s="263"/>
      <c r="AX159" s="1320"/>
      <c r="AY159" s="1320"/>
      <c r="AZ159" s="1320"/>
      <c r="BA159" s="1320"/>
      <c r="BB159" s="1320"/>
      <c r="BC159" s="1320"/>
      <c r="BD159" s="1320"/>
      <c r="BE159" s="1320"/>
      <c r="BF159" s="1320"/>
      <c r="BG159" s="1320"/>
      <c r="BH159" s="1320"/>
      <c r="BI159" s="1320"/>
      <c r="BJ159" s="1320"/>
      <c r="BK159" s="1320"/>
      <c r="BL159" s="1320"/>
      <c r="BM159" s="1320"/>
      <c r="BN159" s="1320"/>
      <c r="BO159" s="1320"/>
      <c r="BP159" s="1320"/>
      <c r="BQ159" s="1320"/>
      <c r="BR159" s="1320"/>
      <c r="BS159" s="1320"/>
      <c r="BT159" s="1320"/>
      <c r="BU159" s="1320"/>
      <c r="BV159" s="1320"/>
      <c r="BW159" s="174"/>
      <c r="BX159" s="1324" t="str">
        <f>IF(CharacterLevel="",'Character Sheet III'!$CF$202,IF(Spellcasting!BQ34="•",'Character Sheet III'!$BX$202,'Character Sheet III'!$CF$202))</f>
        <v>□</v>
      </c>
      <c r="BY159" s="1324"/>
      <c r="BZ159" s="1324"/>
      <c r="CA159" s="1325" t="str">
        <f>IF(OR(CharacterLevel="",Spellcasting!BS$34=""),"",VLOOKUP(Spellcasting!BS$34,Tables!$TK:$UB,Tables!$TN$1,FALSE))</f>
        <v/>
      </c>
      <c r="CB159" s="1325"/>
      <c r="CC159" s="1325"/>
      <c r="CD159" s="1325"/>
      <c r="CE159" s="1325"/>
      <c r="CF159" s="1325"/>
      <c r="CG159" s="1325"/>
      <c r="CH159" s="1325"/>
      <c r="CI159" s="1325"/>
      <c r="CJ159" s="1325"/>
      <c r="CK159" s="1325"/>
      <c r="CL159" s="1325"/>
      <c r="CM159" s="1325"/>
      <c r="CN159" s="1325"/>
      <c r="CO159" s="1325"/>
      <c r="CP159" s="1325"/>
      <c r="CQ159" s="263"/>
      <c r="CR159" s="1048" t="str">
        <f>IF(OR(CharacterLevel="",Spellcasting!BS$34=""),"",VLOOKUP(Spellcasting!BS$34,Tables!$TK:$UB,Tables!$TT$1,FALSE))</f>
        <v/>
      </c>
      <c r="CS159" s="1048"/>
      <c r="CT159" s="1048"/>
      <c r="CU159" s="1048"/>
      <c r="CV159" s="1048"/>
      <c r="CW159" s="263"/>
      <c r="CX159" s="1048" t="str">
        <f>IF(OR(CharacterLevel="",Spellcasting!BS$34=""),"",VLOOKUP(Spellcasting!BS$34,Tables!$TK:$UB,Tables!$TU$1,FALSE))</f>
        <v/>
      </c>
      <c r="CY159" s="1048"/>
      <c r="CZ159" s="1048"/>
      <c r="DA159" s="1048"/>
      <c r="DB159" s="263"/>
      <c r="DC159" s="1048" t="str">
        <f>IF(OR(CharacterLevel="",Spellcasting!BS$34=""),"",VLOOKUP(Spellcasting!BS$34,Tables!$TK:$UB,Tables!$TV$1,FALSE))</f>
        <v/>
      </c>
      <c r="DD159" s="1048"/>
      <c r="DE159" s="1048"/>
      <c r="DF159" s="1048"/>
      <c r="DG159" s="1048"/>
      <c r="DH159" s="1048"/>
      <c r="DI159" s="261"/>
      <c r="DJ159" s="1048" t="str">
        <f>IF(OR(CharacterLevel="",Spellcasting!BS$34=""),"",VLOOKUP(Spellcasting!BS$34,Tables!$TK:$UB,Tables!$TW$1,FALSE))</f>
        <v/>
      </c>
      <c r="DK159" s="1048"/>
      <c r="DL159" s="1048"/>
      <c r="DM159" s="1048"/>
      <c r="DN159" s="261"/>
      <c r="DO159" s="1048" t="str">
        <f>IF(OR(CharacterLevel="",Spellcasting!BS$34=""),"",VLOOKUP(Spellcasting!BS$34,Tables!$TK:$UB,Tables!$TZ$1,FALSE))</f>
        <v/>
      </c>
      <c r="DP159" s="1048"/>
      <c r="DQ159" s="1048"/>
      <c r="DR159" s="1048"/>
      <c r="DS159" s="261"/>
      <c r="DT159" s="1319" t="str">
        <f>IF(OR(CharacterLevel="",Spellcasting!BS$34=""),"",VLOOKUP(Spellcasting!BS$34,Tables!$TK:$UB,Tables!$UB$1,FALSE))</f>
        <v/>
      </c>
      <c r="DU159" s="1319"/>
      <c r="DV159" s="1319"/>
      <c r="DW159" s="1319"/>
      <c r="DX159" s="1319"/>
      <c r="DY159" s="1319"/>
      <c r="DZ159" s="1319"/>
      <c r="EA159" s="1319"/>
      <c r="EB159" s="1319"/>
      <c r="EC159" s="1319"/>
      <c r="ED159" s="1319"/>
      <c r="EE159" s="1319"/>
      <c r="EF159" s="1319"/>
      <c r="EG159" s="1319"/>
      <c r="EH159" s="1319"/>
      <c r="EI159" s="1319"/>
      <c r="EJ159" s="1319"/>
      <c r="EK159" s="1319"/>
      <c r="EL159" s="1319"/>
      <c r="EM159" s="1319"/>
      <c r="EN159" s="1319"/>
      <c r="EO159" s="1319"/>
      <c r="EP159" s="1319"/>
      <c r="EQ159" s="1319"/>
      <c r="ER159" s="1319"/>
    </row>
    <row r="160" spans="1:152" ht="9.75" customHeight="1" x14ac:dyDescent="0.25">
      <c r="A160" s="5"/>
      <c r="B160" s="1369" t="s">
        <v>460</v>
      </c>
      <c r="C160" s="1369"/>
      <c r="D160" s="1369"/>
      <c r="E160" s="1369"/>
      <c r="F160" s="1369"/>
      <c r="G160" s="1369"/>
      <c r="H160" s="1369"/>
      <c r="I160" s="1369"/>
      <c r="J160" s="1369"/>
      <c r="K160" s="263"/>
      <c r="L160" s="263"/>
      <c r="M160" s="263"/>
      <c r="N160" s="263"/>
      <c r="O160" s="263"/>
      <c r="P160" s="263"/>
      <c r="Q160" s="263"/>
      <c r="R160" s="263"/>
      <c r="S160" s="376"/>
      <c r="T160" s="263"/>
      <c r="U160" s="263"/>
      <c r="V160" s="263"/>
      <c r="W160" s="263"/>
      <c r="X160" s="263"/>
      <c r="Y160" s="263"/>
      <c r="Z160" s="263"/>
      <c r="AA160" s="376"/>
      <c r="AB160" s="263"/>
      <c r="AC160" s="263"/>
      <c r="AD160" s="263"/>
      <c r="AE160" s="263"/>
      <c r="AF160" s="263"/>
      <c r="AG160" s="263"/>
      <c r="AH160" s="263"/>
      <c r="AI160" s="263"/>
      <c r="AJ160" s="263"/>
      <c r="AK160" s="263"/>
      <c r="AL160" s="263"/>
      <c r="AM160" s="263"/>
      <c r="AN160" s="377"/>
      <c r="AO160" s="540"/>
      <c r="AP160" s="377"/>
      <c r="AQ160" s="377"/>
      <c r="AR160" s="263"/>
      <c r="AS160" s="263"/>
      <c r="AT160" s="263"/>
      <c r="AU160" s="263"/>
      <c r="AV160" s="263"/>
      <c r="AW160" s="263"/>
      <c r="AX160" s="541"/>
      <c r="AY160" s="541"/>
      <c r="AZ160" s="541"/>
      <c r="BA160" s="541"/>
      <c r="BB160" s="541"/>
      <c r="BC160" s="541"/>
      <c r="BD160" s="541"/>
      <c r="BE160" s="541"/>
      <c r="BF160" s="541"/>
      <c r="BG160" s="541"/>
      <c r="BH160" s="541"/>
      <c r="BI160" s="541"/>
      <c r="BJ160" s="541"/>
      <c r="BK160" s="541"/>
      <c r="BL160" s="541"/>
      <c r="BM160" s="541"/>
      <c r="BN160" s="541"/>
      <c r="BO160" s="541"/>
      <c r="BP160" s="541"/>
      <c r="BQ160" s="541"/>
      <c r="BR160" s="541"/>
      <c r="BS160" s="541"/>
      <c r="BT160" s="541"/>
      <c r="BU160" s="541"/>
      <c r="BV160" s="541"/>
      <c r="BW160" s="174"/>
      <c r="BX160" s="1324"/>
      <c r="BY160" s="1324"/>
      <c r="BZ160" s="1324"/>
      <c r="CA160" s="1325"/>
      <c r="CB160" s="1325"/>
      <c r="CC160" s="1325"/>
      <c r="CD160" s="1325"/>
      <c r="CE160" s="1325"/>
      <c r="CF160" s="1325"/>
      <c r="CG160" s="1325"/>
      <c r="CH160" s="1325"/>
      <c r="CI160" s="1325"/>
      <c r="CJ160" s="1325"/>
      <c r="CK160" s="1325"/>
      <c r="CL160" s="1325"/>
      <c r="CM160" s="1325"/>
      <c r="CN160" s="1325"/>
      <c r="CO160" s="1325"/>
      <c r="CP160" s="1325"/>
      <c r="CQ160" s="263"/>
      <c r="CR160" s="1321"/>
      <c r="CS160" s="1321"/>
      <c r="CT160" s="1321"/>
      <c r="CU160" s="1321"/>
      <c r="CV160" s="1321"/>
      <c r="CW160" s="5"/>
      <c r="CX160" s="1321"/>
      <c r="CY160" s="1321"/>
      <c r="CZ160" s="1321"/>
      <c r="DA160" s="1321"/>
      <c r="DB160" s="5"/>
      <c r="DC160" s="1321"/>
      <c r="DD160" s="1321"/>
      <c r="DE160" s="1321"/>
      <c r="DF160" s="1321"/>
      <c r="DG160" s="1321"/>
      <c r="DH160" s="1321"/>
      <c r="DI160" s="5"/>
      <c r="DJ160" s="1321"/>
      <c r="DK160" s="1321"/>
      <c r="DL160" s="1321"/>
      <c r="DM160" s="1321"/>
      <c r="DN160" s="5"/>
      <c r="DO160" s="1321"/>
      <c r="DP160" s="1321"/>
      <c r="DQ160" s="1321"/>
      <c r="DR160" s="1321"/>
      <c r="DS160" s="5"/>
      <c r="DT160" s="1320"/>
      <c r="DU160" s="1320"/>
      <c r="DV160" s="1320"/>
      <c r="DW160" s="1320"/>
      <c r="DX160" s="1320"/>
      <c r="DY160" s="1320"/>
      <c r="DZ160" s="1320"/>
      <c r="EA160" s="1320"/>
      <c r="EB160" s="1320"/>
      <c r="EC160" s="1320"/>
      <c r="ED160" s="1320"/>
      <c r="EE160" s="1320"/>
      <c r="EF160" s="1320"/>
      <c r="EG160" s="1320"/>
      <c r="EH160" s="1320"/>
      <c r="EI160" s="1320"/>
      <c r="EJ160" s="1320"/>
      <c r="EK160" s="1320"/>
      <c r="EL160" s="1320"/>
      <c r="EM160" s="1320"/>
      <c r="EN160" s="1320"/>
      <c r="EO160" s="1320"/>
      <c r="EP160" s="1320"/>
      <c r="EQ160" s="1320"/>
      <c r="ER160" s="1320"/>
    </row>
    <row r="161" spans="1:148" ht="9.75" customHeight="1" x14ac:dyDescent="0.25">
      <c r="A161" s="5"/>
      <c r="B161" s="1369"/>
      <c r="C161" s="1369"/>
      <c r="D161" s="1369"/>
      <c r="E161" s="1369"/>
      <c r="F161" s="1369"/>
      <c r="G161" s="1369"/>
      <c r="H161" s="1369"/>
      <c r="I161" s="1369"/>
      <c r="J161" s="1369"/>
      <c r="K161" s="263"/>
      <c r="L161" s="263"/>
      <c r="M161" s="263"/>
      <c r="N161" s="263"/>
      <c r="O161" s="263"/>
      <c r="P161" s="263"/>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377"/>
      <c r="AO161" s="377"/>
      <c r="AP161" s="377"/>
      <c r="AQ161" s="377"/>
      <c r="AR161" s="263"/>
      <c r="AS161" s="263"/>
      <c r="AT161" s="263"/>
      <c r="AU161" s="263"/>
      <c r="AV161" s="263"/>
      <c r="AW161" s="263"/>
      <c r="AX161" s="541"/>
      <c r="AY161" s="541"/>
      <c r="AZ161" s="541"/>
      <c r="BA161" s="541"/>
      <c r="BB161" s="541"/>
      <c r="BC161" s="541"/>
      <c r="BD161" s="541"/>
      <c r="BE161" s="541"/>
      <c r="BF161" s="541"/>
      <c r="BG161" s="541"/>
      <c r="BH161" s="541"/>
      <c r="BI161" s="541"/>
      <c r="BJ161" s="541"/>
      <c r="BK161" s="541"/>
      <c r="BL161" s="541"/>
      <c r="BM161" s="541"/>
      <c r="BN161" s="541"/>
      <c r="BO161" s="541"/>
      <c r="BP161" s="541"/>
      <c r="BQ161" s="541"/>
      <c r="BR161" s="541"/>
      <c r="BS161" s="541"/>
      <c r="BT161" s="541"/>
      <c r="BU161" s="541"/>
      <c r="BV161" s="541"/>
      <c r="BW161" s="174"/>
      <c r="BX161" s="1324" t="str">
        <f>IF(CharacterLevel="",'Character Sheet III'!$CF$202,IF(Spellcasting!BQ35="•",'Character Sheet III'!$BX$202,'Character Sheet III'!$CF$202))</f>
        <v>□</v>
      </c>
      <c r="BY161" s="1324"/>
      <c r="BZ161" s="1324"/>
      <c r="CA161" s="1325" t="str">
        <f>IF(OR(CharacterLevel="",Spellcasting!BS$35=""),"",VLOOKUP(Spellcasting!BS$35,Tables!$TK:$UB,Tables!$TN$1,FALSE))</f>
        <v/>
      </c>
      <c r="CB161" s="1325"/>
      <c r="CC161" s="1325"/>
      <c r="CD161" s="1325"/>
      <c r="CE161" s="1325"/>
      <c r="CF161" s="1325"/>
      <c r="CG161" s="1325"/>
      <c r="CH161" s="1325"/>
      <c r="CI161" s="1325"/>
      <c r="CJ161" s="1325"/>
      <c r="CK161" s="1325"/>
      <c r="CL161" s="1325"/>
      <c r="CM161" s="1325"/>
      <c r="CN161" s="1325"/>
      <c r="CO161" s="1325"/>
      <c r="CP161" s="1325"/>
      <c r="CQ161" s="263"/>
      <c r="CR161" s="1048" t="str">
        <f>IF(OR(CharacterLevel="",Spellcasting!BS$35=""),"",VLOOKUP(Spellcasting!BS$35,Tables!$TK:$UB,Tables!$TT$1,FALSE))</f>
        <v/>
      </c>
      <c r="CS161" s="1048"/>
      <c r="CT161" s="1048"/>
      <c r="CU161" s="1048"/>
      <c r="CV161" s="1048"/>
      <c r="CW161" s="263"/>
      <c r="CX161" s="1048" t="str">
        <f>IF(OR(CharacterLevel="",Spellcasting!BS$35=""),"",VLOOKUP(Spellcasting!BS$35,Tables!$TK:$UB,Tables!$TU$1,FALSE))</f>
        <v/>
      </c>
      <c r="CY161" s="1048"/>
      <c r="CZ161" s="1048"/>
      <c r="DA161" s="1048"/>
      <c r="DB161" s="263"/>
      <c r="DC161" s="1048" t="str">
        <f>IF(OR(CharacterLevel="",Spellcasting!BS$35=""),"",VLOOKUP(Spellcasting!BS$35,Tables!$TK:$UB,Tables!$TV$1,FALSE))</f>
        <v/>
      </c>
      <c r="DD161" s="1048"/>
      <c r="DE161" s="1048"/>
      <c r="DF161" s="1048"/>
      <c r="DG161" s="1048"/>
      <c r="DH161" s="1048"/>
      <c r="DI161" s="261"/>
      <c r="DJ161" s="1048" t="str">
        <f>IF(OR(CharacterLevel="",Spellcasting!BS$35=""),"",VLOOKUP(Spellcasting!BS$35,Tables!$TK:$UB,Tables!$TW$1,FALSE))</f>
        <v/>
      </c>
      <c r="DK161" s="1048"/>
      <c r="DL161" s="1048"/>
      <c r="DM161" s="1048"/>
      <c r="DN161" s="261"/>
      <c r="DO161" s="1048" t="str">
        <f>IF(OR(CharacterLevel="",Spellcasting!BS$35=""),"",VLOOKUP(Spellcasting!BS$35,Tables!$TK:$UB,Tables!$TZ$1,FALSE))</f>
        <v/>
      </c>
      <c r="DP161" s="1048"/>
      <c r="DQ161" s="1048"/>
      <c r="DR161" s="1048"/>
      <c r="DS161" s="261"/>
      <c r="DT161" s="1319" t="str">
        <f>IF(OR(CharacterLevel="",Spellcasting!BS$35=""),"",VLOOKUP(Spellcasting!BS$35,Tables!$TK:$UB,Tables!$UB$1,FALSE))</f>
        <v/>
      </c>
      <c r="DU161" s="1319"/>
      <c r="DV161" s="1319"/>
      <c r="DW161" s="1319"/>
      <c r="DX161" s="1319"/>
      <c r="DY161" s="1319"/>
      <c r="DZ161" s="1319"/>
      <c r="EA161" s="1319"/>
      <c r="EB161" s="1319"/>
      <c r="EC161" s="1319"/>
      <c r="ED161" s="1319"/>
      <c r="EE161" s="1319"/>
      <c r="EF161" s="1319"/>
      <c r="EG161" s="1319"/>
      <c r="EH161" s="1319"/>
      <c r="EI161" s="1319"/>
      <c r="EJ161" s="1319"/>
      <c r="EK161" s="1319"/>
      <c r="EL161" s="1319"/>
      <c r="EM161" s="1319"/>
      <c r="EN161" s="1319"/>
      <c r="EO161" s="1319"/>
      <c r="EP161" s="1319"/>
      <c r="EQ161" s="1319"/>
      <c r="ER161" s="1319"/>
    </row>
    <row r="162" spans="1:148" ht="9.75" customHeight="1" x14ac:dyDescent="0.25">
      <c r="A162" s="5"/>
      <c r="B162" s="857" t="s">
        <v>455</v>
      </c>
      <c r="C162" s="857"/>
      <c r="D162" s="857"/>
      <c r="E162" s="857" t="s">
        <v>456</v>
      </c>
      <c r="F162" s="857"/>
      <c r="G162" s="857"/>
      <c r="H162" s="857"/>
      <c r="I162" s="857"/>
      <c r="J162" s="857"/>
      <c r="K162" s="857"/>
      <c r="L162" s="857"/>
      <c r="M162" s="857"/>
      <c r="N162" s="857"/>
      <c r="O162" s="857"/>
      <c r="P162" s="857"/>
      <c r="Q162" s="857"/>
      <c r="R162" s="857"/>
      <c r="S162" s="857"/>
      <c r="T162" s="857"/>
      <c r="U162" s="377"/>
      <c r="V162" s="848" t="s">
        <v>452</v>
      </c>
      <c r="W162" s="848"/>
      <c r="X162" s="848"/>
      <c r="Y162" s="848"/>
      <c r="Z162" s="848"/>
      <c r="AA162" s="377"/>
      <c r="AB162" s="848" t="s">
        <v>48</v>
      </c>
      <c r="AC162" s="848"/>
      <c r="AD162" s="848"/>
      <c r="AE162" s="848"/>
      <c r="AF162" s="377"/>
      <c r="AG162" s="848" t="s">
        <v>453</v>
      </c>
      <c r="AH162" s="848"/>
      <c r="AI162" s="848"/>
      <c r="AJ162" s="848"/>
      <c r="AK162" s="848"/>
      <c r="AL162" s="848"/>
      <c r="AM162" s="848" t="s">
        <v>454</v>
      </c>
      <c r="AN162" s="848"/>
      <c r="AO162" s="848"/>
      <c r="AP162" s="848"/>
      <c r="AQ162" s="848"/>
      <c r="AR162" s="848"/>
      <c r="AS162" s="848" t="s">
        <v>9</v>
      </c>
      <c r="AT162" s="848"/>
      <c r="AU162" s="848"/>
      <c r="AV162" s="848"/>
      <c r="AW162" s="259"/>
      <c r="AX162" s="946" t="s">
        <v>457</v>
      </c>
      <c r="AY162" s="946"/>
      <c r="AZ162" s="946"/>
      <c r="BA162" s="946"/>
      <c r="BB162" s="946"/>
      <c r="BC162" s="946"/>
      <c r="BD162" s="946"/>
      <c r="BE162" s="946"/>
      <c r="BF162" s="946"/>
      <c r="BG162" s="946"/>
      <c r="BH162" s="946"/>
      <c r="BI162" s="946"/>
      <c r="BJ162" s="946"/>
      <c r="BK162" s="946"/>
      <c r="BL162" s="946"/>
      <c r="BM162" s="946"/>
      <c r="BN162" s="946"/>
      <c r="BO162" s="946"/>
      <c r="BP162" s="946"/>
      <c r="BQ162" s="946"/>
      <c r="BR162" s="946"/>
      <c r="BS162" s="946"/>
      <c r="BT162" s="946"/>
      <c r="BU162" s="946"/>
      <c r="BV162" s="946"/>
      <c r="BW162" s="174"/>
      <c r="BX162" s="1324"/>
      <c r="BY162" s="1324"/>
      <c r="BZ162" s="1324"/>
      <c r="CA162" s="1325"/>
      <c r="CB162" s="1325"/>
      <c r="CC162" s="1325"/>
      <c r="CD162" s="1325"/>
      <c r="CE162" s="1325"/>
      <c r="CF162" s="1325"/>
      <c r="CG162" s="1325"/>
      <c r="CH162" s="1325"/>
      <c r="CI162" s="1325"/>
      <c r="CJ162" s="1325"/>
      <c r="CK162" s="1325"/>
      <c r="CL162" s="1325"/>
      <c r="CM162" s="1325"/>
      <c r="CN162" s="1325"/>
      <c r="CO162" s="1325"/>
      <c r="CP162" s="1325"/>
      <c r="CQ162" s="263"/>
      <c r="CR162" s="1321"/>
      <c r="CS162" s="1321"/>
      <c r="CT162" s="1321"/>
      <c r="CU162" s="1321"/>
      <c r="CV162" s="1321"/>
      <c r="CW162" s="5"/>
      <c r="CX162" s="1321"/>
      <c r="CY162" s="1321"/>
      <c r="CZ162" s="1321"/>
      <c r="DA162" s="1321"/>
      <c r="DB162" s="5"/>
      <c r="DC162" s="1321"/>
      <c r="DD162" s="1321"/>
      <c r="DE162" s="1321"/>
      <c r="DF162" s="1321"/>
      <c r="DG162" s="1321"/>
      <c r="DH162" s="1321"/>
      <c r="DI162" s="5"/>
      <c r="DJ162" s="1321"/>
      <c r="DK162" s="1321"/>
      <c r="DL162" s="1321"/>
      <c r="DM162" s="1321"/>
      <c r="DN162" s="5"/>
      <c r="DO162" s="1321"/>
      <c r="DP162" s="1321"/>
      <c r="DQ162" s="1321"/>
      <c r="DR162" s="1321"/>
      <c r="DS162" s="5"/>
      <c r="DT162" s="1320"/>
      <c r="DU162" s="1320"/>
      <c r="DV162" s="1320"/>
      <c r="DW162" s="1320"/>
      <c r="DX162" s="1320"/>
      <c r="DY162" s="1320"/>
      <c r="DZ162" s="1320"/>
      <c r="EA162" s="1320"/>
      <c r="EB162" s="1320"/>
      <c r="EC162" s="1320"/>
      <c r="ED162" s="1320"/>
      <c r="EE162" s="1320"/>
      <c r="EF162" s="1320"/>
      <c r="EG162" s="1320"/>
      <c r="EH162" s="1320"/>
      <c r="EI162" s="1320"/>
      <c r="EJ162" s="1320"/>
      <c r="EK162" s="1320"/>
      <c r="EL162" s="1320"/>
      <c r="EM162" s="1320"/>
      <c r="EN162" s="1320"/>
      <c r="EO162" s="1320"/>
      <c r="EP162" s="1320"/>
      <c r="EQ162" s="1320"/>
      <c r="ER162" s="1320"/>
    </row>
    <row r="163" spans="1:148" ht="9.75" customHeight="1" x14ac:dyDescent="0.25">
      <c r="A163" s="5"/>
      <c r="B163" s="857"/>
      <c r="C163" s="857"/>
      <c r="D163" s="857"/>
      <c r="E163" s="857"/>
      <c r="F163" s="857"/>
      <c r="G163" s="857"/>
      <c r="H163" s="857"/>
      <c r="I163" s="857"/>
      <c r="J163" s="857"/>
      <c r="K163" s="857"/>
      <c r="L163" s="857"/>
      <c r="M163" s="857"/>
      <c r="N163" s="857"/>
      <c r="O163" s="857"/>
      <c r="P163" s="857"/>
      <c r="Q163" s="857"/>
      <c r="R163" s="857"/>
      <c r="S163" s="857"/>
      <c r="T163" s="857"/>
      <c r="U163" s="377"/>
      <c r="V163" s="848"/>
      <c r="W163" s="848"/>
      <c r="X163" s="848"/>
      <c r="Y163" s="848"/>
      <c r="Z163" s="848"/>
      <c r="AA163" s="377"/>
      <c r="AB163" s="848"/>
      <c r="AC163" s="848"/>
      <c r="AD163" s="848"/>
      <c r="AE163" s="848"/>
      <c r="AF163" s="377"/>
      <c r="AG163" s="848"/>
      <c r="AH163" s="848"/>
      <c r="AI163" s="848"/>
      <c r="AJ163" s="848"/>
      <c r="AK163" s="848"/>
      <c r="AL163" s="848"/>
      <c r="AM163" s="848"/>
      <c r="AN163" s="848"/>
      <c r="AO163" s="848"/>
      <c r="AP163" s="848"/>
      <c r="AQ163" s="848"/>
      <c r="AR163" s="848"/>
      <c r="AS163" s="848"/>
      <c r="AT163" s="848"/>
      <c r="AU163" s="848"/>
      <c r="AV163" s="848"/>
      <c r="AW163" s="260"/>
      <c r="AX163" s="946"/>
      <c r="AY163" s="946"/>
      <c r="AZ163" s="946"/>
      <c r="BA163" s="946"/>
      <c r="BB163" s="946"/>
      <c r="BC163" s="946"/>
      <c r="BD163" s="946"/>
      <c r="BE163" s="946"/>
      <c r="BF163" s="946"/>
      <c r="BG163" s="946"/>
      <c r="BH163" s="946"/>
      <c r="BI163" s="946"/>
      <c r="BJ163" s="946"/>
      <c r="BK163" s="946"/>
      <c r="BL163" s="946"/>
      <c r="BM163" s="946"/>
      <c r="BN163" s="946"/>
      <c r="BO163" s="946"/>
      <c r="BP163" s="946"/>
      <c r="BQ163" s="946"/>
      <c r="BR163" s="946"/>
      <c r="BS163" s="946"/>
      <c r="BT163" s="946"/>
      <c r="BU163" s="946"/>
      <c r="BV163" s="946"/>
      <c r="BW163" s="174"/>
      <c r="BX163" s="1324" t="str">
        <f>IF(CharacterLevel="",'Character Sheet III'!$CF$202,IF(Spellcasting!BQ36="•",'Character Sheet III'!$BX$202,'Character Sheet III'!$CF$202))</f>
        <v>□</v>
      </c>
      <c r="BY163" s="1324"/>
      <c r="BZ163" s="1324"/>
      <c r="CA163" s="1325" t="str">
        <f>IF(OR(CharacterLevel="",Spellcasting!BS$36=""),"",VLOOKUP(Spellcasting!BS$36,Tables!$TK:$UB,Tables!$TN$1,FALSE))</f>
        <v/>
      </c>
      <c r="CB163" s="1325"/>
      <c r="CC163" s="1325"/>
      <c r="CD163" s="1325"/>
      <c r="CE163" s="1325"/>
      <c r="CF163" s="1325"/>
      <c r="CG163" s="1325"/>
      <c r="CH163" s="1325"/>
      <c r="CI163" s="1325"/>
      <c r="CJ163" s="1325"/>
      <c r="CK163" s="1325"/>
      <c r="CL163" s="1325"/>
      <c r="CM163" s="1325"/>
      <c r="CN163" s="1325"/>
      <c r="CO163" s="1325"/>
      <c r="CP163" s="1325"/>
      <c r="CQ163" s="263"/>
      <c r="CR163" s="1048" t="str">
        <f>IF(OR(CharacterLevel="",Spellcasting!BS$36=""),"",VLOOKUP(Spellcasting!BS$36,Tables!$TK:$UB,Tables!$TT$1,FALSE))</f>
        <v/>
      </c>
      <c r="CS163" s="1048"/>
      <c r="CT163" s="1048"/>
      <c r="CU163" s="1048"/>
      <c r="CV163" s="1048"/>
      <c r="CW163" s="263"/>
      <c r="CX163" s="1048" t="str">
        <f>IF(OR(CharacterLevel="",Spellcasting!BS$36=""),"",VLOOKUP(Spellcasting!BS$36,Tables!$TK:$UB,Tables!$TU$1,FALSE))</f>
        <v/>
      </c>
      <c r="CY163" s="1048"/>
      <c r="CZ163" s="1048"/>
      <c r="DA163" s="1048"/>
      <c r="DB163" s="263"/>
      <c r="DC163" s="1048" t="str">
        <f>IF(OR(CharacterLevel="",Spellcasting!BS$36=""),"",VLOOKUP(Spellcasting!BS$36,Tables!$TK:$UB,Tables!$TV$1,FALSE))</f>
        <v/>
      </c>
      <c r="DD163" s="1048"/>
      <c r="DE163" s="1048"/>
      <c r="DF163" s="1048"/>
      <c r="DG163" s="1048"/>
      <c r="DH163" s="1048"/>
      <c r="DI163" s="261"/>
      <c r="DJ163" s="1048" t="str">
        <f>IF(OR(CharacterLevel="",Spellcasting!BS$36=""),"",VLOOKUP(Spellcasting!BS$36,Tables!$TK:$UB,Tables!$TW$1,FALSE))</f>
        <v/>
      </c>
      <c r="DK163" s="1048"/>
      <c r="DL163" s="1048"/>
      <c r="DM163" s="1048"/>
      <c r="DN163" s="261"/>
      <c r="DO163" s="1048" t="str">
        <f>IF(OR(CharacterLevel="",Spellcasting!BS$36=""),"",VLOOKUP(Spellcasting!BS$36,Tables!$TK:$UB,Tables!$TZ$1,FALSE))</f>
        <v/>
      </c>
      <c r="DP163" s="1048"/>
      <c r="DQ163" s="1048"/>
      <c r="DR163" s="1048"/>
      <c r="DS163" s="261"/>
      <c r="DT163" s="1319" t="str">
        <f>IF(OR(CharacterLevel="",Spellcasting!BS$36=""),"",VLOOKUP(Spellcasting!BS$36,Tables!$TK:$UB,Tables!$UB$1,FALSE))</f>
        <v/>
      </c>
      <c r="DU163" s="1319"/>
      <c r="DV163" s="1319"/>
      <c r="DW163" s="1319"/>
      <c r="DX163" s="1319"/>
      <c r="DY163" s="1319"/>
      <c r="DZ163" s="1319"/>
      <c r="EA163" s="1319"/>
      <c r="EB163" s="1319"/>
      <c r="EC163" s="1319"/>
      <c r="ED163" s="1319"/>
      <c r="EE163" s="1319"/>
      <c r="EF163" s="1319"/>
      <c r="EG163" s="1319"/>
      <c r="EH163" s="1319"/>
      <c r="EI163" s="1319"/>
      <c r="EJ163" s="1319"/>
      <c r="EK163" s="1319"/>
      <c r="EL163" s="1319"/>
      <c r="EM163" s="1319"/>
      <c r="EN163" s="1319"/>
      <c r="EO163" s="1319"/>
      <c r="EP163" s="1319"/>
      <c r="EQ163" s="1319"/>
      <c r="ER163" s="1319"/>
    </row>
    <row r="164" spans="1:148" ht="9.75" customHeight="1" x14ac:dyDescent="0.2">
      <c r="A164" s="5"/>
      <c r="B164" s="1389" t="str">
        <f>IF(CharacterLevel="",'Character Sheet III'!$CF$202,IF(Spellcasting!BQ6="•",'Character Sheet III'!$BX$202,'Character Sheet III'!$CF$202))</f>
        <v>□</v>
      </c>
      <c r="C164" s="1389"/>
      <c r="D164" s="1389"/>
      <c r="E164" s="1319" t="str">
        <f>IF(OR(CharacterLevel="",Spellcasting!BS$6=""),"",VLOOKUP(Spellcasting!BS$6,Tables!$TK:$UB,Tables!$TN$1,FALSE))</f>
        <v/>
      </c>
      <c r="F164" s="1319"/>
      <c r="G164" s="1319"/>
      <c r="H164" s="1319"/>
      <c r="I164" s="1319"/>
      <c r="J164" s="1319"/>
      <c r="K164" s="1319"/>
      <c r="L164" s="1319"/>
      <c r="M164" s="1319"/>
      <c r="N164" s="1319"/>
      <c r="O164" s="1319"/>
      <c r="P164" s="1319"/>
      <c r="Q164" s="1319"/>
      <c r="R164" s="1319"/>
      <c r="S164" s="1319"/>
      <c r="T164" s="1319"/>
      <c r="U164" s="263"/>
      <c r="V164" s="1048" t="str">
        <f>IF(OR(CharacterLevel="",Spellcasting!BS$6=""),"",VLOOKUP(Spellcasting!BS$6,Tables!$TK:$UB,Tables!$TT$1,FALSE))</f>
        <v/>
      </c>
      <c r="W164" s="1048"/>
      <c r="X164" s="1048"/>
      <c r="Y164" s="1048"/>
      <c r="Z164" s="1048"/>
      <c r="AA164" s="263"/>
      <c r="AB164" s="1048" t="str">
        <f>IF(OR(CharacterLevel="",Spellcasting!BS$6=""),"",VLOOKUP(Spellcasting!BS$6,Tables!$TK:$UB,Tables!$TU$1,FALSE))</f>
        <v/>
      </c>
      <c r="AC164" s="1048"/>
      <c r="AD164" s="1048"/>
      <c r="AE164" s="1048"/>
      <c r="AF164" s="263"/>
      <c r="AG164" s="1048" t="str">
        <f>IF(OR(CharacterLevel="",Spellcasting!BS$6=""),"",VLOOKUP(Spellcasting!BS$6,Tables!$TK:$UB,Tables!$TV$1,FALSE))</f>
        <v/>
      </c>
      <c r="AH164" s="1048"/>
      <c r="AI164" s="1048"/>
      <c r="AJ164" s="1048"/>
      <c r="AK164" s="1048"/>
      <c r="AL164" s="1048"/>
      <c r="AM164" s="261"/>
      <c r="AN164" s="857" t="str">
        <f>IF(OR(CharacterLevel="",Spellcasting!BS$6=""),"",VLOOKUP(Spellcasting!BS$6,Tables!$TK:$UB,Tables!$TW$1,FALSE))</f>
        <v/>
      </c>
      <c r="AO164" s="857"/>
      <c r="AP164" s="857"/>
      <c r="AQ164" s="857"/>
      <c r="AR164" s="261"/>
      <c r="AS164" s="1048" t="str">
        <f>IF(OR(CharacterLevel="",Spellcasting!BS$6=""),"",VLOOKUP(Spellcasting!BS$6,Tables!$TK:$UB,Tables!$TZ$1,FALSE))</f>
        <v/>
      </c>
      <c r="AT164" s="1048"/>
      <c r="AU164" s="1048"/>
      <c r="AV164" s="1048"/>
      <c r="AW164" s="261"/>
      <c r="AX164" s="1319" t="str">
        <f>IF(OR(CharacterLevel="",Spellcasting!BS$6=""),"",VLOOKUP(Spellcasting!BS$6,Tables!$TK:$UB,Tables!$UB$1,FALSE))</f>
        <v/>
      </c>
      <c r="AY164" s="1319"/>
      <c r="AZ164" s="1319"/>
      <c r="BA164" s="1319"/>
      <c r="BB164" s="1319"/>
      <c r="BC164" s="1319"/>
      <c r="BD164" s="1319"/>
      <c r="BE164" s="1319"/>
      <c r="BF164" s="1319"/>
      <c r="BG164" s="1319"/>
      <c r="BH164" s="1319"/>
      <c r="BI164" s="1319"/>
      <c r="BJ164" s="1319"/>
      <c r="BK164" s="1319"/>
      <c r="BL164" s="1319"/>
      <c r="BM164" s="1319"/>
      <c r="BN164" s="1319"/>
      <c r="BO164" s="1319"/>
      <c r="BP164" s="1319"/>
      <c r="BQ164" s="1319"/>
      <c r="BR164" s="1319"/>
      <c r="BS164" s="1319"/>
      <c r="BT164" s="1319"/>
      <c r="BU164" s="1319"/>
      <c r="BV164" s="1319"/>
      <c r="BW164" s="174"/>
      <c r="BX164" s="1324"/>
      <c r="BY164" s="1324"/>
      <c r="BZ164" s="1324"/>
      <c r="CA164" s="1325"/>
      <c r="CB164" s="1325"/>
      <c r="CC164" s="1325"/>
      <c r="CD164" s="1325"/>
      <c r="CE164" s="1325"/>
      <c r="CF164" s="1325"/>
      <c r="CG164" s="1325"/>
      <c r="CH164" s="1325"/>
      <c r="CI164" s="1325"/>
      <c r="CJ164" s="1325"/>
      <c r="CK164" s="1325"/>
      <c r="CL164" s="1325"/>
      <c r="CM164" s="1325"/>
      <c r="CN164" s="1325"/>
      <c r="CO164" s="1325"/>
      <c r="CP164" s="1325"/>
      <c r="CQ164" s="263"/>
      <c r="CR164" s="1321"/>
      <c r="CS164" s="1321"/>
      <c r="CT164" s="1321"/>
      <c r="CU164" s="1321"/>
      <c r="CV164" s="1321"/>
      <c r="CW164" s="5"/>
      <c r="CX164" s="1321"/>
      <c r="CY164" s="1321"/>
      <c r="CZ164" s="1321"/>
      <c r="DA164" s="1321"/>
      <c r="DB164" s="5"/>
      <c r="DC164" s="1321"/>
      <c r="DD164" s="1321"/>
      <c r="DE164" s="1321"/>
      <c r="DF164" s="1321"/>
      <c r="DG164" s="1321"/>
      <c r="DH164" s="1321"/>
      <c r="DI164" s="5"/>
      <c r="DJ164" s="1321"/>
      <c r="DK164" s="1321"/>
      <c r="DL164" s="1321"/>
      <c r="DM164" s="1321"/>
      <c r="DN164" s="5"/>
      <c r="DO164" s="1321"/>
      <c r="DP164" s="1321"/>
      <c r="DQ164" s="1321"/>
      <c r="DR164" s="1321"/>
      <c r="DS164" s="5"/>
      <c r="DT164" s="1320"/>
      <c r="DU164" s="1320"/>
      <c r="DV164" s="1320"/>
      <c r="DW164" s="1320"/>
      <c r="DX164" s="1320"/>
      <c r="DY164" s="1320"/>
      <c r="DZ164" s="1320"/>
      <c r="EA164" s="1320"/>
      <c r="EB164" s="1320"/>
      <c r="EC164" s="1320"/>
      <c r="ED164" s="1320"/>
      <c r="EE164" s="1320"/>
      <c r="EF164" s="1320"/>
      <c r="EG164" s="1320"/>
      <c r="EH164" s="1320"/>
      <c r="EI164" s="1320"/>
      <c r="EJ164" s="1320"/>
      <c r="EK164" s="1320"/>
      <c r="EL164" s="1320"/>
      <c r="EM164" s="1320"/>
      <c r="EN164" s="1320"/>
      <c r="EO164" s="1320"/>
      <c r="EP164" s="1320"/>
      <c r="EQ164" s="1320"/>
      <c r="ER164" s="1320"/>
    </row>
    <row r="165" spans="1:148" ht="9.75" customHeight="1" x14ac:dyDescent="0.2">
      <c r="A165" s="5"/>
      <c r="B165" s="1389"/>
      <c r="C165" s="1389"/>
      <c r="D165" s="1389"/>
      <c r="E165" s="1320"/>
      <c r="F165" s="1320"/>
      <c r="G165" s="1320"/>
      <c r="H165" s="1320"/>
      <c r="I165" s="1320"/>
      <c r="J165" s="1320"/>
      <c r="K165" s="1320"/>
      <c r="L165" s="1320"/>
      <c r="M165" s="1320"/>
      <c r="N165" s="1320"/>
      <c r="O165" s="1320"/>
      <c r="P165" s="1320"/>
      <c r="Q165" s="1320"/>
      <c r="R165" s="1320"/>
      <c r="S165" s="1320"/>
      <c r="T165" s="1320"/>
      <c r="U165" s="263"/>
      <c r="V165" s="1321"/>
      <c r="W165" s="1321"/>
      <c r="X165" s="1321"/>
      <c r="Y165" s="1321"/>
      <c r="Z165" s="1321"/>
      <c r="AA165" s="263"/>
      <c r="AB165" s="1321"/>
      <c r="AC165" s="1321"/>
      <c r="AD165" s="1321"/>
      <c r="AE165" s="1321"/>
      <c r="AF165" s="263"/>
      <c r="AG165" s="1321"/>
      <c r="AH165" s="1321"/>
      <c r="AI165" s="1321"/>
      <c r="AJ165" s="1321"/>
      <c r="AK165" s="1321"/>
      <c r="AL165" s="1321"/>
      <c r="AM165" s="263"/>
      <c r="AN165" s="1326"/>
      <c r="AO165" s="1326"/>
      <c r="AP165" s="1326"/>
      <c r="AQ165" s="1326"/>
      <c r="AR165" s="263"/>
      <c r="AS165" s="1321"/>
      <c r="AT165" s="1321"/>
      <c r="AU165" s="1321"/>
      <c r="AV165" s="1321"/>
      <c r="AW165" s="263"/>
      <c r="AX165" s="1320"/>
      <c r="AY165" s="1320"/>
      <c r="AZ165" s="1320"/>
      <c r="BA165" s="1320"/>
      <c r="BB165" s="1320"/>
      <c r="BC165" s="1320"/>
      <c r="BD165" s="1320"/>
      <c r="BE165" s="1320"/>
      <c r="BF165" s="1320"/>
      <c r="BG165" s="1320"/>
      <c r="BH165" s="1320"/>
      <c r="BI165" s="1320"/>
      <c r="BJ165" s="1320"/>
      <c r="BK165" s="1320"/>
      <c r="BL165" s="1320"/>
      <c r="BM165" s="1320"/>
      <c r="BN165" s="1320"/>
      <c r="BO165" s="1320"/>
      <c r="BP165" s="1320"/>
      <c r="BQ165" s="1320"/>
      <c r="BR165" s="1320"/>
      <c r="BS165" s="1320"/>
      <c r="BT165" s="1320"/>
      <c r="BU165" s="1320"/>
      <c r="BV165" s="1320"/>
      <c r="BW165" s="174"/>
      <c r="BX165" s="1324" t="str">
        <f>IF(CharacterLevel="",'Character Sheet III'!$CF$202,IF(Spellcasting!BQ37="•",'Character Sheet III'!$BX$202,'Character Sheet III'!$CF$202))</f>
        <v>□</v>
      </c>
      <c r="BY165" s="1324"/>
      <c r="BZ165" s="1324"/>
      <c r="CA165" s="1325" t="str">
        <f>IF(OR(CharacterLevel="",Spellcasting!BS$37=""),"",VLOOKUP(Spellcasting!BS$37,Tables!$TK:$UB,Tables!$TN$1,FALSE))</f>
        <v/>
      </c>
      <c r="CB165" s="1325"/>
      <c r="CC165" s="1325"/>
      <c r="CD165" s="1325"/>
      <c r="CE165" s="1325"/>
      <c r="CF165" s="1325"/>
      <c r="CG165" s="1325"/>
      <c r="CH165" s="1325"/>
      <c r="CI165" s="1325"/>
      <c r="CJ165" s="1325"/>
      <c r="CK165" s="1325"/>
      <c r="CL165" s="1325"/>
      <c r="CM165" s="1325"/>
      <c r="CN165" s="1325"/>
      <c r="CO165" s="1325"/>
      <c r="CP165" s="1325"/>
      <c r="CQ165" s="263"/>
      <c r="CR165" s="1048" t="str">
        <f>IF(OR(CharacterLevel="",Spellcasting!BS$37=""),"",VLOOKUP(Spellcasting!BS$37,Tables!$TK:$UB,Tables!$TT$1,FALSE))</f>
        <v/>
      </c>
      <c r="CS165" s="1048"/>
      <c r="CT165" s="1048"/>
      <c r="CU165" s="1048"/>
      <c r="CV165" s="1048"/>
      <c r="CW165" s="263"/>
      <c r="CX165" s="1048" t="str">
        <f>IF(OR(CharacterLevel="",Spellcasting!BS$37=""),"",VLOOKUP(Spellcasting!BS$37,Tables!$TK:$UB,Tables!$TU$1,FALSE))</f>
        <v/>
      </c>
      <c r="CY165" s="1048"/>
      <c r="CZ165" s="1048"/>
      <c r="DA165" s="1048"/>
      <c r="DB165" s="263"/>
      <c r="DC165" s="1048" t="str">
        <f>IF(OR(CharacterLevel="",Spellcasting!BS$37=""),"",VLOOKUP(Spellcasting!BS$37,Tables!$TK:$UB,Tables!$TV$1,FALSE))</f>
        <v/>
      </c>
      <c r="DD165" s="1048"/>
      <c r="DE165" s="1048"/>
      <c r="DF165" s="1048"/>
      <c r="DG165" s="1048"/>
      <c r="DH165" s="1048"/>
      <c r="DI165" s="261"/>
      <c r="DJ165" s="1048" t="str">
        <f>IF(OR(CharacterLevel="",Spellcasting!BS$37=""),"",VLOOKUP(Spellcasting!BS$37,Tables!$TK:$UB,Tables!$TW$1,FALSE))</f>
        <v/>
      </c>
      <c r="DK165" s="1048"/>
      <c r="DL165" s="1048"/>
      <c r="DM165" s="1048"/>
      <c r="DN165" s="261"/>
      <c r="DO165" s="1048" t="str">
        <f>IF(OR(CharacterLevel="",Spellcasting!BS$37=""),"",VLOOKUP(Spellcasting!BS$37,Tables!$TK:$UB,Tables!$TZ$1,FALSE))</f>
        <v/>
      </c>
      <c r="DP165" s="1048"/>
      <c r="DQ165" s="1048"/>
      <c r="DR165" s="1048"/>
      <c r="DS165" s="261"/>
      <c r="DT165" s="1319" t="str">
        <f>IF(OR(CharacterLevel="",Spellcasting!BS$37=""),"",VLOOKUP(Spellcasting!BS$37,Tables!$TK:$UB,Tables!$UB$1,FALSE))</f>
        <v/>
      </c>
      <c r="DU165" s="1319"/>
      <c r="DV165" s="1319"/>
      <c r="DW165" s="1319"/>
      <c r="DX165" s="1319"/>
      <c r="DY165" s="1319"/>
      <c r="DZ165" s="1319"/>
      <c r="EA165" s="1319"/>
      <c r="EB165" s="1319"/>
      <c r="EC165" s="1319"/>
      <c r="ED165" s="1319"/>
      <c r="EE165" s="1319"/>
      <c r="EF165" s="1319"/>
      <c r="EG165" s="1319"/>
      <c r="EH165" s="1319"/>
      <c r="EI165" s="1319"/>
      <c r="EJ165" s="1319"/>
      <c r="EK165" s="1319"/>
      <c r="EL165" s="1319"/>
      <c r="EM165" s="1319"/>
      <c r="EN165" s="1319"/>
      <c r="EO165" s="1319"/>
      <c r="EP165" s="1319"/>
      <c r="EQ165" s="1319"/>
      <c r="ER165" s="1319"/>
    </row>
    <row r="166" spans="1:148" ht="9.75" customHeight="1" x14ac:dyDescent="0.2">
      <c r="A166" s="5"/>
      <c r="B166" s="1389" t="str">
        <f>IF(CharacterLevel="",'Character Sheet III'!$CF$202,IF(Spellcasting!BQ7="•",'Character Sheet III'!$BX$202,'Character Sheet III'!$CF$202))</f>
        <v>□</v>
      </c>
      <c r="C166" s="1389"/>
      <c r="D166" s="1389"/>
      <c r="E166" s="1325" t="str">
        <f>IF(OR(CharacterLevel="",Spellcasting!BS$7=""),"",VLOOKUP(Spellcasting!BS$7,Tables!$TK:$UB,Tables!$TN$1,FALSE))</f>
        <v/>
      </c>
      <c r="F166" s="1325"/>
      <c r="G166" s="1325"/>
      <c r="H166" s="1325"/>
      <c r="I166" s="1325"/>
      <c r="J166" s="1325"/>
      <c r="K166" s="1325"/>
      <c r="L166" s="1325"/>
      <c r="M166" s="1325"/>
      <c r="N166" s="1325"/>
      <c r="O166" s="1325"/>
      <c r="P166" s="1325"/>
      <c r="Q166" s="1325"/>
      <c r="R166" s="1325"/>
      <c r="S166" s="1325"/>
      <c r="T166" s="1325"/>
      <c r="U166" s="263"/>
      <c r="V166" s="1048" t="str">
        <f>IF(OR(CharacterLevel="",Spellcasting!BS$7=""),"",VLOOKUP(Spellcasting!BS$7,Tables!$TK:$UB,Tables!$TT$1,FALSE))</f>
        <v/>
      </c>
      <c r="W166" s="1048"/>
      <c r="X166" s="1048"/>
      <c r="Y166" s="1048"/>
      <c r="Z166" s="1048"/>
      <c r="AA166" s="263"/>
      <c r="AB166" s="1048" t="str">
        <f>IF(OR(CharacterLevel="",Spellcasting!BS$7=""),"",VLOOKUP(Spellcasting!BS$7,Tables!$TK:$UB,Tables!$TU$1,FALSE))</f>
        <v/>
      </c>
      <c r="AC166" s="1048"/>
      <c r="AD166" s="1048"/>
      <c r="AE166" s="1048"/>
      <c r="AF166" s="263"/>
      <c r="AG166" s="1048" t="str">
        <f>IF(OR(CharacterLevel="",Spellcasting!BS$7=""),"",VLOOKUP(Spellcasting!BS$7,Tables!$TK:$UB,Tables!$TV$1,FALSE))</f>
        <v/>
      </c>
      <c r="AH166" s="1048"/>
      <c r="AI166" s="1048"/>
      <c r="AJ166" s="1048"/>
      <c r="AK166" s="1048"/>
      <c r="AL166" s="1048"/>
      <c r="AM166" s="261"/>
      <c r="AN166" s="857" t="str">
        <f>IF(OR(CharacterLevel="",Spellcasting!BS$7=""),"",VLOOKUP(Spellcasting!BS$7,Tables!$TK:$UB,Tables!$TW$1,FALSE))</f>
        <v/>
      </c>
      <c r="AO166" s="857"/>
      <c r="AP166" s="857"/>
      <c r="AQ166" s="857"/>
      <c r="AR166" s="261"/>
      <c r="AS166" s="1048" t="str">
        <f>IF(OR(CharacterLevel="",Spellcasting!BS$7=""),"",VLOOKUP(Spellcasting!BS$7,Tables!$TK:$UB,Tables!$TZ$1,FALSE))</f>
        <v/>
      </c>
      <c r="AT166" s="1048"/>
      <c r="AU166" s="1048"/>
      <c r="AV166" s="1048"/>
      <c r="AW166" s="261"/>
      <c r="AX166" s="1319" t="str">
        <f>IF(OR(CharacterLevel="",Spellcasting!BS$7=""),"",VLOOKUP(Spellcasting!BS$7,Tables!$TK:$UB,Tables!$UB$1,FALSE))</f>
        <v/>
      </c>
      <c r="AY166" s="1319"/>
      <c r="AZ166" s="1319"/>
      <c r="BA166" s="1319"/>
      <c r="BB166" s="1319"/>
      <c r="BC166" s="1319"/>
      <c r="BD166" s="1319"/>
      <c r="BE166" s="1319"/>
      <c r="BF166" s="1319"/>
      <c r="BG166" s="1319"/>
      <c r="BH166" s="1319"/>
      <c r="BI166" s="1319"/>
      <c r="BJ166" s="1319"/>
      <c r="BK166" s="1319"/>
      <c r="BL166" s="1319"/>
      <c r="BM166" s="1319"/>
      <c r="BN166" s="1319"/>
      <c r="BO166" s="1319"/>
      <c r="BP166" s="1319"/>
      <c r="BQ166" s="1319"/>
      <c r="BR166" s="1319"/>
      <c r="BS166" s="1319"/>
      <c r="BT166" s="1319"/>
      <c r="BU166" s="1319"/>
      <c r="BV166" s="1319"/>
      <c r="BW166" s="174"/>
      <c r="BX166" s="1324"/>
      <c r="BY166" s="1324"/>
      <c r="BZ166" s="1324"/>
      <c r="CA166" s="1325"/>
      <c r="CB166" s="1325"/>
      <c r="CC166" s="1325"/>
      <c r="CD166" s="1325"/>
      <c r="CE166" s="1325"/>
      <c r="CF166" s="1325"/>
      <c r="CG166" s="1325"/>
      <c r="CH166" s="1325"/>
      <c r="CI166" s="1325"/>
      <c r="CJ166" s="1325"/>
      <c r="CK166" s="1325"/>
      <c r="CL166" s="1325"/>
      <c r="CM166" s="1325"/>
      <c r="CN166" s="1325"/>
      <c r="CO166" s="1325"/>
      <c r="CP166" s="1325"/>
      <c r="CQ166" s="263"/>
      <c r="CR166" s="1321"/>
      <c r="CS166" s="1321"/>
      <c r="CT166" s="1321"/>
      <c r="CU166" s="1321"/>
      <c r="CV166" s="1321"/>
      <c r="CW166" s="5"/>
      <c r="CX166" s="1321"/>
      <c r="CY166" s="1321"/>
      <c r="CZ166" s="1321"/>
      <c r="DA166" s="1321"/>
      <c r="DB166" s="5"/>
      <c r="DC166" s="1321"/>
      <c r="DD166" s="1321"/>
      <c r="DE166" s="1321"/>
      <c r="DF166" s="1321"/>
      <c r="DG166" s="1321"/>
      <c r="DH166" s="1321"/>
      <c r="DI166" s="5"/>
      <c r="DJ166" s="1321"/>
      <c r="DK166" s="1321"/>
      <c r="DL166" s="1321"/>
      <c r="DM166" s="1321"/>
      <c r="DN166" s="5"/>
      <c r="DO166" s="1321"/>
      <c r="DP166" s="1321"/>
      <c r="DQ166" s="1321"/>
      <c r="DR166" s="1321"/>
      <c r="DS166" s="5"/>
      <c r="DT166" s="1320"/>
      <c r="DU166" s="1320"/>
      <c r="DV166" s="1320"/>
      <c r="DW166" s="1320"/>
      <c r="DX166" s="1320"/>
      <c r="DY166" s="1320"/>
      <c r="DZ166" s="1320"/>
      <c r="EA166" s="1320"/>
      <c r="EB166" s="1320"/>
      <c r="EC166" s="1320"/>
      <c r="ED166" s="1320"/>
      <c r="EE166" s="1320"/>
      <c r="EF166" s="1320"/>
      <c r="EG166" s="1320"/>
      <c r="EH166" s="1320"/>
      <c r="EI166" s="1320"/>
      <c r="EJ166" s="1320"/>
      <c r="EK166" s="1320"/>
      <c r="EL166" s="1320"/>
      <c r="EM166" s="1320"/>
      <c r="EN166" s="1320"/>
      <c r="EO166" s="1320"/>
      <c r="EP166" s="1320"/>
      <c r="EQ166" s="1320"/>
      <c r="ER166" s="1320"/>
    </row>
    <row r="167" spans="1:148" ht="9.75" customHeight="1" x14ac:dyDescent="0.2">
      <c r="A167" s="5"/>
      <c r="B167" s="1389"/>
      <c r="C167" s="1389"/>
      <c r="D167" s="1389"/>
      <c r="E167" s="1325"/>
      <c r="F167" s="1325"/>
      <c r="G167" s="1325"/>
      <c r="H167" s="1325"/>
      <c r="I167" s="1325"/>
      <c r="J167" s="1325"/>
      <c r="K167" s="1325"/>
      <c r="L167" s="1325"/>
      <c r="M167" s="1325"/>
      <c r="N167" s="1325"/>
      <c r="O167" s="1325"/>
      <c r="P167" s="1325"/>
      <c r="Q167" s="1325"/>
      <c r="R167" s="1325"/>
      <c r="S167" s="1325"/>
      <c r="T167" s="1325"/>
      <c r="U167" s="263"/>
      <c r="V167" s="1321"/>
      <c r="W167" s="1321"/>
      <c r="X167" s="1321"/>
      <c r="Y167" s="1321"/>
      <c r="Z167" s="1321"/>
      <c r="AA167" s="263"/>
      <c r="AB167" s="1321"/>
      <c r="AC167" s="1321"/>
      <c r="AD167" s="1321"/>
      <c r="AE167" s="1321"/>
      <c r="AF167" s="263"/>
      <c r="AG167" s="1321"/>
      <c r="AH167" s="1321"/>
      <c r="AI167" s="1321"/>
      <c r="AJ167" s="1321"/>
      <c r="AK167" s="1321"/>
      <c r="AL167" s="1321"/>
      <c r="AM167" s="263"/>
      <c r="AN167" s="1326"/>
      <c r="AO167" s="1326"/>
      <c r="AP167" s="1326"/>
      <c r="AQ167" s="1326"/>
      <c r="AR167" s="263"/>
      <c r="AS167" s="1321"/>
      <c r="AT167" s="1321"/>
      <c r="AU167" s="1321"/>
      <c r="AV167" s="1321"/>
      <c r="AW167" s="263"/>
      <c r="AX167" s="1320"/>
      <c r="AY167" s="1320"/>
      <c r="AZ167" s="1320"/>
      <c r="BA167" s="1320"/>
      <c r="BB167" s="1320"/>
      <c r="BC167" s="1320"/>
      <c r="BD167" s="1320"/>
      <c r="BE167" s="1320"/>
      <c r="BF167" s="1320"/>
      <c r="BG167" s="1320"/>
      <c r="BH167" s="1320"/>
      <c r="BI167" s="1320"/>
      <c r="BJ167" s="1320"/>
      <c r="BK167" s="1320"/>
      <c r="BL167" s="1320"/>
      <c r="BM167" s="1320"/>
      <c r="BN167" s="1320"/>
      <c r="BO167" s="1320"/>
      <c r="BP167" s="1320"/>
      <c r="BQ167" s="1320"/>
      <c r="BR167" s="1320"/>
      <c r="BS167" s="1320"/>
      <c r="BT167" s="1320"/>
      <c r="BU167" s="1320"/>
      <c r="BV167" s="1320"/>
      <c r="BW167" s="174"/>
      <c r="BX167" s="1324" t="str">
        <f>IF(CharacterLevel="",'Character Sheet III'!$CF$202,IF(Spellcasting!BQ38="•",'Character Sheet III'!$BX$202,'Character Sheet III'!$CF$202))</f>
        <v>□</v>
      </c>
      <c r="BY167" s="1324"/>
      <c r="BZ167" s="1324"/>
      <c r="CA167" s="1325" t="str">
        <f>IF(OR(CharacterLevel="",Spellcasting!BS$38=""),"",VLOOKUP(Spellcasting!BS$38,Tables!$TK:$UB,Tables!$TN$1,FALSE))</f>
        <v/>
      </c>
      <c r="CB167" s="1325"/>
      <c r="CC167" s="1325"/>
      <c r="CD167" s="1325"/>
      <c r="CE167" s="1325"/>
      <c r="CF167" s="1325"/>
      <c r="CG167" s="1325"/>
      <c r="CH167" s="1325"/>
      <c r="CI167" s="1325"/>
      <c r="CJ167" s="1325"/>
      <c r="CK167" s="1325"/>
      <c r="CL167" s="1325"/>
      <c r="CM167" s="1325"/>
      <c r="CN167" s="1325"/>
      <c r="CO167" s="1325"/>
      <c r="CP167" s="1325"/>
      <c r="CQ167" s="263"/>
      <c r="CR167" s="1048" t="str">
        <f>IF(OR(CharacterLevel="",Spellcasting!BS$38=""),"",VLOOKUP(Spellcasting!BS$38,Tables!$TK:$UB,Tables!$TT$1,FALSE))</f>
        <v/>
      </c>
      <c r="CS167" s="1048"/>
      <c r="CT167" s="1048"/>
      <c r="CU167" s="1048"/>
      <c r="CV167" s="1048"/>
      <c r="CW167" s="263"/>
      <c r="CX167" s="1048" t="str">
        <f>IF(OR(CharacterLevel="",Spellcasting!BS$38=""),"",VLOOKUP(Spellcasting!BS$38,Tables!$TK:$UB,Tables!$TU$1,FALSE))</f>
        <v/>
      </c>
      <c r="CY167" s="1048"/>
      <c r="CZ167" s="1048"/>
      <c r="DA167" s="1048"/>
      <c r="DB167" s="263"/>
      <c r="DC167" s="1048" t="str">
        <f>IF(OR(CharacterLevel="",Spellcasting!BS$38=""),"",VLOOKUP(Spellcasting!BS$38,Tables!$TK:$UB,Tables!$TV$1,FALSE))</f>
        <v/>
      </c>
      <c r="DD167" s="1048"/>
      <c r="DE167" s="1048"/>
      <c r="DF167" s="1048"/>
      <c r="DG167" s="1048"/>
      <c r="DH167" s="1048"/>
      <c r="DI167" s="261"/>
      <c r="DJ167" s="1048" t="str">
        <f>IF(OR(CharacterLevel="",Spellcasting!BS$38=""),"",VLOOKUP(Spellcasting!BS$38,Tables!$TK:$UB,Tables!$TW$1,FALSE))</f>
        <v/>
      </c>
      <c r="DK167" s="1048"/>
      <c r="DL167" s="1048"/>
      <c r="DM167" s="1048"/>
      <c r="DN167" s="261"/>
      <c r="DO167" s="1048" t="str">
        <f>IF(OR(CharacterLevel="",Spellcasting!BS$38=""),"",VLOOKUP(Spellcasting!BS$38,Tables!$TK:$UB,Tables!$TZ$1,FALSE))</f>
        <v/>
      </c>
      <c r="DP167" s="1048"/>
      <c r="DQ167" s="1048"/>
      <c r="DR167" s="1048"/>
      <c r="DS167" s="261"/>
      <c r="DT167" s="1319" t="str">
        <f>IF(OR(CharacterLevel="",Spellcasting!BS$38=""),"",VLOOKUP(Spellcasting!BS$38,Tables!$TK:$UB,Tables!$UB$1,FALSE))</f>
        <v/>
      </c>
      <c r="DU167" s="1319"/>
      <c r="DV167" s="1319"/>
      <c r="DW167" s="1319"/>
      <c r="DX167" s="1319"/>
      <c r="DY167" s="1319"/>
      <c r="DZ167" s="1319"/>
      <c r="EA167" s="1319"/>
      <c r="EB167" s="1319"/>
      <c r="EC167" s="1319"/>
      <c r="ED167" s="1319"/>
      <c r="EE167" s="1319"/>
      <c r="EF167" s="1319"/>
      <c r="EG167" s="1319"/>
      <c r="EH167" s="1319"/>
      <c r="EI167" s="1319"/>
      <c r="EJ167" s="1319"/>
      <c r="EK167" s="1319"/>
      <c r="EL167" s="1319"/>
      <c r="EM167" s="1319"/>
      <c r="EN167" s="1319"/>
      <c r="EO167" s="1319"/>
      <c r="EP167" s="1319"/>
      <c r="EQ167" s="1319"/>
      <c r="ER167" s="1319"/>
    </row>
    <row r="168" spans="1:148" ht="9.75" customHeight="1" x14ac:dyDescent="0.2">
      <c r="A168" s="5"/>
      <c r="B168" s="1389" t="str">
        <f>IF(CharacterLevel="",'Character Sheet III'!$CF$202,IF(Spellcasting!BQ8="•",'Character Sheet III'!$BX$202,'Character Sheet III'!$CF$202))</f>
        <v>□</v>
      </c>
      <c r="C168" s="1389"/>
      <c r="D168" s="1389"/>
      <c r="E168" s="1325" t="str">
        <f>IF(OR(CharacterLevel="",Spellcasting!BS$8=""),"",VLOOKUP(Spellcasting!BS$8,Tables!$TK:$UB,Tables!$TN$1,FALSE))</f>
        <v/>
      </c>
      <c r="F168" s="1325"/>
      <c r="G168" s="1325"/>
      <c r="H168" s="1325"/>
      <c r="I168" s="1325"/>
      <c r="J168" s="1325"/>
      <c r="K168" s="1325"/>
      <c r="L168" s="1325"/>
      <c r="M168" s="1325"/>
      <c r="N168" s="1325"/>
      <c r="O168" s="1325"/>
      <c r="P168" s="1325"/>
      <c r="Q168" s="1325"/>
      <c r="R168" s="1325"/>
      <c r="S168" s="1325"/>
      <c r="T168" s="1325"/>
      <c r="U168" s="263"/>
      <c r="V168" s="1048" t="str">
        <f>IF(OR(CharacterLevel="",Spellcasting!BS$8=""),"",VLOOKUP(Spellcasting!BS$8,Tables!$TK:$UB,Tables!$TT$1,FALSE))</f>
        <v/>
      </c>
      <c r="W168" s="1048"/>
      <c r="X168" s="1048"/>
      <c r="Y168" s="1048"/>
      <c r="Z168" s="1048"/>
      <c r="AA168" s="263"/>
      <c r="AB168" s="1048" t="str">
        <f>IF(OR(CharacterLevel="",Spellcasting!BS$8=""),"",VLOOKUP(Spellcasting!BS$8,Tables!$TK:$UB,Tables!$TU$1,FALSE))</f>
        <v/>
      </c>
      <c r="AC168" s="1048"/>
      <c r="AD168" s="1048"/>
      <c r="AE168" s="1048"/>
      <c r="AF168" s="263"/>
      <c r="AG168" s="1048" t="str">
        <f>IF(OR(CharacterLevel="",Spellcasting!BS$8=""),"",VLOOKUP(Spellcasting!BS$8,Tables!$TK:$UB,Tables!$TV$1,FALSE))</f>
        <v/>
      </c>
      <c r="AH168" s="1048"/>
      <c r="AI168" s="1048"/>
      <c r="AJ168" s="1048"/>
      <c r="AK168" s="1048"/>
      <c r="AL168" s="1048"/>
      <c r="AM168" s="261"/>
      <c r="AN168" s="857" t="str">
        <f>IF(OR(CharacterLevel="",Spellcasting!BS$8=""),"",VLOOKUP(Spellcasting!BS$8,Tables!$TK:$UB,Tables!$TW$1,FALSE))</f>
        <v/>
      </c>
      <c r="AO168" s="857"/>
      <c r="AP168" s="857"/>
      <c r="AQ168" s="857"/>
      <c r="AR168" s="261"/>
      <c r="AS168" s="1048" t="str">
        <f>IF(OR(CharacterLevel="",Spellcasting!BS$8=""),"",VLOOKUP(Spellcasting!BS$8,Tables!$TK:$UB,Tables!$TZ$1,FALSE))</f>
        <v/>
      </c>
      <c r="AT168" s="1048"/>
      <c r="AU168" s="1048"/>
      <c r="AV168" s="1048"/>
      <c r="AW168" s="261"/>
      <c r="AX168" s="1319" t="str">
        <f>IF(OR(CharacterLevel="",Spellcasting!BS$8=""),"",VLOOKUP(Spellcasting!BS$8,Tables!$TK:$UB,Tables!$UB$1,FALSE))</f>
        <v/>
      </c>
      <c r="AY168" s="1319"/>
      <c r="AZ168" s="1319"/>
      <c r="BA168" s="1319"/>
      <c r="BB168" s="1319"/>
      <c r="BC168" s="1319"/>
      <c r="BD168" s="1319"/>
      <c r="BE168" s="1319"/>
      <c r="BF168" s="1319"/>
      <c r="BG168" s="1319"/>
      <c r="BH168" s="1319"/>
      <c r="BI168" s="1319"/>
      <c r="BJ168" s="1319"/>
      <c r="BK168" s="1319"/>
      <c r="BL168" s="1319"/>
      <c r="BM168" s="1319"/>
      <c r="BN168" s="1319"/>
      <c r="BO168" s="1319"/>
      <c r="BP168" s="1319"/>
      <c r="BQ168" s="1319"/>
      <c r="BR168" s="1319"/>
      <c r="BS168" s="1319"/>
      <c r="BT168" s="1319"/>
      <c r="BU168" s="1319"/>
      <c r="BV168" s="1319"/>
      <c r="BW168" s="174"/>
      <c r="BX168" s="1324"/>
      <c r="BY168" s="1324"/>
      <c r="BZ168" s="1324"/>
      <c r="CA168" s="1325"/>
      <c r="CB168" s="1325"/>
      <c r="CC168" s="1325"/>
      <c r="CD168" s="1325"/>
      <c r="CE168" s="1325"/>
      <c r="CF168" s="1325"/>
      <c r="CG168" s="1325"/>
      <c r="CH168" s="1325"/>
      <c r="CI168" s="1325"/>
      <c r="CJ168" s="1325"/>
      <c r="CK168" s="1325"/>
      <c r="CL168" s="1325"/>
      <c r="CM168" s="1325"/>
      <c r="CN168" s="1325"/>
      <c r="CO168" s="1325"/>
      <c r="CP168" s="1325"/>
      <c r="CQ168" s="263"/>
      <c r="CR168" s="1321"/>
      <c r="CS168" s="1321"/>
      <c r="CT168" s="1321"/>
      <c r="CU168" s="1321"/>
      <c r="CV168" s="1321"/>
      <c r="CW168" s="5"/>
      <c r="CX168" s="1321"/>
      <c r="CY168" s="1321"/>
      <c r="CZ168" s="1321"/>
      <c r="DA168" s="1321"/>
      <c r="DB168" s="5"/>
      <c r="DC168" s="1321"/>
      <c r="DD168" s="1321"/>
      <c r="DE168" s="1321"/>
      <c r="DF168" s="1321"/>
      <c r="DG168" s="1321"/>
      <c r="DH168" s="1321"/>
      <c r="DI168" s="5"/>
      <c r="DJ168" s="1321"/>
      <c r="DK168" s="1321"/>
      <c r="DL168" s="1321"/>
      <c r="DM168" s="1321"/>
      <c r="DN168" s="5"/>
      <c r="DO168" s="1321"/>
      <c r="DP168" s="1321"/>
      <c r="DQ168" s="1321"/>
      <c r="DR168" s="1321"/>
      <c r="DS168" s="5"/>
      <c r="DT168" s="1320"/>
      <c r="DU168" s="1320"/>
      <c r="DV168" s="1320"/>
      <c r="DW168" s="1320"/>
      <c r="DX168" s="1320"/>
      <c r="DY168" s="1320"/>
      <c r="DZ168" s="1320"/>
      <c r="EA168" s="1320"/>
      <c r="EB168" s="1320"/>
      <c r="EC168" s="1320"/>
      <c r="ED168" s="1320"/>
      <c r="EE168" s="1320"/>
      <c r="EF168" s="1320"/>
      <c r="EG168" s="1320"/>
      <c r="EH168" s="1320"/>
      <c r="EI168" s="1320"/>
      <c r="EJ168" s="1320"/>
      <c r="EK168" s="1320"/>
      <c r="EL168" s="1320"/>
      <c r="EM168" s="1320"/>
      <c r="EN168" s="1320"/>
      <c r="EO168" s="1320"/>
      <c r="EP168" s="1320"/>
      <c r="EQ168" s="1320"/>
      <c r="ER168" s="1320"/>
    </row>
    <row r="169" spans="1:148" ht="9.75" customHeight="1" x14ac:dyDescent="0.2">
      <c r="A169" s="5"/>
      <c r="B169" s="1389"/>
      <c r="C169" s="1389"/>
      <c r="D169" s="1389"/>
      <c r="E169" s="1325"/>
      <c r="F169" s="1325"/>
      <c r="G169" s="1325"/>
      <c r="H169" s="1325"/>
      <c r="I169" s="1325"/>
      <c r="J169" s="1325"/>
      <c r="K169" s="1325"/>
      <c r="L169" s="1325"/>
      <c r="M169" s="1325"/>
      <c r="N169" s="1325"/>
      <c r="O169" s="1325"/>
      <c r="P169" s="1325"/>
      <c r="Q169" s="1325"/>
      <c r="R169" s="1325"/>
      <c r="S169" s="1325"/>
      <c r="T169" s="1325"/>
      <c r="U169" s="263"/>
      <c r="V169" s="1321"/>
      <c r="W169" s="1321"/>
      <c r="X169" s="1321"/>
      <c r="Y169" s="1321"/>
      <c r="Z169" s="1321"/>
      <c r="AA169" s="263"/>
      <c r="AB169" s="1321"/>
      <c r="AC169" s="1321"/>
      <c r="AD169" s="1321"/>
      <c r="AE169" s="1321"/>
      <c r="AF169" s="263"/>
      <c r="AG169" s="1321"/>
      <c r="AH169" s="1321"/>
      <c r="AI169" s="1321"/>
      <c r="AJ169" s="1321"/>
      <c r="AK169" s="1321"/>
      <c r="AL169" s="1321"/>
      <c r="AM169" s="263"/>
      <c r="AN169" s="1326"/>
      <c r="AO169" s="1326"/>
      <c r="AP169" s="1326"/>
      <c r="AQ169" s="1326"/>
      <c r="AR169" s="263"/>
      <c r="AS169" s="1321"/>
      <c r="AT169" s="1321"/>
      <c r="AU169" s="1321"/>
      <c r="AV169" s="1321"/>
      <c r="AW169" s="263"/>
      <c r="AX169" s="1320"/>
      <c r="AY169" s="1320"/>
      <c r="AZ169" s="1320"/>
      <c r="BA169" s="1320"/>
      <c r="BB169" s="1320"/>
      <c r="BC169" s="1320"/>
      <c r="BD169" s="1320"/>
      <c r="BE169" s="1320"/>
      <c r="BF169" s="1320"/>
      <c r="BG169" s="1320"/>
      <c r="BH169" s="1320"/>
      <c r="BI169" s="1320"/>
      <c r="BJ169" s="1320"/>
      <c r="BK169" s="1320"/>
      <c r="BL169" s="1320"/>
      <c r="BM169" s="1320"/>
      <c r="BN169" s="1320"/>
      <c r="BO169" s="1320"/>
      <c r="BP169" s="1320"/>
      <c r="BQ169" s="1320"/>
      <c r="BR169" s="1320"/>
      <c r="BS169" s="1320"/>
      <c r="BT169" s="1320"/>
      <c r="BU169" s="1320"/>
      <c r="BV169" s="1320"/>
      <c r="BW169" s="174"/>
      <c r="BX169" s="1324" t="str">
        <f>IF(CharacterLevel="",'Character Sheet III'!$CF$202,IF(Spellcasting!BQ39="•",'Character Sheet III'!$BX$202,'Character Sheet III'!$CF$202))</f>
        <v>□</v>
      </c>
      <c r="BY169" s="1324"/>
      <c r="BZ169" s="1324"/>
      <c r="CA169" s="1325" t="str">
        <f>IF(OR(CharacterLevel="",Spellcasting!BS$39=""),"",VLOOKUP(Spellcasting!BS$39,Tables!$TK:$UB,Tables!$TN$1,FALSE))</f>
        <v/>
      </c>
      <c r="CB169" s="1325"/>
      <c r="CC169" s="1325"/>
      <c r="CD169" s="1325"/>
      <c r="CE169" s="1325"/>
      <c r="CF169" s="1325"/>
      <c r="CG169" s="1325"/>
      <c r="CH169" s="1325"/>
      <c r="CI169" s="1325"/>
      <c r="CJ169" s="1325"/>
      <c r="CK169" s="1325"/>
      <c r="CL169" s="1325"/>
      <c r="CM169" s="1325"/>
      <c r="CN169" s="1325"/>
      <c r="CO169" s="1325"/>
      <c r="CP169" s="1325"/>
      <c r="CQ169" s="263"/>
      <c r="CR169" s="1048" t="str">
        <f>IF(OR(CharacterLevel="",Spellcasting!BS$39=""),"",VLOOKUP(Spellcasting!BS$39,Tables!$TK:$UB,Tables!$TT$1,FALSE))</f>
        <v/>
      </c>
      <c r="CS169" s="1048"/>
      <c r="CT169" s="1048"/>
      <c r="CU169" s="1048"/>
      <c r="CV169" s="1048"/>
      <c r="CW169" s="263"/>
      <c r="CX169" s="1048" t="str">
        <f>IF(OR(CharacterLevel="",Spellcasting!BS$39=""),"",VLOOKUP(Spellcasting!BS$39,Tables!$TK:$UB,Tables!$TU$1,FALSE))</f>
        <v/>
      </c>
      <c r="CY169" s="1048"/>
      <c r="CZ169" s="1048"/>
      <c r="DA169" s="1048"/>
      <c r="DB169" s="263"/>
      <c r="DC169" s="1048" t="str">
        <f>IF(OR(CharacterLevel="",Spellcasting!BS$39=""),"",VLOOKUP(Spellcasting!BS$39,Tables!$TK:$UB,Tables!$TV$1,FALSE))</f>
        <v/>
      </c>
      <c r="DD169" s="1048"/>
      <c r="DE169" s="1048"/>
      <c r="DF169" s="1048"/>
      <c r="DG169" s="1048"/>
      <c r="DH169" s="1048"/>
      <c r="DI169" s="261"/>
      <c r="DJ169" s="1048" t="str">
        <f>IF(OR(CharacterLevel="",Spellcasting!BS$39=""),"",VLOOKUP(Spellcasting!BS$39,Tables!$TK:$UB,Tables!$TW$1,FALSE))</f>
        <v/>
      </c>
      <c r="DK169" s="1048"/>
      <c r="DL169" s="1048"/>
      <c r="DM169" s="1048"/>
      <c r="DN169" s="261"/>
      <c r="DO169" s="1048" t="str">
        <f>IF(OR(CharacterLevel="",Spellcasting!BS$39=""),"",VLOOKUP(Spellcasting!BS$39,Tables!$TK:$UB,Tables!$TZ$1,FALSE))</f>
        <v/>
      </c>
      <c r="DP169" s="1048"/>
      <c r="DQ169" s="1048"/>
      <c r="DR169" s="1048"/>
      <c r="DS169" s="261"/>
      <c r="DT169" s="1319" t="str">
        <f>IF(OR(CharacterLevel="",Spellcasting!BS$39=""),"",VLOOKUP(Spellcasting!BS$39,Tables!$TK:$UB,Tables!$UB$1,FALSE))</f>
        <v/>
      </c>
      <c r="DU169" s="1319"/>
      <c r="DV169" s="1319"/>
      <c r="DW169" s="1319"/>
      <c r="DX169" s="1319"/>
      <c r="DY169" s="1319"/>
      <c r="DZ169" s="1319"/>
      <c r="EA169" s="1319"/>
      <c r="EB169" s="1319"/>
      <c r="EC169" s="1319"/>
      <c r="ED169" s="1319"/>
      <c r="EE169" s="1319"/>
      <c r="EF169" s="1319"/>
      <c r="EG169" s="1319"/>
      <c r="EH169" s="1319"/>
      <c r="EI169" s="1319"/>
      <c r="EJ169" s="1319"/>
      <c r="EK169" s="1319"/>
      <c r="EL169" s="1319"/>
      <c r="EM169" s="1319"/>
      <c r="EN169" s="1319"/>
      <c r="EO169" s="1319"/>
      <c r="EP169" s="1319"/>
      <c r="EQ169" s="1319"/>
      <c r="ER169" s="1319"/>
    </row>
    <row r="170" spans="1:148" ht="9.75" customHeight="1" x14ac:dyDescent="0.2">
      <c r="A170" s="5"/>
      <c r="B170" s="1389" t="str">
        <f>IF(CharacterLevel="",'Character Sheet III'!$CF$202,IF(Spellcasting!BQ9="•",'Character Sheet III'!$BX$202,'Character Sheet III'!$CF$202))</f>
        <v>□</v>
      </c>
      <c r="C170" s="1389"/>
      <c r="D170" s="1389"/>
      <c r="E170" s="1325" t="str">
        <f>IF(OR(CharacterLevel="",Spellcasting!BS$9=""),"",VLOOKUP(Spellcasting!BS$9,Tables!$TK:$UB,Tables!$TN$1,FALSE))</f>
        <v/>
      </c>
      <c r="F170" s="1325"/>
      <c r="G170" s="1325"/>
      <c r="H170" s="1325"/>
      <c r="I170" s="1325"/>
      <c r="J170" s="1325"/>
      <c r="K170" s="1325"/>
      <c r="L170" s="1325"/>
      <c r="M170" s="1325"/>
      <c r="N170" s="1325"/>
      <c r="O170" s="1325"/>
      <c r="P170" s="1325"/>
      <c r="Q170" s="1325"/>
      <c r="R170" s="1325"/>
      <c r="S170" s="1325"/>
      <c r="T170" s="1325"/>
      <c r="U170" s="263"/>
      <c r="V170" s="1048" t="str">
        <f>IF(OR(CharacterLevel="",Spellcasting!BS$9=""),"",VLOOKUP(Spellcasting!BS$9,Tables!$TK:$UB,Tables!$TT$1,FALSE))</f>
        <v/>
      </c>
      <c r="W170" s="1048"/>
      <c r="X170" s="1048"/>
      <c r="Y170" s="1048"/>
      <c r="Z170" s="1048"/>
      <c r="AA170" s="263"/>
      <c r="AB170" s="1048" t="str">
        <f>IF(OR(CharacterLevel="",Spellcasting!BS$9=""),"",VLOOKUP(Spellcasting!BS$9,Tables!$TK:$UB,Tables!$TU$1,FALSE))</f>
        <v/>
      </c>
      <c r="AC170" s="1048"/>
      <c r="AD170" s="1048"/>
      <c r="AE170" s="1048"/>
      <c r="AF170" s="263"/>
      <c r="AG170" s="1048" t="str">
        <f>IF(OR(CharacterLevel="",Spellcasting!BS$9=""),"",VLOOKUP(Spellcasting!BS$9,Tables!$TK:$UB,Tables!$TV$1,FALSE))</f>
        <v/>
      </c>
      <c r="AH170" s="1048"/>
      <c r="AI170" s="1048"/>
      <c r="AJ170" s="1048"/>
      <c r="AK170" s="1048"/>
      <c r="AL170" s="1048"/>
      <c r="AM170" s="261"/>
      <c r="AN170" s="857" t="str">
        <f>IF(OR(CharacterLevel="",Spellcasting!BS$9=""),"",VLOOKUP(Spellcasting!BS$9,Tables!$TK:$UB,Tables!$TW$1,FALSE))</f>
        <v/>
      </c>
      <c r="AO170" s="857"/>
      <c r="AP170" s="857"/>
      <c r="AQ170" s="857"/>
      <c r="AR170" s="261"/>
      <c r="AS170" s="1048" t="str">
        <f>IF(OR(CharacterLevel="",Spellcasting!BS$9=""),"",VLOOKUP(Spellcasting!BS$9,Tables!$TK:$UB,Tables!$TZ$1,FALSE))</f>
        <v/>
      </c>
      <c r="AT170" s="1048"/>
      <c r="AU170" s="1048"/>
      <c r="AV170" s="1048"/>
      <c r="AW170" s="261"/>
      <c r="AX170" s="1319" t="str">
        <f>IF(OR(CharacterLevel="",Spellcasting!BS$9=""),"",VLOOKUP(Spellcasting!BS$9,Tables!$TK:$UB,Tables!$UB$1,FALSE))</f>
        <v/>
      </c>
      <c r="AY170" s="1319"/>
      <c r="AZ170" s="1319"/>
      <c r="BA170" s="1319"/>
      <c r="BB170" s="1319"/>
      <c r="BC170" s="1319"/>
      <c r="BD170" s="1319"/>
      <c r="BE170" s="1319"/>
      <c r="BF170" s="1319"/>
      <c r="BG170" s="1319"/>
      <c r="BH170" s="1319"/>
      <c r="BI170" s="1319"/>
      <c r="BJ170" s="1319"/>
      <c r="BK170" s="1319"/>
      <c r="BL170" s="1319"/>
      <c r="BM170" s="1319"/>
      <c r="BN170" s="1319"/>
      <c r="BO170" s="1319"/>
      <c r="BP170" s="1319"/>
      <c r="BQ170" s="1319"/>
      <c r="BR170" s="1319"/>
      <c r="BS170" s="1319"/>
      <c r="BT170" s="1319"/>
      <c r="BU170" s="1319"/>
      <c r="BV170" s="1319"/>
      <c r="BW170" s="174"/>
      <c r="BX170" s="1324"/>
      <c r="BY170" s="1324"/>
      <c r="BZ170" s="1324"/>
      <c r="CA170" s="1325"/>
      <c r="CB170" s="1325"/>
      <c r="CC170" s="1325"/>
      <c r="CD170" s="1325"/>
      <c r="CE170" s="1325"/>
      <c r="CF170" s="1325"/>
      <c r="CG170" s="1325"/>
      <c r="CH170" s="1325"/>
      <c r="CI170" s="1325"/>
      <c r="CJ170" s="1325"/>
      <c r="CK170" s="1325"/>
      <c r="CL170" s="1325"/>
      <c r="CM170" s="1325"/>
      <c r="CN170" s="1325"/>
      <c r="CO170" s="1325"/>
      <c r="CP170" s="1325"/>
      <c r="CQ170" s="263"/>
      <c r="CR170" s="1321"/>
      <c r="CS170" s="1321"/>
      <c r="CT170" s="1321"/>
      <c r="CU170" s="1321"/>
      <c r="CV170" s="1321"/>
      <c r="CW170" s="5"/>
      <c r="CX170" s="1321"/>
      <c r="CY170" s="1321"/>
      <c r="CZ170" s="1321"/>
      <c r="DA170" s="1321"/>
      <c r="DB170" s="5"/>
      <c r="DC170" s="1321"/>
      <c r="DD170" s="1321"/>
      <c r="DE170" s="1321"/>
      <c r="DF170" s="1321"/>
      <c r="DG170" s="1321"/>
      <c r="DH170" s="1321"/>
      <c r="DI170" s="5"/>
      <c r="DJ170" s="1321"/>
      <c r="DK170" s="1321"/>
      <c r="DL170" s="1321"/>
      <c r="DM170" s="1321"/>
      <c r="DN170" s="5"/>
      <c r="DO170" s="1321"/>
      <c r="DP170" s="1321"/>
      <c r="DQ170" s="1321"/>
      <c r="DR170" s="1321"/>
      <c r="DS170" s="5"/>
      <c r="DT170" s="1320"/>
      <c r="DU170" s="1320"/>
      <c r="DV170" s="1320"/>
      <c r="DW170" s="1320"/>
      <c r="DX170" s="1320"/>
      <c r="DY170" s="1320"/>
      <c r="DZ170" s="1320"/>
      <c r="EA170" s="1320"/>
      <c r="EB170" s="1320"/>
      <c r="EC170" s="1320"/>
      <c r="ED170" s="1320"/>
      <c r="EE170" s="1320"/>
      <c r="EF170" s="1320"/>
      <c r="EG170" s="1320"/>
      <c r="EH170" s="1320"/>
      <c r="EI170" s="1320"/>
      <c r="EJ170" s="1320"/>
      <c r="EK170" s="1320"/>
      <c r="EL170" s="1320"/>
      <c r="EM170" s="1320"/>
      <c r="EN170" s="1320"/>
      <c r="EO170" s="1320"/>
      <c r="EP170" s="1320"/>
      <c r="EQ170" s="1320"/>
      <c r="ER170" s="1320"/>
    </row>
    <row r="171" spans="1:148" ht="9.75" customHeight="1" x14ac:dyDescent="0.2">
      <c r="A171" s="5"/>
      <c r="B171" s="1389"/>
      <c r="C171" s="1389"/>
      <c r="D171" s="1389"/>
      <c r="E171" s="1325"/>
      <c r="F171" s="1325"/>
      <c r="G171" s="1325"/>
      <c r="H171" s="1325"/>
      <c r="I171" s="1325"/>
      <c r="J171" s="1325"/>
      <c r="K171" s="1325"/>
      <c r="L171" s="1325"/>
      <c r="M171" s="1325"/>
      <c r="N171" s="1325"/>
      <c r="O171" s="1325"/>
      <c r="P171" s="1325"/>
      <c r="Q171" s="1325"/>
      <c r="R171" s="1325"/>
      <c r="S171" s="1325"/>
      <c r="T171" s="1325"/>
      <c r="U171" s="263"/>
      <c r="V171" s="1321"/>
      <c r="W171" s="1321"/>
      <c r="X171" s="1321"/>
      <c r="Y171" s="1321"/>
      <c r="Z171" s="1321"/>
      <c r="AA171" s="263"/>
      <c r="AB171" s="1321"/>
      <c r="AC171" s="1321"/>
      <c r="AD171" s="1321"/>
      <c r="AE171" s="1321"/>
      <c r="AF171" s="263"/>
      <c r="AG171" s="1321"/>
      <c r="AH171" s="1321"/>
      <c r="AI171" s="1321"/>
      <c r="AJ171" s="1321"/>
      <c r="AK171" s="1321"/>
      <c r="AL171" s="1321"/>
      <c r="AM171" s="263"/>
      <c r="AN171" s="1326"/>
      <c r="AO171" s="1326"/>
      <c r="AP171" s="1326"/>
      <c r="AQ171" s="1326"/>
      <c r="AR171" s="263"/>
      <c r="AS171" s="1321"/>
      <c r="AT171" s="1321"/>
      <c r="AU171" s="1321"/>
      <c r="AV171" s="1321"/>
      <c r="AW171" s="263"/>
      <c r="AX171" s="1320"/>
      <c r="AY171" s="1320"/>
      <c r="AZ171" s="1320"/>
      <c r="BA171" s="1320"/>
      <c r="BB171" s="1320"/>
      <c r="BC171" s="1320"/>
      <c r="BD171" s="1320"/>
      <c r="BE171" s="1320"/>
      <c r="BF171" s="1320"/>
      <c r="BG171" s="1320"/>
      <c r="BH171" s="1320"/>
      <c r="BI171" s="1320"/>
      <c r="BJ171" s="1320"/>
      <c r="BK171" s="1320"/>
      <c r="BL171" s="1320"/>
      <c r="BM171" s="1320"/>
      <c r="BN171" s="1320"/>
      <c r="BO171" s="1320"/>
      <c r="BP171" s="1320"/>
      <c r="BQ171" s="1320"/>
      <c r="BR171" s="1320"/>
      <c r="BS171" s="1320"/>
      <c r="BT171" s="1320"/>
      <c r="BU171" s="1320"/>
      <c r="BV171" s="1320"/>
      <c r="BW171" s="174"/>
      <c r="BX171" s="1324" t="str">
        <f>IF(CharacterLevel="",'Character Sheet III'!$CF$202,IF(Spellcasting!BQ40="•",'Character Sheet III'!$BX$202,'Character Sheet III'!$CF$202))</f>
        <v>□</v>
      </c>
      <c r="BY171" s="1324"/>
      <c r="BZ171" s="1324"/>
      <c r="CA171" s="1325" t="str">
        <f>IF(OR(CharacterLevel="",Spellcasting!BS$40=""),"",VLOOKUP(Spellcasting!BS$40,Tables!$TK:$UB,Tables!$TN$1,FALSE))</f>
        <v/>
      </c>
      <c r="CB171" s="1325"/>
      <c r="CC171" s="1325"/>
      <c r="CD171" s="1325"/>
      <c r="CE171" s="1325"/>
      <c r="CF171" s="1325"/>
      <c r="CG171" s="1325"/>
      <c r="CH171" s="1325"/>
      <c r="CI171" s="1325"/>
      <c r="CJ171" s="1325"/>
      <c r="CK171" s="1325"/>
      <c r="CL171" s="1325"/>
      <c r="CM171" s="1325"/>
      <c r="CN171" s="1325"/>
      <c r="CO171" s="1325"/>
      <c r="CP171" s="1325"/>
      <c r="CQ171" s="263"/>
      <c r="CR171" s="1048" t="str">
        <f>IF(OR(CharacterLevel="",Spellcasting!BS$40=""),"",VLOOKUP(Spellcasting!BS$40,Tables!$TK:$UB,Tables!$TT$1,FALSE))</f>
        <v/>
      </c>
      <c r="CS171" s="1048"/>
      <c r="CT171" s="1048"/>
      <c r="CU171" s="1048"/>
      <c r="CV171" s="1048"/>
      <c r="CW171" s="263"/>
      <c r="CX171" s="1048" t="str">
        <f>IF(OR(CharacterLevel="",Spellcasting!BS$40=""),"",VLOOKUP(Spellcasting!BS$40,Tables!$TK:$UB,Tables!$TU$1,FALSE))</f>
        <v/>
      </c>
      <c r="CY171" s="1048"/>
      <c r="CZ171" s="1048"/>
      <c r="DA171" s="1048"/>
      <c r="DB171" s="263"/>
      <c r="DC171" s="1048" t="str">
        <f>IF(OR(CharacterLevel="",Spellcasting!BS$40=""),"",VLOOKUP(Spellcasting!BS$40,Tables!$TK:$UB,Tables!$TV$1,FALSE))</f>
        <v/>
      </c>
      <c r="DD171" s="1048"/>
      <c r="DE171" s="1048"/>
      <c r="DF171" s="1048"/>
      <c r="DG171" s="1048"/>
      <c r="DH171" s="1048"/>
      <c r="DI171" s="261"/>
      <c r="DJ171" s="1048" t="str">
        <f>IF(OR(CharacterLevel="",Spellcasting!BS$40=""),"",VLOOKUP(Spellcasting!BS$40,Tables!$TK:$UB,Tables!$TW$1,FALSE))</f>
        <v/>
      </c>
      <c r="DK171" s="1048"/>
      <c r="DL171" s="1048"/>
      <c r="DM171" s="1048"/>
      <c r="DN171" s="261"/>
      <c r="DO171" s="1048" t="str">
        <f>IF(OR(CharacterLevel="",Spellcasting!BS$40=""),"",VLOOKUP(Spellcasting!BS$40,Tables!$TK:$UB,Tables!$TZ$1,FALSE))</f>
        <v/>
      </c>
      <c r="DP171" s="1048"/>
      <c r="DQ171" s="1048"/>
      <c r="DR171" s="1048"/>
      <c r="DS171" s="261"/>
      <c r="DT171" s="1319" t="str">
        <f>IF(OR(CharacterLevel="",Spellcasting!BS$40=""),"",VLOOKUP(Spellcasting!BS$40,Tables!$TK:$UB,Tables!$UB$1,FALSE))</f>
        <v/>
      </c>
      <c r="DU171" s="1319"/>
      <c r="DV171" s="1319"/>
      <c r="DW171" s="1319"/>
      <c r="DX171" s="1319"/>
      <c r="DY171" s="1319"/>
      <c r="DZ171" s="1319"/>
      <c r="EA171" s="1319"/>
      <c r="EB171" s="1319"/>
      <c r="EC171" s="1319"/>
      <c r="ED171" s="1319"/>
      <c r="EE171" s="1319"/>
      <c r="EF171" s="1319"/>
      <c r="EG171" s="1319"/>
      <c r="EH171" s="1319"/>
      <c r="EI171" s="1319"/>
      <c r="EJ171" s="1319"/>
      <c r="EK171" s="1319"/>
      <c r="EL171" s="1319"/>
      <c r="EM171" s="1319"/>
      <c r="EN171" s="1319"/>
      <c r="EO171" s="1319"/>
      <c r="EP171" s="1319"/>
      <c r="EQ171" s="1319"/>
      <c r="ER171" s="1319"/>
    </row>
    <row r="172" spans="1:148" ht="9.75" customHeight="1" x14ac:dyDescent="0.2">
      <c r="A172" s="5"/>
      <c r="B172" s="1389" t="str">
        <f>IF(CharacterLevel="",'Character Sheet III'!$CF$202,IF(Spellcasting!BQ10="•",'Character Sheet III'!$BX$202,'Character Sheet III'!$CF$202))</f>
        <v>□</v>
      </c>
      <c r="C172" s="1389"/>
      <c r="D172" s="1389"/>
      <c r="E172" s="1325" t="str">
        <f>IF(OR(CharacterLevel="",Spellcasting!BS$10=""),"",VLOOKUP(Spellcasting!BS$10,Tables!$TK:$UB,Tables!$TN$1,FALSE))</f>
        <v/>
      </c>
      <c r="F172" s="1325"/>
      <c r="G172" s="1325"/>
      <c r="H172" s="1325"/>
      <c r="I172" s="1325"/>
      <c r="J172" s="1325"/>
      <c r="K172" s="1325"/>
      <c r="L172" s="1325"/>
      <c r="M172" s="1325"/>
      <c r="N172" s="1325"/>
      <c r="O172" s="1325"/>
      <c r="P172" s="1325"/>
      <c r="Q172" s="1325"/>
      <c r="R172" s="1325"/>
      <c r="S172" s="1325"/>
      <c r="T172" s="1325"/>
      <c r="U172" s="263"/>
      <c r="V172" s="1048" t="str">
        <f>IF(OR(CharacterLevel="",Spellcasting!BS$10=""),"",VLOOKUP(Spellcasting!BS$10,Tables!$TK:$UB,Tables!$TT$1,FALSE))</f>
        <v/>
      </c>
      <c r="W172" s="1048"/>
      <c r="X172" s="1048"/>
      <c r="Y172" s="1048"/>
      <c r="Z172" s="1048"/>
      <c r="AA172" s="263"/>
      <c r="AB172" s="1048" t="str">
        <f>IF(OR(CharacterLevel="",Spellcasting!BS$10=""),"",VLOOKUP(Spellcasting!BS$10,Tables!$TK:$UB,Tables!$TU$1,FALSE))</f>
        <v/>
      </c>
      <c r="AC172" s="1048"/>
      <c r="AD172" s="1048"/>
      <c r="AE172" s="1048"/>
      <c r="AF172" s="263"/>
      <c r="AG172" s="1048" t="str">
        <f>IF(OR(CharacterLevel="",Spellcasting!BS$10=""),"",VLOOKUP(Spellcasting!BS$10,Tables!$TK:$UB,Tables!$TV$1,FALSE))</f>
        <v/>
      </c>
      <c r="AH172" s="1048"/>
      <c r="AI172" s="1048"/>
      <c r="AJ172" s="1048"/>
      <c r="AK172" s="1048"/>
      <c r="AL172" s="1048"/>
      <c r="AM172" s="261"/>
      <c r="AN172" s="857" t="str">
        <f>IF(OR(CharacterLevel="",Spellcasting!BS$10=""),"",VLOOKUP(Spellcasting!BS$10,Tables!$TK:$UB,Tables!$TW$1,FALSE))</f>
        <v/>
      </c>
      <c r="AO172" s="857"/>
      <c r="AP172" s="857"/>
      <c r="AQ172" s="857"/>
      <c r="AR172" s="261"/>
      <c r="AS172" s="1048" t="str">
        <f>IF(OR(CharacterLevel="",Spellcasting!BS$10=""),"",VLOOKUP(Spellcasting!BS$10,Tables!$TK:$UB,Tables!$TZ$1,FALSE))</f>
        <v/>
      </c>
      <c r="AT172" s="1048"/>
      <c r="AU172" s="1048"/>
      <c r="AV172" s="1048"/>
      <c r="AW172" s="261"/>
      <c r="AX172" s="1319" t="str">
        <f>IF(OR(CharacterLevel="",Spellcasting!BS$10=""),"",VLOOKUP(Spellcasting!BS$10,Tables!$TK:$UB,Tables!$UB$1,FALSE))</f>
        <v/>
      </c>
      <c r="AY172" s="1319"/>
      <c r="AZ172" s="1319"/>
      <c r="BA172" s="1319"/>
      <c r="BB172" s="1319"/>
      <c r="BC172" s="1319"/>
      <c r="BD172" s="1319"/>
      <c r="BE172" s="1319"/>
      <c r="BF172" s="1319"/>
      <c r="BG172" s="1319"/>
      <c r="BH172" s="1319"/>
      <c r="BI172" s="1319"/>
      <c r="BJ172" s="1319"/>
      <c r="BK172" s="1319"/>
      <c r="BL172" s="1319"/>
      <c r="BM172" s="1319"/>
      <c r="BN172" s="1319"/>
      <c r="BO172" s="1319"/>
      <c r="BP172" s="1319"/>
      <c r="BQ172" s="1319"/>
      <c r="BR172" s="1319"/>
      <c r="BS172" s="1319"/>
      <c r="BT172" s="1319"/>
      <c r="BU172" s="1319"/>
      <c r="BV172" s="1319"/>
      <c r="BW172" s="174"/>
      <c r="BX172" s="1324"/>
      <c r="BY172" s="1324"/>
      <c r="BZ172" s="1324"/>
      <c r="CA172" s="1325"/>
      <c r="CB172" s="1325"/>
      <c r="CC172" s="1325"/>
      <c r="CD172" s="1325"/>
      <c r="CE172" s="1325"/>
      <c r="CF172" s="1325"/>
      <c r="CG172" s="1325"/>
      <c r="CH172" s="1325"/>
      <c r="CI172" s="1325"/>
      <c r="CJ172" s="1325"/>
      <c r="CK172" s="1325"/>
      <c r="CL172" s="1325"/>
      <c r="CM172" s="1325"/>
      <c r="CN172" s="1325"/>
      <c r="CO172" s="1325"/>
      <c r="CP172" s="1325"/>
      <c r="CQ172" s="263"/>
      <c r="CR172" s="1321"/>
      <c r="CS172" s="1321"/>
      <c r="CT172" s="1321"/>
      <c r="CU172" s="1321"/>
      <c r="CV172" s="1321"/>
      <c r="CW172" s="5"/>
      <c r="CX172" s="1321"/>
      <c r="CY172" s="1321"/>
      <c r="CZ172" s="1321"/>
      <c r="DA172" s="1321"/>
      <c r="DB172" s="5"/>
      <c r="DC172" s="1321"/>
      <c r="DD172" s="1321"/>
      <c r="DE172" s="1321"/>
      <c r="DF172" s="1321"/>
      <c r="DG172" s="1321"/>
      <c r="DH172" s="1321"/>
      <c r="DI172" s="5"/>
      <c r="DJ172" s="1321"/>
      <c r="DK172" s="1321"/>
      <c r="DL172" s="1321"/>
      <c r="DM172" s="1321"/>
      <c r="DN172" s="5"/>
      <c r="DO172" s="1321"/>
      <c r="DP172" s="1321"/>
      <c r="DQ172" s="1321"/>
      <c r="DR172" s="1321"/>
      <c r="DS172" s="5"/>
      <c r="DT172" s="1320"/>
      <c r="DU172" s="1320"/>
      <c r="DV172" s="1320"/>
      <c r="DW172" s="1320"/>
      <c r="DX172" s="1320"/>
      <c r="DY172" s="1320"/>
      <c r="DZ172" s="1320"/>
      <c r="EA172" s="1320"/>
      <c r="EB172" s="1320"/>
      <c r="EC172" s="1320"/>
      <c r="ED172" s="1320"/>
      <c r="EE172" s="1320"/>
      <c r="EF172" s="1320"/>
      <c r="EG172" s="1320"/>
      <c r="EH172" s="1320"/>
      <c r="EI172" s="1320"/>
      <c r="EJ172" s="1320"/>
      <c r="EK172" s="1320"/>
      <c r="EL172" s="1320"/>
      <c r="EM172" s="1320"/>
      <c r="EN172" s="1320"/>
      <c r="EO172" s="1320"/>
      <c r="EP172" s="1320"/>
      <c r="EQ172" s="1320"/>
      <c r="ER172" s="1320"/>
    </row>
    <row r="173" spans="1:148" ht="9.75" customHeight="1" x14ac:dyDescent="0.2">
      <c r="A173" s="5"/>
      <c r="B173" s="1389"/>
      <c r="C173" s="1389"/>
      <c r="D173" s="1389"/>
      <c r="E173" s="1325"/>
      <c r="F173" s="1325"/>
      <c r="G173" s="1325"/>
      <c r="H173" s="1325"/>
      <c r="I173" s="1325"/>
      <c r="J173" s="1325"/>
      <c r="K173" s="1325"/>
      <c r="L173" s="1325"/>
      <c r="M173" s="1325"/>
      <c r="N173" s="1325"/>
      <c r="O173" s="1325"/>
      <c r="P173" s="1325"/>
      <c r="Q173" s="1325"/>
      <c r="R173" s="1325"/>
      <c r="S173" s="1325"/>
      <c r="T173" s="1325"/>
      <c r="U173" s="263"/>
      <c r="V173" s="1321"/>
      <c r="W173" s="1321"/>
      <c r="X173" s="1321"/>
      <c r="Y173" s="1321"/>
      <c r="Z173" s="1321"/>
      <c r="AA173" s="263"/>
      <c r="AB173" s="1321"/>
      <c r="AC173" s="1321"/>
      <c r="AD173" s="1321"/>
      <c r="AE173" s="1321"/>
      <c r="AF173" s="263"/>
      <c r="AG173" s="1321"/>
      <c r="AH173" s="1321"/>
      <c r="AI173" s="1321"/>
      <c r="AJ173" s="1321"/>
      <c r="AK173" s="1321"/>
      <c r="AL173" s="1321"/>
      <c r="AM173" s="263"/>
      <c r="AN173" s="1326"/>
      <c r="AO173" s="1326"/>
      <c r="AP173" s="1326"/>
      <c r="AQ173" s="1326"/>
      <c r="AR173" s="263"/>
      <c r="AS173" s="1321"/>
      <c r="AT173" s="1321"/>
      <c r="AU173" s="1321"/>
      <c r="AV173" s="1321"/>
      <c r="AW173" s="263"/>
      <c r="AX173" s="1320"/>
      <c r="AY173" s="1320"/>
      <c r="AZ173" s="1320"/>
      <c r="BA173" s="1320"/>
      <c r="BB173" s="1320"/>
      <c r="BC173" s="1320"/>
      <c r="BD173" s="1320"/>
      <c r="BE173" s="1320"/>
      <c r="BF173" s="1320"/>
      <c r="BG173" s="1320"/>
      <c r="BH173" s="1320"/>
      <c r="BI173" s="1320"/>
      <c r="BJ173" s="1320"/>
      <c r="BK173" s="1320"/>
      <c r="BL173" s="1320"/>
      <c r="BM173" s="1320"/>
      <c r="BN173" s="1320"/>
      <c r="BO173" s="1320"/>
      <c r="BP173" s="1320"/>
      <c r="BQ173" s="1320"/>
      <c r="BR173" s="1320"/>
      <c r="BS173" s="1320"/>
      <c r="BT173" s="1320"/>
      <c r="BU173" s="1320"/>
      <c r="BV173" s="1320"/>
      <c r="BW173" s="174"/>
      <c r="BX173" s="1324" t="str">
        <f>IF(CharacterLevel="",'Character Sheet III'!$CF$202,IF(Spellcasting!BQ41="•",'Character Sheet III'!$BX$202,'Character Sheet III'!$CF$202))</f>
        <v>□</v>
      </c>
      <c r="BY173" s="1324"/>
      <c r="BZ173" s="1324"/>
      <c r="CA173" s="1325" t="str">
        <f>IF(OR(CharacterLevel="",Spellcasting!BS$41=""),"",VLOOKUP(Spellcasting!BS$41,Tables!$TK:$UB,Tables!$TN$1,FALSE))</f>
        <v/>
      </c>
      <c r="CB173" s="1325"/>
      <c r="CC173" s="1325"/>
      <c r="CD173" s="1325"/>
      <c r="CE173" s="1325"/>
      <c r="CF173" s="1325"/>
      <c r="CG173" s="1325"/>
      <c r="CH173" s="1325"/>
      <c r="CI173" s="1325"/>
      <c r="CJ173" s="1325"/>
      <c r="CK173" s="1325"/>
      <c r="CL173" s="1325"/>
      <c r="CM173" s="1325"/>
      <c r="CN173" s="1325"/>
      <c r="CO173" s="1325"/>
      <c r="CP173" s="1325"/>
      <c r="CQ173" s="263"/>
      <c r="CR173" s="1048" t="str">
        <f>IF(OR(CharacterLevel="",Spellcasting!BS$41=""),"",VLOOKUP(Spellcasting!BS$41,Tables!$TK:$UB,Tables!$TT$1,FALSE))</f>
        <v/>
      </c>
      <c r="CS173" s="1048"/>
      <c r="CT173" s="1048"/>
      <c r="CU173" s="1048"/>
      <c r="CV173" s="1048"/>
      <c r="CW173" s="263"/>
      <c r="CX173" s="1048" t="str">
        <f>IF(OR(CharacterLevel="",Spellcasting!BS$41=""),"",VLOOKUP(Spellcasting!BS$41,Tables!$TK:$UB,Tables!$TU$1,FALSE))</f>
        <v/>
      </c>
      <c r="CY173" s="1048"/>
      <c r="CZ173" s="1048"/>
      <c r="DA173" s="1048"/>
      <c r="DB173" s="263"/>
      <c r="DC173" s="1048" t="str">
        <f>IF(OR(CharacterLevel="",Spellcasting!BS$41=""),"",VLOOKUP(Spellcasting!BS$41,Tables!$TK:$UB,Tables!$TV$1,FALSE))</f>
        <v/>
      </c>
      <c r="DD173" s="1048"/>
      <c r="DE173" s="1048"/>
      <c r="DF173" s="1048"/>
      <c r="DG173" s="1048"/>
      <c r="DH173" s="1048"/>
      <c r="DI173" s="261"/>
      <c r="DJ173" s="1048" t="str">
        <f>IF(OR(CharacterLevel="",Spellcasting!BS$41=""),"",VLOOKUP(Spellcasting!BS$41,Tables!$TK:$UB,Tables!$TW$1,FALSE))</f>
        <v/>
      </c>
      <c r="DK173" s="1048"/>
      <c r="DL173" s="1048"/>
      <c r="DM173" s="1048"/>
      <c r="DN173" s="261"/>
      <c r="DO173" s="1048" t="str">
        <f>IF(OR(CharacterLevel="",Spellcasting!BS$41=""),"",VLOOKUP(Spellcasting!BS$41,Tables!$TK:$UB,Tables!$TZ$1,FALSE))</f>
        <v/>
      </c>
      <c r="DP173" s="1048"/>
      <c r="DQ173" s="1048"/>
      <c r="DR173" s="1048"/>
      <c r="DS173" s="261"/>
      <c r="DT173" s="1319" t="str">
        <f>IF(OR(CharacterLevel="",Spellcasting!BS$41=""),"",VLOOKUP(Spellcasting!BS$41,Tables!$TK:$UB,Tables!$UB$1,FALSE))</f>
        <v/>
      </c>
      <c r="DU173" s="1319"/>
      <c r="DV173" s="1319"/>
      <c r="DW173" s="1319"/>
      <c r="DX173" s="1319"/>
      <c r="DY173" s="1319"/>
      <c r="DZ173" s="1319"/>
      <c r="EA173" s="1319"/>
      <c r="EB173" s="1319"/>
      <c r="EC173" s="1319"/>
      <c r="ED173" s="1319"/>
      <c r="EE173" s="1319"/>
      <c r="EF173" s="1319"/>
      <c r="EG173" s="1319"/>
      <c r="EH173" s="1319"/>
      <c r="EI173" s="1319"/>
      <c r="EJ173" s="1319"/>
      <c r="EK173" s="1319"/>
      <c r="EL173" s="1319"/>
      <c r="EM173" s="1319"/>
      <c r="EN173" s="1319"/>
      <c r="EO173" s="1319"/>
      <c r="EP173" s="1319"/>
      <c r="EQ173" s="1319"/>
      <c r="ER173" s="1319"/>
    </row>
    <row r="174" spans="1:148" ht="9.75" customHeight="1" x14ac:dyDescent="0.2">
      <c r="A174" s="5"/>
      <c r="B174" s="1389" t="str">
        <f>IF(CharacterLevel="",'Character Sheet III'!$CF$202,IF(Spellcasting!BQ11="•",'Character Sheet III'!$BX$202,'Character Sheet III'!$CF$202))</f>
        <v>□</v>
      </c>
      <c r="C174" s="1389"/>
      <c r="D174" s="1389"/>
      <c r="E174" s="1325" t="str">
        <f>IF(OR(CharacterLevel="",Spellcasting!BS$11=""),"",VLOOKUP(Spellcasting!BS$11,Tables!$TK:$UB,Tables!$TN$1,FALSE))</f>
        <v/>
      </c>
      <c r="F174" s="1325"/>
      <c r="G174" s="1325"/>
      <c r="H174" s="1325"/>
      <c r="I174" s="1325"/>
      <c r="J174" s="1325"/>
      <c r="K174" s="1325"/>
      <c r="L174" s="1325"/>
      <c r="M174" s="1325"/>
      <c r="N174" s="1325"/>
      <c r="O174" s="1325"/>
      <c r="P174" s="1325"/>
      <c r="Q174" s="1325"/>
      <c r="R174" s="1325"/>
      <c r="S174" s="1325"/>
      <c r="T174" s="1325"/>
      <c r="U174" s="263"/>
      <c r="V174" s="1048" t="str">
        <f>IF(OR(CharacterLevel="",Spellcasting!BS$11=""),"",VLOOKUP(Spellcasting!BS$11,Tables!$TK:$UB,Tables!$TT$1,FALSE))</f>
        <v/>
      </c>
      <c r="W174" s="1048"/>
      <c r="X174" s="1048"/>
      <c r="Y174" s="1048"/>
      <c r="Z174" s="1048"/>
      <c r="AA174" s="263"/>
      <c r="AB174" s="1048" t="str">
        <f>IF(OR(CharacterLevel="",Spellcasting!BS$11=""),"",VLOOKUP(Spellcasting!BS$11,Tables!$TK:$UB,Tables!$TU$1,FALSE))</f>
        <v/>
      </c>
      <c r="AC174" s="1048"/>
      <c r="AD174" s="1048"/>
      <c r="AE174" s="1048"/>
      <c r="AF174" s="263"/>
      <c r="AG174" s="1048" t="str">
        <f>IF(OR(CharacterLevel="",Spellcasting!BS$11=""),"",VLOOKUP(Spellcasting!BS$11,Tables!$TK:$UB,Tables!$TV$1,FALSE))</f>
        <v/>
      </c>
      <c r="AH174" s="1048"/>
      <c r="AI174" s="1048"/>
      <c r="AJ174" s="1048"/>
      <c r="AK174" s="1048"/>
      <c r="AL174" s="1048"/>
      <c r="AM174" s="261"/>
      <c r="AN174" s="857" t="str">
        <f>IF(OR(CharacterLevel="",Spellcasting!BS$11=""),"",VLOOKUP(Spellcasting!BS$11,Tables!$TK:$UB,Tables!$TW$1,FALSE))</f>
        <v/>
      </c>
      <c r="AO174" s="857"/>
      <c r="AP174" s="857"/>
      <c r="AQ174" s="857"/>
      <c r="AR174" s="261"/>
      <c r="AS174" s="1048" t="str">
        <f>IF(OR(CharacterLevel="",Spellcasting!BS$11=""),"",VLOOKUP(Spellcasting!BS$11,Tables!$TK:$UB,Tables!$TZ$1,FALSE))</f>
        <v/>
      </c>
      <c r="AT174" s="1048"/>
      <c r="AU174" s="1048"/>
      <c r="AV174" s="1048"/>
      <c r="AW174" s="261"/>
      <c r="AX174" s="1319" t="str">
        <f>IF(OR(CharacterLevel="",Spellcasting!BS$11=""),"",VLOOKUP(Spellcasting!BS$11,Tables!$TK:$UB,Tables!$UB$1,FALSE))</f>
        <v/>
      </c>
      <c r="AY174" s="1319"/>
      <c r="AZ174" s="1319"/>
      <c r="BA174" s="1319"/>
      <c r="BB174" s="1319"/>
      <c r="BC174" s="1319"/>
      <c r="BD174" s="1319"/>
      <c r="BE174" s="1319"/>
      <c r="BF174" s="1319"/>
      <c r="BG174" s="1319"/>
      <c r="BH174" s="1319"/>
      <c r="BI174" s="1319"/>
      <c r="BJ174" s="1319"/>
      <c r="BK174" s="1319"/>
      <c r="BL174" s="1319"/>
      <c r="BM174" s="1319"/>
      <c r="BN174" s="1319"/>
      <c r="BO174" s="1319"/>
      <c r="BP174" s="1319"/>
      <c r="BQ174" s="1319"/>
      <c r="BR174" s="1319"/>
      <c r="BS174" s="1319"/>
      <c r="BT174" s="1319"/>
      <c r="BU174" s="1319"/>
      <c r="BV174" s="1319"/>
      <c r="BW174" s="174"/>
      <c r="BX174" s="1324"/>
      <c r="BY174" s="1324"/>
      <c r="BZ174" s="1324"/>
      <c r="CA174" s="1325"/>
      <c r="CB174" s="1325"/>
      <c r="CC174" s="1325"/>
      <c r="CD174" s="1325"/>
      <c r="CE174" s="1325"/>
      <c r="CF174" s="1325"/>
      <c r="CG174" s="1325"/>
      <c r="CH174" s="1325"/>
      <c r="CI174" s="1325"/>
      <c r="CJ174" s="1325"/>
      <c r="CK174" s="1325"/>
      <c r="CL174" s="1325"/>
      <c r="CM174" s="1325"/>
      <c r="CN174" s="1325"/>
      <c r="CO174" s="1325"/>
      <c r="CP174" s="1325"/>
      <c r="CQ174" s="263"/>
      <c r="CR174" s="1321"/>
      <c r="CS174" s="1321"/>
      <c r="CT174" s="1321"/>
      <c r="CU174" s="1321"/>
      <c r="CV174" s="1321"/>
      <c r="CW174" s="5"/>
      <c r="CX174" s="1321"/>
      <c r="CY174" s="1321"/>
      <c r="CZ174" s="1321"/>
      <c r="DA174" s="1321"/>
      <c r="DB174" s="5"/>
      <c r="DC174" s="1321"/>
      <c r="DD174" s="1321"/>
      <c r="DE174" s="1321"/>
      <c r="DF174" s="1321"/>
      <c r="DG174" s="1321"/>
      <c r="DH174" s="1321"/>
      <c r="DI174" s="5"/>
      <c r="DJ174" s="1321"/>
      <c r="DK174" s="1321"/>
      <c r="DL174" s="1321"/>
      <c r="DM174" s="1321"/>
      <c r="DN174" s="5"/>
      <c r="DO174" s="1321"/>
      <c r="DP174" s="1321"/>
      <c r="DQ174" s="1321"/>
      <c r="DR174" s="1321"/>
      <c r="DS174" s="5"/>
      <c r="DT174" s="1320"/>
      <c r="DU174" s="1320"/>
      <c r="DV174" s="1320"/>
      <c r="DW174" s="1320"/>
      <c r="DX174" s="1320"/>
      <c r="DY174" s="1320"/>
      <c r="DZ174" s="1320"/>
      <c r="EA174" s="1320"/>
      <c r="EB174" s="1320"/>
      <c r="EC174" s="1320"/>
      <c r="ED174" s="1320"/>
      <c r="EE174" s="1320"/>
      <c r="EF174" s="1320"/>
      <c r="EG174" s="1320"/>
      <c r="EH174" s="1320"/>
      <c r="EI174" s="1320"/>
      <c r="EJ174" s="1320"/>
      <c r="EK174" s="1320"/>
      <c r="EL174" s="1320"/>
      <c r="EM174" s="1320"/>
      <c r="EN174" s="1320"/>
      <c r="EO174" s="1320"/>
      <c r="EP174" s="1320"/>
      <c r="EQ174" s="1320"/>
      <c r="ER174" s="1320"/>
    </row>
    <row r="175" spans="1:148" ht="9.75" customHeight="1" x14ac:dyDescent="0.2">
      <c r="A175" s="5"/>
      <c r="B175" s="1389"/>
      <c r="C175" s="1389"/>
      <c r="D175" s="1389"/>
      <c r="E175" s="1325"/>
      <c r="F175" s="1325"/>
      <c r="G175" s="1325"/>
      <c r="H175" s="1325"/>
      <c r="I175" s="1325"/>
      <c r="J175" s="1325"/>
      <c r="K175" s="1325"/>
      <c r="L175" s="1325"/>
      <c r="M175" s="1325"/>
      <c r="N175" s="1325"/>
      <c r="O175" s="1325"/>
      <c r="P175" s="1325"/>
      <c r="Q175" s="1325"/>
      <c r="R175" s="1325"/>
      <c r="S175" s="1325"/>
      <c r="T175" s="1325"/>
      <c r="U175" s="263"/>
      <c r="V175" s="1321"/>
      <c r="W175" s="1321"/>
      <c r="X175" s="1321"/>
      <c r="Y175" s="1321"/>
      <c r="Z175" s="1321"/>
      <c r="AA175" s="263"/>
      <c r="AB175" s="1321"/>
      <c r="AC175" s="1321"/>
      <c r="AD175" s="1321"/>
      <c r="AE175" s="1321"/>
      <c r="AF175" s="263"/>
      <c r="AG175" s="1321"/>
      <c r="AH175" s="1321"/>
      <c r="AI175" s="1321"/>
      <c r="AJ175" s="1321"/>
      <c r="AK175" s="1321"/>
      <c r="AL175" s="1321"/>
      <c r="AM175" s="263"/>
      <c r="AN175" s="1326"/>
      <c r="AO175" s="1326"/>
      <c r="AP175" s="1326"/>
      <c r="AQ175" s="1326"/>
      <c r="AR175" s="263"/>
      <c r="AS175" s="1321"/>
      <c r="AT175" s="1321"/>
      <c r="AU175" s="1321"/>
      <c r="AV175" s="1321"/>
      <c r="AW175" s="263"/>
      <c r="AX175" s="1320"/>
      <c r="AY175" s="1320"/>
      <c r="AZ175" s="1320"/>
      <c r="BA175" s="1320"/>
      <c r="BB175" s="1320"/>
      <c r="BC175" s="1320"/>
      <c r="BD175" s="1320"/>
      <c r="BE175" s="1320"/>
      <c r="BF175" s="1320"/>
      <c r="BG175" s="1320"/>
      <c r="BH175" s="1320"/>
      <c r="BI175" s="1320"/>
      <c r="BJ175" s="1320"/>
      <c r="BK175" s="1320"/>
      <c r="BL175" s="1320"/>
      <c r="BM175" s="1320"/>
      <c r="BN175" s="1320"/>
      <c r="BO175" s="1320"/>
      <c r="BP175" s="1320"/>
      <c r="BQ175" s="1320"/>
      <c r="BR175" s="1320"/>
      <c r="BS175" s="1320"/>
      <c r="BT175" s="1320"/>
      <c r="BU175" s="1320"/>
      <c r="BV175" s="1320"/>
      <c r="BW175" s="174"/>
      <c r="BX175" s="1324" t="str">
        <f>IF(CharacterLevel="",'Character Sheet III'!$CF$202,IF(Spellcasting!BQ42="•",'Character Sheet III'!$BX$202,'Character Sheet III'!$CF$202))</f>
        <v>□</v>
      </c>
      <c r="BY175" s="1324"/>
      <c r="BZ175" s="1324"/>
      <c r="CA175" s="1325" t="str">
        <f>IF(OR(CharacterLevel="",Spellcasting!BS$42=""),"",VLOOKUP(Spellcasting!BS$42,Tables!$TK:$UB,Tables!$TN$1,FALSE))</f>
        <v/>
      </c>
      <c r="CB175" s="1325"/>
      <c r="CC175" s="1325"/>
      <c r="CD175" s="1325"/>
      <c r="CE175" s="1325"/>
      <c r="CF175" s="1325"/>
      <c r="CG175" s="1325"/>
      <c r="CH175" s="1325"/>
      <c r="CI175" s="1325"/>
      <c r="CJ175" s="1325"/>
      <c r="CK175" s="1325"/>
      <c r="CL175" s="1325"/>
      <c r="CM175" s="1325"/>
      <c r="CN175" s="1325"/>
      <c r="CO175" s="1325"/>
      <c r="CP175" s="1325"/>
      <c r="CQ175" s="263"/>
      <c r="CR175" s="1048" t="str">
        <f>IF(OR(CharacterLevel="",Spellcasting!BS$42=""),"",VLOOKUP(Spellcasting!BS$42,Tables!$TK:$UB,Tables!$TT$1,FALSE))</f>
        <v/>
      </c>
      <c r="CS175" s="1048"/>
      <c r="CT175" s="1048"/>
      <c r="CU175" s="1048"/>
      <c r="CV175" s="1048"/>
      <c r="CW175" s="263"/>
      <c r="CX175" s="1048" t="str">
        <f>IF(OR(CharacterLevel="",Spellcasting!BS$42=""),"",VLOOKUP(Spellcasting!BS$42,Tables!$TK:$UB,Tables!$TU$1,FALSE))</f>
        <v/>
      </c>
      <c r="CY175" s="1048"/>
      <c r="CZ175" s="1048"/>
      <c r="DA175" s="1048"/>
      <c r="DB175" s="263"/>
      <c r="DC175" s="1048" t="str">
        <f>IF(OR(CharacterLevel="",Spellcasting!BS$42=""),"",VLOOKUP(Spellcasting!BS$42,Tables!$TK:$UB,Tables!$TV$1,FALSE))</f>
        <v/>
      </c>
      <c r="DD175" s="1048"/>
      <c r="DE175" s="1048"/>
      <c r="DF175" s="1048"/>
      <c r="DG175" s="1048"/>
      <c r="DH175" s="1048"/>
      <c r="DI175" s="261"/>
      <c r="DJ175" s="1048" t="str">
        <f>IF(OR(CharacterLevel="",Spellcasting!BS$42=""),"",VLOOKUP(Spellcasting!BS$42,Tables!$TK:$UB,Tables!$TW$1,FALSE))</f>
        <v/>
      </c>
      <c r="DK175" s="1048"/>
      <c r="DL175" s="1048"/>
      <c r="DM175" s="1048"/>
      <c r="DN175" s="261"/>
      <c r="DO175" s="1048" t="str">
        <f>IF(OR(CharacterLevel="",Spellcasting!BS$42=""),"",VLOOKUP(Spellcasting!BS$42,Tables!$TK:$UB,Tables!$TZ$1,FALSE))</f>
        <v/>
      </c>
      <c r="DP175" s="1048"/>
      <c r="DQ175" s="1048"/>
      <c r="DR175" s="1048"/>
      <c r="DS175" s="261"/>
      <c r="DT175" s="1319" t="str">
        <f>IF(OR(CharacterLevel="",Spellcasting!BS$42=""),"",VLOOKUP(Spellcasting!BS$42,Tables!$TK:$UB,Tables!$UB$1,FALSE))</f>
        <v/>
      </c>
      <c r="DU175" s="1319"/>
      <c r="DV175" s="1319"/>
      <c r="DW175" s="1319"/>
      <c r="DX175" s="1319"/>
      <c r="DY175" s="1319"/>
      <c r="DZ175" s="1319"/>
      <c r="EA175" s="1319"/>
      <c r="EB175" s="1319"/>
      <c r="EC175" s="1319"/>
      <c r="ED175" s="1319"/>
      <c r="EE175" s="1319"/>
      <c r="EF175" s="1319"/>
      <c r="EG175" s="1319"/>
      <c r="EH175" s="1319"/>
      <c r="EI175" s="1319"/>
      <c r="EJ175" s="1319"/>
      <c r="EK175" s="1319"/>
      <c r="EL175" s="1319"/>
      <c r="EM175" s="1319"/>
      <c r="EN175" s="1319"/>
      <c r="EO175" s="1319"/>
      <c r="EP175" s="1319"/>
      <c r="EQ175" s="1319"/>
      <c r="ER175" s="1319"/>
    </row>
    <row r="176" spans="1:148" ht="9.75" customHeight="1" x14ac:dyDescent="0.2">
      <c r="A176" s="5"/>
      <c r="B176" s="1389" t="str">
        <f>IF(CharacterLevel="",'Character Sheet III'!$CF$202,IF(Spellcasting!BQ12="•",'Character Sheet III'!$BX$202,'Character Sheet III'!$CF$202))</f>
        <v>□</v>
      </c>
      <c r="C176" s="1389"/>
      <c r="D176" s="1389"/>
      <c r="E176" s="1325" t="str">
        <f>IF(OR(CharacterLevel="",Spellcasting!BS$12=""),"",VLOOKUP(Spellcasting!BS$12,Tables!$TK:$UB,Tables!$TN$1,FALSE))</f>
        <v/>
      </c>
      <c r="F176" s="1325"/>
      <c r="G176" s="1325"/>
      <c r="H176" s="1325"/>
      <c r="I176" s="1325"/>
      <c r="J176" s="1325"/>
      <c r="K176" s="1325"/>
      <c r="L176" s="1325"/>
      <c r="M176" s="1325"/>
      <c r="N176" s="1325"/>
      <c r="O176" s="1325"/>
      <c r="P176" s="1325"/>
      <c r="Q176" s="1325"/>
      <c r="R176" s="1325"/>
      <c r="S176" s="1325"/>
      <c r="T176" s="1325"/>
      <c r="U176" s="263"/>
      <c r="V176" s="1048" t="str">
        <f>IF(OR(CharacterLevel="",Spellcasting!BS$12=""),"",VLOOKUP(Spellcasting!BS$12,Tables!$TK:$UB,Tables!$TT$1,FALSE))</f>
        <v/>
      </c>
      <c r="W176" s="1048"/>
      <c r="X176" s="1048"/>
      <c r="Y176" s="1048"/>
      <c r="Z176" s="1048"/>
      <c r="AA176" s="263"/>
      <c r="AB176" s="1048" t="str">
        <f>IF(OR(CharacterLevel="",Spellcasting!BS$12=""),"",VLOOKUP(Spellcasting!BS$12,Tables!$TK:$UB,Tables!$TU$1,FALSE))</f>
        <v/>
      </c>
      <c r="AC176" s="1048"/>
      <c r="AD176" s="1048"/>
      <c r="AE176" s="1048"/>
      <c r="AF176" s="263"/>
      <c r="AG176" s="1048" t="str">
        <f>IF(OR(CharacterLevel="",Spellcasting!BS$12=""),"",VLOOKUP(Spellcasting!BS$12,Tables!$TK:$UB,Tables!$TV$1,FALSE))</f>
        <v/>
      </c>
      <c r="AH176" s="1048"/>
      <c r="AI176" s="1048"/>
      <c r="AJ176" s="1048"/>
      <c r="AK176" s="1048"/>
      <c r="AL176" s="1048"/>
      <c r="AM176" s="261"/>
      <c r="AN176" s="857" t="str">
        <f>IF(OR(CharacterLevel="",Spellcasting!BS$12=""),"",VLOOKUP(Spellcasting!BS$12,Tables!$TK:$UB,Tables!$TW$1,FALSE))</f>
        <v/>
      </c>
      <c r="AO176" s="857"/>
      <c r="AP176" s="857"/>
      <c r="AQ176" s="857"/>
      <c r="AR176" s="261"/>
      <c r="AS176" s="1048" t="str">
        <f>IF(OR(CharacterLevel="",Spellcasting!BS$12=""),"",VLOOKUP(Spellcasting!BS$12,Tables!$TK:$UB,Tables!$TZ$1,FALSE))</f>
        <v/>
      </c>
      <c r="AT176" s="1048"/>
      <c r="AU176" s="1048"/>
      <c r="AV176" s="1048"/>
      <c r="AW176" s="261"/>
      <c r="AX176" s="1319" t="str">
        <f>IF(OR(CharacterLevel="",Spellcasting!BS$12=""),"",VLOOKUP(Spellcasting!BS$12,Tables!$TK:$UB,Tables!$UB$1,FALSE))</f>
        <v/>
      </c>
      <c r="AY176" s="1319"/>
      <c r="AZ176" s="1319"/>
      <c r="BA176" s="1319"/>
      <c r="BB176" s="1319"/>
      <c r="BC176" s="1319"/>
      <c r="BD176" s="1319"/>
      <c r="BE176" s="1319"/>
      <c r="BF176" s="1319"/>
      <c r="BG176" s="1319"/>
      <c r="BH176" s="1319"/>
      <c r="BI176" s="1319"/>
      <c r="BJ176" s="1319"/>
      <c r="BK176" s="1319"/>
      <c r="BL176" s="1319"/>
      <c r="BM176" s="1319"/>
      <c r="BN176" s="1319"/>
      <c r="BO176" s="1319"/>
      <c r="BP176" s="1319"/>
      <c r="BQ176" s="1319"/>
      <c r="BR176" s="1319"/>
      <c r="BS176" s="1319"/>
      <c r="BT176" s="1319"/>
      <c r="BU176" s="1319"/>
      <c r="BV176" s="1319"/>
      <c r="BW176" s="174"/>
      <c r="BX176" s="1324"/>
      <c r="BY176" s="1324"/>
      <c r="BZ176" s="1324"/>
      <c r="CA176" s="1325"/>
      <c r="CB176" s="1325"/>
      <c r="CC176" s="1325"/>
      <c r="CD176" s="1325"/>
      <c r="CE176" s="1325"/>
      <c r="CF176" s="1325"/>
      <c r="CG176" s="1325"/>
      <c r="CH176" s="1325"/>
      <c r="CI176" s="1325"/>
      <c r="CJ176" s="1325"/>
      <c r="CK176" s="1325"/>
      <c r="CL176" s="1325"/>
      <c r="CM176" s="1325"/>
      <c r="CN176" s="1325"/>
      <c r="CO176" s="1325"/>
      <c r="CP176" s="1325"/>
      <c r="CQ176" s="263"/>
      <c r="CR176" s="1321"/>
      <c r="CS176" s="1321"/>
      <c r="CT176" s="1321"/>
      <c r="CU176" s="1321"/>
      <c r="CV176" s="1321"/>
      <c r="CW176" s="5"/>
      <c r="CX176" s="1321"/>
      <c r="CY176" s="1321"/>
      <c r="CZ176" s="1321"/>
      <c r="DA176" s="1321"/>
      <c r="DB176" s="5"/>
      <c r="DC176" s="1321"/>
      <c r="DD176" s="1321"/>
      <c r="DE176" s="1321"/>
      <c r="DF176" s="1321"/>
      <c r="DG176" s="1321"/>
      <c r="DH176" s="1321"/>
      <c r="DI176" s="5"/>
      <c r="DJ176" s="1321"/>
      <c r="DK176" s="1321"/>
      <c r="DL176" s="1321"/>
      <c r="DM176" s="1321"/>
      <c r="DN176" s="5"/>
      <c r="DO176" s="1321"/>
      <c r="DP176" s="1321"/>
      <c r="DQ176" s="1321"/>
      <c r="DR176" s="1321"/>
      <c r="DS176" s="5"/>
      <c r="DT176" s="1320"/>
      <c r="DU176" s="1320"/>
      <c r="DV176" s="1320"/>
      <c r="DW176" s="1320"/>
      <c r="DX176" s="1320"/>
      <c r="DY176" s="1320"/>
      <c r="DZ176" s="1320"/>
      <c r="EA176" s="1320"/>
      <c r="EB176" s="1320"/>
      <c r="EC176" s="1320"/>
      <c r="ED176" s="1320"/>
      <c r="EE176" s="1320"/>
      <c r="EF176" s="1320"/>
      <c r="EG176" s="1320"/>
      <c r="EH176" s="1320"/>
      <c r="EI176" s="1320"/>
      <c r="EJ176" s="1320"/>
      <c r="EK176" s="1320"/>
      <c r="EL176" s="1320"/>
      <c r="EM176" s="1320"/>
      <c r="EN176" s="1320"/>
      <c r="EO176" s="1320"/>
      <c r="EP176" s="1320"/>
      <c r="EQ176" s="1320"/>
      <c r="ER176" s="1320"/>
    </row>
    <row r="177" spans="1:148" ht="9.75" customHeight="1" x14ac:dyDescent="0.2">
      <c r="A177" s="5"/>
      <c r="B177" s="1389"/>
      <c r="C177" s="1389"/>
      <c r="D177" s="1389"/>
      <c r="E177" s="1325"/>
      <c r="F177" s="1325"/>
      <c r="G177" s="1325"/>
      <c r="H177" s="1325"/>
      <c r="I177" s="1325"/>
      <c r="J177" s="1325"/>
      <c r="K177" s="1325"/>
      <c r="L177" s="1325"/>
      <c r="M177" s="1325"/>
      <c r="N177" s="1325"/>
      <c r="O177" s="1325"/>
      <c r="P177" s="1325"/>
      <c r="Q177" s="1325"/>
      <c r="R177" s="1325"/>
      <c r="S177" s="1325"/>
      <c r="T177" s="1325"/>
      <c r="U177" s="263"/>
      <c r="V177" s="1321"/>
      <c r="W177" s="1321"/>
      <c r="X177" s="1321"/>
      <c r="Y177" s="1321"/>
      <c r="Z177" s="1321"/>
      <c r="AA177" s="263"/>
      <c r="AB177" s="1321"/>
      <c r="AC177" s="1321"/>
      <c r="AD177" s="1321"/>
      <c r="AE177" s="1321"/>
      <c r="AF177" s="263"/>
      <c r="AG177" s="1321"/>
      <c r="AH177" s="1321"/>
      <c r="AI177" s="1321"/>
      <c r="AJ177" s="1321"/>
      <c r="AK177" s="1321"/>
      <c r="AL177" s="1321"/>
      <c r="AM177" s="263"/>
      <c r="AN177" s="1326"/>
      <c r="AO177" s="1326"/>
      <c r="AP177" s="1326"/>
      <c r="AQ177" s="1326"/>
      <c r="AR177" s="263"/>
      <c r="AS177" s="1321"/>
      <c r="AT177" s="1321"/>
      <c r="AU177" s="1321"/>
      <c r="AV177" s="1321"/>
      <c r="AW177" s="263"/>
      <c r="AX177" s="1320"/>
      <c r="AY177" s="1320"/>
      <c r="AZ177" s="1320"/>
      <c r="BA177" s="1320"/>
      <c r="BB177" s="1320"/>
      <c r="BC177" s="1320"/>
      <c r="BD177" s="1320"/>
      <c r="BE177" s="1320"/>
      <c r="BF177" s="1320"/>
      <c r="BG177" s="1320"/>
      <c r="BH177" s="1320"/>
      <c r="BI177" s="1320"/>
      <c r="BJ177" s="1320"/>
      <c r="BK177" s="1320"/>
      <c r="BL177" s="1320"/>
      <c r="BM177" s="1320"/>
      <c r="BN177" s="1320"/>
      <c r="BO177" s="1320"/>
      <c r="BP177" s="1320"/>
      <c r="BQ177" s="1320"/>
      <c r="BR177" s="1320"/>
      <c r="BS177" s="1320"/>
      <c r="BT177" s="1320"/>
      <c r="BU177" s="1320"/>
      <c r="BV177" s="1320"/>
      <c r="BW177" s="174"/>
      <c r="BX177" s="1369" t="s">
        <v>466</v>
      </c>
      <c r="BY177" s="1369"/>
      <c r="BZ177" s="1369"/>
      <c r="CA177" s="1369"/>
      <c r="CB177" s="1369"/>
      <c r="CC177" s="1369"/>
      <c r="CD177" s="1369"/>
      <c r="CE177" s="1369"/>
      <c r="CF177" s="1369"/>
      <c r="CG177" s="5"/>
      <c r="CH177" s="5"/>
      <c r="CI177" s="5"/>
      <c r="CJ177" s="5"/>
      <c r="CK177" s="5"/>
      <c r="CL177" s="5"/>
      <c r="CM177" s="5"/>
      <c r="CN177" s="5"/>
      <c r="CO177" s="375"/>
      <c r="CP177" s="5"/>
      <c r="CQ177" s="5"/>
      <c r="CR177" s="5"/>
      <c r="CS177" s="5"/>
      <c r="CT177" s="5"/>
      <c r="CU177" s="5"/>
      <c r="CV177" s="5"/>
      <c r="CW177" s="375"/>
      <c r="CX177" s="5"/>
      <c r="CY177" s="5"/>
      <c r="CZ177" s="5"/>
      <c r="DA177" s="5"/>
      <c r="DB177" s="5"/>
      <c r="DC177" s="5"/>
      <c r="DD177" s="5"/>
      <c r="DE177" s="5"/>
      <c r="DF177" s="5"/>
      <c r="DG177" s="5"/>
      <c r="DH177" s="5"/>
      <c r="DI177" s="5"/>
      <c r="DJ177" s="5"/>
      <c r="DK177" s="375"/>
      <c r="DL177" s="5"/>
      <c r="DM177" s="5"/>
      <c r="DN177" s="5"/>
      <c r="DO177" s="5"/>
      <c r="DP177" s="5"/>
      <c r="DQ177" s="5"/>
      <c r="DR177" s="5"/>
      <c r="DS177" s="5"/>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542"/>
      <c r="ER177" s="542"/>
    </row>
    <row r="178" spans="1:148" ht="9.75" customHeight="1" x14ac:dyDescent="0.2">
      <c r="A178" s="5"/>
      <c r="B178" s="1389" t="str">
        <f>IF(CharacterLevel="",'Character Sheet III'!$CF$202,IF(Spellcasting!BQ13="•",'Character Sheet III'!$BX$202,'Character Sheet III'!$CF$202))</f>
        <v>□</v>
      </c>
      <c r="C178" s="1389"/>
      <c r="D178" s="1389"/>
      <c r="E178" s="1325" t="str">
        <f>IF(OR(CharacterLevel="",Spellcasting!BS$13=""),"",VLOOKUP(Spellcasting!BS$13,Tables!$TK:$UB,Tables!$TN$1,FALSE))</f>
        <v/>
      </c>
      <c r="F178" s="1325"/>
      <c r="G178" s="1325"/>
      <c r="H178" s="1325"/>
      <c r="I178" s="1325"/>
      <c r="J178" s="1325"/>
      <c r="K178" s="1325"/>
      <c r="L178" s="1325"/>
      <c r="M178" s="1325"/>
      <c r="N178" s="1325"/>
      <c r="O178" s="1325"/>
      <c r="P178" s="1325"/>
      <c r="Q178" s="1325"/>
      <c r="R178" s="1325"/>
      <c r="S178" s="1325"/>
      <c r="T178" s="1325"/>
      <c r="U178" s="263"/>
      <c r="V178" s="1048" t="str">
        <f>IF(OR(CharacterLevel="",Spellcasting!BS$13=""),"",VLOOKUP(Spellcasting!BS$13,Tables!$TK:$UB,Tables!$TT$1,FALSE))</f>
        <v/>
      </c>
      <c r="W178" s="1048"/>
      <c r="X178" s="1048"/>
      <c r="Y178" s="1048"/>
      <c r="Z178" s="1048"/>
      <c r="AA178" s="263"/>
      <c r="AB178" s="1048" t="str">
        <f>IF(OR(CharacterLevel="",Spellcasting!BS$13=""),"",VLOOKUP(Spellcasting!BS$13,Tables!$TK:$UB,Tables!$TU$1,FALSE))</f>
        <v/>
      </c>
      <c r="AC178" s="1048"/>
      <c r="AD178" s="1048"/>
      <c r="AE178" s="1048"/>
      <c r="AF178" s="263"/>
      <c r="AG178" s="1048" t="str">
        <f>IF(OR(CharacterLevel="",Spellcasting!BS$13=""),"",VLOOKUP(Spellcasting!BS$13,Tables!$TK:$UB,Tables!$TV$1,FALSE))</f>
        <v/>
      </c>
      <c r="AH178" s="1048"/>
      <c r="AI178" s="1048"/>
      <c r="AJ178" s="1048"/>
      <c r="AK178" s="1048"/>
      <c r="AL178" s="1048"/>
      <c r="AM178" s="261"/>
      <c r="AN178" s="857" t="str">
        <f>IF(OR(CharacterLevel="",Spellcasting!BS$13=""),"",VLOOKUP(Spellcasting!BS$13,Tables!$TK:$UB,Tables!$TW$1,FALSE))</f>
        <v/>
      </c>
      <c r="AO178" s="857"/>
      <c r="AP178" s="857"/>
      <c r="AQ178" s="857"/>
      <c r="AR178" s="261"/>
      <c r="AS178" s="1048" t="str">
        <f>IF(OR(CharacterLevel="",Spellcasting!BS$13=""),"",VLOOKUP(Spellcasting!BS$13,Tables!$TK:$UB,Tables!$TZ$1,FALSE))</f>
        <v/>
      </c>
      <c r="AT178" s="1048"/>
      <c r="AU178" s="1048"/>
      <c r="AV178" s="1048"/>
      <c r="AW178" s="261"/>
      <c r="AX178" s="1319" t="str">
        <f>IF(OR(CharacterLevel="",Spellcasting!BS$13=""),"",VLOOKUP(Spellcasting!BS$13,Tables!$TK:$UB,Tables!$UB$1,FALSE))</f>
        <v/>
      </c>
      <c r="AY178" s="1319"/>
      <c r="AZ178" s="1319"/>
      <c r="BA178" s="1319"/>
      <c r="BB178" s="1319"/>
      <c r="BC178" s="1319"/>
      <c r="BD178" s="1319"/>
      <c r="BE178" s="1319"/>
      <c r="BF178" s="1319"/>
      <c r="BG178" s="1319"/>
      <c r="BH178" s="1319"/>
      <c r="BI178" s="1319"/>
      <c r="BJ178" s="1319"/>
      <c r="BK178" s="1319"/>
      <c r="BL178" s="1319"/>
      <c r="BM178" s="1319"/>
      <c r="BN178" s="1319"/>
      <c r="BO178" s="1319"/>
      <c r="BP178" s="1319"/>
      <c r="BQ178" s="1319"/>
      <c r="BR178" s="1319"/>
      <c r="BS178" s="1319"/>
      <c r="BT178" s="1319"/>
      <c r="BU178" s="1319"/>
      <c r="BV178" s="1319"/>
      <c r="BW178" s="174"/>
      <c r="BX178" s="1369"/>
      <c r="BY178" s="1369"/>
      <c r="BZ178" s="1369"/>
      <c r="CA178" s="1369"/>
      <c r="CB178" s="1369"/>
      <c r="CC178" s="1369"/>
      <c r="CD178" s="1369"/>
      <c r="CE178" s="1369"/>
      <c r="CF178" s="1369"/>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542"/>
      <c r="ER178" s="542"/>
    </row>
    <row r="179" spans="1:148" ht="9.75" customHeight="1" x14ac:dyDescent="0.25">
      <c r="A179" s="5"/>
      <c r="B179" s="1389"/>
      <c r="C179" s="1389"/>
      <c r="D179" s="1389"/>
      <c r="E179" s="1325"/>
      <c r="F179" s="1325"/>
      <c r="G179" s="1325"/>
      <c r="H179" s="1325"/>
      <c r="I179" s="1325"/>
      <c r="J179" s="1325"/>
      <c r="K179" s="1325"/>
      <c r="L179" s="1325"/>
      <c r="M179" s="1325"/>
      <c r="N179" s="1325"/>
      <c r="O179" s="1325"/>
      <c r="P179" s="1325"/>
      <c r="Q179" s="1325"/>
      <c r="R179" s="1325"/>
      <c r="S179" s="1325"/>
      <c r="T179" s="1325"/>
      <c r="U179" s="263"/>
      <c r="V179" s="1321"/>
      <c r="W179" s="1321"/>
      <c r="X179" s="1321"/>
      <c r="Y179" s="1321"/>
      <c r="Z179" s="1321"/>
      <c r="AA179" s="263"/>
      <c r="AB179" s="1321"/>
      <c r="AC179" s="1321"/>
      <c r="AD179" s="1321"/>
      <c r="AE179" s="1321"/>
      <c r="AF179" s="263"/>
      <c r="AG179" s="1321"/>
      <c r="AH179" s="1321"/>
      <c r="AI179" s="1321"/>
      <c r="AJ179" s="1321"/>
      <c r="AK179" s="1321"/>
      <c r="AL179" s="1321"/>
      <c r="AM179" s="263"/>
      <c r="AN179" s="1326"/>
      <c r="AO179" s="1326"/>
      <c r="AP179" s="1326"/>
      <c r="AQ179" s="1326"/>
      <c r="AR179" s="263"/>
      <c r="AS179" s="1321"/>
      <c r="AT179" s="1321"/>
      <c r="AU179" s="1321"/>
      <c r="AV179" s="1321"/>
      <c r="AW179" s="263"/>
      <c r="AX179" s="1320"/>
      <c r="AY179" s="1320"/>
      <c r="AZ179" s="1320"/>
      <c r="BA179" s="1320"/>
      <c r="BB179" s="1320"/>
      <c r="BC179" s="1320"/>
      <c r="BD179" s="1320"/>
      <c r="BE179" s="1320"/>
      <c r="BF179" s="1320"/>
      <c r="BG179" s="1320"/>
      <c r="BH179" s="1320"/>
      <c r="BI179" s="1320"/>
      <c r="BJ179" s="1320"/>
      <c r="BK179" s="1320"/>
      <c r="BL179" s="1320"/>
      <c r="BM179" s="1320"/>
      <c r="BN179" s="1320"/>
      <c r="BO179" s="1320"/>
      <c r="BP179" s="1320"/>
      <c r="BQ179" s="1320"/>
      <c r="BR179" s="1320"/>
      <c r="BS179" s="1320"/>
      <c r="BT179" s="1320"/>
      <c r="BU179" s="1320"/>
      <c r="BV179" s="1320"/>
      <c r="BW179" s="174"/>
      <c r="BX179" s="857" t="s">
        <v>455</v>
      </c>
      <c r="BY179" s="857"/>
      <c r="BZ179" s="857"/>
      <c r="CA179" s="857" t="s">
        <v>456</v>
      </c>
      <c r="CB179" s="857"/>
      <c r="CC179" s="857"/>
      <c r="CD179" s="857"/>
      <c r="CE179" s="857"/>
      <c r="CF179" s="857"/>
      <c r="CG179" s="857"/>
      <c r="CH179" s="857"/>
      <c r="CI179" s="857"/>
      <c r="CJ179" s="857"/>
      <c r="CK179" s="857"/>
      <c r="CL179" s="857"/>
      <c r="CM179" s="857"/>
      <c r="CN179" s="857"/>
      <c r="CO179" s="857"/>
      <c r="CP179" s="857"/>
      <c r="CQ179" s="377"/>
      <c r="CR179" s="848" t="s">
        <v>452</v>
      </c>
      <c r="CS179" s="848"/>
      <c r="CT179" s="848"/>
      <c r="CU179" s="848"/>
      <c r="CV179" s="848"/>
      <c r="CW179" s="377"/>
      <c r="CX179" s="848" t="s">
        <v>48</v>
      </c>
      <c r="CY179" s="848"/>
      <c r="CZ179" s="848"/>
      <c r="DA179" s="848"/>
      <c r="DB179" s="377"/>
      <c r="DC179" s="848" t="s">
        <v>453</v>
      </c>
      <c r="DD179" s="848"/>
      <c r="DE179" s="848"/>
      <c r="DF179" s="848"/>
      <c r="DG179" s="848"/>
      <c r="DH179" s="848"/>
      <c r="DI179" s="848" t="s">
        <v>454</v>
      </c>
      <c r="DJ179" s="848"/>
      <c r="DK179" s="848"/>
      <c r="DL179" s="848"/>
      <c r="DM179" s="848"/>
      <c r="DN179" s="848"/>
      <c r="DO179" s="848" t="s">
        <v>9</v>
      </c>
      <c r="DP179" s="848"/>
      <c r="DQ179" s="848"/>
      <c r="DR179" s="848"/>
      <c r="DS179" s="259"/>
      <c r="DT179" s="946" t="s">
        <v>457</v>
      </c>
      <c r="DU179" s="946"/>
      <c r="DV179" s="946"/>
      <c r="DW179" s="946"/>
      <c r="DX179" s="946"/>
      <c r="DY179" s="946"/>
      <c r="DZ179" s="946"/>
      <c r="EA179" s="946"/>
      <c r="EB179" s="946"/>
      <c r="EC179" s="946"/>
      <c r="ED179" s="946"/>
      <c r="EE179" s="946"/>
      <c r="EF179" s="946"/>
      <c r="EG179" s="946"/>
      <c r="EH179" s="946"/>
      <c r="EI179" s="946"/>
      <c r="EJ179" s="946"/>
      <c r="EK179" s="946"/>
      <c r="EL179" s="946"/>
      <c r="EM179" s="946"/>
      <c r="EN179" s="946"/>
      <c r="EO179" s="946"/>
      <c r="EP179" s="946"/>
      <c r="EQ179" s="946"/>
      <c r="ER179" s="946"/>
    </row>
    <row r="180" spans="1:148" ht="9.75" customHeight="1" x14ac:dyDescent="0.25">
      <c r="A180" s="5"/>
      <c r="B180" s="1389" t="str">
        <f>IF(CharacterLevel="",'Character Sheet III'!$CF$202,IF(Spellcasting!BQ14="•",'Character Sheet III'!$BX$202,'Character Sheet III'!$CF$202))</f>
        <v>□</v>
      </c>
      <c r="C180" s="1389"/>
      <c r="D180" s="1389"/>
      <c r="E180" s="1325" t="str">
        <f>IF(OR(CharacterLevel="",Spellcasting!BS$14=""),"",VLOOKUP(Spellcasting!BS$14,Tables!$TK:$UB,Tables!$TN$1,FALSE))</f>
        <v/>
      </c>
      <c r="F180" s="1325"/>
      <c r="G180" s="1325"/>
      <c r="H180" s="1325"/>
      <c r="I180" s="1325"/>
      <c r="J180" s="1325"/>
      <c r="K180" s="1325"/>
      <c r="L180" s="1325"/>
      <c r="M180" s="1325"/>
      <c r="N180" s="1325"/>
      <c r="O180" s="1325"/>
      <c r="P180" s="1325"/>
      <c r="Q180" s="1325"/>
      <c r="R180" s="1325"/>
      <c r="S180" s="1325"/>
      <c r="T180" s="1325"/>
      <c r="U180" s="263"/>
      <c r="V180" s="1048" t="str">
        <f>IF(OR(CharacterLevel="",Spellcasting!BS$14=""),"",VLOOKUP(Spellcasting!BS$14,Tables!$TK:$UB,Tables!$TT$1,FALSE))</f>
        <v/>
      </c>
      <c r="W180" s="1048"/>
      <c r="X180" s="1048"/>
      <c r="Y180" s="1048"/>
      <c r="Z180" s="1048"/>
      <c r="AA180" s="263"/>
      <c r="AB180" s="1048" t="str">
        <f>IF(OR(CharacterLevel="",Spellcasting!BS$14=""),"",VLOOKUP(Spellcasting!BS$14,Tables!$TK:$UB,Tables!$TU$1,FALSE))</f>
        <v/>
      </c>
      <c r="AC180" s="1048"/>
      <c r="AD180" s="1048"/>
      <c r="AE180" s="1048"/>
      <c r="AF180" s="263"/>
      <c r="AG180" s="1048" t="str">
        <f>IF(OR(CharacterLevel="",Spellcasting!BS$14=""),"",VLOOKUP(Spellcasting!BS$14,Tables!$TK:$UB,Tables!$TV$1,FALSE))</f>
        <v/>
      </c>
      <c r="AH180" s="1048"/>
      <c r="AI180" s="1048"/>
      <c r="AJ180" s="1048"/>
      <c r="AK180" s="1048"/>
      <c r="AL180" s="1048"/>
      <c r="AM180" s="261"/>
      <c r="AN180" s="857" t="str">
        <f>IF(OR(CharacterLevel="",Spellcasting!BS$14=""),"",VLOOKUP(Spellcasting!BS$14,Tables!$TK:$UB,Tables!$TW$1,FALSE))</f>
        <v/>
      </c>
      <c r="AO180" s="857"/>
      <c r="AP180" s="857"/>
      <c r="AQ180" s="857"/>
      <c r="AR180" s="261"/>
      <c r="AS180" s="1048" t="str">
        <f>IF(OR(CharacterLevel="",Spellcasting!BS$14=""),"",VLOOKUP(Spellcasting!BS$14,Tables!$TK:$UB,Tables!$TZ$1,FALSE))</f>
        <v/>
      </c>
      <c r="AT180" s="1048"/>
      <c r="AU180" s="1048"/>
      <c r="AV180" s="1048"/>
      <c r="AW180" s="261"/>
      <c r="AX180" s="1319" t="str">
        <f>IF(OR(CharacterLevel="",Spellcasting!BS$14=""),"",VLOOKUP(Spellcasting!BS$14,Tables!$TK:$UB,Tables!$UB$1,FALSE))</f>
        <v/>
      </c>
      <c r="AY180" s="1319"/>
      <c r="AZ180" s="1319"/>
      <c r="BA180" s="1319"/>
      <c r="BB180" s="1319"/>
      <c r="BC180" s="1319"/>
      <c r="BD180" s="1319"/>
      <c r="BE180" s="1319"/>
      <c r="BF180" s="1319"/>
      <c r="BG180" s="1319"/>
      <c r="BH180" s="1319"/>
      <c r="BI180" s="1319"/>
      <c r="BJ180" s="1319"/>
      <c r="BK180" s="1319"/>
      <c r="BL180" s="1319"/>
      <c r="BM180" s="1319"/>
      <c r="BN180" s="1319"/>
      <c r="BO180" s="1319"/>
      <c r="BP180" s="1319"/>
      <c r="BQ180" s="1319"/>
      <c r="BR180" s="1319"/>
      <c r="BS180" s="1319"/>
      <c r="BT180" s="1319"/>
      <c r="BU180" s="1319"/>
      <c r="BV180" s="1319"/>
      <c r="BW180" s="174"/>
      <c r="BX180" s="857"/>
      <c r="BY180" s="857"/>
      <c r="BZ180" s="857"/>
      <c r="CA180" s="857"/>
      <c r="CB180" s="857"/>
      <c r="CC180" s="857"/>
      <c r="CD180" s="857"/>
      <c r="CE180" s="857"/>
      <c r="CF180" s="857"/>
      <c r="CG180" s="857"/>
      <c r="CH180" s="857"/>
      <c r="CI180" s="857"/>
      <c r="CJ180" s="857"/>
      <c r="CK180" s="857"/>
      <c r="CL180" s="857"/>
      <c r="CM180" s="857"/>
      <c r="CN180" s="857"/>
      <c r="CO180" s="857"/>
      <c r="CP180" s="857"/>
      <c r="CQ180" s="377"/>
      <c r="CR180" s="848"/>
      <c r="CS180" s="848"/>
      <c r="CT180" s="848"/>
      <c r="CU180" s="848"/>
      <c r="CV180" s="848"/>
      <c r="CW180" s="377"/>
      <c r="CX180" s="848"/>
      <c r="CY180" s="848"/>
      <c r="CZ180" s="848"/>
      <c r="DA180" s="848"/>
      <c r="DB180" s="377"/>
      <c r="DC180" s="848"/>
      <c r="DD180" s="848"/>
      <c r="DE180" s="848"/>
      <c r="DF180" s="848"/>
      <c r="DG180" s="848"/>
      <c r="DH180" s="848"/>
      <c r="DI180" s="848"/>
      <c r="DJ180" s="848"/>
      <c r="DK180" s="848"/>
      <c r="DL180" s="848"/>
      <c r="DM180" s="848"/>
      <c r="DN180" s="848"/>
      <c r="DO180" s="848"/>
      <c r="DP180" s="848"/>
      <c r="DQ180" s="848"/>
      <c r="DR180" s="848"/>
      <c r="DS180" s="260"/>
      <c r="DT180" s="946"/>
      <c r="DU180" s="946"/>
      <c r="DV180" s="946"/>
      <c r="DW180" s="946"/>
      <c r="DX180" s="946"/>
      <c r="DY180" s="946"/>
      <c r="DZ180" s="946"/>
      <c r="EA180" s="946"/>
      <c r="EB180" s="946"/>
      <c r="EC180" s="946"/>
      <c r="ED180" s="946"/>
      <c r="EE180" s="946"/>
      <c r="EF180" s="946"/>
      <c r="EG180" s="946"/>
      <c r="EH180" s="946"/>
      <c r="EI180" s="946"/>
      <c r="EJ180" s="946"/>
      <c r="EK180" s="946"/>
      <c r="EL180" s="946"/>
      <c r="EM180" s="946"/>
      <c r="EN180" s="946"/>
      <c r="EO180" s="946"/>
      <c r="EP180" s="946"/>
      <c r="EQ180" s="946"/>
      <c r="ER180" s="946"/>
    </row>
    <row r="181" spans="1:148" ht="9.75" customHeight="1" x14ac:dyDescent="0.2">
      <c r="A181" s="5"/>
      <c r="B181" s="1389"/>
      <c r="C181" s="1389"/>
      <c r="D181" s="1389"/>
      <c r="E181" s="1325"/>
      <c r="F181" s="1325"/>
      <c r="G181" s="1325"/>
      <c r="H181" s="1325"/>
      <c r="I181" s="1325"/>
      <c r="J181" s="1325"/>
      <c r="K181" s="1325"/>
      <c r="L181" s="1325"/>
      <c r="M181" s="1325"/>
      <c r="N181" s="1325"/>
      <c r="O181" s="1325"/>
      <c r="P181" s="1325"/>
      <c r="Q181" s="1325"/>
      <c r="R181" s="1325"/>
      <c r="S181" s="1325"/>
      <c r="T181" s="1325"/>
      <c r="U181" s="263"/>
      <c r="V181" s="1321"/>
      <c r="W181" s="1321"/>
      <c r="X181" s="1321"/>
      <c r="Y181" s="1321"/>
      <c r="Z181" s="1321"/>
      <c r="AA181" s="263"/>
      <c r="AB181" s="1321"/>
      <c r="AC181" s="1321"/>
      <c r="AD181" s="1321"/>
      <c r="AE181" s="1321"/>
      <c r="AF181" s="263"/>
      <c r="AG181" s="1321"/>
      <c r="AH181" s="1321"/>
      <c r="AI181" s="1321"/>
      <c r="AJ181" s="1321"/>
      <c r="AK181" s="1321"/>
      <c r="AL181" s="1321"/>
      <c r="AM181" s="263"/>
      <c r="AN181" s="1326"/>
      <c r="AO181" s="1326"/>
      <c r="AP181" s="1326"/>
      <c r="AQ181" s="1326"/>
      <c r="AR181" s="263"/>
      <c r="AS181" s="1321"/>
      <c r="AT181" s="1321"/>
      <c r="AU181" s="1321"/>
      <c r="AV181" s="1321"/>
      <c r="AW181" s="263"/>
      <c r="AX181" s="1320"/>
      <c r="AY181" s="1320"/>
      <c r="AZ181" s="1320"/>
      <c r="BA181" s="1320"/>
      <c r="BB181" s="1320"/>
      <c r="BC181" s="1320"/>
      <c r="BD181" s="1320"/>
      <c r="BE181" s="1320"/>
      <c r="BF181" s="1320"/>
      <c r="BG181" s="1320"/>
      <c r="BH181" s="1320"/>
      <c r="BI181" s="1320"/>
      <c r="BJ181" s="1320"/>
      <c r="BK181" s="1320"/>
      <c r="BL181" s="1320"/>
      <c r="BM181" s="1320"/>
      <c r="BN181" s="1320"/>
      <c r="BO181" s="1320"/>
      <c r="BP181" s="1320"/>
      <c r="BQ181" s="1320"/>
      <c r="BR181" s="1320"/>
      <c r="BS181" s="1320"/>
      <c r="BT181" s="1320"/>
      <c r="BU181" s="1320"/>
      <c r="BV181" s="1320"/>
      <c r="BW181" s="174"/>
      <c r="BX181" s="1324" t="str">
        <f>IF(CharacterLevel="",'Character Sheet III'!$CF$202,IF(Spellcasting!CE33="•",'Character Sheet III'!$BX$202,'Character Sheet III'!$CF$202))</f>
        <v>□</v>
      </c>
      <c r="BY181" s="1324"/>
      <c r="BZ181" s="1324"/>
      <c r="CA181" s="1319" t="str">
        <f>IF(OR(CharacterLevel="",Spellcasting!CG$33=""),"",VLOOKUP(Spellcasting!CG$33,Tables!$TK:$UB,Tables!$TN$1,FALSE))</f>
        <v/>
      </c>
      <c r="CB181" s="1319"/>
      <c r="CC181" s="1319"/>
      <c r="CD181" s="1319"/>
      <c r="CE181" s="1319"/>
      <c r="CF181" s="1319"/>
      <c r="CG181" s="1319"/>
      <c r="CH181" s="1319"/>
      <c r="CI181" s="1319"/>
      <c r="CJ181" s="1319"/>
      <c r="CK181" s="1319"/>
      <c r="CL181" s="1319"/>
      <c r="CM181" s="1319"/>
      <c r="CN181" s="1319"/>
      <c r="CO181" s="1319"/>
      <c r="CP181" s="1319"/>
      <c r="CQ181" s="263"/>
      <c r="CR181" s="1048" t="str">
        <f>IF(OR(CharacterLevel="",Spellcasting!CG$33=""),"",VLOOKUP(Spellcasting!CG$33,Tables!$TK:$UB,Tables!$TT$1,FALSE))</f>
        <v/>
      </c>
      <c r="CS181" s="1048"/>
      <c r="CT181" s="1048"/>
      <c r="CU181" s="1048"/>
      <c r="CV181" s="1048"/>
      <c r="CW181" s="263"/>
      <c r="CX181" s="1048" t="str">
        <f>IF(OR(CharacterLevel="",Spellcasting!CG$33=""),"",VLOOKUP(Spellcasting!CG$33,Tables!$TK:$UB,Tables!$TU$1,FALSE))</f>
        <v/>
      </c>
      <c r="CY181" s="1048"/>
      <c r="CZ181" s="1048"/>
      <c r="DA181" s="1048"/>
      <c r="DB181" s="263"/>
      <c r="DC181" s="1048" t="str">
        <f>IF(OR(CharacterLevel="",Spellcasting!CG$33=""),"",VLOOKUP(Spellcasting!CG$33,Tables!$TK:$UB,Tables!$TV$1,FALSE))</f>
        <v/>
      </c>
      <c r="DD181" s="1048"/>
      <c r="DE181" s="1048"/>
      <c r="DF181" s="1048"/>
      <c r="DG181" s="1048"/>
      <c r="DH181" s="1048"/>
      <c r="DI181" s="261"/>
      <c r="DJ181" s="1048" t="str">
        <f>IF(OR(CharacterLevel="",Spellcasting!CG$33=""),"",VLOOKUP(Spellcasting!CG$33,Tables!$TK:$UB,Tables!$TW$1,FALSE))</f>
        <v/>
      </c>
      <c r="DK181" s="1048"/>
      <c r="DL181" s="1048"/>
      <c r="DM181" s="1048"/>
      <c r="DN181" s="261"/>
      <c r="DO181" s="1048" t="str">
        <f>IF(OR(CharacterLevel="",Spellcasting!CG$33=""),"",VLOOKUP(Spellcasting!CG$33,Tables!$TK:$UB,Tables!$TZ$1,FALSE))</f>
        <v/>
      </c>
      <c r="DP181" s="1048"/>
      <c r="DQ181" s="1048"/>
      <c r="DR181" s="1048"/>
      <c r="DS181" s="261"/>
      <c r="DT181" s="1319" t="str">
        <f>IF(OR(CharacterLevel="",Spellcasting!CG$33=""),"",VLOOKUP(Spellcasting!CG$33,Tables!$TK:$UB,Tables!$UB$1,FALSE))</f>
        <v/>
      </c>
      <c r="DU181" s="1319"/>
      <c r="DV181" s="1319"/>
      <c r="DW181" s="1319"/>
      <c r="DX181" s="1319"/>
      <c r="DY181" s="1319"/>
      <c r="DZ181" s="1319"/>
      <c r="EA181" s="1319"/>
      <c r="EB181" s="1319"/>
      <c r="EC181" s="1319"/>
      <c r="ED181" s="1319"/>
      <c r="EE181" s="1319"/>
      <c r="EF181" s="1319"/>
      <c r="EG181" s="1319"/>
      <c r="EH181" s="1319"/>
      <c r="EI181" s="1319"/>
      <c r="EJ181" s="1319"/>
      <c r="EK181" s="1319"/>
      <c r="EL181" s="1319"/>
      <c r="EM181" s="1319"/>
      <c r="EN181" s="1319"/>
      <c r="EO181" s="1319"/>
      <c r="EP181" s="1319"/>
      <c r="EQ181" s="1319"/>
      <c r="ER181" s="1319"/>
    </row>
    <row r="182" spans="1:148" ht="9.75" customHeight="1" x14ac:dyDescent="0.2">
      <c r="A182" s="5"/>
      <c r="B182" s="1389" t="str">
        <f>IF(CharacterLevel="",'Character Sheet III'!$CF$202,IF(Spellcasting!BQ15="•",'Character Sheet III'!$BX$202,'Character Sheet III'!$CF$202))</f>
        <v>□</v>
      </c>
      <c r="C182" s="1389"/>
      <c r="D182" s="1389"/>
      <c r="E182" s="1325" t="str">
        <f>IF(OR(CharacterLevel="",Spellcasting!BS$15=""),"",VLOOKUP(Spellcasting!BS$15,Tables!$TK:$UB,Tables!$TN$1,FALSE))</f>
        <v/>
      </c>
      <c r="F182" s="1325"/>
      <c r="G182" s="1325"/>
      <c r="H182" s="1325"/>
      <c r="I182" s="1325"/>
      <c r="J182" s="1325"/>
      <c r="K182" s="1325"/>
      <c r="L182" s="1325"/>
      <c r="M182" s="1325"/>
      <c r="N182" s="1325"/>
      <c r="O182" s="1325"/>
      <c r="P182" s="1325"/>
      <c r="Q182" s="1325"/>
      <c r="R182" s="1325"/>
      <c r="S182" s="1325"/>
      <c r="T182" s="1325"/>
      <c r="U182" s="263"/>
      <c r="V182" s="1048" t="str">
        <f>IF(OR(CharacterLevel="",Spellcasting!BS$15=""),"",VLOOKUP(Spellcasting!BS$15,Tables!$TK:$UB,Tables!$TT$1,FALSE))</f>
        <v/>
      </c>
      <c r="W182" s="1048"/>
      <c r="X182" s="1048"/>
      <c r="Y182" s="1048"/>
      <c r="Z182" s="1048"/>
      <c r="AA182" s="263"/>
      <c r="AB182" s="1048" t="str">
        <f>IF(OR(CharacterLevel="",Spellcasting!BS$15=""),"",VLOOKUP(Spellcasting!BS$15,Tables!$TK:$UB,Tables!$TU$1,FALSE))</f>
        <v/>
      </c>
      <c r="AC182" s="1048"/>
      <c r="AD182" s="1048"/>
      <c r="AE182" s="1048"/>
      <c r="AF182" s="263"/>
      <c r="AG182" s="1048" t="str">
        <f>IF(OR(CharacterLevel="",Spellcasting!BS$15=""),"",VLOOKUP(Spellcasting!BS$15,Tables!$TK:$UB,Tables!$TV$1,FALSE))</f>
        <v/>
      </c>
      <c r="AH182" s="1048"/>
      <c r="AI182" s="1048"/>
      <c r="AJ182" s="1048"/>
      <c r="AK182" s="1048"/>
      <c r="AL182" s="1048"/>
      <c r="AM182" s="261"/>
      <c r="AN182" s="857" t="str">
        <f>IF(OR(CharacterLevel="",Spellcasting!BS$15=""),"",VLOOKUP(Spellcasting!BS$15,Tables!$TK:$UB,Tables!$TW$1,FALSE))</f>
        <v/>
      </c>
      <c r="AO182" s="857"/>
      <c r="AP182" s="857"/>
      <c r="AQ182" s="857"/>
      <c r="AR182" s="261"/>
      <c r="AS182" s="1048" t="str">
        <f>IF(OR(CharacterLevel="",Spellcasting!BS$15=""),"",VLOOKUP(Spellcasting!BS$15,Tables!$TK:$UB,Tables!$TZ$1,FALSE))</f>
        <v/>
      </c>
      <c r="AT182" s="1048"/>
      <c r="AU182" s="1048"/>
      <c r="AV182" s="1048"/>
      <c r="AW182" s="261"/>
      <c r="AX182" s="1319" t="str">
        <f>IF(OR(CharacterLevel="",Spellcasting!BS$15=""),"",VLOOKUP(Spellcasting!BS$15,Tables!$TK:$UB,Tables!$UB$1,FALSE))</f>
        <v/>
      </c>
      <c r="AY182" s="1319"/>
      <c r="AZ182" s="1319"/>
      <c r="BA182" s="1319"/>
      <c r="BB182" s="1319"/>
      <c r="BC182" s="1319"/>
      <c r="BD182" s="1319"/>
      <c r="BE182" s="1319"/>
      <c r="BF182" s="1319"/>
      <c r="BG182" s="1319"/>
      <c r="BH182" s="1319"/>
      <c r="BI182" s="1319"/>
      <c r="BJ182" s="1319"/>
      <c r="BK182" s="1319"/>
      <c r="BL182" s="1319"/>
      <c r="BM182" s="1319"/>
      <c r="BN182" s="1319"/>
      <c r="BO182" s="1319"/>
      <c r="BP182" s="1319"/>
      <c r="BQ182" s="1319"/>
      <c r="BR182" s="1319"/>
      <c r="BS182" s="1319"/>
      <c r="BT182" s="1319"/>
      <c r="BU182" s="1319"/>
      <c r="BV182" s="1319"/>
      <c r="BW182" s="174"/>
      <c r="BX182" s="1324"/>
      <c r="BY182" s="1324"/>
      <c r="BZ182" s="1324"/>
      <c r="CA182" s="1320"/>
      <c r="CB182" s="1320"/>
      <c r="CC182" s="1320"/>
      <c r="CD182" s="1320"/>
      <c r="CE182" s="1320"/>
      <c r="CF182" s="1320"/>
      <c r="CG182" s="1320"/>
      <c r="CH182" s="1320"/>
      <c r="CI182" s="1320"/>
      <c r="CJ182" s="1320"/>
      <c r="CK182" s="1320"/>
      <c r="CL182" s="1320"/>
      <c r="CM182" s="1320"/>
      <c r="CN182" s="1320"/>
      <c r="CO182" s="1320"/>
      <c r="CP182" s="1320"/>
      <c r="CQ182" s="263"/>
      <c r="CR182" s="1321"/>
      <c r="CS182" s="1321"/>
      <c r="CT182" s="1321"/>
      <c r="CU182" s="1321"/>
      <c r="CV182" s="1321"/>
      <c r="CW182" s="5"/>
      <c r="CX182" s="1321"/>
      <c r="CY182" s="1321"/>
      <c r="CZ182" s="1321"/>
      <c r="DA182" s="1321"/>
      <c r="DB182" s="5"/>
      <c r="DC182" s="1321"/>
      <c r="DD182" s="1321"/>
      <c r="DE182" s="1321"/>
      <c r="DF182" s="1321"/>
      <c r="DG182" s="1321"/>
      <c r="DH182" s="1321"/>
      <c r="DI182" s="5"/>
      <c r="DJ182" s="1321"/>
      <c r="DK182" s="1321"/>
      <c r="DL182" s="1321"/>
      <c r="DM182" s="1321"/>
      <c r="DN182" s="5"/>
      <c r="DO182" s="1321"/>
      <c r="DP182" s="1321"/>
      <c r="DQ182" s="1321"/>
      <c r="DR182" s="1321"/>
      <c r="DS182" s="5"/>
      <c r="DT182" s="1320"/>
      <c r="DU182" s="1320"/>
      <c r="DV182" s="1320"/>
      <c r="DW182" s="1320"/>
      <c r="DX182" s="1320"/>
      <c r="DY182" s="1320"/>
      <c r="DZ182" s="1320"/>
      <c r="EA182" s="1320"/>
      <c r="EB182" s="1320"/>
      <c r="EC182" s="1320"/>
      <c r="ED182" s="1320"/>
      <c r="EE182" s="1320"/>
      <c r="EF182" s="1320"/>
      <c r="EG182" s="1320"/>
      <c r="EH182" s="1320"/>
      <c r="EI182" s="1320"/>
      <c r="EJ182" s="1320"/>
      <c r="EK182" s="1320"/>
      <c r="EL182" s="1320"/>
      <c r="EM182" s="1320"/>
      <c r="EN182" s="1320"/>
      <c r="EO182" s="1320"/>
      <c r="EP182" s="1320"/>
      <c r="EQ182" s="1320"/>
      <c r="ER182" s="1320"/>
    </row>
    <row r="183" spans="1:148" ht="9.75" customHeight="1" x14ac:dyDescent="0.2">
      <c r="A183" s="5"/>
      <c r="B183" s="1389"/>
      <c r="C183" s="1389"/>
      <c r="D183" s="1389"/>
      <c r="E183" s="1325"/>
      <c r="F183" s="1325"/>
      <c r="G183" s="1325"/>
      <c r="H183" s="1325"/>
      <c r="I183" s="1325"/>
      <c r="J183" s="1325"/>
      <c r="K183" s="1325"/>
      <c r="L183" s="1325"/>
      <c r="M183" s="1325"/>
      <c r="N183" s="1325"/>
      <c r="O183" s="1325"/>
      <c r="P183" s="1325"/>
      <c r="Q183" s="1325"/>
      <c r="R183" s="1325"/>
      <c r="S183" s="1325"/>
      <c r="T183" s="1325"/>
      <c r="U183" s="263"/>
      <c r="V183" s="1321"/>
      <c r="W183" s="1321"/>
      <c r="X183" s="1321"/>
      <c r="Y183" s="1321"/>
      <c r="Z183" s="1321"/>
      <c r="AA183" s="263"/>
      <c r="AB183" s="1321"/>
      <c r="AC183" s="1321"/>
      <c r="AD183" s="1321"/>
      <c r="AE183" s="1321"/>
      <c r="AF183" s="263"/>
      <c r="AG183" s="1321"/>
      <c r="AH183" s="1321"/>
      <c r="AI183" s="1321"/>
      <c r="AJ183" s="1321"/>
      <c r="AK183" s="1321"/>
      <c r="AL183" s="1321"/>
      <c r="AM183" s="263"/>
      <c r="AN183" s="1326"/>
      <c r="AO183" s="1326"/>
      <c r="AP183" s="1326"/>
      <c r="AQ183" s="1326"/>
      <c r="AR183" s="263"/>
      <c r="AS183" s="1321"/>
      <c r="AT183" s="1321"/>
      <c r="AU183" s="1321"/>
      <c r="AV183" s="1321"/>
      <c r="AW183" s="263"/>
      <c r="AX183" s="1320"/>
      <c r="AY183" s="1320"/>
      <c r="AZ183" s="1320"/>
      <c r="BA183" s="1320"/>
      <c r="BB183" s="1320"/>
      <c r="BC183" s="1320"/>
      <c r="BD183" s="1320"/>
      <c r="BE183" s="1320"/>
      <c r="BF183" s="1320"/>
      <c r="BG183" s="1320"/>
      <c r="BH183" s="1320"/>
      <c r="BI183" s="1320"/>
      <c r="BJ183" s="1320"/>
      <c r="BK183" s="1320"/>
      <c r="BL183" s="1320"/>
      <c r="BM183" s="1320"/>
      <c r="BN183" s="1320"/>
      <c r="BO183" s="1320"/>
      <c r="BP183" s="1320"/>
      <c r="BQ183" s="1320"/>
      <c r="BR183" s="1320"/>
      <c r="BS183" s="1320"/>
      <c r="BT183" s="1320"/>
      <c r="BU183" s="1320"/>
      <c r="BV183" s="1320"/>
      <c r="BW183" s="174"/>
      <c r="BX183" s="1324" t="str">
        <f>IF(CharacterLevel="",'Character Sheet III'!$CF$202,IF(Spellcasting!CE34="•",'Character Sheet III'!$BX$202,'Character Sheet III'!$CF$202))</f>
        <v>□</v>
      </c>
      <c r="BY183" s="1324"/>
      <c r="BZ183" s="1324"/>
      <c r="CA183" s="1325" t="str">
        <f>IF(OR(CharacterLevel="",Spellcasting!CG$34=""),"",VLOOKUP(Spellcasting!CG$34,Tables!$TK:$UB,Tables!$TN$1,FALSE))</f>
        <v/>
      </c>
      <c r="CB183" s="1325"/>
      <c r="CC183" s="1325"/>
      <c r="CD183" s="1325"/>
      <c r="CE183" s="1325"/>
      <c r="CF183" s="1325"/>
      <c r="CG183" s="1325"/>
      <c r="CH183" s="1325"/>
      <c r="CI183" s="1325"/>
      <c r="CJ183" s="1325"/>
      <c r="CK183" s="1325"/>
      <c r="CL183" s="1325"/>
      <c r="CM183" s="1325"/>
      <c r="CN183" s="1325"/>
      <c r="CO183" s="1325"/>
      <c r="CP183" s="1325"/>
      <c r="CQ183" s="263"/>
      <c r="CR183" s="1048" t="str">
        <f>IF(OR(CharacterLevel="",Spellcasting!CG$34=""),"",VLOOKUP(Spellcasting!CG$34,Tables!$TK:$UB,Tables!$TT$1,FALSE))</f>
        <v/>
      </c>
      <c r="CS183" s="1048"/>
      <c r="CT183" s="1048"/>
      <c r="CU183" s="1048"/>
      <c r="CV183" s="1048"/>
      <c r="CW183" s="263"/>
      <c r="CX183" s="1048" t="str">
        <f>IF(OR(CharacterLevel="",Spellcasting!CG$34=""),"",VLOOKUP(Spellcasting!CG$34,Tables!$TK:$UB,Tables!$TU$1,FALSE))</f>
        <v/>
      </c>
      <c r="CY183" s="1048"/>
      <c r="CZ183" s="1048"/>
      <c r="DA183" s="1048"/>
      <c r="DB183" s="263"/>
      <c r="DC183" s="1048" t="str">
        <f>IF(OR(CharacterLevel="",Spellcasting!CG$34=""),"",VLOOKUP(Spellcasting!CG$34,Tables!$TK:$UB,Tables!$TV$1,FALSE))</f>
        <v/>
      </c>
      <c r="DD183" s="1048"/>
      <c r="DE183" s="1048"/>
      <c r="DF183" s="1048"/>
      <c r="DG183" s="1048"/>
      <c r="DH183" s="1048"/>
      <c r="DI183" s="261"/>
      <c r="DJ183" s="1048" t="str">
        <f>IF(OR(CharacterLevel="",Spellcasting!CG$34=""),"",VLOOKUP(Spellcasting!CG$34,Tables!$TK:$UB,Tables!$TW$1,FALSE))</f>
        <v/>
      </c>
      <c r="DK183" s="1048"/>
      <c r="DL183" s="1048"/>
      <c r="DM183" s="1048"/>
      <c r="DN183" s="261"/>
      <c r="DO183" s="1048" t="str">
        <f>IF(OR(CharacterLevel="",Spellcasting!CG$34=""),"",VLOOKUP(Spellcasting!CG$34,Tables!$TK:$UB,Tables!$TZ$1,FALSE))</f>
        <v/>
      </c>
      <c r="DP183" s="1048"/>
      <c r="DQ183" s="1048"/>
      <c r="DR183" s="1048"/>
      <c r="DS183" s="261"/>
      <c r="DT183" s="1319" t="str">
        <f>IF(OR(CharacterLevel="",Spellcasting!CG$34=""),"",VLOOKUP(Spellcasting!CG$34,Tables!$TK:$UB,Tables!$UB$1,FALSE))</f>
        <v/>
      </c>
      <c r="DU183" s="1319"/>
      <c r="DV183" s="1319"/>
      <c r="DW183" s="1319"/>
      <c r="DX183" s="1319"/>
      <c r="DY183" s="1319"/>
      <c r="DZ183" s="1319"/>
      <c r="EA183" s="1319"/>
      <c r="EB183" s="1319"/>
      <c r="EC183" s="1319"/>
      <c r="ED183" s="1319"/>
      <c r="EE183" s="1319"/>
      <c r="EF183" s="1319"/>
      <c r="EG183" s="1319"/>
      <c r="EH183" s="1319"/>
      <c r="EI183" s="1319"/>
      <c r="EJ183" s="1319"/>
      <c r="EK183" s="1319"/>
      <c r="EL183" s="1319"/>
      <c r="EM183" s="1319"/>
      <c r="EN183" s="1319"/>
      <c r="EO183" s="1319"/>
      <c r="EP183" s="1319"/>
      <c r="EQ183" s="1319"/>
      <c r="ER183" s="1319"/>
    </row>
    <row r="184" spans="1:148" ht="9.75" customHeight="1" x14ac:dyDescent="0.2">
      <c r="A184" s="5"/>
      <c r="B184" s="1389" t="str">
        <f>IF(CharacterLevel="",'Character Sheet III'!$CF$202,IF(Spellcasting!BQ16="•",'Character Sheet III'!$BX$202,'Character Sheet III'!$CF$202))</f>
        <v>□</v>
      </c>
      <c r="C184" s="1389"/>
      <c r="D184" s="1389"/>
      <c r="E184" s="1325" t="str">
        <f>IF(OR(CharacterLevel="",Spellcasting!BS$16=""),"",VLOOKUP(Spellcasting!BS$16,Tables!$TK:$UB,Tables!$TN$1,FALSE))</f>
        <v/>
      </c>
      <c r="F184" s="1325"/>
      <c r="G184" s="1325"/>
      <c r="H184" s="1325"/>
      <c r="I184" s="1325"/>
      <c r="J184" s="1325"/>
      <c r="K184" s="1325"/>
      <c r="L184" s="1325"/>
      <c r="M184" s="1325"/>
      <c r="N184" s="1325"/>
      <c r="O184" s="1325"/>
      <c r="P184" s="1325"/>
      <c r="Q184" s="1325"/>
      <c r="R184" s="1325"/>
      <c r="S184" s="1325"/>
      <c r="T184" s="1325"/>
      <c r="U184" s="263"/>
      <c r="V184" s="1048" t="str">
        <f>IF(OR(CharacterLevel="",Spellcasting!BS$16=""),"",VLOOKUP(Spellcasting!BS$16,Tables!$TK:$UB,Tables!$TT$1,FALSE))</f>
        <v/>
      </c>
      <c r="W184" s="1048"/>
      <c r="X184" s="1048"/>
      <c r="Y184" s="1048"/>
      <c r="Z184" s="1048"/>
      <c r="AA184" s="263"/>
      <c r="AB184" s="1048" t="str">
        <f>IF(OR(CharacterLevel="",Spellcasting!BS$16=""),"",VLOOKUP(Spellcasting!BS$16,Tables!$TK:$UB,Tables!$TU$1,FALSE))</f>
        <v/>
      </c>
      <c r="AC184" s="1048"/>
      <c r="AD184" s="1048"/>
      <c r="AE184" s="1048"/>
      <c r="AF184" s="263"/>
      <c r="AG184" s="1048" t="str">
        <f>IF(OR(CharacterLevel="",Spellcasting!BS$16=""),"",VLOOKUP(Spellcasting!BS$16,Tables!$TK:$UB,Tables!$TV$1,FALSE))</f>
        <v/>
      </c>
      <c r="AH184" s="1048"/>
      <c r="AI184" s="1048"/>
      <c r="AJ184" s="1048"/>
      <c r="AK184" s="1048"/>
      <c r="AL184" s="1048"/>
      <c r="AM184" s="261"/>
      <c r="AN184" s="857" t="str">
        <f>IF(OR(CharacterLevel="",Spellcasting!BS$16=""),"",VLOOKUP(Spellcasting!BS$16,Tables!$TK:$UB,Tables!$TW$1,FALSE))</f>
        <v/>
      </c>
      <c r="AO184" s="857"/>
      <c r="AP184" s="857"/>
      <c r="AQ184" s="857"/>
      <c r="AR184" s="261"/>
      <c r="AS184" s="1048" t="str">
        <f>IF(OR(CharacterLevel="",Spellcasting!BS$16=""),"",VLOOKUP(Spellcasting!BS$16,Tables!$TK:$UB,Tables!$TZ$1,FALSE))</f>
        <v/>
      </c>
      <c r="AT184" s="1048"/>
      <c r="AU184" s="1048"/>
      <c r="AV184" s="1048"/>
      <c r="AW184" s="261"/>
      <c r="AX184" s="1319" t="str">
        <f>IF(OR(CharacterLevel="",Spellcasting!BS$16=""),"",VLOOKUP(Spellcasting!BS$16,Tables!$TK:$UB,Tables!$UB$1,FALSE))</f>
        <v/>
      </c>
      <c r="AY184" s="1319"/>
      <c r="AZ184" s="1319"/>
      <c r="BA184" s="1319"/>
      <c r="BB184" s="1319"/>
      <c r="BC184" s="1319"/>
      <c r="BD184" s="1319"/>
      <c r="BE184" s="1319"/>
      <c r="BF184" s="1319"/>
      <c r="BG184" s="1319"/>
      <c r="BH184" s="1319"/>
      <c r="BI184" s="1319"/>
      <c r="BJ184" s="1319"/>
      <c r="BK184" s="1319"/>
      <c r="BL184" s="1319"/>
      <c r="BM184" s="1319"/>
      <c r="BN184" s="1319"/>
      <c r="BO184" s="1319"/>
      <c r="BP184" s="1319"/>
      <c r="BQ184" s="1319"/>
      <c r="BR184" s="1319"/>
      <c r="BS184" s="1319"/>
      <c r="BT184" s="1319"/>
      <c r="BU184" s="1319"/>
      <c r="BV184" s="1319"/>
      <c r="BW184" s="174"/>
      <c r="BX184" s="1324"/>
      <c r="BY184" s="1324"/>
      <c r="BZ184" s="1324"/>
      <c r="CA184" s="1325"/>
      <c r="CB184" s="1325"/>
      <c r="CC184" s="1325"/>
      <c r="CD184" s="1325"/>
      <c r="CE184" s="1325"/>
      <c r="CF184" s="1325"/>
      <c r="CG184" s="1325"/>
      <c r="CH184" s="1325"/>
      <c r="CI184" s="1325"/>
      <c r="CJ184" s="1325"/>
      <c r="CK184" s="1325"/>
      <c r="CL184" s="1325"/>
      <c r="CM184" s="1325"/>
      <c r="CN184" s="1325"/>
      <c r="CO184" s="1325"/>
      <c r="CP184" s="1325"/>
      <c r="CQ184" s="263"/>
      <c r="CR184" s="1321"/>
      <c r="CS184" s="1321"/>
      <c r="CT184" s="1321"/>
      <c r="CU184" s="1321"/>
      <c r="CV184" s="1321"/>
      <c r="CW184" s="5"/>
      <c r="CX184" s="1321"/>
      <c r="CY184" s="1321"/>
      <c r="CZ184" s="1321"/>
      <c r="DA184" s="1321"/>
      <c r="DB184" s="5"/>
      <c r="DC184" s="1321"/>
      <c r="DD184" s="1321"/>
      <c r="DE184" s="1321"/>
      <c r="DF184" s="1321"/>
      <c r="DG184" s="1321"/>
      <c r="DH184" s="1321"/>
      <c r="DI184" s="5"/>
      <c r="DJ184" s="1321"/>
      <c r="DK184" s="1321"/>
      <c r="DL184" s="1321"/>
      <c r="DM184" s="1321"/>
      <c r="DN184" s="5"/>
      <c r="DO184" s="1321"/>
      <c r="DP184" s="1321"/>
      <c r="DQ184" s="1321"/>
      <c r="DR184" s="1321"/>
      <c r="DS184" s="5"/>
      <c r="DT184" s="1320"/>
      <c r="DU184" s="1320"/>
      <c r="DV184" s="1320"/>
      <c r="DW184" s="1320"/>
      <c r="DX184" s="1320"/>
      <c r="DY184" s="1320"/>
      <c r="DZ184" s="1320"/>
      <c r="EA184" s="1320"/>
      <c r="EB184" s="1320"/>
      <c r="EC184" s="1320"/>
      <c r="ED184" s="1320"/>
      <c r="EE184" s="1320"/>
      <c r="EF184" s="1320"/>
      <c r="EG184" s="1320"/>
      <c r="EH184" s="1320"/>
      <c r="EI184" s="1320"/>
      <c r="EJ184" s="1320"/>
      <c r="EK184" s="1320"/>
      <c r="EL184" s="1320"/>
      <c r="EM184" s="1320"/>
      <c r="EN184" s="1320"/>
      <c r="EO184" s="1320"/>
      <c r="EP184" s="1320"/>
      <c r="EQ184" s="1320"/>
      <c r="ER184" s="1320"/>
    </row>
    <row r="185" spans="1:148" ht="9.75" customHeight="1" x14ac:dyDescent="0.2">
      <c r="A185" s="5"/>
      <c r="B185" s="1389"/>
      <c r="C185" s="1389"/>
      <c r="D185" s="1389"/>
      <c r="E185" s="1325" t="e">
        <f>IF(OR(CharacterLevel="",Spellcasting!#REF!=""),"",VLOOKUP(Spellcasting!#REF!,Tables!TK:UB,Tables!$TN$1,FALSE))</f>
        <v>#REF!</v>
      </c>
      <c r="F185" s="1325"/>
      <c r="G185" s="1325"/>
      <c r="H185" s="1325"/>
      <c r="I185" s="1325"/>
      <c r="J185" s="1325"/>
      <c r="K185" s="1325"/>
      <c r="L185" s="1325"/>
      <c r="M185" s="1325"/>
      <c r="N185" s="1325"/>
      <c r="O185" s="1325"/>
      <c r="P185" s="1325"/>
      <c r="Q185" s="1325"/>
      <c r="R185" s="1325"/>
      <c r="S185" s="1325"/>
      <c r="T185" s="1325"/>
      <c r="U185" s="263"/>
      <c r="V185" s="1321"/>
      <c r="W185" s="1321"/>
      <c r="X185" s="1321"/>
      <c r="Y185" s="1321"/>
      <c r="Z185" s="1321"/>
      <c r="AA185" s="263"/>
      <c r="AB185" s="1321"/>
      <c r="AC185" s="1321"/>
      <c r="AD185" s="1321"/>
      <c r="AE185" s="1321"/>
      <c r="AF185" s="263"/>
      <c r="AG185" s="1321"/>
      <c r="AH185" s="1321"/>
      <c r="AI185" s="1321"/>
      <c r="AJ185" s="1321"/>
      <c r="AK185" s="1321"/>
      <c r="AL185" s="1321"/>
      <c r="AM185" s="263"/>
      <c r="AN185" s="1326"/>
      <c r="AO185" s="1326"/>
      <c r="AP185" s="1326"/>
      <c r="AQ185" s="1326"/>
      <c r="AR185" s="263"/>
      <c r="AS185" s="1321"/>
      <c r="AT185" s="1321"/>
      <c r="AU185" s="1321"/>
      <c r="AV185" s="1321"/>
      <c r="AW185" s="263"/>
      <c r="AX185" s="1320"/>
      <c r="AY185" s="1320"/>
      <c r="AZ185" s="1320"/>
      <c r="BA185" s="1320"/>
      <c r="BB185" s="1320"/>
      <c r="BC185" s="1320"/>
      <c r="BD185" s="1320"/>
      <c r="BE185" s="1320"/>
      <c r="BF185" s="1320"/>
      <c r="BG185" s="1320"/>
      <c r="BH185" s="1320"/>
      <c r="BI185" s="1320"/>
      <c r="BJ185" s="1320"/>
      <c r="BK185" s="1320"/>
      <c r="BL185" s="1320"/>
      <c r="BM185" s="1320"/>
      <c r="BN185" s="1320"/>
      <c r="BO185" s="1320"/>
      <c r="BP185" s="1320"/>
      <c r="BQ185" s="1320"/>
      <c r="BR185" s="1320"/>
      <c r="BS185" s="1320"/>
      <c r="BT185" s="1320"/>
      <c r="BU185" s="1320"/>
      <c r="BV185" s="1320"/>
      <c r="BW185" s="174"/>
      <c r="BX185" s="1324" t="str">
        <f>IF(CharacterLevel="",'Character Sheet III'!$CF$202,IF(Spellcasting!CE35="•",'Character Sheet III'!$BX$202,'Character Sheet III'!$CF$202))</f>
        <v>□</v>
      </c>
      <c r="BY185" s="1324"/>
      <c r="BZ185" s="1324"/>
      <c r="CA185" s="1325" t="str">
        <f>IF(OR(CharacterLevel="",Spellcasting!CG$35=""),"",VLOOKUP(Spellcasting!CG$35,Tables!$TK:$UB,Tables!$TN$1,FALSE))</f>
        <v/>
      </c>
      <c r="CB185" s="1325"/>
      <c r="CC185" s="1325"/>
      <c r="CD185" s="1325"/>
      <c r="CE185" s="1325"/>
      <c r="CF185" s="1325"/>
      <c r="CG185" s="1325"/>
      <c r="CH185" s="1325"/>
      <c r="CI185" s="1325"/>
      <c r="CJ185" s="1325"/>
      <c r="CK185" s="1325"/>
      <c r="CL185" s="1325"/>
      <c r="CM185" s="1325"/>
      <c r="CN185" s="1325"/>
      <c r="CO185" s="1325"/>
      <c r="CP185" s="1325"/>
      <c r="CQ185" s="263"/>
      <c r="CR185" s="1048" t="str">
        <f>IF(OR(CharacterLevel="",Spellcasting!CG$35=""),"",VLOOKUP(Spellcasting!CG$35,Tables!$TK:$UB,Tables!$TT$1,FALSE))</f>
        <v/>
      </c>
      <c r="CS185" s="1048"/>
      <c r="CT185" s="1048"/>
      <c r="CU185" s="1048"/>
      <c r="CV185" s="1048"/>
      <c r="CW185" s="263"/>
      <c r="CX185" s="1048" t="str">
        <f>IF(OR(CharacterLevel="",Spellcasting!CG$35=""),"",VLOOKUP(Spellcasting!CG$35,Tables!$TK:$UB,Tables!$TU$1,FALSE))</f>
        <v/>
      </c>
      <c r="CY185" s="1048"/>
      <c r="CZ185" s="1048"/>
      <c r="DA185" s="1048"/>
      <c r="DB185" s="263"/>
      <c r="DC185" s="1048" t="str">
        <f>IF(OR(CharacterLevel="",Spellcasting!CG$35=""),"",VLOOKUP(Spellcasting!CG$35,Tables!$TK:$UB,Tables!$TV$1,FALSE))</f>
        <v/>
      </c>
      <c r="DD185" s="1048"/>
      <c r="DE185" s="1048"/>
      <c r="DF185" s="1048"/>
      <c r="DG185" s="1048"/>
      <c r="DH185" s="1048"/>
      <c r="DI185" s="261"/>
      <c r="DJ185" s="1048" t="str">
        <f>IF(OR(CharacterLevel="",Spellcasting!CG$35=""),"",VLOOKUP(Spellcasting!CG$35,Tables!$TK:$UB,Tables!$TW$1,FALSE))</f>
        <v/>
      </c>
      <c r="DK185" s="1048"/>
      <c r="DL185" s="1048"/>
      <c r="DM185" s="1048"/>
      <c r="DN185" s="261"/>
      <c r="DO185" s="1048" t="str">
        <f>IF(OR(CharacterLevel="",Spellcasting!CG$35=""),"",VLOOKUP(Spellcasting!CG$35,Tables!$TK:$UB,Tables!$TZ$1,FALSE))</f>
        <v/>
      </c>
      <c r="DP185" s="1048"/>
      <c r="DQ185" s="1048"/>
      <c r="DR185" s="1048"/>
      <c r="DS185" s="261"/>
      <c r="DT185" s="1319" t="str">
        <f>IF(OR(CharacterLevel="",Spellcasting!CG$35=""),"",VLOOKUP(Spellcasting!CG$35,Tables!$TK:$UB,Tables!$UB$1,FALSE))</f>
        <v/>
      </c>
      <c r="DU185" s="1319"/>
      <c r="DV185" s="1319"/>
      <c r="DW185" s="1319"/>
      <c r="DX185" s="1319"/>
      <c r="DY185" s="1319"/>
      <c r="DZ185" s="1319"/>
      <c r="EA185" s="1319"/>
      <c r="EB185" s="1319"/>
      <c r="EC185" s="1319"/>
      <c r="ED185" s="1319"/>
      <c r="EE185" s="1319"/>
      <c r="EF185" s="1319"/>
      <c r="EG185" s="1319"/>
      <c r="EH185" s="1319"/>
      <c r="EI185" s="1319"/>
      <c r="EJ185" s="1319"/>
      <c r="EK185" s="1319"/>
      <c r="EL185" s="1319"/>
      <c r="EM185" s="1319"/>
      <c r="EN185" s="1319"/>
      <c r="EO185" s="1319"/>
      <c r="EP185" s="1319"/>
      <c r="EQ185" s="1319"/>
      <c r="ER185" s="1319"/>
    </row>
    <row r="186" spans="1:148" ht="9.75" customHeight="1" x14ac:dyDescent="0.2">
      <c r="A186" s="5"/>
      <c r="B186" s="1389" t="str">
        <f>IF(CharacterLevel="",'Character Sheet III'!$CF$202,IF(Spellcasting!BQ17="•",'Character Sheet III'!$BX$202,'Character Sheet III'!$CF$202))</f>
        <v>□</v>
      </c>
      <c r="C186" s="1389"/>
      <c r="D186" s="1389"/>
      <c r="E186" s="1325" t="str">
        <f>IF(OR(CharacterLevel="",Spellcasting!BS$17=""),"",VLOOKUP(Spellcasting!BS$17,Tables!$TK:$UB,Tables!$TN$1,FALSE))</f>
        <v/>
      </c>
      <c r="F186" s="1325"/>
      <c r="G186" s="1325"/>
      <c r="H186" s="1325"/>
      <c r="I186" s="1325"/>
      <c r="J186" s="1325"/>
      <c r="K186" s="1325"/>
      <c r="L186" s="1325"/>
      <c r="M186" s="1325"/>
      <c r="N186" s="1325"/>
      <c r="O186" s="1325"/>
      <c r="P186" s="1325"/>
      <c r="Q186" s="1325"/>
      <c r="R186" s="1325"/>
      <c r="S186" s="1325"/>
      <c r="T186" s="1325"/>
      <c r="U186" s="263"/>
      <c r="V186" s="1048" t="str">
        <f>IF(OR(CharacterLevel="",Spellcasting!BS$17=""),"",VLOOKUP(Spellcasting!BS$17,Tables!$TK:$UB,Tables!$TT$1,FALSE))</f>
        <v/>
      </c>
      <c r="W186" s="1048"/>
      <c r="X186" s="1048"/>
      <c r="Y186" s="1048"/>
      <c r="Z186" s="1048"/>
      <c r="AA186" s="263"/>
      <c r="AB186" s="1048" t="str">
        <f>IF(OR(CharacterLevel="",Spellcasting!BS$17=""),"",VLOOKUP(Spellcasting!BS$17,Tables!$TK:$UB,Tables!$TU$1,FALSE))</f>
        <v/>
      </c>
      <c r="AC186" s="1048"/>
      <c r="AD186" s="1048"/>
      <c r="AE186" s="1048"/>
      <c r="AF186" s="263"/>
      <c r="AG186" s="1048" t="str">
        <f>IF(OR(CharacterLevel="",Spellcasting!BS$17=""),"",VLOOKUP(Spellcasting!BS$17,Tables!$TK:$UB,Tables!$TV$1,FALSE))</f>
        <v/>
      </c>
      <c r="AH186" s="1048"/>
      <c r="AI186" s="1048"/>
      <c r="AJ186" s="1048"/>
      <c r="AK186" s="1048"/>
      <c r="AL186" s="1048"/>
      <c r="AM186" s="261"/>
      <c r="AN186" s="857" t="str">
        <f>IF(OR(CharacterLevel="",Spellcasting!BS$17=""),"",VLOOKUP(Spellcasting!BS$17,Tables!$TK:$UB,Tables!$TW$1,FALSE))</f>
        <v/>
      </c>
      <c r="AO186" s="857"/>
      <c r="AP186" s="857"/>
      <c r="AQ186" s="857"/>
      <c r="AR186" s="261"/>
      <c r="AS186" s="1048" t="str">
        <f>IF(OR(CharacterLevel="",Spellcasting!BS$17=""),"",VLOOKUP(Spellcasting!BS$17,Tables!$TK:$UB,Tables!$TZ$1,FALSE))</f>
        <v/>
      </c>
      <c r="AT186" s="1048"/>
      <c r="AU186" s="1048"/>
      <c r="AV186" s="1048"/>
      <c r="AW186" s="261"/>
      <c r="AX186" s="1319" t="str">
        <f>IF(OR(CharacterLevel="",Spellcasting!BS$17=""),"",VLOOKUP(Spellcasting!BS$17,Tables!$TK:$UB,Tables!$UB$1,FALSE))</f>
        <v/>
      </c>
      <c r="AY186" s="1319"/>
      <c r="AZ186" s="1319"/>
      <c r="BA186" s="1319"/>
      <c r="BB186" s="1319"/>
      <c r="BC186" s="1319"/>
      <c r="BD186" s="1319"/>
      <c r="BE186" s="1319"/>
      <c r="BF186" s="1319"/>
      <c r="BG186" s="1319"/>
      <c r="BH186" s="1319"/>
      <c r="BI186" s="1319"/>
      <c r="BJ186" s="1319"/>
      <c r="BK186" s="1319"/>
      <c r="BL186" s="1319"/>
      <c r="BM186" s="1319"/>
      <c r="BN186" s="1319"/>
      <c r="BO186" s="1319"/>
      <c r="BP186" s="1319"/>
      <c r="BQ186" s="1319"/>
      <c r="BR186" s="1319"/>
      <c r="BS186" s="1319"/>
      <c r="BT186" s="1319"/>
      <c r="BU186" s="1319"/>
      <c r="BV186" s="1319"/>
      <c r="BW186" s="174"/>
      <c r="BX186" s="1324"/>
      <c r="BY186" s="1324"/>
      <c r="BZ186" s="1324"/>
      <c r="CA186" s="1325"/>
      <c r="CB186" s="1325"/>
      <c r="CC186" s="1325"/>
      <c r="CD186" s="1325"/>
      <c r="CE186" s="1325"/>
      <c r="CF186" s="1325"/>
      <c r="CG186" s="1325"/>
      <c r="CH186" s="1325"/>
      <c r="CI186" s="1325"/>
      <c r="CJ186" s="1325"/>
      <c r="CK186" s="1325"/>
      <c r="CL186" s="1325"/>
      <c r="CM186" s="1325"/>
      <c r="CN186" s="1325"/>
      <c r="CO186" s="1325"/>
      <c r="CP186" s="1325"/>
      <c r="CQ186" s="263"/>
      <c r="CR186" s="1321"/>
      <c r="CS186" s="1321"/>
      <c r="CT186" s="1321"/>
      <c r="CU186" s="1321"/>
      <c r="CV186" s="1321"/>
      <c r="CW186" s="5"/>
      <c r="CX186" s="1321"/>
      <c r="CY186" s="1321"/>
      <c r="CZ186" s="1321"/>
      <c r="DA186" s="1321"/>
      <c r="DB186" s="5"/>
      <c r="DC186" s="1321"/>
      <c r="DD186" s="1321"/>
      <c r="DE186" s="1321"/>
      <c r="DF186" s="1321"/>
      <c r="DG186" s="1321"/>
      <c r="DH186" s="1321"/>
      <c r="DI186" s="5"/>
      <c r="DJ186" s="1321"/>
      <c r="DK186" s="1321"/>
      <c r="DL186" s="1321"/>
      <c r="DM186" s="1321"/>
      <c r="DN186" s="5"/>
      <c r="DO186" s="1321"/>
      <c r="DP186" s="1321"/>
      <c r="DQ186" s="1321"/>
      <c r="DR186" s="1321"/>
      <c r="DS186" s="5"/>
      <c r="DT186" s="1320"/>
      <c r="DU186" s="1320"/>
      <c r="DV186" s="1320"/>
      <c r="DW186" s="1320"/>
      <c r="DX186" s="1320"/>
      <c r="DY186" s="1320"/>
      <c r="DZ186" s="1320"/>
      <c r="EA186" s="1320"/>
      <c r="EB186" s="1320"/>
      <c r="EC186" s="1320"/>
      <c r="ED186" s="1320"/>
      <c r="EE186" s="1320"/>
      <c r="EF186" s="1320"/>
      <c r="EG186" s="1320"/>
      <c r="EH186" s="1320"/>
      <c r="EI186" s="1320"/>
      <c r="EJ186" s="1320"/>
      <c r="EK186" s="1320"/>
      <c r="EL186" s="1320"/>
      <c r="EM186" s="1320"/>
      <c r="EN186" s="1320"/>
      <c r="EO186" s="1320"/>
      <c r="EP186" s="1320"/>
      <c r="EQ186" s="1320"/>
      <c r="ER186" s="1320"/>
    </row>
    <row r="187" spans="1:148" ht="9.75" customHeight="1" x14ac:dyDescent="0.2">
      <c r="A187" s="5"/>
      <c r="B187" s="1389"/>
      <c r="C187" s="1389"/>
      <c r="D187" s="1389"/>
      <c r="E187" s="1325" t="e">
        <f>IF(OR(CharacterLevel="",Spellcasting!#REF!=""),"",VLOOKUP(Spellcasting!#REF!,Tables!TK:UB,Tables!$TN$1,FALSE))</f>
        <v>#REF!</v>
      </c>
      <c r="F187" s="1325"/>
      <c r="G187" s="1325"/>
      <c r="H187" s="1325"/>
      <c r="I187" s="1325"/>
      <c r="J187" s="1325"/>
      <c r="K187" s="1325"/>
      <c r="L187" s="1325"/>
      <c r="M187" s="1325"/>
      <c r="N187" s="1325"/>
      <c r="O187" s="1325"/>
      <c r="P187" s="1325"/>
      <c r="Q187" s="1325"/>
      <c r="R187" s="1325"/>
      <c r="S187" s="1325"/>
      <c r="T187" s="1325"/>
      <c r="U187" s="263"/>
      <c r="V187" s="1321"/>
      <c r="W187" s="1321"/>
      <c r="X187" s="1321"/>
      <c r="Y187" s="1321"/>
      <c r="Z187" s="1321"/>
      <c r="AA187" s="263"/>
      <c r="AB187" s="1321"/>
      <c r="AC187" s="1321"/>
      <c r="AD187" s="1321"/>
      <c r="AE187" s="1321"/>
      <c r="AF187" s="263"/>
      <c r="AG187" s="1321"/>
      <c r="AH187" s="1321"/>
      <c r="AI187" s="1321"/>
      <c r="AJ187" s="1321"/>
      <c r="AK187" s="1321"/>
      <c r="AL187" s="1321"/>
      <c r="AM187" s="263"/>
      <c r="AN187" s="1326"/>
      <c r="AO187" s="1326"/>
      <c r="AP187" s="1326"/>
      <c r="AQ187" s="1326"/>
      <c r="AR187" s="263"/>
      <c r="AS187" s="1321"/>
      <c r="AT187" s="1321"/>
      <c r="AU187" s="1321"/>
      <c r="AV187" s="1321"/>
      <c r="AW187" s="263"/>
      <c r="AX187" s="1320"/>
      <c r="AY187" s="1320"/>
      <c r="AZ187" s="1320"/>
      <c r="BA187" s="1320"/>
      <c r="BB187" s="1320"/>
      <c r="BC187" s="1320"/>
      <c r="BD187" s="1320"/>
      <c r="BE187" s="1320"/>
      <c r="BF187" s="1320"/>
      <c r="BG187" s="1320"/>
      <c r="BH187" s="1320"/>
      <c r="BI187" s="1320"/>
      <c r="BJ187" s="1320"/>
      <c r="BK187" s="1320"/>
      <c r="BL187" s="1320"/>
      <c r="BM187" s="1320"/>
      <c r="BN187" s="1320"/>
      <c r="BO187" s="1320"/>
      <c r="BP187" s="1320"/>
      <c r="BQ187" s="1320"/>
      <c r="BR187" s="1320"/>
      <c r="BS187" s="1320"/>
      <c r="BT187" s="1320"/>
      <c r="BU187" s="1320"/>
      <c r="BV187" s="1320"/>
      <c r="BW187" s="174"/>
      <c r="BX187" s="1324" t="str">
        <f>IF(CharacterLevel="",'Character Sheet III'!$CF$202,IF(Spellcasting!CE36="•",'Character Sheet III'!$BX$202,'Character Sheet III'!$CF$202))</f>
        <v>□</v>
      </c>
      <c r="BY187" s="1324"/>
      <c r="BZ187" s="1324"/>
      <c r="CA187" s="1325" t="str">
        <f>IF(OR(CharacterLevel="",Spellcasting!CG$36=""),"",VLOOKUP(Spellcasting!CG$36,Tables!$TK:$UB,Tables!$TN$1,FALSE))</f>
        <v/>
      </c>
      <c r="CB187" s="1325"/>
      <c r="CC187" s="1325"/>
      <c r="CD187" s="1325"/>
      <c r="CE187" s="1325"/>
      <c r="CF187" s="1325"/>
      <c r="CG187" s="1325"/>
      <c r="CH187" s="1325"/>
      <c r="CI187" s="1325"/>
      <c r="CJ187" s="1325"/>
      <c r="CK187" s="1325"/>
      <c r="CL187" s="1325"/>
      <c r="CM187" s="1325"/>
      <c r="CN187" s="1325"/>
      <c r="CO187" s="1325"/>
      <c r="CP187" s="1325"/>
      <c r="CQ187" s="263"/>
      <c r="CR187" s="1048" t="str">
        <f>IF(OR(CharacterLevel="",Spellcasting!CG$36=""),"",VLOOKUP(Spellcasting!CG$36,Tables!$TK:$UB,Tables!$TT$1,FALSE))</f>
        <v/>
      </c>
      <c r="CS187" s="1048"/>
      <c r="CT187" s="1048"/>
      <c r="CU187" s="1048"/>
      <c r="CV187" s="1048"/>
      <c r="CW187" s="263"/>
      <c r="CX187" s="1048" t="str">
        <f>IF(OR(CharacterLevel="",Spellcasting!CG$36=""),"",VLOOKUP(Spellcasting!CG$36,Tables!$TK:$UB,Tables!$TU$1,FALSE))</f>
        <v/>
      </c>
      <c r="CY187" s="1048"/>
      <c r="CZ187" s="1048"/>
      <c r="DA187" s="1048"/>
      <c r="DB187" s="263"/>
      <c r="DC187" s="1048" t="str">
        <f>IF(OR(CharacterLevel="",Spellcasting!CG$36=""),"",VLOOKUP(Spellcasting!CG$36,Tables!$TK:$UB,Tables!$TV$1,FALSE))</f>
        <v/>
      </c>
      <c r="DD187" s="1048"/>
      <c r="DE187" s="1048"/>
      <c r="DF187" s="1048"/>
      <c r="DG187" s="1048"/>
      <c r="DH187" s="1048"/>
      <c r="DI187" s="261"/>
      <c r="DJ187" s="1048" t="str">
        <f>IF(OR(CharacterLevel="",Spellcasting!CG$36=""),"",VLOOKUP(Spellcasting!CG$36,Tables!$TK:$UB,Tables!$TW$1,FALSE))</f>
        <v/>
      </c>
      <c r="DK187" s="1048"/>
      <c r="DL187" s="1048"/>
      <c r="DM187" s="1048"/>
      <c r="DN187" s="261"/>
      <c r="DO187" s="1048" t="str">
        <f>IF(OR(CharacterLevel="",Spellcasting!CG$36=""),"",VLOOKUP(Spellcasting!CG$36,Tables!$TK:$UB,Tables!$TZ$1,FALSE))</f>
        <v/>
      </c>
      <c r="DP187" s="1048"/>
      <c r="DQ187" s="1048"/>
      <c r="DR187" s="1048"/>
      <c r="DS187" s="261"/>
      <c r="DT187" s="1319" t="str">
        <f>IF(OR(CharacterLevel="",Spellcasting!CG$36=""),"",VLOOKUP(Spellcasting!CG$36,Tables!$TK:$UB,Tables!$UB$1,FALSE))</f>
        <v/>
      </c>
      <c r="DU187" s="1319"/>
      <c r="DV187" s="1319"/>
      <c r="DW187" s="1319"/>
      <c r="DX187" s="1319"/>
      <c r="DY187" s="1319"/>
      <c r="DZ187" s="1319"/>
      <c r="EA187" s="1319"/>
      <c r="EB187" s="1319"/>
      <c r="EC187" s="1319"/>
      <c r="ED187" s="1319"/>
      <c r="EE187" s="1319"/>
      <c r="EF187" s="1319"/>
      <c r="EG187" s="1319"/>
      <c r="EH187" s="1319"/>
      <c r="EI187" s="1319"/>
      <c r="EJ187" s="1319"/>
      <c r="EK187" s="1319"/>
      <c r="EL187" s="1319"/>
      <c r="EM187" s="1319"/>
      <c r="EN187" s="1319"/>
      <c r="EO187" s="1319"/>
      <c r="EP187" s="1319"/>
      <c r="EQ187" s="1319"/>
      <c r="ER187" s="1319"/>
    </row>
    <row r="188" spans="1:148" ht="9.75" customHeight="1" x14ac:dyDescent="0.2">
      <c r="A188" s="5"/>
      <c r="B188" s="1389" t="str">
        <f>IF(CharacterLevel="",'Character Sheet III'!$CF$202,IF(Spellcasting!BQ18="•",'Character Sheet III'!$BX$202,'Character Sheet III'!$CF$202))</f>
        <v>□</v>
      </c>
      <c r="C188" s="1389"/>
      <c r="D188" s="1389"/>
      <c r="E188" s="1325" t="str">
        <f>IF(OR(CharacterLevel="",Spellcasting!BS$18=""),"",VLOOKUP(Spellcasting!BS$18,Tables!$TK:$UB,Tables!$TN$1,FALSE))</f>
        <v/>
      </c>
      <c r="F188" s="1325"/>
      <c r="G188" s="1325"/>
      <c r="H188" s="1325"/>
      <c r="I188" s="1325"/>
      <c r="J188" s="1325"/>
      <c r="K188" s="1325"/>
      <c r="L188" s="1325"/>
      <c r="M188" s="1325"/>
      <c r="N188" s="1325"/>
      <c r="O188" s="1325"/>
      <c r="P188" s="1325"/>
      <c r="Q188" s="1325"/>
      <c r="R188" s="1325"/>
      <c r="S188" s="1325"/>
      <c r="T188" s="1325"/>
      <c r="U188" s="263"/>
      <c r="V188" s="1048" t="str">
        <f>IF(OR(CharacterLevel="",Spellcasting!BS$18=""),"",VLOOKUP(Spellcasting!BS$18,Tables!$TK:$UB,Tables!$TT$1,FALSE))</f>
        <v/>
      </c>
      <c r="W188" s="1048"/>
      <c r="X188" s="1048"/>
      <c r="Y188" s="1048"/>
      <c r="Z188" s="1048"/>
      <c r="AA188" s="263"/>
      <c r="AB188" s="1048" t="str">
        <f>IF(OR(CharacterLevel="",Spellcasting!BS$18=""),"",VLOOKUP(Spellcasting!BS$18,Tables!$TK:$UB,Tables!$TU$1,FALSE))</f>
        <v/>
      </c>
      <c r="AC188" s="1048"/>
      <c r="AD188" s="1048"/>
      <c r="AE188" s="1048"/>
      <c r="AF188" s="263"/>
      <c r="AG188" s="1048" t="str">
        <f>IF(OR(CharacterLevel="",Spellcasting!BS$18=""),"",VLOOKUP(Spellcasting!BS$18,Tables!$TK:$UB,Tables!$TV$1,FALSE))</f>
        <v/>
      </c>
      <c r="AH188" s="1048"/>
      <c r="AI188" s="1048"/>
      <c r="AJ188" s="1048"/>
      <c r="AK188" s="1048"/>
      <c r="AL188" s="1048"/>
      <c r="AM188" s="261"/>
      <c r="AN188" s="857" t="str">
        <f>IF(OR(CharacterLevel="",Spellcasting!BS$18=""),"",VLOOKUP(Spellcasting!BS$18,Tables!$TK:$UB,Tables!$TW$1,FALSE))</f>
        <v/>
      </c>
      <c r="AO188" s="857"/>
      <c r="AP188" s="857"/>
      <c r="AQ188" s="857"/>
      <c r="AR188" s="261"/>
      <c r="AS188" s="1048" t="str">
        <f>IF(OR(CharacterLevel="",Spellcasting!BS$18=""),"",VLOOKUP(Spellcasting!BS$18,Tables!$TK:$UB,Tables!$TZ$1,FALSE))</f>
        <v/>
      </c>
      <c r="AT188" s="1048"/>
      <c r="AU188" s="1048"/>
      <c r="AV188" s="1048"/>
      <c r="AW188" s="261"/>
      <c r="AX188" s="1319" t="str">
        <f>IF(OR(CharacterLevel="",Spellcasting!BS$18=""),"",VLOOKUP(Spellcasting!BS$18,Tables!$TK:$UB,Tables!$UB$1,FALSE))</f>
        <v/>
      </c>
      <c r="AY188" s="1319"/>
      <c r="AZ188" s="1319"/>
      <c r="BA188" s="1319"/>
      <c r="BB188" s="1319"/>
      <c r="BC188" s="1319"/>
      <c r="BD188" s="1319"/>
      <c r="BE188" s="1319"/>
      <c r="BF188" s="1319"/>
      <c r="BG188" s="1319"/>
      <c r="BH188" s="1319"/>
      <c r="BI188" s="1319"/>
      <c r="BJ188" s="1319"/>
      <c r="BK188" s="1319"/>
      <c r="BL188" s="1319"/>
      <c r="BM188" s="1319"/>
      <c r="BN188" s="1319"/>
      <c r="BO188" s="1319"/>
      <c r="BP188" s="1319"/>
      <c r="BQ188" s="1319"/>
      <c r="BR188" s="1319"/>
      <c r="BS188" s="1319"/>
      <c r="BT188" s="1319"/>
      <c r="BU188" s="1319"/>
      <c r="BV188" s="1319"/>
      <c r="BW188" s="174"/>
      <c r="BX188" s="1324"/>
      <c r="BY188" s="1324"/>
      <c r="BZ188" s="1324"/>
      <c r="CA188" s="1325"/>
      <c r="CB188" s="1325"/>
      <c r="CC188" s="1325"/>
      <c r="CD188" s="1325"/>
      <c r="CE188" s="1325"/>
      <c r="CF188" s="1325"/>
      <c r="CG188" s="1325"/>
      <c r="CH188" s="1325"/>
      <c r="CI188" s="1325"/>
      <c r="CJ188" s="1325"/>
      <c r="CK188" s="1325"/>
      <c r="CL188" s="1325"/>
      <c r="CM188" s="1325"/>
      <c r="CN188" s="1325"/>
      <c r="CO188" s="1325"/>
      <c r="CP188" s="1325"/>
      <c r="CQ188" s="263"/>
      <c r="CR188" s="1321"/>
      <c r="CS188" s="1321"/>
      <c r="CT188" s="1321"/>
      <c r="CU188" s="1321"/>
      <c r="CV188" s="1321"/>
      <c r="CW188" s="5"/>
      <c r="CX188" s="1321"/>
      <c r="CY188" s="1321"/>
      <c r="CZ188" s="1321"/>
      <c r="DA188" s="1321"/>
      <c r="DB188" s="5"/>
      <c r="DC188" s="1321"/>
      <c r="DD188" s="1321"/>
      <c r="DE188" s="1321"/>
      <c r="DF188" s="1321"/>
      <c r="DG188" s="1321"/>
      <c r="DH188" s="1321"/>
      <c r="DI188" s="5"/>
      <c r="DJ188" s="1321"/>
      <c r="DK188" s="1321"/>
      <c r="DL188" s="1321"/>
      <c r="DM188" s="1321"/>
      <c r="DN188" s="5"/>
      <c r="DO188" s="1321"/>
      <c r="DP188" s="1321"/>
      <c r="DQ188" s="1321"/>
      <c r="DR188" s="1321"/>
      <c r="DS188" s="5"/>
      <c r="DT188" s="1320"/>
      <c r="DU188" s="1320"/>
      <c r="DV188" s="1320"/>
      <c r="DW188" s="1320"/>
      <c r="DX188" s="1320"/>
      <c r="DY188" s="1320"/>
      <c r="DZ188" s="1320"/>
      <c r="EA188" s="1320"/>
      <c r="EB188" s="1320"/>
      <c r="EC188" s="1320"/>
      <c r="ED188" s="1320"/>
      <c r="EE188" s="1320"/>
      <c r="EF188" s="1320"/>
      <c r="EG188" s="1320"/>
      <c r="EH188" s="1320"/>
      <c r="EI188" s="1320"/>
      <c r="EJ188" s="1320"/>
      <c r="EK188" s="1320"/>
      <c r="EL188" s="1320"/>
      <c r="EM188" s="1320"/>
      <c r="EN188" s="1320"/>
      <c r="EO188" s="1320"/>
      <c r="EP188" s="1320"/>
      <c r="EQ188" s="1320"/>
      <c r="ER188" s="1320"/>
    </row>
    <row r="189" spans="1:148" ht="9.75" customHeight="1" x14ac:dyDescent="0.2">
      <c r="A189" s="5"/>
      <c r="B189" s="1389"/>
      <c r="C189" s="1389"/>
      <c r="D189" s="1389"/>
      <c r="E189" s="1325" t="str">
        <f>IF(OR(CharacterLevel="",Spellcasting!AQ121=""),"",VLOOKUP(Spellcasting!AQ121,Tables!TK:UB,Tables!$TN$1,FALSE))</f>
        <v/>
      </c>
      <c r="F189" s="1325"/>
      <c r="G189" s="1325"/>
      <c r="H189" s="1325"/>
      <c r="I189" s="1325"/>
      <c r="J189" s="1325"/>
      <c r="K189" s="1325"/>
      <c r="L189" s="1325"/>
      <c r="M189" s="1325"/>
      <c r="N189" s="1325"/>
      <c r="O189" s="1325"/>
      <c r="P189" s="1325"/>
      <c r="Q189" s="1325"/>
      <c r="R189" s="1325"/>
      <c r="S189" s="1325"/>
      <c r="T189" s="1325"/>
      <c r="U189" s="263"/>
      <c r="V189" s="1321"/>
      <c r="W189" s="1321"/>
      <c r="X189" s="1321"/>
      <c r="Y189" s="1321"/>
      <c r="Z189" s="1321"/>
      <c r="AA189" s="263"/>
      <c r="AB189" s="1321"/>
      <c r="AC189" s="1321"/>
      <c r="AD189" s="1321"/>
      <c r="AE189" s="1321"/>
      <c r="AF189" s="263"/>
      <c r="AG189" s="1321"/>
      <c r="AH189" s="1321"/>
      <c r="AI189" s="1321"/>
      <c r="AJ189" s="1321"/>
      <c r="AK189" s="1321"/>
      <c r="AL189" s="1321"/>
      <c r="AM189" s="263"/>
      <c r="AN189" s="1326"/>
      <c r="AO189" s="1326"/>
      <c r="AP189" s="1326"/>
      <c r="AQ189" s="1326"/>
      <c r="AR189" s="263"/>
      <c r="AS189" s="1321"/>
      <c r="AT189" s="1321"/>
      <c r="AU189" s="1321"/>
      <c r="AV189" s="1321"/>
      <c r="AW189" s="263"/>
      <c r="AX189" s="1320"/>
      <c r="AY189" s="1320"/>
      <c r="AZ189" s="1320"/>
      <c r="BA189" s="1320"/>
      <c r="BB189" s="1320"/>
      <c r="BC189" s="1320"/>
      <c r="BD189" s="1320"/>
      <c r="BE189" s="1320"/>
      <c r="BF189" s="1320"/>
      <c r="BG189" s="1320"/>
      <c r="BH189" s="1320"/>
      <c r="BI189" s="1320"/>
      <c r="BJ189" s="1320"/>
      <c r="BK189" s="1320"/>
      <c r="BL189" s="1320"/>
      <c r="BM189" s="1320"/>
      <c r="BN189" s="1320"/>
      <c r="BO189" s="1320"/>
      <c r="BP189" s="1320"/>
      <c r="BQ189" s="1320"/>
      <c r="BR189" s="1320"/>
      <c r="BS189" s="1320"/>
      <c r="BT189" s="1320"/>
      <c r="BU189" s="1320"/>
      <c r="BV189" s="1320"/>
      <c r="BW189" s="174"/>
      <c r="BX189" s="1324" t="str">
        <f>IF(CharacterLevel="",'Character Sheet III'!$CF$202,IF(Spellcasting!CE37="•",'Character Sheet III'!$BX$202,'Character Sheet III'!$CF$202))</f>
        <v>□</v>
      </c>
      <c r="BY189" s="1324"/>
      <c r="BZ189" s="1324"/>
      <c r="CA189" s="1325" t="str">
        <f>IF(OR(CharacterLevel="",Spellcasting!CG$37=""),"",VLOOKUP(Spellcasting!CG$37,Tables!$TK:$UB,Tables!$TN$1,FALSE))</f>
        <v/>
      </c>
      <c r="CB189" s="1325"/>
      <c r="CC189" s="1325"/>
      <c r="CD189" s="1325"/>
      <c r="CE189" s="1325"/>
      <c r="CF189" s="1325"/>
      <c r="CG189" s="1325"/>
      <c r="CH189" s="1325"/>
      <c r="CI189" s="1325"/>
      <c r="CJ189" s="1325"/>
      <c r="CK189" s="1325"/>
      <c r="CL189" s="1325"/>
      <c r="CM189" s="1325"/>
      <c r="CN189" s="1325"/>
      <c r="CO189" s="1325"/>
      <c r="CP189" s="1325"/>
      <c r="CQ189" s="263"/>
      <c r="CR189" s="1048" t="str">
        <f>IF(OR(CharacterLevel="",Spellcasting!CG$37=""),"",VLOOKUP(Spellcasting!CG$37,Tables!$TK:$UB,Tables!$TT$1,FALSE))</f>
        <v/>
      </c>
      <c r="CS189" s="1048"/>
      <c r="CT189" s="1048"/>
      <c r="CU189" s="1048"/>
      <c r="CV189" s="1048"/>
      <c r="CW189" s="263"/>
      <c r="CX189" s="1048" t="str">
        <f>IF(OR(CharacterLevel="",Spellcasting!CG$37=""),"",VLOOKUP(Spellcasting!CG$37,Tables!$TK:$UB,Tables!$TU$1,FALSE))</f>
        <v/>
      </c>
      <c r="CY189" s="1048"/>
      <c r="CZ189" s="1048"/>
      <c r="DA189" s="1048"/>
      <c r="DB189" s="263"/>
      <c r="DC189" s="1048" t="str">
        <f>IF(OR(CharacterLevel="",Spellcasting!CG$37=""),"",VLOOKUP(Spellcasting!CG$37,Tables!$TK:$UB,Tables!$TV$1,FALSE))</f>
        <v/>
      </c>
      <c r="DD189" s="1048"/>
      <c r="DE189" s="1048"/>
      <c r="DF189" s="1048"/>
      <c r="DG189" s="1048"/>
      <c r="DH189" s="1048"/>
      <c r="DI189" s="261"/>
      <c r="DJ189" s="1048" t="str">
        <f>IF(OR(CharacterLevel="",Spellcasting!CG$37=""),"",VLOOKUP(Spellcasting!CG$37,Tables!$TK:$UB,Tables!$TW$1,FALSE))</f>
        <v/>
      </c>
      <c r="DK189" s="1048"/>
      <c r="DL189" s="1048"/>
      <c r="DM189" s="1048"/>
      <c r="DN189" s="261"/>
      <c r="DO189" s="1048" t="str">
        <f>IF(OR(CharacterLevel="",Spellcasting!CG$37=""),"",VLOOKUP(Spellcasting!CG$37,Tables!$TK:$UB,Tables!$TZ$1,FALSE))</f>
        <v/>
      </c>
      <c r="DP189" s="1048"/>
      <c r="DQ189" s="1048"/>
      <c r="DR189" s="1048"/>
      <c r="DS189" s="261"/>
      <c r="DT189" s="1319" t="str">
        <f>IF(OR(CharacterLevel="",Spellcasting!CG$37=""),"",VLOOKUP(Spellcasting!CG$37,Tables!$TK:$UB,Tables!$UB$1,FALSE))</f>
        <v/>
      </c>
      <c r="DU189" s="1319"/>
      <c r="DV189" s="1319"/>
      <c r="DW189" s="1319"/>
      <c r="DX189" s="1319"/>
      <c r="DY189" s="1319"/>
      <c r="DZ189" s="1319"/>
      <c r="EA189" s="1319"/>
      <c r="EB189" s="1319"/>
      <c r="EC189" s="1319"/>
      <c r="ED189" s="1319"/>
      <c r="EE189" s="1319"/>
      <c r="EF189" s="1319"/>
      <c r="EG189" s="1319"/>
      <c r="EH189" s="1319"/>
      <c r="EI189" s="1319"/>
      <c r="EJ189" s="1319"/>
      <c r="EK189" s="1319"/>
      <c r="EL189" s="1319"/>
      <c r="EM189" s="1319"/>
      <c r="EN189" s="1319"/>
      <c r="EO189" s="1319"/>
      <c r="EP189" s="1319"/>
      <c r="EQ189" s="1319"/>
      <c r="ER189" s="1319"/>
    </row>
    <row r="190" spans="1:148" ht="9.75" customHeight="1" x14ac:dyDescent="0.2">
      <c r="A190" s="5"/>
      <c r="B190" s="1389" t="str">
        <f>IF(CharacterLevel="",'Character Sheet III'!$CF$202,IF(Spellcasting!BQ19="•",'Character Sheet III'!$BX$202,'Character Sheet III'!$CF$202))</f>
        <v>□</v>
      </c>
      <c r="C190" s="1389"/>
      <c r="D190" s="1389"/>
      <c r="E190" s="1325" t="str">
        <f>IF(OR(CharacterLevel="",Spellcasting!BS$19=""),"",VLOOKUP(Spellcasting!BS$19,Tables!$TK:$UB,Tables!$TN$1,FALSE))</f>
        <v/>
      </c>
      <c r="F190" s="1325"/>
      <c r="G190" s="1325"/>
      <c r="H190" s="1325"/>
      <c r="I190" s="1325"/>
      <c r="J190" s="1325"/>
      <c r="K190" s="1325"/>
      <c r="L190" s="1325"/>
      <c r="M190" s="1325"/>
      <c r="N190" s="1325"/>
      <c r="O190" s="1325"/>
      <c r="P190" s="1325"/>
      <c r="Q190" s="1325"/>
      <c r="R190" s="1325"/>
      <c r="S190" s="1325"/>
      <c r="T190" s="1325"/>
      <c r="U190" s="263"/>
      <c r="V190" s="1048" t="str">
        <f>IF(OR(CharacterLevel="",Spellcasting!BS$19=""),"",VLOOKUP(Spellcasting!BS$19,Tables!$TK:$UB,Tables!$TT$1,FALSE))</f>
        <v/>
      </c>
      <c r="W190" s="1048"/>
      <c r="X190" s="1048"/>
      <c r="Y190" s="1048"/>
      <c r="Z190" s="1048"/>
      <c r="AA190" s="263"/>
      <c r="AB190" s="1048" t="str">
        <f>IF(OR(CharacterLevel="",Spellcasting!BS$19=""),"",VLOOKUP(Spellcasting!BS$19,Tables!$TK:$UB,Tables!$TU$1,FALSE))</f>
        <v/>
      </c>
      <c r="AC190" s="1048"/>
      <c r="AD190" s="1048"/>
      <c r="AE190" s="1048"/>
      <c r="AF190" s="263"/>
      <c r="AG190" s="1048" t="str">
        <f>IF(OR(CharacterLevel="",Spellcasting!BS$19=""),"",VLOOKUP(Spellcasting!BS$19,Tables!$TK:$UB,Tables!$TV$1,FALSE))</f>
        <v/>
      </c>
      <c r="AH190" s="1048"/>
      <c r="AI190" s="1048"/>
      <c r="AJ190" s="1048"/>
      <c r="AK190" s="1048"/>
      <c r="AL190" s="1048"/>
      <c r="AM190" s="261"/>
      <c r="AN190" s="857" t="str">
        <f>IF(OR(CharacterLevel="",Spellcasting!BS$19=""),"",VLOOKUP(Spellcasting!BS$19,Tables!$TK:$UB,Tables!$TW$1,FALSE))</f>
        <v/>
      </c>
      <c r="AO190" s="857"/>
      <c r="AP190" s="857"/>
      <c r="AQ190" s="857"/>
      <c r="AR190" s="261"/>
      <c r="AS190" s="1048" t="str">
        <f>IF(OR(CharacterLevel="",Spellcasting!BS$19=""),"",VLOOKUP(Spellcasting!BS$19,Tables!$TK:$UB,Tables!$TZ$1,FALSE))</f>
        <v/>
      </c>
      <c r="AT190" s="1048"/>
      <c r="AU190" s="1048"/>
      <c r="AV190" s="1048"/>
      <c r="AW190" s="261"/>
      <c r="AX190" s="1319" t="str">
        <f>IF(OR(CharacterLevel="",Spellcasting!BS$19=""),"",VLOOKUP(Spellcasting!BS$19,Tables!$TK:$UB,Tables!$UB$1,FALSE))</f>
        <v/>
      </c>
      <c r="AY190" s="1319"/>
      <c r="AZ190" s="1319"/>
      <c r="BA190" s="1319"/>
      <c r="BB190" s="1319"/>
      <c r="BC190" s="1319"/>
      <c r="BD190" s="1319"/>
      <c r="BE190" s="1319"/>
      <c r="BF190" s="1319"/>
      <c r="BG190" s="1319"/>
      <c r="BH190" s="1319"/>
      <c r="BI190" s="1319"/>
      <c r="BJ190" s="1319"/>
      <c r="BK190" s="1319"/>
      <c r="BL190" s="1319"/>
      <c r="BM190" s="1319"/>
      <c r="BN190" s="1319"/>
      <c r="BO190" s="1319"/>
      <c r="BP190" s="1319"/>
      <c r="BQ190" s="1319"/>
      <c r="BR190" s="1319"/>
      <c r="BS190" s="1319"/>
      <c r="BT190" s="1319"/>
      <c r="BU190" s="1319"/>
      <c r="BV190" s="1319"/>
      <c r="BW190" s="174"/>
      <c r="BX190" s="1324"/>
      <c r="BY190" s="1324"/>
      <c r="BZ190" s="1324"/>
      <c r="CA190" s="1325"/>
      <c r="CB190" s="1325"/>
      <c r="CC190" s="1325"/>
      <c r="CD190" s="1325"/>
      <c r="CE190" s="1325"/>
      <c r="CF190" s="1325"/>
      <c r="CG190" s="1325"/>
      <c r="CH190" s="1325"/>
      <c r="CI190" s="1325"/>
      <c r="CJ190" s="1325"/>
      <c r="CK190" s="1325"/>
      <c r="CL190" s="1325"/>
      <c r="CM190" s="1325"/>
      <c r="CN190" s="1325"/>
      <c r="CO190" s="1325"/>
      <c r="CP190" s="1325"/>
      <c r="CQ190" s="263"/>
      <c r="CR190" s="1321"/>
      <c r="CS190" s="1321"/>
      <c r="CT190" s="1321"/>
      <c r="CU190" s="1321"/>
      <c r="CV190" s="1321"/>
      <c r="CW190" s="5"/>
      <c r="CX190" s="1321"/>
      <c r="CY190" s="1321"/>
      <c r="CZ190" s="1321"/>
      <c r="DA190" s="1321"/>
      <c r="DB190" s="5"/>
      <c r="DC190" s="1321"/>
      <c r="DD190" s="1321"/>
      <c r="DE190" s="1321"/>
      <c r="DF190" s="1321"/>
      <c r="DG190" s="1321"/>
      <c r="DH190" s="1321"/>
      <c r="DI190" s="5"/>
      <c r="DJ190" s="1321"/>
      <c r="DK190" s="1321"/>
      <c r="DL190" s="1321"/>
      <c r="DM190" s="1321"/>
      <c r="DN190" s="5"/>
      <c r="DO190" s="1321"/>
      <c r="DP190" s="1321"/>
      <c r="DQ190" s="1321"/>
      <c r="DR190" s="1321"/>
      <c r="DS190" s="5"/>
      <c r="DT190" s="1320"/>
      <c r="DU190" s="1320"/>
      <c r="DV190" s="1320"/>
      <c r="DW190" s="1320"/>
      <c r="DX190" s="1320"/>
      <c r="DY190" s="1320"/>
      <c r="DZ190" s="1320"/>
      <c r="EA190" s="1320"/>
      <c r="EB190" s="1320"/>
      <c r="EC190" s="1320"/>
      <c r="ED190" s="1320"/>
      <c r="EE190" s="1320"/>
      <c r="EF190" s="1320"/>
      <c r="EG190" s="1320"/>
      <c r="EH190" s="1320"/>
      <c r="EI190" s="1320"/>
      <c r="EJ190" s="1320"/>
      <c r="EK190" s="1320"/>
      <c r="EL190" s="1320"/>
      <c r="EM190" s="1320"/>
      <c r="EN190" s="1320"/>
      <c r="EO190" s="1320"/>
      <c r="EP190" s="1320"/>
      <c r="EQ190" s="1320"/>
      <c r="ER190" s="1320"/>
    </row>
    <row r="191" spans="1:148" ht="9.75" customHeight="1" x14ac:dyDescent="0.2">
      <c r="A191" s="5"/>
      <c r="B191" s="1389"/>
      <c r="C191" s="1389"/>
      <c r="D191" s="1389"/>
      <c r="E191" s="1325" t="str">
        <f>IF(OR(CharacterLevel="",Spellcasting!AQ123=""),"",VLOOKUP(Spellcasting!AQ123,Tables!TK:UB,Tables!$TN$1,FALSE))</f>
        <v/>
      </c>
      <c r="F191" s="1325"/>
      <c r="G191" s="1325"/>
      <c r="H191" s="1325"/>
      <c r="I191" s="1325"/>
      <c r="J191" s="1325"/>
      <c r="K191" s="1325"/>
      <c r="L191" s="1325"/>
      <c r="M191" s="1325"/>
      <c r="N191" s="1325"/>
      <c r="O191" s="1325"/>
      <c r="P191" s="1325"/>
      <c r="Q191" s="1325"/>
      <c r="R191" s="1325"/>
      <c r="S191" s="1325"/>
      <c r="T191" s="1325"/>
      <c r="U191" s="263"/>
      <c r="V191" s="1321"/>
      <c r="W191" s="1321"/>
      <c r="X191" s="1321"/>
      <c r="Y191" s="1321"/>
      <c r="Z191" s="1321"/>
      <c r="AA191" s="263"/>
      <c r="AB191" s="1321"/>
      <c r="AC191" s="1321"/>
      <c r="AD191" s="1321"/>
      <c r="AE191" s="1321"/>
      <c r="AF191" s="263"/>
      <c r="AG191" s="1321"/>
      <c r="AH191" s="1321"/>
      <c r="AI191" s="1321"/>
      <c r="AJ191" s="1321"/>
      <c r="AK191" s="1321"/>
      <c r="AL191" s="1321"/>
      <c r="AM191" s="263"/>
      <c r="AN191" s="1326"/>
      <c r="AO191" s="1326"/>
      <c r="AP191" s="1326"/>
      <c r="AQ191" s="1326"/>
      <c r="AR191" s="263"/>
      <c r="AS191" s="1321"/>
      <c r="AT191" s="1321"/>
      <c r="AU191" s="1321"/>
      <c r="AV191" s="1321"/>
      <c r="AW191" s="263"/>
      <c r="AX191" s="1320"/>
      <c r="AY191" s="1320"/>
      <c r="AZ191" s="1320"/>
      <c r="BA191" s="1320"/>
      <c r="BB191" s="1320"/>
      <c r="BC191" s="1320"/>
      <c r="BD191" s="1320"/>
      <c r="BE191" s="1320"/>
      <c r="BF191" s="1320"/>
      <c r="BG191" s="1320"/>
      <c r="BH191" s="1320"/>
      <c r="BI191" s="1320"/>
      <c r="BJ191" s="1320"/>
      <c r="BK191" s="1320"/>
      <c r="BL191" s="1320"/>
      <c r="BM191" s="1320"/>
      <c r="BN191" s="1320"/>
      <c r="BO191" s="1320"/>
      <c r="BP191" s="1320"/>
      <c r="BQ191" s="1320"/>
      <c r="BR191" s="1320"/>
      <c r="BS191" s="1320"/>
      <c r="BT191" s="1320"/>
      <c r="BU191" s="1320"/>
      <c r="BV191" s="1320"/>
      <c r="BW191" s="174"/>
      <c r="BX191" s="1324" t="str">
        <f>IF(CharacterLevel="",'Character Sheet III'!$CF$202,IF(Spellcasting!CE38="•",'Character Sheet III'!$BX$202,'Character Sheet III'!$CF$202))</f>
        <v>□</v>
      </c>
      <c r="BY191" s="1324"/>
      <c r="BZ191" s="1324"/>
      <c r="CA191" s="1325" t="str">
        <f>IF(OR(CharacterLevel="",Spellcasting!CG$38=""),"",VLOOKUP(Spellcasting!CG$38,Tables!$TK:$UB,Tables!$TN$1,FALSE))</f>
        <v/>
      </c>
      <c r="CB191" s="1325"/>
      <c r="CC191" s="1325"/>
      <c r="CD191" s="1325"/>
      <c r="CE191" s="1325"/>
      <c r="CF191" s="1325"/>
      <c r="CG191" s="1325"/>
      <c r="CH191" s="1325"/>
      <c r="CI191" s="1325"/>
      <c r="CJ191" s="1325"/>
      <c r="CK191" s="1325"/>
      <c r="CL191" s="1325"/>
      <c r="CM191" s="1325"/>
      <c r="CN191" s="1325"/>
      <c r="CO191" s="1325"/>
      <c r="CP191" s="1325"/>
      <c r="CQ191" s="263"/>
      <c r="CR191" s="1048" t="str">
        <f>IF(OR(CharacterLevel="",Spellcasting!CG$38=""),"",VLOOKUP(Spellcasting!CG$38,Tables!$TK:$UB,Tables!$TT$1,FALSE))</f>
        <v/>
      </c>
      <c r="CS191" s="1048"/>
      <c r="CT191" s="1048"/>
      <c r="CU191" s="1048"/>
      <c r="CV191" s="1048"/>
      <c r="CW191" s="263"/>
      <c r="CX191" s="1048" t="str">
        <f>IF(OR(CharacterLevel="",Spellcasting!CG$38=""),"",VLOOKUP(Spellcasting!CG$38,Tables!$TK:$UB,Tables!$TU$1,FALSE))</f>
        <v/>
      </c>
      <c r="CY191" s="1048"/>
      <c r="CZ191" s="1048"/>
      <c r="DA191" s="1048"/>
      <c r="DB191" s="263"/>
      <c r="DC191" s="1048" t="str">
        <f>IF(OR(CharacterLevel="",Spellcasting!CG$38=""),"",VLOOKUP(Spellcasting!CG$38,Tables!$TK:$UB,Tables!$TV$1,FALSE))</f>
        <v/>
      </c>
      <c r="DD191" s="1048"/>
      <c r="DE191" s="1048"/>
      <c r="DF191" s="1048"/>
      <c r="DG191" s="1048"/>
      <c r="DH191" s="1048"/>
      <c r="DI191" s="261"/>
      <c r="DJ191" s="1048" t="str">
        <f>IF(OR(CharacterLevel="",Spellcasting!CG$38=""),"",VLOOKUP(Spellcasting!CG$38,Tables!$TK:$UB,Tables!$TW$1,FALSE))</f>
        <v/>
      </c>
      <c r="DK191" s="1048"/>
      <c r="DL191" s="1048"/>
      <c r="DM191" s="1048"/>
      <c r="DN191" s="261"/>
      <c r="DO191" s="1048" t="str">
        <f>IF(OR(CharacterLevel="",Spellcasting!CG$38=""),"",VLOOKUP(Spellcasting!CG$38,Tables!$TK:$UB,Tables!$TZ$1,FALSE))</f>
        <v/>
      </c>
      <c r="DP191" s="1048"/>
      <c r="DQ191" s="1048"/>
      <c r="DR191" s="1048"/>
      <c r="DS191" s="261"/>
      <c r="DT191" s="1319" t="str">
        <f>IF(OR(CharacterLevel="",Spellcasting!CG$38=""),"",VLOOKUP(Spellcasting!CG$38,Tables!$TK:$UB,Tables!$UB$1,FALSE))</f>
        <v/>
      </c>
      <c r="DU191" s="1319"/>
      <c r="DV191" s="1319"/>
      <c r="DW191" s="1319"/>
      <c r="DX191" s="1319"/>
      <c r="DY191" s="1319"/>
      <c r="DZ191" s="1319"/>
      <c r="EA191" s="1319"/>
      <c r="EB191" s="1319"/>
      <c r="EC191" s="1319"/>
      <c r="ED191" s="1319"/>
      <c r="EE191" s="1319"/>
      <c r="EF191" s="1319"/>
      <c r="EG191" s="1319"/>
      <c r="EH191" s="1319"/>
      <c r="EI191" s="1319"/>
      <c r="EJ191" s="1319"/>
      <c r="EK191" s="1319"/>
      <c r="EL191" s="1319"/>
      <c r="EM191" s="1319"/>
      <c r="EN191" s="1319"/>
      <c r="EO191" s="1319"/>
      <c r="EP191" s="1319"/>
      <c r="EQ191" s="1319"/>
      <c r="ER191" s="1319"/>
    </row>
    <row r="192" spans="1:148" ht="9.75" customHeight="1" x14ac:dyDescent="0.2">
      <c r="A192" s="5"/>
      <c r="B192" s="1389" t="str">
        <f>IF(CharacterLevel="",'Character Sheet III'!$CF$202,IF(Spellcasting!BQ20="•",'Character Sheet III'!$BX$202,'Character Sheet III'!$CF$202))</f>
        <v>□</v>
      </c>
      <c r="C192" s="1389"/>
      <c r="D192" s="1389"/>
      <c r="E192" s="1325" t="str">
        <f>IF(OR(CharacterLevel="",Spellcasting!BS$20=""),"",VLOOKUP(Spellcasting!BS$20,Tables!$TK:$UB,Tables!$TN$1,FALSE))</f>
        <v/>
      </c>
      <c r="F192" s="1325"/>
      <c r="G192" s="1325"/>
      <c r="H192" s="1325"/>
      <c r="I192" s="1325"/>
      <c r="J192" s="1325"/>
      <c r="K192" s="1325"/>
      <c r="L192" s="1325"/>
      <c r="M192" s="1325"/>
      <c r="N192" s="1325"/>
      <c r="O192" s="1325"/>
      <c r="P192" s="1325"/>
      <c r="Q192" s="1325"/>
      <c r="R192" s="1325"/>
      <c r="S192" s="1325"/>
      <c r="T192" s="1325"/>
      <c r="U192" s="263"/>
      <c r="V192" s="1048" t="str">
        <f>IF(OR(CharacterLevel="",Spellcasting!BS$20=""),"",VLOOKUP(Spellcasting!BS$20,Tables!$TK:$UB,Tables!$TT$1,FALSE))</f>
        <v/>
      </c>
      <c r="W192" s="1048"/>
      <c r="X192" s="1048"/>
      <c r="Y192" s="1048"/>
      <c r="Z192" s="1048"/>
      <c r="AA192" s="263"/>
      <c r="AB192" s="1048" t="str">
        <f>IF(OR(CharacterLevel="",Spellcasting!BS$20=""),"",VLOOKUP(Spellcasting!BS$20,Tables!$TK:$UB,Tables!$TU$1,FALSE))</f>
        <v/>
      </c>
      <c r="AC192" s="1048"/>
      <c r="AD192" s="1048"/>
      <c r="AE192" s="1048"/>
      <c r="AF192" s="263"/>
      <c r="AG192" s="1048" t="str">
        <f>IF(OR(CharacterLevel="",Spellcasting!BS$20=""),"",VLOOKUP(Spellcasting!BS$20,Tables!$TK:$UB,Tables!$TV$1,FALSE))</f>
        <v/>
      </c>
      <c r="AH192" s="1048"/>
      <c r="AI192" s="1048"/>
      <c r="AJ192" s="1048"/>
      <c r="AK192" s="1048"/>
      <c r="AL192" s="1048"/>
      <c r="AM192" s="261"/>
      <c r="AN192" s="857" t="str">
        <f>IF(OR(CharacterLevel="",Spellcasting!BS$20=""),"",VLOOKUP(Spellcasting!BS$20,Tables!$TK:$UB,Tables!$TW$1,FALSE))</f>
        <v/>
      </c>
      <c r="AO192" s="857"/>
      <c r="AP192" s="857"/>
      <c r="AQ192" s="857"/>
      <c r="AR192" s="261"/>
      <c r="AS192" s="1048" t="str">
        <f>IF(OR(CharacterLevel="",Spellcasting!BS$20=""),"",VLOOKUP(Spellcasting!BS$20,Tables!$TK:$UB,Tables!$TZ$1,FALSE))</f>
        <v/>
      </c>
      <c r="AT192" s="1048"/>
      <c r="AU192" s="1048"/>
      <c r="AV192" s="1048"/>
      <c r="AW192" s="261"/>
      <c r="AX192" s="1319" t="str">
        <f>IF(OR(CharacterLevel="",Spellcasting!BS$20=""),"",VLOOKUP(Spellcasting!BS$20,Tables!$TK:$UB,Tables!$UB$1,FALSE))</f>
        <v/>
      </c>
      <c r="AY192" s="1319"/>
      <c r="AZ192" s="1319"/>
      <c r="BA192" s="1319"/>
      <c r="BB192" s="1319"/>
      <c r="BC192" s="1319"/>
      <c r="BD192" s="1319"/>
      <c r="BE192" s="1319"/>
      <c r="BF192" s="1319"/>
      <c r="BG192" s="1319"/>
      <c r="BH192" s="1319"/>
      <c r="BI192" s="1319"/>
      <c r="BJ192" s="1319"/>
      <c r="BK192" s="1319"/>
      <c r="BL192" s="1319"/>
      <c r="BM192" s="1319"/>
      <c r="BN192" s="1319"/>
      <c r="BO192" s="1319"/>
      <c r="BP192" s="1319"/>
      <c r="BQ192" s="1319"/>
      <c r="BR192" s="1319"/>
      <c r="BS192" s="1319"/>
      <c r="BT192" s="1319"/>
      <c r="BU192" s="1319"/>
      <c r="BV192" s="1319"/>
      <c r="BW192" s="174"/>
      <c r="BX192" s="1324"/>
      <c r="BY192" s="1324"/>
      <c r="BZ192" s="1324"/>
      <c r="CA192" s="1325"/>
      <c r="CB192" s="1325"/>
      <c r="CC192" s="1325"/>
      <c r="CD192" s="1325"/>
      <c r="CE192" s="1325"/>
      <c r="CF192" s="1325"/>
      <c r="CG192" s="1325"/>
      <c r="CH192" s="1325"/>
      <c r="CI192" s="1325"/>
      <c r="CJ192" s="1325"/>
      <c r="CK192" s="1325"/>
      <c r="CL192" s="1325"/>
      <c r="CM192" s="1325"/>
      <c r="CN192" s="1325"/>
      <c r="CO192" s="1325"/>
      <c r="CP192" s="1325"/>
      <c r="CQ192" s="263"/>
      <c r="CR192" s="1321"/>
      <c r="CS192" s="1321"/>
      <c r="CT192" s="1321"/>
      <c r="CU192" s="1321"/>
      <c r="CV192" s="1321"/>
      <c r="CW192" s="5"/>
      <c r="CX192" s="1321"/>
      <c r="CY192" s="1321"/>
      <c r="CZ192" s="1321"/>
      <c r="DA192" s="1321"/>
      <c r="DB192" s="5"/>
      <c r="DC192" s="1321"/>
      <c r="DD192" s="1321"/>
      <c r="DE192" s="1321"/>
      <c r="DF192" s="1321"/>
      <c r="DG192" s="1321"/>
      <c r="DH192" s="1321"/>
      <c r="DI192" s="5"/>
      <c r="DJ192" s="1321"/>
      <c r="DK192" s="1321"/>
      <c r="DL192" s="1321"/>
      <c r="DM192" s="1321"/>
      <c r="DN192" s="5"/>
      <c r="DO192" s="1321"/>
      <c r="DP192" s="1321"/>
      <c r="DQ192" s="1321"/>
      <c r="DR192" s="1321"/>
      <c r="DS192" s="5"/>
      <c r="DT192" s="1320"/>
      <c r="DU192" s="1320"/>
      <c r="DV192" s="1320"/>
      <c r="DW192" s="1320"/>
      <c r="DX192" s="1320"/>
      <c r="DY192" s="1320"/>
      <c r="DZ192" s="1320"/>
      <c r="EA192" s="1320"/>
      <c r="EB192" s="1320"/>
      <c r="EC192" s="1320"/>
      <c r="ED192" s="1320"/>
      <c r="EE192" s="1320"/>
      <c r="EF192" s="1320"/>
      <c r="EG192" s="1320"/>
      <c r="EH192" s="1320"/>
      <c r="EI192" s="1320"/>
      <c r="EJ192" s="1320"/>
      <c r="EK192" s="1320"/>
      <c r="EL192" s="1320"/>
      <c r="EM192" s="1320"/>
      <c r="EN192" s="1320"/>
      <c r="EO192" s="1320"/>
      <c r="EP192" s="1320"/>
      <c r="EQ192" s="1320"/>
      <c r="ER192" s="1320"/>
    </row>
    <row r="193" spans="1:149" ht="9.75" customHeight="1" x14ac:dyDescent="0.2">
      <c r="A193" s="5"/>
      <c r="B193" s="1389"/>
      <c r="C193" s="1389"/>
      <c r="D193" s="1389"/>
      <c r="E193" s="1325" t="str">
        <f>IF(OR(CharacterLevel="",Spellcasting!AQ125=""),"",VLOOKUP(Spellcasting!AQ125,Tables!TK:UB,Tables!$TN$1,FALSE))</f>
        <v/>
      </c>
      <c r="F193" s="1325"/>
      <c r="G193" s="1325"/>
      <c r="H193" s="1325"/>
      <c r="I193" s="1325"/>
      <c r="J193" s="1325"/>
      <c r="K193" s="1325"/>
      <c r="L193" s="1325"/>
      <c r="M193" s="1325"/>
      <c r="N193" s="1325"/>
      <c r="O193" s="1325"/>
      <c r="P193" s="1325"/>
      <c r="Q193" s="1325"/>
      <c r="R193" s="1325"/>
      <c r="S193" s="1325"/>
      <c r="T193" s="1325"/>
      <c r="U193" s="263"/>
      <c r="V193" s="1321"/>
      <c r="W193" s="1321"/>
      <c r="X193" s="1321"/>
      <c r="Y193" s="1321"/>
      <c r="Z193" s="1321"/>
      <c r="AA193" s="263"/>
      <c r="AB193" s="1321"/>
      <c r="AC193" s="1321"/>
      <c r="AD193" s="1321"/>
      <c r="AE193" s="1321"/>
      <c r="AF193" s="263"/>
      <c r="AG193" s="1321"/>
      <c r="AH193" s="1321"/>
      <c r="AI193" s="1321"/>
      <c r="AJ193" s="1321"/>
      <c r="AK193" s="1321"/>
      <c r="AL193" s="1321"/>
      <c r="AM193" s="263"/>
      <c r="AN193" s="1326"/>
      <c r="AO193" s="1326"/>
      <c r="AP193" s="1326"/>
      <c r="AQ193" s="1326"/>
      <c r="AR193" s="263"/>
      <c r="AS193" s="1321"/>
      <c r="AT193" s="1321"/>
      <c r="AU193" s="1321"/>
      <c r="AV193" s="1321"/>
      <c r="AW193" s="263"/>
      <c r="AX193" s="1320"/>
      <c r="AY193" s="1320"/>
      <c r="AZ193" s="1320"/>
      <c r="BA193" s="1320"/>
      <c r="BB193" s="1320"/>
      <c r="BC193" s="1320"/>
      <c r="BD193" s="1320"/>
      <c r="BE193" s="1320"/>
      <c r="BF193" s="1320"/>
      <c r="BG193" s="1320"/>
      <c r="BH193" s="1320"/>
      <c r="BI193" s="1320"/>
      <c r="BJ193" s="1320"/>
      <c r="BK193" s="1320"/>
      <c r="BL193" s="1320"/>
      <c r="BM193" s="1320"/>
      <c r="BN193" s="1320"/>
      <c r="BO193" s="1320"/>
      <c r="BP193" s="1320"/>
      <c r="BQ193" s="1320"/>
      <c r="BR193" s="1320"/>
      <c r="BS193" s="1320"/>
      <c r="BT193" s="1320"/>
      <c r="BU193" s="1320"/>
      <c r="BV193" s="1320"/>
      <c r="BW193" s="174"/>
      <c r="BX193" s="1324" t="str">
        <f>IF(CharacterLevel="",'Character Sheet III'!$CF$202,IF(Spellcasting!CE39="•",'Character Sheet III'!$BX$202,'Character Sheet III'!$CF$202))</f>
        <v>□</v>
      </c>
      <c r="BY193" s="1324"/>
      <c r="BZ193" s="1324"/>
      <c r="CA193" s="1325" t="str">
        <f>IF(OR(CharacterLevel="",Spellcasting!CG$39=""),"",VLOOKUP(Spellcasting!CG$39,Tables!$TK:$UB,Tables!$TN$1,FALSE))</f>
        <v/>
      </c>
      <c r="CB193" s="1325"/>
      <c r="CC193" s="1325"/>
      <c r="CD193" s="1325"/>
      <c r="CE193" s="1325"/>
      <c r="CF193" s="1325"/>
      <c r="CG193" s="1325"/>
      <c r="CH193" s="1325"/>
      <c r="CI193" s="1325"/>
      <c r="CJ193" s="1325"/>
      <c r="CK193" s="1325"/>
      <c r="CL193" s="1325"/>
      <c r="CM193" s="1325"/>
      <c r="CN193" s="1325"/>
      <c r="CO193" s="1325"/>
      <c r="CP193" s="1325"/>
      <c r="CQ193" s="263"/>
      <c r="CR193" s="1048" t="str">
        <f>IF(OR(CharacterLevel="",Spellcasting!CG$39=""),"",VLOOKUP(Spellcasting!CG$39,Tables!$TK:$UB,Tables!$TT$1,FALSE))</f>
        <v/>
      </c>
      <c r="CS193" s="1048"/>
      <c r="CT193" s="1048"/>
      <c r="CU193" s="1048"/>
      <c r="CV193" s="1048"/>
      <c r="CW193" s="263"/>
      <c r="CX193" s="1048" t="str">
        <f>IF(OR(CharacterLevel="",Spellcasting!CG$39=""),"",VLOOKUP(Spellcasting!CG$39,Tables!$TK:$UB,Tables!$TU$1,FALSE))</f>
        <v/>
      </c>
      <c r="CY193" s="1048"/>
      <c r="CZ193" s="1048"/>
      <c r="DA193" s="1048"/>
      <c r="DB193" s="263"/>
      <c r="DC193" s="1048" t="str">
        <f>IF(OR(CharacterLevel="",Spellcasting!CG$39=""),"",VLOOKUP(Spellcasting!CG$39,Tables!$TK:$UB,Tables!$TV$1,FALSE))</f>
        <v/>
      </c>
      <c r="DD193" s="1048"/>
      <c r="DE193" s="1048"/>
      <c r="DF193" s="1048"/>
      <c r="DG193" s="1048"/>
      <c r="DH193" s="1048"/>
      <c r="DI193" s="261"/>
      <c r="DJ193" s="1048" t="str">
        <f>IF(OR(CharacterLevel="",Spellcasting!CG$39=""),"",VLOOKUP(Spellcasting!CG$39,Tables!$TK:$UB,Tables!$TW$1,FALSE))</f>
        <v/>
      </c>
      <c r="DK193" s="1048"/>
      <c r="DL193" s="1048"/>
      <c r="DM193" s="1048"/>
      <c r="DN193" s="261"/>
      <c r="DO193" s="1048" t="str">
        <f>IF(OR(CharacterLevel="",Spellcasting!CG$39=""),"",VLOOKUP(Spellcasting!CG$39,Tables!$TK:$UB,Tables!$TZ$1,FALSE))</f>
        <v/>
      </c>
      <c r="DP193" s="1048"/>
      <c r="DQ193" s="1048"/>
      <c r="DR193" s="1048"/>
      <c r="DS193" s="261"/>
      <c r="DT193" s="1319" t="str">
        <f>IF(OR(CharacterLevel="",Spellcasting!CG$39=""),"",VLOOKUP(Spellcasting!CG$39,Tables!$TK:$UB,Tables!$UB$1,FALSE))</f>
        <v/>
      </c>
      <c r="DU193" s="1319"/>
      <c r="DV193" s="1319"/>
      <c r="DW193" s="1319"/>
      <c r="DX193" s="1319"/>
      <c r="DY193" s="1319"/>
      <c r="DZ193" s="1319"/>
      <c r="EA193" s="1319"/>
      <c r="EB193" s="1319"/>
      <c r="EC193" s="1319"/>
      <c r="ED193" s="1319"/>
      <c r="EE193" s="1319"/>
      <c r="EF193" s="1319"/>
      <c r="EG193" s="1319"/>
      <c r="EH193" s="1319"/>
      <c r="EI193" s="1319"/>
      <c r="EJ193" s="1319"/>
      <c r="EK193" s="1319"/>
      <c r="EL193" s="1319"/>
      <c r="EM193" s="1319"/>
      <c r="EN193" s="1319"/>
      <c r="EO193" s="1319"/>
      <c r="EP193" s="1319"/>
      <c r="EQ193" s="1319"/>
      <c r="ER193" s="1319"/>
    </row>
    <row r="194" spans="1:149" ht="9.75" customHeight="1" x14ac:dyDescent="0.2">
      <c r="A194" s="5"/>
      <c r="B194" s="1389" t="str">
        <f>IF(CharacterLevel="",'Character Sheet III'!$CF$202,IF(Spellcasting!BQ21="•",'Character Sheet III'!$BX$202,'Character Sheet III'!$CF$202))</f>
        <v>□</v>
      </c>
      <c r="C194" s="1389"/>
      <c r="D194" s="1389"/>
      <c r="E194" s="1325" t="str">
        <f>IF(OR(CharacterLevel="",Spellcasting!BS$21=""),"",VLOOKUP(Spellcasting!BS$21,Tables!$TK:$UB,Tables!$TN$1,FALSE))</f>
        <v/>
      </c>
      <c r="F194" s="1325"/>
      <c r="G194" s="1325"/>
      <c r="H194" s="1325"/>
      <c r="I194" s="1325"/>
      <c r="J194" s="1325"/>
      <c r="K194" s="1325"/>
      <c r="L194" s="1325"/>
      <c r="M194" s="1325"/>
      <c r="N194" s="1325"/>
      <c r="O194" s="1325"/>
      <c r="P194" s="1325"/>
      <c r="Q194" s="1325"/>
      <c r="R194" s="1325"/>
      <c r="S194" s="1325"/>
      <c r="T194" s="1325"/>
      <c r="U194" s="263"/>
      <c r="V194" s="1048" t="str">
        <f>IF(OR(CharacterLevel="",Spellcasting!BS$21=""),"",VLOOKUP(Spellcasting!BS$21,Tables!$TK:$UB,Tables!$TT$1,FALSE))</f>
        <v/>
      </c>
      <c r="W194" s="1048"/>
      <c r="X194" s="1048"/>
      <c r="Y194" s="1048"/>
      <c r="Z194" s="1048"/>
      <c r="AA194" s="263"/>
      <c r="AB194" s="1048" t="str">
        <f>IF(OR(CharacterLevel="",Spellcasting!BS$21=""),"",VLOOKUP(Spellcasting!BS$21,Tables!$TK:$UB,Tables!$TU$1,FALSE))</f>
        <v/>
      </c>
      <c r="AC194" s="1048"/>
      <c r="AD194" s="1048"/>
      <c r="AE194" s="1048"/>
      <c r="AF194" s="263"/>
      <c r="AG194" s="1048" t="str">
        <f>IF(OR(CharacterLevel="",Spellcasting!BS$21=""),"",VLOOKUP(Spellcasting!BS$21,Tables!$TK:$UB,Tables!$TV$1,FALSE))</f>
        <v/>
      </c>
      <c r="AH194" s="1048"/>
      <c r="AI194" s="1048"/>
      <c r="AJ194" s="1048"/>
      <c r="AK194" s="1048"/>
      <c r="AL194" s="1048"/>
      <c r="AM194" s="261"/>
      <c r="AN194" s="857" t="str">
        <f>IF(OR(CharacterLevel="",Spellcasting!BS$21=""),"",VLOOKUP(Spellcasting!BS$21,Tables!$TK:$UB,Tables!$TW$1,FALSE))</f>
        <v/>
      </c>
      <c r="AO194" s="857"/>
      <c r="AP194" s="857"/>
      <c r="AQ194" s="857"/>
      <c r="AR194" s="261"/>
      <c r="AS194" s="1048" t="str">
        <f>IF(OR(CharacterLevel="",Spellcasting!BS$21=""),"",VLOOKUP(Spellcasting!BS$21,Tables!$TK:$UB,Tables!$TZ$1,FALSE))</f>
        <v/>
      </c>
      <c r="AT194" s="1048"/>
      <c r="AU194" s="1048"/>
      <c r="AV194" s="1048"/>
      <c r="AW194" s="261"/>
      <c r="AX194" s="1319" t="str">
        <f>IF(OR(CharacterLevel="",Spellcasting!BS$21=""),"",VLOOKUP(Spellcasting!BS$21,Tables!$TK:$UB,Tables!$UB$1,FALSE))</f>
        <v/>
      </c>
      <c r="AY194" s="1319"/>
      <c r="AZ194" s="1319"/>
      <c r="BA194" s="1319"/>
      <c r="BB194" s="1319"/>
      <c r="BC194" s="1319"/>
      <c r="BD194" s="1319"/>
      <c r="BE194" s="1319"/>
      <c r="BF194" s="1319"/>
      <c r="BG194" s="1319"/>
      <c r="BH194" s="1319"/>
      <c r="BI194" s="1319"/>
      <c r="BJ194" s="1319"/>
      <c r="BK194" s="1319"/>
      <c r="BL194" s="1319"/>
      <c r="BM194" s="1319"/>
      <c r="BN194" s="1319"/>
      <c r="BO194" s="1319"/>
      <c r="BP194" s="1319"/>
      <c r="BQ194" s="1319"/>
      <c r="BR194" s="1319"/>
      <c r="BS194" s="1319"/>
      <c r="BT194" s="1319"/>
      <c r="BU194" s="1319"/>
      <c r="BV194" s="1319"/>
      <c r="BW194" s="174"/>
      <c r="BX194" s="1324"/>
      <c r="BY194" s="1324"/>
      <c r="BZ194" s="1324"/>
      <c r="CA194" s="1325"/>
      <c r="CB194" s="1325"/>
      <c r="CC194" s="1325"/>
      <c r="CD194" s="1325"/>
      <c r="CE194" s="1325"/>
      <c r="CF194" s="1325"/>
      <c r="CG194" s="1325"/>
      <c r="CH194" s="1325"/>
      <c r="CI194" s="1325"/>
      <c r="CJ194" s="1325"/>
      <c r="CK194" s="1325"/>
      <c r="CL194" s="1325"/>
      <c r="CM194" s="1325"/>
      <c r="CN194" s="1325"/>
      <c r="CO194" s="1325"/>
      <c r="CP194" s="1325"/>
      <c r="CQ194" s="263"/>
      <c r="CR194" s="1321"/>
      <c r="CS194" s="1321"/>
      <c r="CT194" s="1321"/>
      <c r="CU194" s="1321"/>
      <c r="CV194" s="1321"/>
      <c r="CW194" s="5"/>
      <c r="CX194" s="1321"/>
      <c r="CY194" s="1321"/>
      <c r="CZ194" s="1321"/>
      <c r="DA194" s="1321"/>
      <c r="DB194" s="5"/>
      <c r="DC194" s="1321"/>
      <c r="DD194" s="1321"/>
      <c r="DE194" s="1321"/>
      <c r="DF194" s="1321"/>
      <c r="DG194" s="1321"/>
      <c r="DH194" s="1321"/>
      <c r="DI194" s="5"/>
      <c r="DJ194" s="1321"/>
      <c r="DK194" s="1321"/>
      <c r="DL194" s="1321"/>
      <c r="DM194" s="1321"/>
      <c r="DN194" s="5"/>
      <c r="DO194" s="1321"/>
      <c r="DP194" s="1321"/>
      <c r="DQ194" s="1321"/>
      <c r="DR194" s="1321"/>
      <c r="DS194" s="5"/>
      <c r="DT194" s="1320"/>
      <c r="DU194" s="1320"/>
      <c r="DV194" s="1320"/>
      <c r="DW194" s="1320"/>
      <c r="DX194" s="1320"/>
      <c r="DY194" s="1320"/>
      <c r="DZ194" s="1320"/>
      <c r="EA194" s="1320"/>
      <c r="EB194" s="1320"/>
      <c r="EC194" s="1320"/>
      <c r="ED194" s="1320"/>
      <c r="EE194" s="1320"/>
      <c r="EF194" s="1320"/>
      <c r="EG194" s="1320"/>
      <c r="EH194" s="1320"/>
      <c r="EI194" s="1320"/>
      <c r="EJ194" s="1320"/>
      <c r="EK194" s="1320"/>
      <c r="EL194" s="1320"/>
      <c r="EM194" s="1320"/>
      <c r="EN194" s="1320"/>
      <c r="EO194" s="1320"/>
      <c r="EP194" s="1320"/>
      <c r="EQ194" s="1320"/>
      <c r="ER194" s="1320"/>
    </row>
    <row r="195" spans="1:149" ht="9.75" customHeight="1" x14ac:dyDescent="0.2">
      <c r="A195" s="5"/>
      <c r="B195" s="1389"/>
      <c r="C195" s="1389"/>
      <c r="D195" s="1389"/>
      <c r="E195" s="1325" t="str">
        <f>IF(OR(CharacterLevel="",Spellcasting!AQ127=""),"",VLOOKUP(Spellcasting!AQ127,Tables!TK:UB,Tables!$TN$1,FALSE))</f>
        <v/>
      </c>
      <c r="F195" s="1325"/>
      <c r="G195" s="1325"/>
      <c r="H195" s="1325"/>
      <c r="I195" s="1325"/>
      <c r="J195" s="1325"/>
      <c r="K195" s="1325"/>
      <c r="L195" s="1325"/>
      <c r="M195" s="1325"/>
      <c r="N195" s="1325"/>
      <c r="O195" s="1325"/>
      <c r="P195" s="1325"/>
      <c r="Q195" s="1325"/>
      <c r="R195" s="1325"/>
      <c r="S195" s="1325"/>
      <c r="T195" s="1325"/>
      <c r="U195" s="263"/>
      <c r="V195" s="1321"/>
      <c r="W195" s="1321"/>
      <c r="X195" s="1321"/>
      <c r="Y195" s="1321"/>
      <c r="Z195" s="1321"/>
      <c r="AA195" s="263"/>
      <c r="AB195" s="1321"/>
      <c r="AC195" s="1321"/>
      <c r="AD195" s="1321"/>
      <c r="AE195" s="1321"/>
      <c r="AF195" s="263"/>
      <c r="AG195" s="1321"/>
      <c r="AH195" s="1321"/>
      <c r="AI195" s="1321"/>
      <c r="AJ195" s="1321"/>
      <c r="AK195" s="1321"/>
      <c r="AL195" s="1321"/>
      <c r="AM195" s="263"/>
      <c r="AN195" s="1326"/>
      <c r="AO195" s="1326"/>
      <c r="AP195" s="1326"/>
      <c r="AQ195" s="1326"/>
      <c r="AR195" s="263"/>
      <c r="AS195" s="1321"/>
      <c r="AT195" s="1321"/>
      <c r="AU195" s="1321"/>
      <c r="AV195" s="1321"/>
      <c r="AW195" s="263"/>
      <c r="AX195" s="1320"/>
      <c r="AY195" s="1320"/>
      <c r="AZ195" s="1320"/>
      <c r="BA195" s="1320"/>
      <c r="BB195" s="1320"/>
      <c r="BC195" s="1320"/>
      <c r="BD195" s="1320"/>
      <c r="BE195" s="1320"/>
      <c r="BF195" s="1320"/>
      <c r="BG195" s="1320"/>
      <c r="BH195" s="1320"/>
      <c r="BI195" s="1320"/>
      <c r="BJ195" s="1320"/>
      <c r="BK195" s="1320"/>
      <c r="BL195" s="1320"/>
      <c r="BM195" s="1320"/>
      <c r="BN195" s="1320"/>
      <c r="BO195" s="1320"/>
      <c r="BP195" s="1320"/>
      <c r="BQ195" s="1320"/>
      <c r="BR195" s="1320"/>
      <c r="BS195" s="1320"/>
      <c r="BT195" s="1320"/>
      <c r="BU195" s="1320"/>
      <c r="BV195" s="1320"/>
      <c r="BW195" s="174"/>
      <c r="BX195" s="1324" t="str">
        <f>IF(CharacterLevel="",'Character Sheet III'!$CF$202,IF(Spellcasting!CE40="•",'Character Sheet III'!$BX$202,'Character Sheet III'!$CF$202))</f>
        <v>□</v>
      </c>
      <c r="BY195" s="1324"/>
      <c r="BZ195" s="1324"/>
      <c r="CA195" s="1325" t="str">
        <f>IF(OR(CharacterLevel="",Spellcasting!CG$40=""),"",VLOOKUP(Spellcasting!CG$40,Tables!$TK:$UB,Tables!$TN$1,FALSE))</f>
        <v/>
      </c>
      <c r="CB195" s="1325"/>
      <c r="CC195" s="1325"/>
      <c r="CD195" s="1325"/>
      <c r="CE195" s="1325"/>
      <c r="CF195" s="1325"/>
      <c r="CG195" s="1325"/>
      <c r="CH195" s="1325"/>
      <c r="CI195" s="1325"/>
      <c r="CJ195" s="1325"/>
      <c r="CK195" s="1325"/>
      <c r="CL195" s="1325"/>
      <c r="CM195" s="1325"/>
      <c r="CN195" s="1325"/>
      <c r="CO195" s="1325"/>
      <c r="CP195" s="1325"/>
      <c r="CQ195" s="263"/>
      <c r="CR195" s="1048" t="str">
        <f>IF(OR(CharacterLevel="",Spellcasting!CG$40=""),"",VLOOKUP(Spellcasting!CG$40,Tables!$TK:$UB,Tables!$TT$1,FALSE))</f>
        <v/>
      </c>
      <c r="CS195" s="1048"/>
      <c r="CT195" s="1048"/>
      <c r="CU195" s="1048"/>
      <c r="CV195" s="1048"/>
      <c r="CW195" s="263"/>
      <c r="CX195" s="1048" t="str">
        <f>IF(OR(CharacterLevel="",Spellcasting!CG$40=""),"",VLOOKUP(Spellcasting!CG$40,Tables!$TK:$UB,Tables!$TU$1,FALSE))</f>
        <v/>
      </c>
      <c r="CY195" s="1048"/>
      <c r="CZ195" s="1048"/>
      <c r="DA195" s="1048"/>
      <c r="DB195" s="263"/>
      <c r="DC195" s="1048" t="str">
        <f>IF(OR(CharacterLevel="",Spellcasting!CG$40=""),"",VLOOKUP(Spellcasting!CG$40,Tables!$TK:$UB,Tables!$TV$1,FALSE))</f>
        <v/>
      </c>
      <c r="DD195" s="1048"/>
      <c r="DE195" s="1048"/>
      <c r="DF195" s="1048"/>
      <c r="DG195" s="1048"/>
      <c r="DH195" s="1048"/>
      <c r="DI195" s="261"/>
      <c r="DJ195" s="1048" t="str">
        <f>IF(OR(CharacterLevel="",Spellcasting!CG$40=""),"",VLOOKUP(Spellcasting!CG$40,Tables!$TK:$UB,Tables!$TW$1,FALSE))</f>
        <v/>
      </c>
      <c r="DK195" s="1048"/>
      <c r="DL195" s="1048"/>
      <c r="DM195" s="1048"/>
      <c r="DN195" s="261"/>
      <c r="DO195" s="1048" t="str">
        <f>IF(OR(CharacterLevel="",Spellcasting!CG$40=""),"",VLOOKUP(Spellcasting!CG$40,Tables!$TK:$UB,Tables!$TZ$1,FALSE))</f>
        <v/>
      </c>
      <c r="DP195" s="1048"/>
      <c r="DQ195" s="1048"/>
      <c r="DR195" s="1048"/>
      <c r="DS195" s="261"/>
      <c r="DT195" s="1319" t="str">
        <f>IF(OR(CharacterLevel="",Spellcasting!CG$40=""),"",VLOOKUP(Spellcasting!CG$40,Tables!$TK:$UB,Tables!$UB$1,FALSE))</f>
        <v/>
      </c>
      <c r="DU195" s="1319"/>
      <c r="DV195" s="1319"/>
      <c r="DW195" s="1319"/>
      <c r="DX195" s="1319"/>
      <c r="DY195" s="1319"/>
      <c r="DZ195" s="1319"/>
      <c r="EA195" s="1319"/>
      <c r="EB195" s="1319"/>
      <c r="EC195" s="1319"/>
      <c r="ED195" s="1319"/>
      <c r="EE195" s="1319"/>
      <c r="EF195" s="1319"/>
      <c r="EG195" s="1319"/>
      <c r="EH195" s="1319"/>
      <c r="EI195" s="1319"/>
      <c r="EJ195" s="1319"/>
      <c r="EK195" s="1319"/>
      <c r="EL195" s="1319"/>
      <c r="EM195" s="1319"/>
      <c r="EN195" s="1319"/>
      <c r="EO195" s="1319"/>
      <c r="EP195" s="1319"/>
      <c r="EQ195" s="1319"/>
      <c r="ER195" s="1319"/>
    </row>
    <row r="196" spans="1:149" ht="9.75" customHeight="1" x14ac:dyDescent="0.2">
      <c r="A196" s="5"/>
      <c r="B196" s="1389" t="str">
        <f>IF(CharacterLevel="",'Character Sheet III'!$CF$202,IF(Spellcasting!BQ22="•",'Character Sheet III'!$BX$202,'Character Sheet III'!$CF$202))</f>
        <v>□</v>
      </c>
      <c r="C196" s="1389"/>
      <c r="D196" s="1389"/>
      <c r="E196" s="1325" t="str">
        <f>IF(OR(CharacterLevel="",Spellcasting!BS$22=""),"",VLOOKUP(Spellcasting!BS$22,Tables!$TK:$UB,Tables!$TN$1,FALSE))</f>
        <v/>
      </c>
      <c r="F196" s="1325"/>
      <c r="G196" s="1325"/>
      <c r="H196" s="1325"/>
      <c r="I196" s="1325"/>
      <c r="J196" s="1325"/>
      <c r="K196" s="1325"/>
      <c r="L196" s="1325"/>
      <c r="M196" s="1325"/>
      <c r="N196" s="1325"/>
      <c r="O196" s="1325"/>
      <c r="P196" s="1325"/>
      <c r="Q196" s="1325"/>
      <c r="R196" s="1325"/>
      <c r="S196" s="1325"/>
      <c r="T196" s="1325"/>
      <c r="U196" s="263"/>
      <c r="V196" s="1048" t="str">
        <f>IF(OR(CharacterLevel="",Spellcasting!BS$22=""),"",VLOOKUP(Spellcasting!BS$22,Tables!$TK:$UB,Tables!$TT$1,FALSE))</f>
        <v/>
      </c>
      <c r="W196" s="1048"/>
      <c r="X196" s="1048"/>
      <c r="Y196" s="1048"/>
      <c r="Z196" s="1048"/>
      <c r="AA196" s="263"/>
      <c r="AB196" s="1048" t="str">
        <f>IF(OR(CharacterLevel="",Spellcasting!BS$22=""),"",VLOOKUP(Spellcasting!BS$22,Tables!$TK:$UB,Tables!$TU$1,FALSE))</f>
        <v/>
      </c>
      <c r="AC196" s="1048"/>
      <c r="AD196" s="1048"/>
      <c r="AE196" s="1048"/>
      <c r="AF196" s="263"/>
      <c r="AG196" s="1048" t="str">
        <f>IF(OR(CharacterLevel="",Spellcasting!BS$22=""),"",VLOOKUP(Spellcasting!BS$22,Tables!$TK:$UB,Tables!$TV$1,FALSE))</f>
        <v/>
      </c>
      <c r="AH196" s="1048"/>
      <c r="AI196" s="1048"/>
      <c r="AJ196" s="1048"/>
      <c r="AK196" s="1048"/>
      <c r="AL196" s="1048"/>
      <c r="AM196" s="261"/>
      <c r="AN196" s="857" t="str">
        <f>IF(OR(CharacterLevel="",Spellcasting!BS$22=""),"",VLOOKUP(Spellcasting!BS$22,Tables!$TK:$UB,Tables!$TW$1,FALSE))</f>
        <v/>
      </c>
      <c r="AO196" s="857"/>
      <c r="AP196" s="857"/>
      <c r="AQ196" s="857"/>
      <c r="AR196" s="261"/>
      <c r="AS196" s="1048" t="str">
        <f>IF(OR(CharacterLevel="",Spellcasting!BS$22=""),"",VLOOKUP(Spellcasting!BS$22,Tables!$TK:$UB,Tables!$TZ$1,FALSE))</f>
        <v/>
      </c>
      <c r="AT196" s="1048"/>
      <c r="AU196" s="1048"/>
      <c r="AV196" s="1048"/>
      <c r="AW196" s="261"/>
      <c r="AX196" s="1319" t="str">
        <f>IF(OR(CharacterLevel="",Spellcasting!BS$22=""),"",VLOOKUP(Spellcasting!BS$22,Tables!$TK:$UB,Tables!$UB$1,FALSE))</f>
        <v/>
      </c>
      <c r="AY196" s="1319"/>
      <c r="AZ196" s="1319"/>
      <c r="BA196" s="1319"/>
      <c r="BB196" s="1319"/>
      <c r="BC196" s="1319"/>
      <c r="BD196" s="1319"/>
      <c r="BE196" s="1319"/>
      <c r="BF196" s="1319"/>
      <c r="BG196" s="1319"/>
      <c r="BH196" s="1319"/>
      <c r="BI196" s="1319"/>
      <c r="BJ196" s="1319"/>
      <c r="BK196" s="1319"/>
      <c r="BL196" s="1319"/>
      <c r="BM196" s="1319"/>
      <c r="BN196" s="1319"/>
      <c r="BO196" s="1319"/>
      <c r="BP196" s="1319"/>
      <c r="BQ196" s="1319"/>
      <c r="BR196" s="1319"/>
      <c r="BS196" s="1319"/>
      <c r="BT196" s="1319"/>
      <c r="BU196" s="1319"/>
      <c r="BV196" s="1319"/>
      <c r="BW196" s="174"/>
      <c r="BX196" s="1324"/>
      <c r="BY196" s="1324"/>
      <c r="BZ196" s="1324"/>
      <c r="CA196" s="1325"/>
      <c r="CB196" s="1325"/>
      <c r="CC196" s="1325"/>
      <c r="CD196" s="1325"/>
      <c r="CE196" s="1325"/>
      <c r="CF196" s="1325"/>
      <c r="CG196" s="1325"/>
      <c r="CH196" s="1325"/>
      <c r="CI196" s="1325"/>
      <c r="CJ196" s="1325"/>
      <c r="CK196" s="1325"/>
      <c r="CL196" s="1325"/>
      <c r="CM196" s="1325"/>
      <c r="CN196" s="1325"/>
      <c r="CO196" s="1325"/>
      <c r="CP196" s="1325"/>
      <c r="CQ196" s="263"/>
      <c r="CR196" s="1321"/>
      <c r="CS196" s="1321"/>
      <c r="CT196" s="1321"/>
      <c r="CU196" s="1321"/>
      <c r="CV196" s="1321"/>
      <c r="CW196" s="5"/>
      <c r="CX196" s="1321"/>
      <c r="CY196" s="1321"/>
      <c r="CZ196" s="1321"/>
      <c r="DA196" s="1321"/>
      <c r="DB196" s="5"/>
      <c r="DC196" s="1321"/>
      <c r="DD196" s="1321"/>
      <c r="DE196" s="1321"/>
      <c r="DF196" s="1321"/>
      <c r="DG196" s="1321"/>
      <c r="DH196" s="1321"/>
      <c r="DI196" s="5"/>
      <c r="DJ196" s="1321"/>
      <c r="DK196" s="1321"/>
      <c r="DL196" s="1321"/>
      <c r="DM196" s="1321"/>
      <c r="DN196" s="5"/>
      <c r="DO196" s="1321"/>
      <c r="DP196" s="1321"/>
      <c r="DQ196" s="1321"/>
      <c r="DR196" s="1321"/>
      <c r="DS196" s="5"/>
      <c r="DT196" s="1320"/>
      <c r="DU196" s="1320"/>
      <c r="DV196" s="1320"/>
      <c r="DW196" s="1320"/>
      <c r="DX196" s="1320"/>
      <c r="DY196" s="1320"/>
      <c r="DZ196" s="1320"/>
      <c r="EA196" s="1320"/>
      <c r="EB196" s="1320"/>
      <c r="EC196" s="1320"/>
      <c r="ED196" s="1320"/>
      <c r="EE196" s="1320"/>
      <c r="EF196" s="1320"/>
      <c r="EG196" s="1320"/>
      <c r="EH196" s="1320"/>
      <c r="EI196" s="1320"/>
      <c r="EJ196" s="1320"/>
      <c r="EK196" s="1320"/>
      <c r="EL196" s="1320"/>
      <c r="EM196" s="1320"/>
      <c r="EN196" s="1320"/>
      <c r="EO196" s="1320"/>
      <c r="EP196" s="1320"/>
      <c r="EQ196" s="1320"/>
      <c r="ER196" s="1320"/>
    </row>
    <row r="197" spans="1:149" ht="9.75" customHeight="1" x14ac:dyDescent="0.2">
      <c r="A197" s="5"/>
      <c r="B197" s="1389"/>
      <c r="C197" s="1389"/>
      <c r="D197" s="1389"/>
      <c r="E197" s="1325" t="str">
        <f>IF(OR(CharacterLevel="",Spellcasting!AQ129=""),"",VLOOKUP(Spellcasting!AQ129,Tables!TK:UB,Tables!$TN$1,FALSE))</f>
        <v/>
      </c>
      <c r="F197" s="1325"/>
      <c r="G197" s="1325"/>
      <c r="H197" s="1325"/>
      <c r="I197" s="1325"/>
      <c r="J197" s="1325"/>
      <c r="K197" s="1325"/>
      <c r="L197" s="1325"/>
      <c r="M197" s="1325"/>
      <c r="N197" s="1325"/>
      <c r="O197" s="1325"/>
      <c r="P197" s="1325"/>
      <c r="Q197" s="1325"/>
      <c r="R197" s="1325"/>
      <c r="S197" s="1325"/>
      <c r="T197" s="1325"/>
      <c r="U197" s="263"/>
      <c r="V197" s="1321"/>
      <c r="W197" s="1321"/>
      <c r="X197" s="1321"/>
      <c r="Y197" s="1321"/>
      <c r="Z197" s="1321"/>
      <c r="AA197" s="263"/>
      <c r="AB197" s="1321"/>
      <c r="AC197" s="1321"/>
      <c r="AD197" s="1321"/>
      <c r="AE197" s="1321"/>
      <c r="AF197" s="263"/>
      <c r="AG197" s="1321"/>
      <c r="AH197" s="1321"/>
      <c r="AI197" s="1321"/>
      <c r="AJ197" s="1321"/>
      <c r="AK197" s="1321"/>
      <c r="AL197" s="1321"/>
      <c r="AM197" s="263"/>
      <c r="AN197" s="1326"/>
      <c r="AO197" s="1326"/>
      <c r="AP197" s="1326"/>
      <c r="AQ197" s="1326"/>
      <c r="AR197" s="263"/>
      <c r="AS197" s="1321"/>
      <c r="AT197" s="1321"/>
      <c r="AU197" s="1321"/>
      <c r="AV197" s="1321"/>
      <c r="AW197" s="263"/>
      <c r="AX197" s="1320"/>
      <c r="AY197" s="1320"/>
      <c r="AZ197" s="1320"/>
      <c r="BA197" s="1320"/>
      <c r="BB197" s="1320"/>
      <c r="BC197" s="1320"/>
      <c r="BD197" s="1320"/>
      <c r="BE197" s="1320"/>
      <c r="BF197" s="1320"/>
      <c r="BG197" s="1320"/>
      <c r="BH197" s="1320"/>
      <c r="BI197" s="1320"/>
      <c r="BJ197" s="1320"/>
      <c r="BK197" s="1320"/>
      <c r="BL197" s="1320"/>
      <c r="BM197" s="1320"/>
      <c r="BN197" s="1320"/>
      <c r="BO197" s="1320"/>
      <c r="BP197" s="1320"/>
      <c r="BQ197" s="1320"/>
      <c r="BR197" s="1320"/>
      <c r="BS197" s="1320"/>
      <c r="BT197" s="1320"/>
      <c r="BU197" s="1320"/>
      <c r="BV197" s="1320"/>
      <c r="BW197" s="174"/>
      <c r="BX197" s="1324" t="str">
        <f>IF(CharacterLevel="",'Character Sheet III'!$CF$202,IF(Spellcasting!CE41="•",'Character Sheet III'!$BX$202,'Character Sheet III'!$CF$202))</f>
        <v>□</v>
      </c>
      <c r="BY197" s="1324"/>
      <c r="BZ197" s="1324"/>
      <c r="CA197" s="1325" t="str">
        <f>IF(OR(CharacterLevel="",Spellcasting!CG$41=""),"",VLOOKUP(Spellcasting!CG$41,Tables!$TK:$UB,Tables!$TN$1,FALSE))</f>
        <v/>
      </c>
      <c r="CB197" s="1325"/>
      <c r="CC197" s="1325"/>
      <c r="CD197" s="1325"/>
      <c r="CE197" s="1325"/>
      <c r="CF197" s="1325"/>
      <c r="CG197" s="1325"/>
      <c r="CH197" s="1325"/>
      <c r="CI197" s="1325"/>
      <c r="CJ197" s="1325"/>
      <c r="CK197" s="1325"/>
      <c r="CL197" s="1325"/>
      <c r="CM197" s="1325"/>
      <c r="CN197" s="1325"/>
      <c r="CO197" s="1325"/>
      <c r="CP197" s="1325"/>
      <c r="CQ197" s="263"/>
      <c r="CR197" s="1048" t="str">
        <f>IF(OR(CharacterLevel="",Spellcasting!CG$41=""),"",VLOOKUP(Spellcasting!CG$41,Tables!$TK:$UB,Tables!$TT$1,FALSE))</f>
        <v/>
      </c>
      <c r="CS197" s="1048"/>
      <c r="CT197" s="1048"/>
      <c r="CU197" s="1048"/>
      <c r="CV197" s="1048"/>
      <c r="CW197" s="263"/>
      <c r="CX197" s="1048" t="str">
        <f>IF(OR(CharacterLevel="",Spellcasting!CG$41=""),"",VLOOKUP(Spellcasting!CG$41,Tables!$TK:$UB,Tables!$TU$1,FALSE))</f>
        <v/>
      </c>
      <c r="CY197" s="1048"/>
      <c r="CZ197" s="1048"/>
      <c r="DA197" s="1048"/>
      <c r="DB197" s="263"/>
      <c r="DC197" s="1048" t="str">
        <f>IF(OR(CharacterLevel="",Spellcasting!CG$41=""),"",VLOOKUP(Spellcasting!CG$41,Tables!$TK:$UB,Tables!$TV$1,FALSE))</f>
        <v/>
      </c>
      <c r="DD197" s="1048"/>
      <c r="DE197" s="1048"/>
      <c r="DF197" s="1048"/>
      <c r="DG197" s="1048"/>
      <c r="DH197" s="1048"/>
      <c r="DI197" s="261"/>
      <c r="DJ197" s="1048" t="str">
        <f>IF(OR(CharacterLevel="",Spellcasting!CG$41=""),"",VLOOKUP(Spellcasting!CG$41,Tables!$TK:$UB,Tables!$TW$1,FALSE))</f>
        <v/>
      </c>
      <c r="DK197" s="1048"/>
      <c r="DL197" s="1048"/>
      <c r="DM197" s="1048"/>
      <c r="DN197" s="261"/>
      <c r="DO197" s="1048" t="str">
        <f>IF(OR(CharacterLevel="",Spellcasting!CG$41=""),"",VLOOKUP(Spellcasting!CG$41,Tables!$TK:$UB,Tables!$TZ$1,FALSE))</f>
        <v/>
      </c>
      <c r="DP197" s="1048"/>
      <c r="DQ197" s="1048"/>
      <c r="DR197" s="1048"/>
      <c r="DS197" s="261"/>
      <c r="DT197" s="1319" t="str">
        <f>IF(OR(CharacterLevel="",Spellcasting!CG$41=""),"",VLOOKUP(Spellcasting!CG$41,Tables!$TK:$UB,Tables!$UB$1,FALSE))</f>
        <v/>
      </c>
      <c r="DU197" s="1319"/>
      <c r="DV197" s="1319"/>
      <c r="DW197" s="1319"/>
      <c r="DX197" s="1319"/>
      <c r="DY197" s="1319"/>
      <c r="DZ197" s="1319"/>
      <c r="EA197" s="1319"/>
      <c r="EB197" s="1319"/>
      <c r="EC197" s="1319"/>
      <c r="ED197" s="1319"/>
      <c r="EE197" s="1319"/>
      <c r="EF197" s="1319"/>
      <c r="EG197" s="1319"/>
      <c r="EH197" s="1319"/>
      <c r="EI197" s="1319"/>
      <c r="EJ197" s="1319"/>
      <c r="EK197" s="1319"/>
      <c r="EL197" s="1319"/>
      <c r="EM197" s="1319"/>
      <c r="EN197" s="1319"/>
      <c r="EO197" s="1319"/>
      <c r="EP197" s="1319"/>
      <c r="EQ197" s="1319"/>
      <c r="ER197" s="1319"/>
    </row>
    <row r="198" spans="1:149" ht="9.75" customHeight="1" x14ac:dyDescent="0.2">
      <c r="A198" s="5"/>
      <c r="B198" s="1389" t="str">
        <f>IF(CharacterLevel="",'Character Sheet III'!$CF$202,IF(Spellcasting!BQ23="•",'Character Sheet III'!$BX$202,'Character Sheet III'!$CF$202))</f>
        <v>□</v>
      </c>
      <c r="C198" s="1389"/>
      <c r="D198" s="1389"/>
      <c r="E198" s="1325" t="str">
        <f>IF(OR(CharacterLevel="",Spellcasting!BS$23=""),"",VLOOKUP(Spellcasting!BS$23,Tables!$TK:$UB,Tables!$TN$1,FALSE))</f>
        <v/>
      </c>
      <c r="F198" s="1325"/>
      <c r="G198" s="1325"/>
      <c r="H198" s="1325"/>
      <c r="I198" s="1325"/>
      <c r="J198" s="1325"/>
      <c r="K198" s="1325"/>
      <c r="L198" s="1325"/>
      <c r="M198" s="1325"/>
      <c r="N198" s="1325"/>
      <c r="O198" s="1325"/>
      <c r="P198" s="1325"/>
      <c r="Q198" s="1325"/>
      <c r="R198" s="1325"/>
      <c r="S198" s="1325"/>
      <c r="T198" s="1325"/>
      <c r="U198" s="263"/>
      <c r="V198" s="1048" t="str">
        <f>IF(OR(CharacterLevel="",Spellcasting!BS$23=""),"",VLOOKUP(Spellcasting!BS$23,Tables!$TK:$UB,Tables!$TT$1,FALSE))</f>
        <v/>
      </c>
      <c r="W198" s="1048"/>
      <c r="X198" s="1048"/>
      <c r="Y198" s="1048"/>
      <c r="Z198" s="1048"/>
      <c r="AA198" s="263"/>
      <c r="AB198" s="1048" t="str">
        <f>IF(OR(CharacterLevel="",Spellcasting!BS$23=""),"",VLOOKUP(Spellcasting!BS$23,Tables!$TK:$UB,Tables!$TU$1,FALSE))</f>
        <v/>
      </c>
      <c r="AC198" s="1048"/>
      <c r="AD198" s="1048"/>
      <c r="AE198" s="1048"/>
      <c r="AF198" s="263"/>
      <c r="AG198" s="1048" t="str">
        <f>IF(OR(CharacterLevel="",Spellcasting!BS$23=""),"",VLOOKUP(Spellcasting!BS$23,Tables!$TK:$UB,Tables!$TV$1,FALSE))</f>
        <v/>
      </c>
      <c r="AH198" s="1048"/>
      <c r="AI198" s="1048"/>
      <c r="AJ198" s="1048"/>
      <c r="AK198" s="1048"/>
      <c r="AL198" s="1048"/>
      <c r="AM198" s="261"/>
      <c r="AN198" s="857" t="str">
        <f>IF(OR(CharacterLevel="",Spellcasting!BS$23=""),"",VLOOKUP(Spellcasting!BS$23,Tables!$TK:$UB,Tables!$TW$1,FALSE))</f>
        <v/>
      </c>
      <c r="AO198" s="857"/>
      <c r="AP198" s="857"/>
      <c r="AQ198" s="857"/>
      <c r="AR198" s="261"/>
      <c r="AS198" s="1048" t="str">
        <f>IF(OR(CharacterLevel="",Spellcasting!BS$23=""),"",VLOOKUP(Spellcasting!BS$23,Tables!$TK:$UB,Tables!$TZ$1,FALSE))</f>
        <v/>
      </c>
      <c r="AT198" s="1048"/>
      <c r="AU198" s="1048"/>
      <c r="AV198" s="1048"/>
      <c r="AW198" s="261"/>
      <c r="AX198" s="1319" t="str">
        <f>IF(OR(CharacterLevel="",Spellcasting!BS$23=""),"",VLOOKUP(Spellcasting!BS$23,Tables!$TK:$UB,Tables!$UB$1,FALSE))</f>
        <v/>
      </c>
      <c r="AY198" s="1319"/>
      <c r="AZ198" s="1319"/>
      <c r="BA198" s="1319"/>
      <c r="BB198" s="1319"/>
      <c r="BC198" s="1319"/>
      <c r="BD198" s="1319"/>
      <c r="BE198" s="1319"/>
      <c r="BF198" s="1319"/>
      <c r="BG198" s="1319"/>
      <c r="BH198" s="1319"/>
      <c r="BI198" s="1319"/>
      <c r="BJ198" s="1319"/>
      <c r="BK198" s="1319"/>
      <c r="BL198" s="1319"/>
      <c r="BM198" s="1319"/>
      <c r="BN198" s="1319"/>
      <c r="BO198" s="1319"/>
      <c r="BP198" s="1319"/>
      <c r="BQ198" s="1319"/>
      <c r="BR198" s="1319"/>
      <c r="BS198" s="1319"/>
      <c r="BT198" s="1319"/>
      <c r="BU198" s="1319"/>
      <c r="BV198" s="1319"/>
      <c r="BW198" s="174"/>
      <c r="BX198" s="1324"/>
      <c r="BY198" s="1324"/>
      <c r="BZ198" s="1324"/>
      <c r="CA198" s="1325"/>
      <c r="CB198" s="1325"/>
      <c r="CC198" s="1325"/>
      <c r="CD198" s="1325"/>
      <c r="CE198" s="1325"/>
      <c r="CF198" s="1325"/>
      <c r="CG198" s="1325"/>
      <c r="CH198" s="1325"/>
      <c r="CI198" s="1325"/>
      <c r="CJ198" s="1325"/>
      <c r="CK198" s="1325"/>
      <c r="CL198" s="1325"/>
      <c r="CM198" s="1325"/>
      <c r="CN198" s="1325"/>
      <c r="CO198" s="1325"/>
      <c r="CP198" s="1325"/>
      <c r="CQ198" s="263"/>
      <c r="CR198" s="1321"/>
      <c r="CS198" s="1321"/>
      <c r="CT198" s="1321"/>
      <c r="CU198" s="1321"/>
      <c r="CV198" s="1321"/>
      <c r="CW198" s="5"/>
      <c r="CX198" s="1321"/>
      <c r="CY198" s="1321"/>
      <c r="CZ198" s="1321"/>
      <c r="DA198" s="1321"/>
      <c r="DB198" s="5"/>
      <c r="DC198" s="1321"/>
      <c r="DD198" s="1321"/>
      <c r="DE198" s="1321"/>
      <c r="DF198" s="1321"/>
      <c r="DG198" s="1321"/>
      <c r="DH198" s="1321"/>
      <c r="DI198" s="5"/>
      <c r="DJ198" s="1321"/>
      <c r="DK198" s="1321"/>
      <c r="DL198" s="1321"/>
      <c r="DM198" s="1321"/>
      <c r="DN198" s="5"/>
      <c r="DO198" s="1321"/>
      <c r="DP198" s="1321"/>
      <c r="DQ198" s="1321"/>
      <c r="DR198" s="1321"/>
      <c r="DS198" s="5"/>
      <c r="DT198" s="1320"/>
      <c r="DU198" s="1320"/>
      <c r="DV198" s="1320"/>
      <c r="DW198" s="1320"/>
      <c r="DX198" s="1320"/>
      <c r="DY198" s="1320"/>
      <c r="DZ198" s="1320"/>
      <c r="EA198" s="1320"/>
      <c r="EB198" s="1320"/>
      <c r="EC198" s="1320"/>
      <c r="ED198" s="1320"/>
      <c r="EE198" s="1320"/>
      <c r="EF198" s="1320"/>
      <c r="EG198" s="1320"/>
      <c r="EH198" s="1320"/>
      <c r="EI198" s="1320"/>
      <c r="EJ198" s="1320"/>
      <c r="EK198" s="1320"/>
      <c r="EL198" s="1320"/>
      <c r="EM198" s="1320"/>
      <c r="EN198" s="1320"/>
      <c r="EO198" s="1320"/>
      <c r="EP198" s="1320"/>
      <c r="EQ198" s="1320"/>
      <c r="ER198" s="1320"/>
    </row>
    <row r="199" spans="1:149" ht="9.75" customHeight="1" x14ac:dyDescent="0.2">
      <c r="A199" s="5"/>
      <c r="B199" s="1389"/>
      <c r="C199" s="1389"/>
      <c r="D199" s="1389"/>
      <c r="E199" s="1325" t="str">
        <f>IF(OR(CharacterLevel="",Spellcasting!AQ131=""),"",VLOOKUP(Spellcasting!AQ131,Tables!TK:UB,Tables!$TN$1,FALSE))</f>
        <v/>
      </c>
      <c r="F199" s="1325"/>
      <c r="G199" s="1325"/>
      <c r="H199" s="1325"/>
      <c r="I199" s="1325"/>
      <c r="J199" s="1325"/>
      <c r="K199" s="1325"/>
      <c r="L199" s="1325"/>
      <c r="M199" s="1325"/>
      <c r="N199" s="1325"/>
      <c r="O199" s="1325"/>
      <c r="P199" s="1325"/>
      <c r="Q199" s="1325"/>
      <c r="R199" s="1325"/>
      <c r="S199" s="1325"/>
      <c r="T199" s="1325"/>
      <c r="U199" s="263"/>
      <c r="V199" s="1321"/>
      <c r="W199" s="1321"/>
      <c r="X199" s="1321"/>
      <c r="Y199" s="1321"/>
      <c r="Z199" s="1321"/>
      <c r="AA199" s="263"/>
      <c r="AB199" s="1321"/>
      <c r="AC199" s="1321"/>
      <c r="AD199" s="1321"/>
      <c r="AE199" s="1321"/>
      <c r="AF199" s="263"/>
      <c r="AG199" s="1321"/>
      <c r="AH199" s="1321"/>
      <c r="AI199" s="1321"/>
      <c r="AJ199" s="1321"/>
      <c r="AK199" s="1321"/>
      <c r="AL199" s="1321"/>
      <c r="AM199" s="263"/>
      <c r="AN199" s="1326"/>
      <c r="AO199" s="1326"/>
      <c r="AP199" s="1326"/>
      <c r="AQ199" s="1326"/>
      <c r="AR199" s="263"/>
      <c r="AS199" s="1321"/>
      <c r="AT199" s="1321"/>
      <c r="AU199" s="1321"/>
      <c r="AV199" s="1321"/>
      <c r="AW199" s="263"/>
      <c r="AX199" s="1320"/>
      <c r="AY199" s="1320"/>
      <c r="AZ199" s="1320"/>
      <c r="BA199" s="1320"/>
      <c r="BB199" s="1320"/>
      <c r="BC199" s="1320"/>
      <c r="BD199" s="1320"/>
      <c r="BE199" s="1320"/>
      <c r="BF199" s="1320"/>
      <c r="BG199" s="1320"/>
      <c r="BH199" s="1320"/>
      <c r="BI199" s="1320"/>
      <c r="BJ199" s="1320"/>
      <c r="BK199" s="1320"/>
      <c r="BL199" s="1320"/>
      <c r="BM199" s="1320"/>
      <c r="BN199" s="1320"/>
      <c r="BO199" s="1320"/>
      <c r="BP199" s="1320"/>
      <c r="BQ199" s="1320"/>
      <c r="BR199" s="1320"/>
      <c r="BS199" s="1320"/>
      <c r="BT199" s="1320"/>
      <c r="BU199" s="1320"/>
      <c r="BV199" s="1320"/>
      <c r="BW199" s="174"/>
      <c r="BX199" s="1324" t="str">
        <f>IF(CharacterLevel="",'Character Sheet III'!$CF$202,IF(Spellcasting!CE42="•",'Character Sheet III'!$BX$202,'Character Sheet III'!$CF$202))</f>
        <v>□</v>
      </c>
      <c r="BY199" s="1324"/>
      <c r="BZ199" s="1324"/>
      <c r="CA199" s="1325" t="str">
        <f>IF(OR(CharacterLevel="",Spellcasting!CG$42=""),"",VLOOKUP(Spellcasting!CG$42,Tables!$TK:$UB,Tables!$TN$1,FALSE))</f>
        <v/>
      </c>
      <c r="CB199" s="1325"/>
      <c r="CC199" s="1325"/>
      <c r="CD199" s="1325"/>
      <c r="CE199" s="1325"/>
      <c r="CF199" s="1325"/>
      <c r="CG199" s="1325"/>
      <c r="CH199" s="1325"/>
      <c r="CI199" s="1325"/>
      <c r="CJ199" s="1325"/>
      <c r="CK199" s="1325"/>
      <c r="CL199" s="1325"/>
      <c r="CM199" s="1325"/>
      <c r="CN199" s="1325"/>
      <c r="CO199" s="1325"/>
      <c r="CP199" s="1325"/>
      <c r="CQ199" s="263"/>
      <c r="CR199" s="1048" t="str">
        <f>IF(OR(CharacterLevel="",Spellcasting!CG$42=""),"",VLOOKUP(Spellcasting!CG$42,Tables!$TK:$UB,Tables!$TT$1,FALSE))</f>
        <v/>
      </c>
      <c r="CS199" s="1048"/>
      <c r="CT199" s="1048"/>
      <c r="CU199" s="1048"/>
      <c r="CV199" s="1048"/>
      <c r="CW199" s="263"/>
      <c r="CX199" s="1048" t="str">
        <f>IF(OR(CharacterLevel="",Spellcasting!CG$42=""),"",VLOOKUP(Spellcasting!CG$42,Tables!$TK:$UB,Tables!$TU$1,FALSE))</f>
        <v/>
      </c>
      <c r="CY199" s="1048"/>
      <c r="CZ199" s="1048"/>
      <c r="DA199" s="1048"/>
      <c r="DB199" s="263"/>
      <c r="DC199" s="1048" t="str">
        <f>IF(OR(CharacterLevel="",Spellcasting!CG$42=""),"",VLOOKUP(Spellcasting!CG$42,Tables!$TK:$UB,Tables!$TV$1,FALSE))</f>
        <v/>
      </c>
      <c r="DD199" s="1048"/>
      <c r="DE199" s="1048"/>
      <c r="DF199" s="1048"/>
      <c r="DG199" s="1048"/>
      <c r="DH199" s="1048"/>
      <c r="DI199" s="261"/>
      <c r="DJ199" s="1048" t="str">
        <f>IF(OR(CharacterLevel="",Spellcasting!CG$42=""),"",VLOOKUP(Spellcasting!CG$42,Tables!$TK:$UB,Tables!$TW$1,FALSE))</f>
        <v/>
      </c>
      <c r="DK199" s="1048"/>
      <c r="DL199" s="1048"/>
      <c r="DM199" s="1048"/>
      <c r="DN199" s="261"/>
      <c r="DO199" s="1048" t="str">
        <f>IF(OR(CharacterLevel="",Spellcasting!CG$42=""),"",VLOOKUP(Spellcasting!CG$42,Tables!$TK:$UB,Tables!$TZ$1,FALSE))</f>
        <v/>
      </c>
      <c r="DP199" s="1048"/>
      <c r="DQ199" s="1048"/>
      <c r="DR199" s="1048"/>
      <c r="DS199" s="261"/>
      <c r="DT199" s="1319" t="str">
        <f>IF(OR(CharacterLevel="",Spellcasting!CG$42=""),"",VLOOKUP(Spellcasting!CG$42,Tables!$TK:$UB,Tables!$UB$1,FALSE))</f>
        <v/>
      </c>
      <c r="DU199" s="1319"/>
      <c r="DV199" s="1319"/>
      <c r="DW199" s="1319"/>
      <c r="DX199" s="1319"/>
      <c r="DY199" s="1319"/>
      <c r="DZ199" s="1319"/>
      <c r="EA199" s="1319"/>
      <c r="EB199" s="1319"/>
      <c r="EC199" s="1319"/>
      <c r="ED199" s="1319"/>
      <c r="EE199" s="1319"/>
      <c r="EF199" s="1319"/>
      <c r="EG199" s="1319"/>
      <c r="EH199" s="1319"/>
      <c r="EI199" s="1319"/>
      <c r="EJ199" s="1319"/>
      <c r="EK199" s="1319"/>
      <c r="EL199" s="1319"/>
      <c r="EM199" s="1319"/>
      <c r="EN199" s="1319"/>
      <c r="EO199" s="1319"/>
      <c r="EP199" s="1319"/>
      <c r="EQ199" s="1319"/>
      <c r="ER199" s="1319"/>
    </row>
    <row r="200" spans="1:149" ht="9.75" customHeight="1" x14ac:dyDescent="0.2">
      <c r="A200" s="5"/>
      <c r="B200" s="1389" t="str">
        <f>IF(CharacterLevel="",'Character Sheet III'!$CF$202,IF(Spellcasting!BQ24="•",'Character Sheet III'!$BX$202,'Character Sheet III'!$CF$202))</f>
        <v>□</v>
      </c>
      <c r="C200" s="1389"/>
      <c r="D200" s="1389"/>
      <c r="E200" s="1325" t="str">
        <f>IF(OR(CharacterLevel="",Spellcasting!BS$24=""),"",VLOOKUP(Spellcasting!BS$24,Tables!$TK:$UB,Tables!$TN$1,FALSE))</f>
        <v/>
      </c>
      <c r="F200" s="1325"/>
      <c r="G200" s="1325"/>
      <c r="H200" s="1325"/>
      <c r="I200" s="1325"/>
      <c r="J200" s="1325"/>
      <c r="K200" s="1325"/>
      <c r="L200" s="1325"/>
      <c r="M200" s="1325"/>
      <c r="N200" s="1325"/>
      <c r="O200" s="1325"/>
      <c r="P200" s="1325"/>
      <c r="Q200" s="1325"/>
      <c r="R200" s="1325"/>
      <c r="S200" s="1325"/>
      <c r="T200" s="1325"/>
      <c r="U200" s="263"/>
      <c r="V200" s="1048" t="str">
        <f>IF(OR(CharacterLevel="",Spellcasting!BS$24=""),"",VLOOKUP(Spellcasting!BS$24,Tables!$TK:$UB,Tables!$TT$1,FALSE))</f>
        <v/>
      </c>
      <c r="W200" s="1048"/>
      <c r="X200" s="1048"/>
      <c r="Y200" s="1048"/>
      <c r="Z200" s="1048"/>
      <c r="AA200" s="263"/>
      <c r="AB200" s="1048" t="str">
        <f>IF(OR(CharacterLevel="",Spellcasting!BS$24=""),"",VLOOKUP(Spellcasting!BS$24,Tables!$TK:$UB,Tables!$TU$1,FALSE))</f>
        <v/>
      </c>
      <c r="AC200" s="1048"/>
      <c r="AD200" s="1048"/>
      <c r="AE200" s="1048"/>
      <c r="AF200" s="263"/>
      <c r="AG200" s="1048" t="str">
        <f>IF(OR(CharacterLevel="",Spellcasting!BS$24=""),"",VLOOKUP(Spellcasting!BS$24,Tables!$TK:$UB,Tables!$TV$1,FALSE))</f>
        <v/>
      </c>
      <c r="AH200" s="1048"/>
      <c r="AI200" s="1048"/>
      <c r="AJ200" s="1048"/>
      <c r="AK200" s="1048"/>
      <c r="AL200" s="1048"/>
      <c r="AM200" s="261"/>
      <c r="AN200" s="857" t="str">
        <f>IF(OR(CharacterLevel="",Spellcasting!BS$24=""),"",VLOOKUP(Spellcasting!BS$24,Tables!$TK:$UB,Tables!$TW$1,FALSE))</f>
        <v/>
      </c>
      <c r="AO200" s="857"/>
      <c r="AP200" s="857"/>
      <c r="AQ200" s="857"/>
      <c r="AR200" s="261"/>
      <c r="AS200" s="1048" t="str">
        <f>IF(OR(CharacterLevel="",Spellcasting!BS$24=""),"",VLOOKUP(Spellcasting!BS$24,Tables!$TK:$UB,Tables!$TZ$1,FALSE))</f>
        <v/>
      </c>
      <c r="AT200" s="1048"/>
      <c r="AU200" s="1048"/>
      <c r="AV200" s="1048"/>
      <c r="AW200" s="261"/>
      <c r="AX200" s="1319" t="str">
        <f>IF(OR(CharacterLevel="",Spellcasting!BS$24=""),"",VLOOKUP(Spellcasting!BS$24,Tables!$TK:$UB,Tables!$UB$1,FALSE))</f>
        <v/>
      </c>
      <c r="AY200" s="1319"/>
      <c r="AZ200" s="1319"/>
      <c r="BA200" s="1319"/>
      <c r="BB200" s="1319"/>
      <c r="BC200" s="1319"/>
      <c r="BD200" s="1319"/>
      <c r="BE200" s="1319"/>
      <c r="BF200" s="1319"/>
      <c r="BG200" s="1319"/>
      <c r="BH200" s="1319"/>
      <c r="BI200" s="1319"/>
      <c r="BJ200" s="1319"/>
      <c r="BK200" s="1319"/>
      <c r="BL200" s="1319"/>
      <c r="BM200" s="1319"/>
      <c r="BN200" s="1319"/>
      <c r="BO200" s="1319"/>
      <c r="BP200" s="1319"/>
      <c r="BQ200" s="1319"/>
      <c r="BR200" s="1319"/>
      <c r="BS200" s="1319"/>
      <c r="BT200" s="1319"/>
      <c r="BU200" s="1319"/>
      <c r="BV200" s="1319"/>
      <c r="BW200" s="174"/>
      <c r="BX200" s="1324"/>
      <c r="BY200" s="1324"/>
      <c r="BZ200" s="1324"/>
      <c r="CA200" s="1325"/>
      <c r="CB200" s="1325"/>
      <c r="CC200" s="1325"/>
      <c r="CD200" s="1325"/>
      <c r="CE200" s="1325"/>
      <c r="CF200" s="1325"/>
      <c r="CG200" s="1325"/>
      <c r="CH200" s="1325"/>
      <c r="CI200" s="1325"/>
      <c r="CJ200" s="1325"/>
      <c r="CK200" s="1325"/>
      <c r="CL200" s="1325"/>
      <c r="CM200" s="1325"/>
      <c r="CN200" s="1325"/>
      <c r="CO200" s="1325"/>
      <c r="CP200" s="1325"/>
      <c r="CQ200" s="263"/>
      <c r="CR200" s="1321"/>
      <c r="CS200" s="1321"/>
      <c r="CT200" s="1321"/>
      <c r="CU200" s="1321"/>
      <c r="CV200" s="1321"/>
      <c r="CW200" s="5"/>
      <c r="CX200" s="1321"/>
      <c r="CY200" s="1321"/>
      <c r="CZ200" s="1321"/>
      <c r="DA200" s="1321"/>
      <c r="DB200" s="5"/>
      <c r="DC200" s="1321"/>
      <c r="DD200" s="1321"/>
      <c r="DE200" s="1321"/>
      <c r="DF200" s="1321"/>
      <c r="DG200" s="1321"/>
      <c r="DH200" s="1321"/>
      <c r="DI200" s="5"/>
      <c r="DJ200" s="1321"/>
      <c r="DK200" s="1321"/>
      <c r="DL200" s="1321"/>
      <c r="DM200" s="1321"/>
      <c r="DN200" s="5"/>
      <c r="DO200" s="1321"/>
      <c r="DP200" s="1321"/>
      <c r="DQ200" s="1321"/>
      <c r="DR200" s="1321"/>
      <c r="DS200" s="5"/>
      <c r="DT200" s="1320"/>
      <c r="DU200" s="1320"/>
      <c r="DV200" s="1320"/>
      <c r="DW200" s="1320"/>
      <c r="DX200" s="1320"/>
      <c r="DY200" s="1320"/>
      <c r="DZ200" s="1320"/>
      <c r="EA200" s="1320"/>
      <c r="EB200" s="1320"/>
      <c r="EC200" s="1320"/>
      <c r="ED200" s="1320"/>
      <c r="EE200" s="1320"/>
      <c r="EF200" s="1320"/>
      <c r="EG200" s="1320"/>
      <c r="EH200" s="1320"/>
      <c r="EI200" s="1320"/>
      <c r="EJ200" s="1320"/>
      <c r="EK200" s="1320"/>
      <c r="EL200" s="1320"/>
      <c r="EM200" s="1320"/>
      <c r="EN200" s="1320"/>
      <c r="EO200" s="1320"/>
      <c r="EP200" s="1320"/>
      <c r="EQ200" s="1320"/>
      <c r="ER200" s="1320"/>
    </row>
    <row r="201" spans="1:149" ht="9.75" customHeight="1" x14ac:dyDescent="0.2">
      <c r="A201" s="5"/>
      <c r="B201" s="1389"/>
      <c r="C201" s="1389"/>
      <c r="D201" s="1389"/>
      <c r="E201" s="1325" t="e">
        <f>IF(OR(CharacterLevel="",Spellcasting!#REF!=""),"",VLOOKUP(Spellcasting!#REF!,Tables!TK:UB,Tables!$TN$1,FALSE))</f>
        <v>#REF!</v>
      </c>
      <c r="F201" s="1325"/>
      <c r="G201" s="1325"/>
      <c r="H201" s="1325"/>
      <c r="I201" s="1325"/>
      <c r="J201" s="1325"/>
      <c r="K201" s="1325"/>
      <c r="L201" s="1325"/>
      <c r="M201" s="1325"/>
      <c r="N201" s="1325"/>
      <c r="O201" s="1325"/>
      <c r="P201" s="1325"/>
      <c r="Q201" s="1325"/>
      <c r="R201" s="1325"/>
      <c r="S201" s="1325"/>
      <c r="T201" s="1325"/>
      <c r="U201" s="263"/>
      <c r="V201" s="1321"/>
      <c r="W201" s="1321"/>
      <c r="X201" s="1321"/>
      <c r="Y201" s="1321"/>
      <c r="Z201" s="1321"/>
      <c r="AA201" s="263"/>
      <c r="AB201" s="1321"/>
      <c r="AC201" s="1321"/>
      <c r="AD201" s="1321"/>
      <c r="AE201" s="1321"/>
      <c r="AF201" s="263"/>
      <c r="AG201" s="1321"/>
      <c r="AH201" s="1321"/>
      <c r="AI201" s="1321"/>
      <c r="AJ201" s="1321"/>
      <c r="AK201" s="1321"/>
      <c r="AL201" s="1321"/>
      <c r="AM201" s="263"/>
      <c r="AN201" s="1326"/>
      <c r="AO201" s="1326"/>
      <c r="AP201" s="1326"/>
      <c r="AQ201" s="1326"/>
      <c r="AR201" s="263"/>
      <c r="AS201" s="1321"/>
      <c r="AT201" s="1321"/>
      <c r="AU201" s="1321"/>
      <c r="AV201" s="1321"/>
      <c r="AW201" s="263"/>
      <c r="AX201" s="1320"/>
      <c r="AY201" s="1320"/>
      <c r="AZ201" s="1320"/>
      <c r="BA201" s="1320"/>
      <c r="BB201" s="1320"/>
      <c r="BC201" s="1320"/>
      <c r="BD201" s="1320"/>
      <c r="BE201" s="1320"/>
      <c r="BF201" s="1320"/>
      <c r="BG201" s="1320"/>
      <c r="BH201" s="1320"/>
      <c r="BI201" s="1320"/>
      <c r="BJ201" s="1320"/>
      <c r="BK201" s="1320"/>
      <c r="BL201" s="1320"/>
      <c r="BM201" s="1320"/>
      <c r="BN201" s="1320"/>
      <c r="BO201" s="1320"/>
      <c r="BP201" s="1320"/>
      <c r="BQ201" s="1320"/>
      <c r="BR201" s="1320"/>
      <c r="BS201" s="1320"/>
      <c r="BT201" s="1320"/>
      <c r="BU201" s="1320"/>
      <c r="BV201" s="1320"/>
      <c r="BW201" s="174"/>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row>
    <row r="202" spans="1:149" ht="9.75" customHeight="1" x14ac:dyDescent="0.2">
      <c r="A202" s="5"/>
      <c r="B202" s="1389" t="str">
        <f>IF(CharacterLevel="",'Character Sheet III'!$CF$202,IF(Spellcasting!BQ25="•",'Character Sheet III'!$BX$202,'Character Sheet III'!$CF$202))</f>
        <v>□</v>
      </c>
      <c r="C202" s="1389"/>
      <c r="D202" s="1389"/>
      <c r="E202" s="1325" t="str">
        <f>IF(OR(CharacterLevel="",Spellcasting!BS$25=""),"",VLOOKUP(Spellcasting!BS$25,Tables!$TK:$UB,Tables!$TN$1,FALSE))</f>
        <v/>
      </c>
      <c r="F202" s="1325"/>
      <c r="G202" s="1325"/>
      <c r="H202" s="1325"/>
      <c r="I202" s="1325"/>
      <c r="J202" s="1325"/>
      <c r="K202" s="1325"/>
      <c r="L202" s="1325"/>
      <c r="M202" s="1325"/>
      <c r="N202" s="1325"/>
      <c r="O202" s="1325"/>
      <c r="P202" s="1325"/>
      <c r="Q202" s="1325"/>
      <c r="R202" s="1325"/>
      <c r="S202" s="1325"/>
      <c r="T202" s="1325"/>
      <c r="U202" s="263"/>
      <c r="V202" s="1048" t="str">
        <f>IF(OR(CharacterLevel="",Spellcasting!BS$25=""),"",VLOOKUP(Spellcasting!BS$25,Tables!$TK:$UB,Tables!$TT$1,FALSE))</f>
        <v/>
      </c>
      <c r="W202" s="1048"/>
      <c r="X202" s="1048"/>
      <c r="Y202" s="1048"/>
      <c r="Z202" s="1048"/>
      <c r="AA202" s="263"/>
      <c r="AB202" s="1048" t="str">
        <f>IF(OR(CharacterLevel="",Spellcasting!BS$25=""),"",VLOOKUP(Spellcasting!BS$25,Tables!$TK:$UB,Tables!$TU$1,FALSE))</f>
        <v/>
      </c>
      <c r="AC202" s="1048"/>
      <c r="AD202" s="1048"/>
      <c r="AE202" s="1048"/>
      <c r="AF202" s="263"/>
      <c r="AG202" s="1048" t="str">
        <f>IF(OR(CharacterLevel="",Spellcasting!BS$25=""),"",VLOOKUP(Spellcasting!BS$25,Tables!$TK:$UB,Tables!$TV$1,FALSE))</f>
        <v/>
      </c>
      <c r="AH202" s="1048"/>
      <c r="AI202" s="1048"/>
      <c r="AJ202" s="1048"/>
      <c r="AK202" s="1048"/>
      <c r="AL202" s="1048"/>
      <c r="AM202" s="261"/>
      <c r="AN202" s="857" t="str">
        <f>IF(OR(CharacterLevel="",Spellcasting!BS$25=""),"",VLOOKUP(Spellcasting!BS$25,Tables!$TK:$UB,Tables!$TW$1,FALSE))</f>
        <v/>
      </c>
      <c r="AO202" s="857"/>
      <c r="AP202" s="857"/>
      <c r="AQ202" s="857"/>
      <c r="AR202" s="261"/>
      <c r="AS202" s="1048" t="str">
        <f>IF(OR(CharacterLevel="",Spellcasting!BS$25=""),"",VLOOKUP(Spellcasting!BS$25,Tables!$TK:$UB,Tables!$TZ$1,FALSE))</f>
        <v/>
      </c>
      <c r="AT202" s="1048"/>
      <c r="AU202" s="1048"/>
      <c r="AV202" s="1048"/>
      <c r="AW202" s="261"/>
      <c r="AX202" s="1319" t="str">
        <f>IF(OR(CharacterLevel="",Spellcasting!BS$25=""),"",VLOOKUP(Spellcasting!BS$25,Tables!$TK:$UB,Tables!$UB$1,FALSE))</f>
        <v/>
      </c>
      <c r="AY202" s="1319"/>
      <c r="AZ202" s="1319"/>
      <c r="BA202" s="1319"/>
      <c r="BB202" s="1319"/>
      <c r="BC202" s="1319"/>
      <c r="BD202" s="1319"/>
      <c r="BE202" s="1319"/>
      <c r="BF202" s="1319"/>
      <c r="BG202" s="1319"/>
      <c r="BH202" s="1319"/>
      <c r="BI202" s="1319"/>
      <c r="BJ202" s="1319"/>
      <c r="BK202" s="1319"/>
      <c r="BL202" s="1319"/>
      <c r="BM202" s="1319"/>
      <c r="BN202" s="1319"/>
      <c r="BO202" s="1319"/>
      <c r="BP202" s="1319"/>
      <c r="BQ202" s="1319"/>
      <c r="BR202" s="1319"/>
      <c r="BS202" s="1319"/>
      <c r="BT202" s="1319"/>
      <c r="BU202" s="1319"/>
      <c r="BV202" s="1319"/>
      <c r="BW202" s="174"/>
      <c r="BX202" s="1324" t="s">
        <v>450</v>
      </c>
      <c r="BY202" s="1324"/>
      <c r="BZ202" s="1324"/>
      <c r="CA202" s="917" t="s">
        <v>451</v>
      </c>
      <c r="CB202" s="917"/>
      <c r="CC202" s="917"/>
      <c r="CD202" s="917"/>
      <c r="CE202" s="917"/>
      <c r="CF202" s="1324" t="s">
        <v>449</v>
      </c>
      <c r="CG202" s="1324"/>
      <c r="CH202" s="917" t="s">
        <v>458</v>
      </c>
      <c r="CI202" s="917"/>
      <c r="CJ202" s="917"/>
      <c r="CK202" s="917"/>
      <c r="CL202" s="917"/>
      <c r="CM202" s="917"/>
      <c r="CN202" s="917"/>
      <c r="CO202" s="1390" t="s">
        <v>472</v>
      </c>
      <c r="CP202" s="794" t="s">
        <v>471</v>
      </c>
      <c r="CQ202" s="794"/>
      <c r="CR202" s="794"/>
      <c r="CS202" s="544"/>
      <c r="CT202" s="1390" t="s">
        <v>473</v>
      </c>
      <c r="CU202" s="1390"/>
      <c r="CV202" s="794" t="s">
        <v>474</v>
      </c>
      <c r="CW202" s="794"/>
      <c r="CX202" s="794"/>
      <c r="CY202" s="794"/>
      <c r="CZ202" s="794"/>
      <c r="DA202" s="794"/>
      <c r="DB202" s="794"/>
      <c r="DC202" s="544"/>
      <c r="DD202" s="1390" t="s">
        <v>2342</v>
      </c>
      <c r="DE202" s="917" t="s">
        <v>2344</v>
      </c>
      <c r="DF202" s="917"/>
      <c r="DG202" s="917"/>
      <c r="DH202" s="917"/>
      <c r="DI202" s="917"/>
      <c r="DJ202" s="917"/>
      <c r="DK202" s="1322" t="s">
        <v>2990</v>
      </c>
      <c r="DL202" s="917" t="s">
        <v>2345</v>
      </c>
      <c r="DM202" s="917"/>
      <c r="DN202" s="917"/>
      <c r="DO202" s="917"/>
      <c r="DP202" s="917"/>
      <c r="DQ202" s="917"/>
      <c r="DR202" s="1322" t="s">
        <v>2993</v>
      </c>
      <c r="DS202" s="917" t="s">
        <v>2992</v>
      </c>
      <c r="DT202" s="917"/>
      <c r="DU202" s="917"/>
      <c r="DV202" s="917"/>
      <c r="DW202" s="917"/>
      <c r="DX202" s="1322" t="s">
        <v>2994</v>
      </c>
      <c r="DY202" s="1323" t="s">
        <v>2995</v>
      </c>
      <c r="DZ202" s="1323"/>
      <c r="EA202" s="1323"/>
      <c r="EB202" s="1323"/>
      <c r="EC202" s="1323"/>
      <c r="ED202" s="1323"/>
      <c r="EE202" s="1404" t="s">
        <v>3074</v>
      </c>
      <c r="EF202" s="794" t="s">
        <v>3075</v>
      </c>
      <c r="EG202" s="794"/>
      <c r="EH202" s="794"/>
      <c r="EI202" s="794"/>
      <c r="EJ202" s="1404" t="s">
        <v>3076</v>
      </c>
      <c r="EK202" s="917" t="s">
        <v>3077</v>
      </c>
      <c r="EL202" s="917"/>
      <c r="EM202" s="917"/>
      <c r="EN202" s="917"/>
      <c r="EO202" s="917"/>
    </row>
    <row r="203" spans="1:149" ht="9.75" customHeight="1" x14ac:dyDescent="0.2">
      <c r="A203" s="5"/>
      <c r="B203" s="1389"/>
      <c r="C203" s="1389"/>
      <c r="D203" s="1389"/>
      <c r="E203" s="1325"/>
      <c r="F203" s="1325"/>
      <c r="G203" s="1325"/>
      <c r="H203" s="1325"/>
      <c r="I203" s="1325"/>
      <c r="J203" s="1325"/>
      <c r="K203" s="1325"/>
      <c r="L203" s="1325"/>
      <c r="M203" s="1325"/>
      <c r="N203" s="1325"/>
      <c r="O203" s="1325"/>
      <c r="P203" s="1325"/>
      <c r="Q203" s="1325"/>
      <c r="R203" s="1325"/>
      <c r="S203" s="1325"/>
      <c r="T203" s="1325"/>
      <c r="U203" s="263"/>
      <c r="V203" s="1321"/>
      <c r="W203" s="1321"/>
      <c r="X203" s="1321"/>
      <c r="Y203" s="1321"/>
      <c r="Z203" s="1321"/>
      <c r="AA203" s="263"/>
      <c r="AB203" s="1321"/>
      <c r="AC203" s="1321"/>
      <c r="AD203" s="1321"/>
      <c r="AE203" s="1321"/>
      <c r="AF203" s="263"/>
      <c r="AG203" s="1321"/>
      <c r="AH203" s="1321"/>
      <c r="AI203" s="1321"/>
      <c r="AJ203" s="1321"/>
      <c r="AK203" s="1321"/>
      <c r="AL203" s="1321"/>
      <c r="AM203" s="263"/>
      <c r="AN203" s="1326"/>
      <c r="AO203" s="1326"/>
      <c r="AP203" s="1326"/>
      <c r="AQ203" s="1326"/>
      <c r="AR203" s="263"/>
      <c r="AS203" s="1321"/>
      <c r="AT203" s="1321"/>
      <c r="AU203" s="1321"/>
      <c r="AV203" s="1321"/>
      <c r="AW203" s="263"/>
      <c r="AX203" s="1320"/>
      <c r="AY203" s="1320"/>
      <c r="AZ203" s="1320"/>
      <c r="BA203" s="1320"/>
      <c r="BB203" s="1320"/>
      <c r="BC203" s="1320"/>
      <c r="BD203" s="1320"/>
      <c r="BE203" s="1320"/>
      <c r="BF203" s="1320"/>
      <c r="BG203" s="1320"/>
      <c r="BH203" s="1320"/>
      <c r="BI203" s="1320"/>
      <c r="BJ203" s="1320"/>
      <c r="BK203" s="1320"/>
      <c r="BL203" s="1320"/>
      <c r="BM203" s="1320"/>
      <c r="BN203" s="1320"/>
      <c r="BO203" s="1320"/>
      <c r="BP203" s="1320"/>
      <c r="BQ203" s="1320"/>
      <c r="BR203" s="1320"/>
      <c r="BS203" s="1320"/>
      <c r="BT203" s="1320"/>
      <c r="BU203" s="1320"/>
      <c r="BV203" s="1320"/>
      <c r="BW203" s="174"/>
      <c r="BX203" s="1324"/>
      <c r="BY203" s="1324"/>
      <c r="BZ203" s="1324"/>
      <c r="CA203" s="917"/>
      <c r="CB203" s="917"/>
      <c r="CC203" s="917"/>
      <c r="CD203" s="917"/>
      <c r="CE203" s="917"/>
      <c r="CF203" s="1324"/>
      <c r="CG203" s="1324"/>
      <c r="CH203" s="917"/>
      <c r="CI203" s="917"/>
      <c r="CJ203" s="917"/>
      <c r="CK203" s="917"/>
      <c r="CL203" s="917"/>
      <c r="CM203" s="917"/>
      <c r="CN203" s="917"/>
      <c r="CO203" s="1390"/>
      <c r="CP203" s="794"/>
      <c r="CQ203" s="794"/>
      <c r="CR203" s="794"/>
      <c r="CS203" s="544"/>
      <c r="CT203" s="1390"/>
      <c r="CU203" s="1390"/>
      <c r="CV203" s="794"/>
      <c r="CW203" s="794"/>
      <c r="CX203" s="794"/>
      <c r="CY203" s="794"/>
      <c r="CZ203" s="794"/>
      <c r="DA203" s="794"/>
      <c r="DB203" s="794"/>
      <c r="DC203" s="544"/>
      <c r="DD203" s="1390"/>
      <c r="DE203" s="917"/>
      <c r="DF203" s="917"/>
      <c r="DG203" s="917"/>
      <c r="DH203" s="917"/>
      <c r="DI203" s="917"/>
      <c r="DJ203" s="917"/>
      <c r="DK203" s="1322"/>
      <c r="DL203" s="917"/>
      <c r="DM203" s="917"/>
      <c r="DN203" s="917"/>
      <c r="DO203" s="917"/>
      <c r="DP203" s="917"/>
      <c r="DQ203" s="917"/>
      <c r="DR203" s="1322"/>
      <c r="DS203" s="917"/>
      <c r="DT203" s="917"/>
      <c r="DU203" s="917"/>
      <c r="DV203" s="917"/>
      <c r="DW203" s="917"/>
      <c r="DX203" s="1322"/>
      <c r="DY203" s="1323"/>
      <c r="DZ203" s="1323"/>
      <c r="EA203" s="1323"/>
      <c r="EB203" s="1323"/>
      <c r="EC203" s="1323"/>
      <c r="ED203" s="1323"/>
      <c r="EE203" s="1322"/>
      <c r="EF203" s="794"/>
      <c r="EG203" s="794"/>
      <c r="EH203" s="794"/>
      <c r="EI203" s="794"/>
      <c r="EJ203" s="1322"/>
      <c r="EK203" s="917"/>
      <c r="EL203" s="917"/>
      <c r="EM203" s="917"/>
      <c r="EN203" s="917"/>
      <c r="EO203" s="917"/>
    </row>
    <row r="204" spans="1:149" s="53" customFormat="1" ht="9.75" customHeight="1" x14ac:dyDescent="0.2">
      <c r="A204" s="54"/>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4"/>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4"/>
    </row>
    <row r="205" spans="1:149" ht="9.75" customHeight="1" x14ac:dyDescent="0.2">
      <c r="A205" s="54"/>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row>
    <row r="206" spans="1:149" ht="9.75" customHeight="1" x14ac:dyDescent="0.2">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4"/>
    </row>
    <row r="207" spans="1:149" ht="9.75" customHeight="1" x14ac:dyDescent="0.2">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row>
    <row r="208" spans="1:149" ht="9.75" customHeight="1" x14ac:dyDescent="0.2">
      <c r="A208" s="53"/>
      <c r="B208" s="53"/>
      <c r="C208" s="53"/>
      <c r="D208" s="53"/>
      <c r="E208" s="53"/>
      <c r="F208" s="53"/>
      <c r="G208" s="53"/>
      <c r="H208" s="53"/>
      <c r="I208" s="53"/>
      <c r="J208" s="53"/>
      <c r="K208" s="53"/>
      <c r="L208" s="53"/>
    </row>
    <row r="209" spans="1:12" ht="9.75" customHeight="1" x14ac:dyDescent="0.2">
      <c r="A209" s="53"/>
      <c r="B209" s="53"/>
      <c r="C209" s="53"/>
      <c r="D209" s="53"/>
      <c r="E209" s="53"/>
      <c r="F209" s="53"/>
      <c r="G209" s="53"/>
      <c r="H209" s="53"/>
      <c r="I209" s="53"/>
      <c r="J209" s="53"/>
      <c r="K209" s="53"/>
      <c r="L209" s="53"/>
    </row>
    <row r="210" spans="1:12" ht="9.75" customHeight="1" x14ac:dyDescent="0.2">
      <c r="A210" s="53"/>
      <c r="B210" s="53"/>
      <c r="C210" s="53"/>
      <c r="D210" s="53"/>
      <c r="E210" s="53"/>
      <c r="F210" s="53"/>
      <c r="G210" s="53"/>
      <c r="H210" s="53"/>
      <c r="I210" s="53"/>
      <c r="J210" s="53"/>
      <c r="K210" s="53"/>
      <c r="L210" s="53"/>
    </row>
    <row r="211" spans="1:12" ht="9.75" customHeight="1" x14ac:dyDescent="0.2">
      <c r="A211" s="53"/>
      <c r="B211" s="53"/>
      <c r="C211" s="53"/>
      <c r="D211" s="53"/>
      <c r="E211" s="53"/>
      <c r="F211" s="53"/>
      <c r="G211" s="53"/>
      <c r="H211" s="53"/>
      <c r="I211" s="53"/>
      <c r="J211" s="53"/>
      <c r="K211" s="53"/>
      <c r="L211" s="53"/>
    </row>
    <row r="212" spans="1:12" ht="9.75" customHeight="1" x14ac:dyDescent="0.2">
      <c r="A212" s="53"/>
      <c r="B212" s="53"/>
      <c r="C212" s="53"/>
      <c r="D212" s="53"/>
      <c r="E212" s="53"/>
      <c r="F212" s="53"/>
      <c r="G212" s="53"/>
      <c r="H212" s="53"/>
      <c r="I212" s="53"/>
      <c r="J212" s="53"/>
      <c r="K212" s="53"/>
      <c r="L212" s="53"/>
    </row>
    <row r="213" spans="1:12" ht="9.75" customHeight="1" x14ac:dyDescent="0.2">
      <c r="A213" s="53"/>
      <c r="B213" s="53"/>
      <c r="C213" s="53"/>
      <c r="D213" s="53"/>
      <c r="E213" s="53"/>
      <c r="F213" s="53"/>
      <c r="G213" s="53"/>
      <c r="H213" s="53"/>
      <c r="I213" s="53"/>
      <c r="J213" s="53"/>
      <c r="K213" s="53"/>
      <c r="L213" s="53"/>
    </row>
    <row r="214" spans="1:12" ht="9.75" customHeight="1" x14ac:dyDescent="0.2">
      <c r="A214" s="53"/>
      <c r="B214" s="53"/>
      <c r="C214" s="53"/>
      <c r="D214" s="53"/>
      <c r="E214" s="53"/>
      <c r="F214" s="53"/>
      <c r="G214" s="53"/>
      <c r="H214" s="53"/>
      <c r="I214" s="53"/>
      <c r="J214" s="53"/>
      <c r="K214" s="53"/>
      <c r="L214" s="53"/>
    </row>
    <row r="215" spans="1:12" ht="9.75" customHeight="1" x14ac:dyDescent="0.2">
      <c r="A215" s="53"/>
      <c r="B215" s="53"/>
      <c r="C215" s="53"/>
      <c r="D215" s="53"/>
      <c r="E215" s="53"/>
      <c r="F215" s="53"/>
      <c r="G215" s="53"/>
      <c r="H215" s="53"/>
      <c r="I215" s="53"/>
      <c r="J215" s="53"/>
      <c r="K215" s="53"/>
      <c r="L215" s="53"/>
    </row>
    <row r="216" spans="1:12" ht="9.75" customHeight="1" x14ac:dyDescent="0.2">
      <c r="A216" s="53"/>
      <c r="B216" s="53"/>
      <c r="C216" s="53"/>
      <c r="D216" s="53"/>
      <c r="E216" s="53"/>
      <c r="F216" s="53"/>
      <c r="G216" s="53"/>
      <c r="H216" s="53"/>
      <c r="I216" s="53"/>
      <c r="J216" s="53"/>
      <c r="K216" s="53"/>
      <c r="L216" s="53"/>
    </row>
    <row r="217" spans="1:12" ht="9.75" customHeight="1" x14ac:dyDescent="0.2">
      <c r="A217" s="53"/>
      <c r="B217" s="53"/>
      <c r="C217" s="53"/>
      <c r="D217" s="53"/>
      <c r="E217" s="53"/>
      <c r="F217" s="53"/>
      <c r="G217" s="53"/>
      <c r="H217" s="53"/>
      <c r="I217" s="53"/>
      <c r="J217" s="53"/>
      <c r="K217" s="53"/>
      <c r="L217" s="53"/>
    </row>
    <row r="218" spans="1:12" ht="9.75" customHeight="1" x14ac:dyDescent="0.2">
      <c r="A218" s="53"/>
      <c r="B218" s="53"/>
      <c r="C218" s="53"/>
      <c r="D218" s="53"/>
      <c r="E218" s="53"/>
      <c r="F218" s="53"/>
      <c r="G218" s="53"/>
      <c r="H218" s="53"/>
      <c r="I218" s="53"/>
      <c r="J218" s="53"/>
      <c r="K218" s="53"/>
      <c r="L218" s="53"/>
    </row>
    <row r="219" spans="1:12" ht="9.75" customHeight="1" x14ac:dyDescent="0.2">
      <c r="A219" s="53"/>
      <c r="B219" s="53"/>
      <c r="C219" s="53"/>
      <c r="D219" s="53"/>
      <c r="E219" s="53"/>
      <c r="F219" s="53"/>
      <c r="G219" s="53"/>
      <c r="H219" s="53"/>
      <c r="I219" s="53"/>
      <c r="J219" s="53"/>
      <c r="K219" s="53"/>
      <c r="L219" s="53"/>
    </row>
    <row r="220" spans="1:12" ht="9.75" customHeight="1" x14ac:dyDescent="0.2">
      <c r="A220" s="53"/>
      <c r="B220" s="53"/>
    </row>
    <row r="221" spans="1:12" ht="9.75" customHeight="1" x14ac:dyDescent="0.2">
      <c r="A221" s="53"/>
      <c r="B221" s="53"/>
    </row>
    <row r="222" spans="1:12" ht="9.75" customHeight="1" x14ac:dyDescent="0.2">
      <c r="A222" s="53"/>
      <c r="B222" s="53"/>
    </row>
    <row r="223" spans="1:12" ht="9.75" customHeight="1" x14ac:dyDescent="0.2">
      <c r="A223" s="53"/>
      <c r="B223" s="53"/>
    </row>
    <row r="224" spans="1:12" ht="9.75" customHeight="1" x14ac:dyDescent="0.2">
      <c r="A224" s="53"/>
      <c r="B224" s="53"/>
    </row>
    <row r="225" spans="1:148" ht="9.75" customHeight="1" x14ac:dyDescent="0.2">
      <c r="A225" s="53"/>
      <c r="B225" s="53"/>
      <c r="C225" s="53"/>
      <c r="D225" s="53"/>
      <c r="E225" s="53"/>
      <c r="F225" s="53"/>
      <c r="G225" s="53"/>
      <c r="H225" s="53"/>
      <c r="I225" s="53"/>
      <c r="J225" s="53"/>
      <c r="K225" s="53"/>
      <c r="L225" s="53"/>
    </row>
    <row r="226" spans="1:148" ht="9.75" customHeight="1" x14ac:dyDescent="0.2">
      <c r="A226" s="53"/>
      <c r="B226" s="53"/>
      <c r="C226" s="53"/>
      <c r="D226" s="53"/>
      <c r="E226" s="53"/>
      <c r="F226" s="53"/>
      <c r="G226" s="53"/>
      <c r="H226" s="53"/>
      <c r="I226" s="53"/>
      <c r="J226" s="53"/>
      <c r="K226" s="53"/>
      <c r="L226" s="53"/>
    </row>
    <row r="227" spans="1:148" ht="9.75" customHeight="1" x14ac:dyDescent="0.2">
      <c r="A227" s="53"/>
      <c r="B227" s="53"/>
      <c r="C227" s="53"/>
      <c r="D227" s="53"/>
      <c r="E227" s="53"/>
      <c r="F227" s="53"/>
      <c r="G227" s="53"/>
      <c r="H227" s="53"/>
      <c r="I227" s="53"/>
      <c r="J227" s="53"/>
      <c r="K227" s="53"/>
      <c r="L227" s="53"/>
    </row>
    <row r="228" spans="1:148" ht="9.75" customHeight="1" x14ac:dyDescent="0.2">
      <c r="A228" s="53"/>
      <c r="B228" s="53"/>
      <c r="C228" s="53"/>
      <c r="D228" s="53"/>
      <c r="E228" s="53"/>
      <c r="F228" s="53"/>
      <c r="G228" s="53"/>
      <c r="H228" s="53"/>
      <c r="I228" s="53"/>
      <c r="J228" s="53"/>
      <c r="K228" s="53"/>
      <c r="L228" s="53"/>
    </row>
    <row r="229" spans="1:148" ht="9.75" customHeight="1" x14ac:dyDescent="0.2">
      <c r="A229" s="53"/>
      <c r="B229" s="53"/>
      <c r="C229" s="53"/>
      <c r="D229" s="53"/>
      <c r="E229" s="53"/>
      <c r="F229" s="53"/>
      <c r="G229" s="53"/>
      <c r="H229" s="53"/>
      <c r="I229" s="53"/>
      <c r="J229" s="53"/>
      <c r="K229" s="53"/>
      <c r="L229" s="53"/>
    </row>
    <row r="230" spans="1:148" ht="9.75" customHeight="1" x14ac:dyDescent="0.2">
      <c r="A230" s="53"/>
      <c r="B230" s="53"/>
      <c r="C230" s="53"/>
      <c r="D230" s="53"/>
      <c r="E230" s="53"/>
      <c r="F230" s="53"/>
      <c r="G230" s="53"/>
      <c r="H230" s="53"/>
      <c r="I230" s="53"/>
      <c r="J230" s="53"/>
      <c r="K230" s="53"/>
      <c r="L230" s="53"/>
    </row>
    <row r="231" spans="1:148" ht="9.75" customHeight="1" x14ac:dyDescent="0.2">
      <c r="A231" s="53"/>
      <c r="B231" s="53"/>
      <c r="C231" s="53"/>
      <c r="D231" s="53"/>
      <c r="E231" s="53"/>
      <c r="F231" s="53"/>
      <c r="G231" s="53"/>
      <c r="H231" s="53"/>
      <c r="I231" s="53"/>
      <c r="J231" s="53"/>
      <c r="K231" s="53"/>
      <c r="L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row>
    <row r="232" spans="1:148" ht="9.75" customHeight="1" x14ac:dyDescent="0.2">
      <c r="A232" s="53"/>
      <c r="B232" s="53"/>
      <c r="C232" s="53"/>
      <c r="D232" s="53"/>
      <c r="E232" s="53"/>
      <c r="F232" s="53"/>
      <c r="G232" s="53"/>
      <c r="H232" s="53"/>
      <c r="I232" s="53"/>
      <c r="J232" s="53"/>
      <c r="K232" s="53"/>
      <c r="L232" s="53"/>
      <c r="DO232" s="53"/>
      <c r="DP232" s="53"/>
      <c r="DQ232" s="53"/>
      <c r="DR232" s="53"/>
      <c r="DS232" s="53"/>
      <c r="DT232" s="53"/>
      <c r="DU232" s="53"/>
      <c r="DV232" s="53"/>
      <c r="DW232" s="53"/>
      <c r="DX232" s="53"/>
      <c r="DY232" s="53"/>
      <c r="DZ232" s="53"/>
      <c r="EA232" s="53"/>
      <c r="EB232" s="53"/>
      <c r="EC232" s="53"/>
      <c r="ED232" s="53"/>
      <c r="EE232" s="53"/>
      <c r="EF232" s="53"/>
      <c r="EG232" s="53"/>
      <c r="EH232" s="53"/>
      <c r="EI232" s="53"/>
      <c r="EJ232" s="53"/>
      <c r="EK232" s="53"/>
      <c r="EL232" s="53"/>
      <c r="EM232" s="53"/>
      <c r="EN232" s="53"/>
      <c r="EO232" s="53"/>
      <c r="EP232" s="53"/>
      <c r="EQ232" s="53"/>
      <c r="ER232" s="53"/>
    </row>
    <row r="233" spans="1:148" ht="9.75" customHeight="1" x14ac:dyDescent="0.2">
      <c r="A233" s="53"/>
      <c r="B233" s="53"/>
      <c r="C233" s="53"/>
      <c r="D233" s="53"/>
      <c r="E233" s="53"/>
      <c r="F233" s="53"/>
      <c r="G233" s="53"/>
      <c r="H233" s="53"/>
      <c r="I233" s="53"/>
      <c r="J233" s="53"/>
      <c r="K233" s="53"/>
      <c r="L233" s="53"/>
      <c r="DO233" s="53"/>
      <c r="DP233" s="53"/>
      <c r="DQ233" s="53"/>
      <c r="DR233" s="53"/>
      <c r="DS233" s="53"/>
      <c r="DT233" s="53"/>
      <c r="DU233" s="53"/>
      <c r="DV233" s="53"/>
      <c r="DW233" s="53"/>
      <c r="DX233" s="53"/>
      <c r="DY233" s="53"/>
      <c r="DZ233" s="53"/>
      <c r="EA233" s="53"/>
      <c r="EB233" s="53"/>
      <c r="EC233" s="53"/>
      <c r="ED233" s="53"/>
      <c r="EE233" s="53"/>
      <c r="EF233" s="53"/>
      <c r="EG233" s="53"/>
      <c r="EH233" s="53"/>
      <c r="EI233" s="53"/>
      <c r="EJ233" s="53"/>
      <c r="EK233" s="53"/>
      <c r="EL233" s="53"/>
      <c r="EM233" s="53"/>
      <c r="EN233" s="53"/>
      <c r="EO233" s="53"/>
      <c r="EP233" s="53"/>
      <c r="EQ233" s="53"/>
      <c r="ER233" s="53"/>
    </row>
    <row r="234" spans="1:148" ht="9.75" customHeight="1" x14ac:dyDescent="0.2">
      <c r="A234" s="53"/>
      <c r="B234" s="53"/>
      <c r="C234" s="53"/>
      <c r="D234" s="53"/>
      <c r="E234" s="53"/>
      <c r="F234" s="53"/>
      <c r="G234" s="53"/>
      <c r="H234" s="53"/>
      <c r="I234" s="53"/>
      <c r="J234" s="53"/>
      <c r="K234" s="53"/>
      <c r="L234" s="53"/>
      <c r="DO234" s="53"/>
      <c r="DP234" s="53"/>
      <c r="DQ234" s="53"/>
      <c r="DR234" s="53"/>
      <c r="DS234" s="53"/>
      <c r="DT234" s="53"/>
      <c r="DU234" s="53"/>
      <c r="DV234" s="53"/>
      <c r="DW234" s="53"/>
      <c r="DX234" s="53"/>
      <c r="DY234" s="53"/>
      <c r="DZ234" s="53"/>
      <c r="EA234" s="53"/>
      <c r="EB234" s="53"/>
      <c r="EC234" s="53"/>
      <c r="ED234" s="53"/>
      <c r="EE234" s="53"/>
      <c r="EF234" s="53"/>
      <c r="EG234" s="53"/>
      <c r="EH234" s="53"/>
      <c r="EI234" s="53"/>
      <c r="EJ234" s="53"/>
      <c r="EK234" s="53"/>
      <c r="EL234" s="53"/>
      <c r="EM234" s="53"/>
      <c r="EN234" s="53"/>
      <c r="EO234" s="53"/>
      <c r="EP234" s="53"/>
      <c r="EQ234" s="53"/>
      <c r="ER234" s="53"/>
    </row>
    <row r="235" spans="1:148" ht="9.75" customHeight="1" x14ac:dyDescent="0.2">
      <c r="A235" s="53"/>
      <c r="B235" s="53"/>
      <c r="C235" s="53"/>
      <c r="D235" s="53"/>
      <c r="E235" s="53"/>
      <c r="F235" s="53"/>
      <c r="G235" s="53"/>
      <c r="H235" s="53"/>
      <c r="I235" s="53"/>
      <c r="J235" s="53"/>
      <c r="K235" s="53"/>
      <c r="L235" s="53"/>
      <c r="DO235" s="53"/>
      <c r="DP235" s="53"/>
      <c r="DQ235" s="53"/>
      <c r="DR235" s="53"/>
      <c r="DS235" s="53"/>
      <c r="DT235" s="53"/>
      <c r="DU235" s="53"/>
      <c r="DV235" s="53"/>
      <c r="DW235" s="53"/>
      <c r="DX235" s="53"/>
      <c r="DY235" s="53"/>
      <c r="DZ235" s="53"/>
      <c r="EA235" s="53"/>
      <c r="EB235" s="53"/>
      <c r="EC235" s="53"/>
      <c r="ED235" s="53"/>
      <c r="EE235" s="53"/>
      <c r="EF235" s="53"/>
      <c r="EG235" s="53"/>
      <c r="EH235" s="53"/>
      <c r="EI235" s="53"/>
      <c r="EJ235" s="53"/>
      <c r="EK235" s="53"/>
      <c r="EL235" s="53"/>
      <c r="EM235" s="53"/>
      <c r="EN235" s="53"/>
      <c r="EO235" s="53"/>
      <c r="EP235" s="53"/>
      <c r="EQ235" s="53"/>
      <c r="ER235" s="53"/>
    </row>
    <row r="236" spans="1:148" ht="9.75" customHeight="1" x14ac:dyDescent="0.2">
      <c r="A236" s="53"/>
      <c r="B236" s="53"/>
      <c r="C236" s="53"/>
      <c r="D236" s="53"/>
      <c r="E236" s="53"/>
      <c r="F236" s="53"/>
      <c r="G236" s="53"/>
      <c r="H236" s="53"/>
      <c r="I236" s="53"/>
      <c r="J236" s="53"/>
      <c r="K236" s="53"/>
      <c r="L236" s="53"/>
      <c r="DO236" s="53"/>
      <c r="DP236" s="53"/>
      <c r="DQ236" s="53"/>
      <c r="DR236" s="53"/>
      <c r="DS236" s="53"/>
      <c r="DT236" s="53"/>
      <c r="DU236" s="53"/>
      <c r="DV236" s="53"/>
      <c r="DW236" s="53"/>
      <c r="DX236" s="53"/>
      <c r="DY236" s="53"/>
      <c r="DZ236" s="53"/>
      <c r="EA236" s="53"/>
      <c r="EB236" s="53"/>
      <c r="EC236" s="53"/>
      <c r="ED236" s="53"/>
      <c r="EE236" s="53"/>
      <c r="EF236" s="53"/>
      <c r="EG236" s="53"/>
      <c r="EH236" s="53"/>
      <c r="EI236" s="53"/>
      <c r="EJ236" s="53"/>
      <c r="EK236" s="53"/>
      <c r="EL236" s="53"/>
      <c r="EM236" s="53"/>
      <c r="EN236" s="53"/>
      <c r="EO236" s="53"/>
      <c r="EP236" s="53"/>
      <c r="EQ236" s="53"/>
      <c r="ER236" s="53"/>
    </row>
    <row r="237" spans="1:148" ht="9.75" customHeight="1" x14ac:dyDescent="0.2">
      <c r="A237" s="53"/>
      <c r="B237" s="53"/>
      <c r="C237" s="53"/>
      <c r="D237" s="53"/>
      <c r="E237" s="53"/>
      <c r="F237" s="53"/>
      <c r="G237" s="53"/>
      <c r="H237" s="53"/>
      <c r="I237" s="53"/>
      <c r="J237" s="53"/>
      <c r="K237" s="53"/>
      <c r="L237" s="53"/>
      <c r="DI237" s="53"/>
      <c r="DJ237" s="53"/>
      <c r="DK237" s="53"/>
      <c r="DL237" s="53"/>
      <c r="DM237" s="53"/>
      <c r="DN237" s="53"/>
      <c r="DO237" s="53"/>
      <c r="DP237" s="53"/>
      <c r="DQ237" s="53"/>
      <c r="DR237" s="53"/>
      <c r="DS237" s="53"/>
      <c r="DT237" s="53"/>
      <c r="DU237" s="53"/>
      <c r="DV237" s="53"/>
      <c r="DW237" s="53"/>
      <c r="DX237" s="53"/>
      <c r="DY237" s="53"/>
      <c r="DZ237" s="53"/>
      <c r="EA237" s="53"/>
      <c r="EB237" s="53"/>
      <c r="EC237" s="53"/>
      <c r="ED237" s="53"/>
      <c r="EE237" s="53"/>
      <c r="EF237" s="53"/>
      <c r="EG237" s="53"/>
      <c r="EH237" s="53"/>
      <c r="EI237" s="53"/>
      <c r="EJ237" s="53"/>
      <c r="EK237" s="53"/>
      <c r="EL237" s="53"/>
      <c r="EM237" s="53"/>
      <c r="EN237" s="53"/>
      <c r="EO237" s="53"/>
      <c r="EP237" s="53"/>
      <c r="EQ237" s="53"/>
      <c r="ER237" s="53"/>
    </row>
    <row r="238" spans="1:148" ht="9.75" customHeight="1" x14ac:dyDescent="0.2">
      <c r="A238" s="53"/>
      <c r="B238" s="53"/>
      <c r="C238" s="53"/>
      <c r="D238" s="53"/>
      <c r="E238" s="53"/>
      <c r="F238" s="53"/>
      <c r="G238" s="53"/>
      <c r="H238" s="53"/>
      <c r="I238" s="53"/>
      <c r="J238" s="53"/>
      <c r="K238" s="53"/>
      <c r="L238" s="53"/>
      <c r="DI238" s="53"/>
      <c r="DJ238" s="53"/>
      <c r="DK238" s="53"/>
      <c r="DL238" s="53"/>
      <c r="DM238" s="53"/>
      <c r="DN238" s="53"/>
      <c r="DO238" s="53"/>
      <c r="DP238" s="53"/>
      <c r="DQ238" s="53"/>
      <c r="DR238" s="53"/>
      <c r="DS238" s="53"/>
      <c r="DT238" s="53"/>
      <c r="DU238" s="53"/>
      <c r="DV238" s="53"/>
      <c r="DW238" s="53"/>
      <c r="DX238" s="53"/>
      <c r="DY238" s="53"/>
      <c r="DZ238" s="53"/>
      <c r="EA238" s="53"/>
      <c r="EB238" s="53"/>
      <c r="EC238" s="53"/>
      <c r="ED238" s="53"/>
      <c r="EE238" s="53"/>
      <c r="EF238" s="53"/>
      <c r="EG238" s="53"/>
      <c r="EH238" s="53"/>
      <c r="EI238" s="53"/>
      <c r="EJ238" s="53"/>
      <c r="EK238" s="53"/>
      <c r="EL238" s="53"/>
      <c r="EM238" s="53"/>
      <c r="EN238" s="53"/>
      <c r="EO238" s="53"/>
      <c r="EP238" s="53"/>
      <c r="EQ238" s="53"/>
      <c r="ER238" s="53"/>
    </row>
    <row r="239" spans="1:148" ht="9.75" customHeight="1" x14ac:dyDescent="0.2">
      <c r="A239" s="53"/>
      <c r="B239" s="53"/>
      <c r="C239" s="53"/>
      <c r="D239" s="53"/>
      <c r="E239" s="53"/>
      <c r="F239" s="53"/>
      <c r="G239" s="53"/>
      <c r="H239" s="53"/>
      <c r="I239" s="53"/>
      <c r="J239" s="53"/>
      <c r="K239" s="53"/>
      <c r="L239" s="53"/>
      <c r="DI239" s="53"/>
      <c r="DJ239" s="53"/>
      <c r="DK239" s="53"/>
      <c r="DL239" s="53"/>
      <c r="DM239" s="53"/>
      <c r="DN239" s="53"/>
      <c r="DO239" s="53"/>
      <c r="DP239" s="53"/>
      <c r="DQ239" s="53"/>
      <c r="DR239" s="53"/>
      <c r="DS239" s="53"/>
      <c r="DT239" s="53"/>
      <c r="DU239" s="53"/>
      <c r="DV239" s="53"/>
      <c r="DW239" s="53"/>
      <c r="DX239" s="53"/>
      <c r="DY239" s="53"/>
      <c r="DZ239" s="53"/>
      <c r="EA239" s="53"/>
      <c r="EB239" s="53"/>
      <c r="EC239" s="53"/>
      <c r="ED239" s="53"/>
      <c r="EE239" s="53"/>
      <c r="EF239" s="53"/>
      <c r="EG239" s="53"/>
      <c r="EH239" s="53"/>
      <c r="EI239" s="53"/>
      <c r="EJ239" s="53"/>
      <c r="EK239" s="53"/>
      <c r="EL239" s="53"/>
      <c r="EM239" s="53"/>
      <c r="EN239" s="53"/>
      <c r="EO239" s="53"/>
      <c r="EP239" s="53"/>
      <c r="EQ239" s="53"/>
      <c r="ER239" s="53"/>
    </row>
    <row r="240" spans="1:148" ht="9.75" customHeight="1" x14ac:dyDescent="0.2">
      <c r="A240" s="53"/>
      <c r="B240" s="53"/>
      <c r="C240" s="53"/>
      <c r="D240" s="53"/>
      <c r="E240" s="53"/>
      <c r="F240" s="53"/>
      <c r="G240" s="53"/>
      <c r="H240" s="53"/>
      <c r="I240" s="53"/>
      <c r="J240" s="53"/>
      <c r="K240" s="53"/>
      <c r="L240" s="53"/>
      <c r="DI240" s="53"/>
      <c r="DJ240" s="53"/>
      <c r="DK240" s="53"/>
      <c r="DL240" s="53"/>
      <c r="DM240" s="53"/>
      <c r="DN240" s="53"/>
      <c r="DO240" s="53"/>
      <c r="DP240" s="53"/>
      <c r="DQ240" s="53"/>
      <c r="DR240" s="53"/>
      <c r="DS240" s="53"/>
      <c r="DT240" s="53"/>
      <c r="DU240" s="53"/>
      <c r="DV240" s="53"/>
      <c r="DW240" s="53"/>
      <c r="DX240" s="53"/>
      <c r="DY240" s="53"/>
      <c r="DZ240" s="53"/>
      <c r="EA240" s="53"/>
      <c r="EB240" s="53"/>
      <c r="EC240" s="53"/>
      <c r="ED240" s="53"/>
      <c r="EE240" s="53"/>
      <c r="EF240" s="53"/>
      <c r="EG240" s="53"/>
      <c r="EH240" s="53"/>
      <c r="EI240" s="53"/>
      <c r="EJ240" s="53"/>
      <c r="EK240" s="53"/>
      <c r="EL240" s="53"/>
      <c r="EM240" s="53"/>
      <c r="EN240" s="53"/>
      <c r="EO240" s="53"/>
      <c r="EP240" s="53"/>
      <c r="EQ240" s="53"/>
      <c r="ER240" s="53"/>
    </row>
    <row r="241" spans="1:148" ht="9.75" customHeight="1" x14ac:dyDescent="0.2">
      <c r="A241" s="53"/>
      <c r="B241" s="53"/>
      <c r="C241" s="53"/>
      <c r="D241" s="53"/>
      <c r="E241" s="53"/>
      <c r="F241" s="53"/>
      <c r="G241" s="53"/>
      <c r="H241" s="53"/>
      <c r="I241" s="53"/>
      <c r="J241" s="53"/>
      <c r="K241" s="53"/>
      <c r="L241" s="53"/>
      <c r="DI241" s="53"/>
      <c r="DJ241" s="53"/>
      <c r="DK241" s="53"/>
      <c r="DL241" s="53"/>
      <c r="DM241" s="53"/>
      <c r="DN241" s="53"/>
      <c r="DO241" s="53"/>
      <c r="DP241" s="53"/>
      <c r="DQ241" s="53"/>
      <c r="DR241" s="53"/>
      <c r="DS241" s="53"/>
      <c r="DT241" s="53"/>
      <c r="DU241" s="53"/>
      <c r="DV241" s="53"/>
      <c r="DW241" s="53"/>
      <c r="DX241" s="53"/>
      <c r="DY241" s="53"/>
      <c r="DZ241" s="53"/>
      <c r="EA241" s="53"/>
      <c r="EB241" s="53"/>
      <c r="EC241" s="53"/>
      <c r="ED241" s="53"/>
      <c r="EE241" s="53"/>
      <c r="EF241" s="53"/>
      <c r="EG241" s="53"/>
      <c r="EH241" s="53"/>
      <c r="EI241" s="53"/>
      <c r="EJ241" s="53"/>
      <c r="EK241" s="53"/>
      <c r="EL241" s="53"/>
      <c r="EM241" s="53"/>
      <c r="EN241" s="53"/>
      <c r="EO241" s="53"/>
      <c r="EP241" s="53"/>
      <c r="EQ241" s="53"/>
      <c r="ER241" s="53"/>
    </row>
    <row r="242" spans="1:148" ht="9.75" customHeight="1" x14ac:dyDescent="0.2">
      <c r="A242" s="53"/>
      <c r="B242" s="53"/>
      <c r="C242" s="53"/>
      <c r="D242" s="53"/>
      <c r="E242" s="53"/>
      <c r="F242" s="53"/>
      <c r="G242" s="53"/>
      <c r="H242" s="53"/>
      <c r="I242" s="53"/>
      <c r="J242" s="53"/>
      <c r="K242" s="53"/>
      <c r="L242" s="53"/>
      <c r="DI242" s="53"/>
      <c r="DJ242" s="53"/>
      <c r="DK242" s="53"/>
      <c r="DL242" s="53"/>
      <c r="DM242" s="53"/>
      <c r="DN242" s="53"/>
      <c r="DO242" s="53"/>
      <c r="DP242" s="53"/>
      <c r="DQ242" s="53"/>
      <c r="DR242" s="53"/>
      <c r="DS242" s="53"/>
      <c r="DT242" s="53"/>
      <c r="DU242" s="53"/>
      <c r="DV242" s="53"/>
      <c r="DW242" s="53"/>
      <c r="DX242" s="53"/>
      <c r="DY242" s="53"/>
      <c r="DZ242" s="53"/>
      <c r="EA242" s="53"/>
      <c r="EB242" s="53"/>
      <c r="EC242" s="53"/>
      <c r="ED242" s="53"/>
      <c r="EE242" s="53"/>
      <c r="EF242" s="53"/>
      <c r="EG242" s="53"/>
      <c r="EH242" s="53"/>
      <c r="EI242" s="53"/>
      <c r="EJ242" s="53"/>
      <c r="EK242" s="53"/>
      <c r="EL242" s="53"/>
      <c r="EM242" s="53"/>
      <c r="EN242" s="53"/>
      <c r="EO242" s="53"/>
      <c r="EP242" s="53"/>
      <c r="EQ242" s="53"/>
      <c r="ER242" s="53"/>
    </row>
    <row r="243" spans="1:148" ht="9.75" customHeight="1" x14ac:dyDescent="0.2">
      <c r="A243" s="53"/>
      <c r="B243" s="53"/>
      <c r="C243" s="53"/>
      <c r="D243" s="53"/>
      <c r="E243" s="53"/>
      <c r="F243" s="53"/>
      <c r="G243" s="53"/>
      <c r="H243" s="53"/>
      <c r="I243" s="53"/>
      <c r="J243" s="53"/>
      <c r="K243" s="53"/>
      <c r="L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c r="ER243" s="53"/>
    </row>
    <row r="244" spans="1:148" ht="9.75" customHeight="1" x14ac:dyDescent="0.2">
      <c r="A244" s="53"/>
      <c r="B244" s="53"/>
      <c r="C244" s="53"/>
      <c r="D244" s="53"/>
      <c r="E244" s="53"/>
      <c r="F244" s="53"/>
      <c r="G244" s="53"/>
      <c r="H244" s="53"/>
      <c r="I244" s="53"/>
      <c r="J244" s="53"/>
      <c r="K244" s="53"/>
      <c r="L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c r="ER244" s="53"/>
    </row>
    <row r="245" spans="1:148" ht="9.75" customHeight="1" x14ac:dyDescent="0.2">
      <c r="A245" s="53"/>
      <c r="B245" s="53"/>
      <c r="C245" s="53"/>
      <c r="D245" s="53"/>
      <c r="E245" s="53"/>
      <c r="F245" s="53"/>
      <c r="G245" s="53"/>
      <c r="H245" s="53"/>
      <c r="I245" s="53"/>
      <c r="J245" s="53"/>
      <c r="K245" s="53"/>
      <c r="L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c r="ER245" s="53"/>
    </row>
    <row r="246" spans="1:148" ht="9.75" customHeight="1" x14ac:dyDescent="0.2">
      <c r="A246" s="53"/>
      <c r="B246" s="53"/>
      <c r="C246" s="53"/>
      <c r="D246" s="53"/>
      <c r="E246" s="53"/>
      <c r="F246" s="53"/>
      <c r="G246" s="53"/>
      <c r="H246" s="53"/>
      <c r="I246" s="53"/>
      <c r="J246" s="53"/>
      <c r="K246" s="53"/>
      <c r="L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c r="ER246" s="53"/>
    </row>
    <row r="247" spans="1:148" ht="9.75" customHeight="1" x14ac:dyDescent="0.2">
      <c r="A247" s="53"/>
      <c r="B247" s="53"/>
      <c r="C247" s="53"/>
      <c r="D247" s="53"/>
      <c r="E247" s="53"/>
      <c r="F247" s="53"/>
      <c r="G247" s="53"/>
      <c r="H247" s="53"/>
      <c r="I247" s="53"/>
      <c r="J247" s="53"/>
      <c r="K247" s="53"/>
      <c r="L247" s="53"/>
      <c r="DI247" s="53"/>
      <c r="DJ247" s="53"/>
      <c r="DK247" s="53"/>
      <c r="DL247" s="53"/>
      <c r="DM247" s="53"/>
      <c r="DN247" s="53"/>
      <c r="DO247" s="53"/>
      <c r="DP247" s="53"/>
      <c r="DQ247" s="53"/>
      <c r="DR247" s="53"/>
      <c r="DS247" s="53"/>
      <c r="DT247" s="53"/>
      <c r="DU247" s="53"/>
      <c r="DV247" s="53"/>
      <c r="DW247" s="53"/>
      <c r="DX247" s="53"/>
      <c r="DY247" s="53"/>
      <c r="DZ247" s="53"/>
      <c r="EA247" s="53"/>
      <c r="EB247" s="53"/>
      <c r="EC247" s="53"/>
      <c r="ED247" s="53"/>
      <c r="EE247" s="53"/>
      <c r="EF247" s="53"/>
      <c r="EG247" s="53"/>
      <c r="EH247" s="53"/>
      <c r="EI247" s="53"/>
      <c r="EJ247" s="53"/>
      <c r="EK247" s="53"/>
      <c r="EL247" s="53"/>
      <c r="EM247" s="53"/>
      <c r="EN247" s="53"/>
      <c r="EO247" s="53"/>
      <c r="EP247" s="53"/>
      <c r="EQ247" s="53"/>
      <c r="ER247" s="53"/>
    </row>
    <row r="248" spans="1:148" ht="9.75" customHeight="1" x14ac:dyDescent="0.2">
      <c r="A248" s="53"/>
      <c r="B248" s="53"/>
      <c r="C248" s="53"/>
      <c r="D248" s="53"/>
      <c r="E248" s="53"/>
      <c r="F248" s="53"/>
      <c r="G248" s="53"/>
      <c r="H248" s="53"/>
      <c r="I248" s="53"/>
      <c r="J248" s="53"/>
      <c r="K248" s="53"/>
      <c r="L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row>
    <row r="249" spans="1:148" ht="9.75" customHeight="1" x14ac:dyDescent="0.2">
      <c r="A249" s="53"/>
      <c r="B249" s="53"/>
      <c r="C249" s="53"/>
      <c r="D249" s="53"/>
      <c r="E249" s="53"/>
      <c r="F249" s="53"/>
      <c r="G249" s="53"/>
      <c r="H249" s="53"/>
      <c r="I249" s="53"/>
      <c r="J249" s="53"/>
      <c r="K249" s="53"/>
      <c r="L249" s="53"/>
      <c r="DI249" s="53"/>
      <c r="DJ249" s="53"/>
      <c r="DK249" s="53"/>
      <c r="DL249" s="53"/>
      <c r="DM249" s="53"/>
      <c r="DN249" s="53"/>
      <c r="DO249" s="53"/>
      <c r="DP249" s="53"/>
      <c r="DQ249" s="53"/>
      <c r="DR249" s="53"/>
      <c r="DS249" s="53"/>
      <c r="DT249" s="53"/>
      <c r="DU249" s="53"/>
      <c r="DV249" s="53"/>
      <c r="DW249" s="53"/>
      <c r="DX249" s="53"/>
      <c r="DY249" s="53"/>
      <c r="DZ249" s="53"/>
      <c r="EA249" s="53"/>
      <c r="EB249" s="53"/>
      <c r="EC249" s="53"/>
      <c r="ED249" s="53"/>
      <c r="EE249" s="53"/>
      <c r="EF249" s="53"/>
      <c r="EG249" s="53"/>
      <c r="EH249" s="53"/>
      <c r="EI249" s="53"/>
      <c r="EJ249" s="53"/>
      <c r="EK249" s="53"/>
      <c r="EL249" s="53"/>
      <c r="EM249" s="53"/>
      <c r="EN249" s="53"/>
      <c r="EO249" s="53"/>
      <c r="EP249" s="53"/>
      <c r="EQ249" s="53"/>
      <c r="ER249" s="53"/>
    </row>
    <row r="250" spans="1:148" ht="9.75" customHeight="1" x14ac:dyDescent="0.2">
      <c r="A250" s="53"/>
      <c r="B250" s="53"/>
      <c r="C250" s="53"/>
      <c r="D250" s="53"/>
      <c r="E250" s="53"/>
      <c r="F250" s="53"/>
      <c r="G250" s="53"/>
      <c r="H250" s="53"/>
      <c r="I250" s="53"/>
      <c r="J250" s="53"/>
      <c r="K250" s="53"/>
      <c r="L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c r="ER250" s="53"/>
    </row>
    <row r="251" spans="1:148" ht="9.75" customHeight="1" x14ac:dyDescent="0.2">
      <c r="A251" s="53"/>
      <c r="B251" s="53"/>
      <c r="C251" s="53"/>
      <c r="D251" s="53"/>
      <c r="E251" s="53"/>
      <c r="F251" s="53"/>
      <c r="G251" s="53"/>
      <c r="H251" s="53"/>
      <c r="I251" s="53"/>
      <c r="J251" s="53"/>
      <c r="K251" s="53"/>
      <c r="L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row>
    <row r="252" spans="1:148" ht="9.75" customHeight="1" x14ac:dyDescent="0.2">
      <c r="A252" s="53"/>
      <c r="B252" s="53"/>
      <c r="C252" s="53"/>
      <c r="D252" s="53"/>
      <c r="E252" s="53"/>
      <c r="F252" s="53"/>
      <c r="G252" s="53"/>
      <c r="H252" s="53"/>
      <c r="I252" s="53"/>
      <c r="J252" s="53"/>
      <c r="K252" s="53"/>
      <c r="L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c r="ER252" s="53"/>
    </row>
    <row r="253" spans="1:148" ht="9.75" customHeight="1" x14ac:dyDescent="0.2">
      <c r="A253" s="53"/>
      <c r="B253" s="53"/>
      <c r="C253" s="53"/>
      <c r="D253" s="53"/>
      <c r="E253" s="53"/>
      <c r="F253" s="53"/>
      <c r="G253" s="53"/>
      <c r="H253" s="53"/>
      <c r="I253" s="53"/>
      <c r="J253" s="53"/>
      <c r="K253" s="53"/>
      <c r="L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c r="ER253" s="53"/>
    </row>
    <row r="254" spans="1:148" ht="9.75" customHeight="1" x14ac:dyDescent="0.2">
      <c r="A254" s="53"/>
      <c r="B254" s="53"/>
      <c r="C254" s="53"/>
      <c r="D254" s="53"/>
      <c r="E254" s="53"/>
      <c r="F254" s="53"/>
      <c r="G254" s="53"/>
      <c r="H254" s="53"/>
      <c r="I254" s="53"/>
      <c r="J254" s="53"/>
      <c r="K254" s="53"/>
      <c r="L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c r="ER254" s="53"/>
    </row>
    <row r="255" spans="1:148" ht="9.75" customHeight="1" x14ac:dyDescent="0.2">
      <c r="A255" s="53"/>
      <c r="B255" s="53"/>
      <c r="C255" s="53"/>
      <c r="D255" s="53"/>
      <c r="E255" s="53"/>
      <c r="F255" s="53"/>
      <c r="G255" s="53"/>
      <c r="H255" s="53"/>
      <c r="I255" s="53"/>
      <c r="J255" s="53"/>
      <c r="K255" s="53"/>
      <c r="L255" s="53"/>
      <c r="DI255" s="53"/>
      <c r="DJ255" s="53"/>
      <c r="DK255" s="53"/>
      <c r="DL255" s="53"/>
      <c r="DM255" s="53"/>
      <c r="DN255" s="53"/>
      <c r="DO255" s="53"/>
      <c r="DP255" s="53"/>
      <c r="DQ255" s="53"/>
      <c r="DR255" s="53"/>
      <c r="DS255" s="53"/>
      <c r="DT255" s="53"/>
      <c r="DU255" s="53"/>
      <c r="DV255" s="53"/>
      <c r="DW255" s="53"/>
      <c r="DX255" s="53"/>
      <c r="DY255" s="53"/>
      <c r="DZ255" s="53"/>
      <c r="EA255" s="53"/>
      <c r="EB255" s="53"/>
      <c r="EC255" s="53"/>
      <c r="ED255" s="53"/>
      <c r="EE255" s="53"/>
      <c r="EF255" s="53"/>
      <c r="EG255" s="53"/>
      <c r="EH255" s="53"/>
      <c r="EI255" s="53"/>
      <c r="EJ255" s="53"/>
      <c r="EK255" s="53"/>
      <c r="EL255" s="53"/>
      <c r="EM255" s="53"/>
      <c r="EN255" s="53"/>
      <c r="EO255" s="53"/>
      <c r="EP255" s="53"/>
      <c r="EQ255" s="53"/>
      <c r="ER255" s="53"/>
    </row>
    <row r="256" spans="1:148" ht="9.75" customHeight="1" x14ac:dyDescent="0.2">
      <c r="A256" s="53"/>
      <c r="B256" s="53"/>
      <c r="C256" s="53"/>
      <c r="D256" s="53"/>
      <c r="E256" s="53"/>
      <c r="F256" s="53"/>
      <c r="G256" s="53"/>
      <c r="H256" s="53"/>
      <c r="I256" s="53"/>
      <c r="J256" s="53"/>
      <c r="K256" s="53"/>
      <c r="L256" s="53"/>
      <c r="DI256" s="53"/>
      <c r="DJ256" s="53"/>
      <c r="DK256" s="53"/>
      <c r="DL256" s="53"/>
      <c r="DM256" s="53"/>
      <c r="DN256" s="53"/>
      <c r="DO256" s="53"/>
      <c r="DP256" s="53"/>
      <c r="DQ256" s="53"/>
      <c r="DR256" s="53"/>
      <c r="DS256" s="53"/>
      <c r="DT256" s="53"/>
      <c r="DU256" s="53"/>
      <c r="DV256" s="53"/>
      <c r="DW256" s="53"/>
      <c r="DX256" s="53"/>
      <c r="DY256" s="53"/>
      <c r="DZ256" s="53"/>
      <c r="EA256" s="53"/>
      <c r="EB256" s="53"/>
      <c r="EC256" s="53"/>
      <c r="ED256" s="53"/>
      <c r="EE256" s="53"/>
      <c r="EF256" s="53"/>
      <c r="EG256" s="53"/>
      <c r="EH256" s="53"/>
      <c r="EI256" s="53"/>
      <c r="EJ256" s="53"/>
      <c r="EK256" s="53"/>
      <c r="EL256" s="53"/>
      <c r="EM256" s="53"/>
      <c r="EN256" s="53"/>
      <c r="EO256" s="53"/>
      <c r="EP256" s="53"/>
      <c r="EQ256" s="53"/>
      <c r="ER256" s="53"/>
    </row>
    <row r="257" spans="1:148" ht="9.75" customHeight="1" x14ac:dyDescent="0.2">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c r="ER257" s="53"/>
    </row>
    <row r="258" spans="1:148" ht="9.75" customHeight="1" x14ac:dyDescent="0.2">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c r="ER258" s="53"/>
    </row>
    <row r="259" spans="1:148" ht="9.75" customHeight="1" x14ac:dyDescent="0.2">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53"/>
      <c r="CS259" s="53"/>
      <c r="CT259" s="53"/>
      <c r="CU259" s="53"/>
      <c r="CV259" s="53"/>
      <c r="CW259" s="53"/>
      <c r="DI259" s="53"/>
      <c r="DJ259" s="53"/>
      <c r="DK259" s="53"/>
      <c r="DL259" s="53"/>
      <c r="DM259" s="53"/>
      <c r="DN259" s="53"/>
      <c r="DO259" s="53"/>
      <c r="DP259" s="53"/>
      <c r="DQ259" s="53"/>
      <c r="DR259" s="53"/>
      <c r="DS259" s="53"/>
      <c r="DT259" s="53"/>
      <c r="DU259" s="53"/>
      <c r="DV259" s="53"/>
      <c r="DW259" s="53"/>
      <c r="DX259" s="53"/>
      <c r="DY259" s="53"/>
      <c r="DZ259" s="53"/>
      <c r="EA259" s="53"/>
      <c r="EB259" s="53"/>
      <c r="EC259" s="53"/>
      <c r="ED259" s="53"/>
      <c r="EE259" s="53"/>
      <c r="EF259" s="53"/>
      <c r="EG259" s="53"/>
      <c r="EH259" s="53"/>
      <c r="EI259" s="53"/>
      <c r="EJ259" s="53"/>
      <c r="EK259" s="53"/>
      <c r="EL259" s="53"/>
      <c r="EM259" s="53"/>
      <c r="EN259" s="53"/>
      <c r="EO259" s="53"/>
      <c r="EP259" s="53"/>
      <c r="EQ259" s="53"/>
      <c r="ER259" s="53"/>
    </row>
    <row r="260" spans="1:148" ht="9.75" customHeight="1" x14ac:dyDescent="0.2">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53"/>
      <c r="CS260" s="53"/>
      <c r="CT260" s="53"/>
      <c r="CU260" s="53"/>
      <c r="CV260" s="53"/>
      <c r="CW260" s="53"/>
      <c r="DI260" s="53"/>
      <c r="DJ260" s="53"/>
      <c r="DK260" s="53"/>
      <c r="DL260" s="53"/>
      <c r="DM260" s="53"/>
      <c r="DN260" s="53"/>
      <c r="DO260" s="53"/>
      <c r="DP260" s="53"/>
      <c r="DQ260" s="53"/>
      <c r="DR260" s="53"/>
      <c r="DS260" s="53"/>
      <c r="DT260" s="53"/>
      <c r="DU260" s="53"/>
      <c r="DV260" s="53"/>
      <c r="DW260" s="53"/>
      <c r="DX260" s="53"/>
      <c r="DY260" s="53"/>
      <c r="DZ260" s="53"/>
      <c r="EA260" s="53"/>
      <c r="EB260" s="53"/>
      <c r="EC260" s="53"/>
      <c r="ED260" s="53"/>
      <c r="EE260" s="53"/>
      <c r="EF260" s="53"/>
      <c r="EG260" s="53"/>
      <c r="EH260" s="53"/>
      <c r="EI260" s="53"/>
      <c r="EJ260" s="53"/>
      <c r="EK260" s="53"/>
      <c r="EL260" s="53"/>
      <c r="EM260" s="53"/>
      <c r="EN260" s="53"/>
      <c r="EO260" s="53"/>
      <c r="EP260" s="53"/>
      <c r="EQ260" s="53"/>
      <c r="ER260" s="53"/>
    </row>
    <row r="261" spans="1:148" ht="9.75" customHeight="1" x14ac:dyDescent="0.2">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53"/>
      <c r="CS261" s="53"/>
      <c r="CT261" s="53"/>
      <c r="CU261" s="53"/>
      <c r="CV261" s="53"/>
      <c r="CW261" s="53"/>
      <c r="CX261" s="53"/>
      <c r="DI261" s="53"/>
      <c r="DJ261" s="53"/>
      <c r="DK261" s="53"/>
      <c r="DL261" s="53"/>
      <c r="DM261" s="53"/>
      <c r="DN261" s="53"/>
      <c r="DO261" s="53"/>
      <c r="DP261" s="53"/>
      <c r="DQ261" s="53"/>
      <c r="DR261" s="53"/>
      <c r="DS261" s="53"/>
      <c r="DT261" s="53"/>
      <c r="DU261" s="53"/>
      <c r="DV261" s="53"/>
      <c r="DW261" s="53"/>
      <c r="DX261" s="53"/>
      <c r="DY261" s="53"/>
      <c r="DZ261" s="53"/>
      <c r="EA261" s="53"/>
      <c r="EB261" s="53"/>
      <c r="EC261" s="53"/>
      <c r="ED261" s="53"/>
      <c r="EE261" s="53"/>
      <c r="EF261" s="53"/>
      <c r="EG261" s="53"/>
      <c r="EH261" s="53"/>
      <c r="EI261" s="53"/>
      <c r="EJ261" s="53"/>
      <c r="EK261" s="53"/>
      <c r="EL261" s="53"/>
      <c r="EM261" s="53"/>
      <c r="EN261" s="53"/>
      <c r="EO261" s="53"/>
      <c r="EP261" s="53"/>
      <c r="EQ261" s="53"/>
      <c r="ER261" s="53"/>
    </row>
    <row r="262" spans="1:148" ht="9.75" customHeight="1" x14ac:dyDescent="0.2">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53"/>
      <c r="CS262" s="53"/>
      <c r="CT262" s="53"/>
      <c r="CU262" s="53"/>
      <c r="CV262" s="53"/>
      <c r="CW262" s="53"/>
      <c r="CX262" s="53"/>
      <c r="CY262" s="53"/>
      <c r="CZ262" s="53"/>
      <c r="DA262" s="53"/>
      <c r="DB262" s="53"/>
      <c r="DC262" s="53"/>
      <c r="DD262" s="53"/>
      <c r="DE262" s="53"/>
      <c r="DF262" s="53"/>
      <c r="DG262" s="53"/>
      <c r="DH262" s="53"/>
      <c r="DI262" s="53"/>
      <c r="DJ262" s="53"/>
      <c r="DK262" s="53"/>
      <c r="DL262" s="53"/>
      <c r="DM262" s="53"/>
      <c r="DN262" s="53"/>
      <c r="DO262" s="53"/>
      <c r="DP262" s="53"/>
      <c r="DQ262" s="53"/>
      <c r="DR262" s="53"/>
      <c r="DS262" s="53"/>
      <c r="DT262" s="53"/>
      <c r="DU262" s="53"/>
      <c r="DV262" s="53"/>
      <c r="DW262" s="53"/>
      <c r="DX262" s="53"/>
      <c r="DY262" s="53"/>
      <c r="DZ262" s="53"/>
      <c r="EA262" s="53"/>
      <c r="EB262" s="53"/>
      <c r="EC262" s="53"/>
      <c r="ED262" s="53"/>
      <c r="EE262" s="53"/>
      <c r="EF262" s="53"/>
      <c r="EG262" s="53"/>
      <c r="EH262" s="53"/>
      <c r="EI262" s="53"/>
      <c r="EJ262" s="53"/>
      <c r="EK262" s="53"/>
      <c r="EL262" s="53"/>
      <c r="EM262" s="53"/>
      <c r="EN262" s="53"/>
      <c r="EO262" s="53"/>
      <c r="EP262" s="53"/>
      <c r="EQ262" s="53"/>
      <c r="ER262" s="53"/>
    </row>
    <row r="263" spans="1:148" ht="9.75" customHeight="1" x14ac:dyDescent="0.2">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53"/>
      <c r="CS263" s="53"/>
      <c r="CT263" s="53"/>
      <c r="CU263" s="53"/>
      <c r="CV263" s="53"/>
      <c r="CW263" s="53"/>
      <c r="CX263" s="53"/>
      <c r="CY263" s="53"/>
      <c r="CZ263" s="53"/>
      <c r="DA263" s="53"/>
      <c r="DB263" s="53"/>
      <c r="DC263" s="53"/>
      <c r="DD263" s="53"/>
      <c r="DE263" s="53"/>
      <c r="DF263" s="53"/>
      <c r="DG263" s="53"/>
      <c r="DH263" s="53"/>
      <c r="DI263" s="53"/>
      <c r="DJ263" s="53"/>
      <c r="DK263" s="53"/>
      <c r="DL263" s="53"/>
      <c r="DM263" s="53"/>
      <c r="DN263" s="53"/>
      <c r="DO263" s="53"/>
      <c r="DP263" s="53"/>
      <c r="DQ263" s="53"/>
      <c r="DR263" s="53"/>
      <c r="DS263" s="53"/>
      <c r="DT263" s="53"/>
      <c r="DU263" s="53"/>
      <c r="DV263" s="53"/>
      <c r="DW263" s="53"/>
      <c r="DX263" s="53"/>
      <c r="DY263" s="53"/>
      <c r="DZ263" s="53"/>
      <c r="EA263" s="53"/>
      <c r="EB263" s="53"/>
      <c r="EC263" s="53"/>
      <c r="ED263" s="53"/>
      <c r="EE263" s="53"/>
      <c r="EF263" s="53"/>
      <c r="EG263" s="53"/>
      <c r="EH263" s="53"/>
      <c r="EI263" s="53"/>
      <c r="EJ263" s="53"/>
      <c r="EK263" s="53"/>
      <c r="EL263" s="53"/>
      <c r="EM263" s="53"/>
      <c r="EN263" s="53"/>
      <c r="EO263" s="53"/>
      <c r="EP263" s="53"/>
      <c r="EQ263" s="53"/>
      <c r="ER263" s="53"/>
    </row>
    <row r="264" spans="1:148" ht="9.75" customHeight="1" x14ac:dyDescent="0.2">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53"/>
      <c r="EM264" s="53"/>
      <c r="EN264" s="53"/>
      <c r="EO264" s="53"/>
      <c r="EP264" s="53"/>
      <c r="EQ264" s="53"/>
      <c r="ER264" s="53"/>
    </row>
    <row r="265" spans="1:148" ht="9.75" customHeight="1"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row>
    <row r="266" spans="1:148" ht="9.75" customHeight="1" x14ac:dyDescent="0.2">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53"/>
      <c r="DY266" s="53"/>
      <c r="DZ266" s="53"/>
      <c r="EA266" s="53"/>
      <c r="EB266" s="53"/>
      <c r="EC266" s="53"/>
      <c r="ED266" s="53"/>
      <c r="EE266" s="53"/>
      <c r="EF266" s="53"/>
      <c r="EG266" s="53"/>
      <c r="EH266" s="53"/>
      <c r="EI266" s="53"/>
      <c r="EJ266" s="53"/>
      <c r="EK266" s="53"/>
      <c r="EL266" s="53"/>
      <c r="EM266" s="53"/>
      <c r="EN266" s="53"/>
      <c r="EO266" s="53"/>
      <c r="EP266" s="53"/>
      <c r="EQ266" s="53"/>
      <c r="ER266" s="53"/>
    </row>
    <row r="267" spans="1:148" ht="9.75" customHeight="1" x14ac:dyDescent="0.2">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53"/>
      <c r="CS267" s="53"/>
      <c r="CT267" s="53"/>
      <c r="CU267" s="53"/>
      <c r="CV267" s="53"/>
      <c r="CW267" s="53"/>
      <c r="CX267" s="53"/>
      <c r="CY267" s="53"/>
      <c r="CZ267" s="53"/>
      <c r="DA267" s="53"/>
      <c r="DB267" s="53"/>
      <c r="DC267" s="53"/>
      <c r="DD267" s="53"/>
      <c r="DE267" s="53"/>
      <c r="DF267" s="53"/>
      <c r="DG267" s="53"/>
      <c r="DH267" s="53"/>
      <c r="DI267" s="53"/>
      <c r="DJ267" s="53"/>
      <c r="DK267" s="53"/>
      <c r="DL267" s="53"/>
      <c r="DM267" s="53"/>
      <c r="DN267" s="53"/>
      <c r="DO267" s="53"/>
      <c r="DP267" s="53"/>
      <c r="DQ267" s="53"/>
      <c r="DR267" s="53"/>
      <c r="DS267" s="53"/>
      <c r="DT267" s="53"/>
      <c r="DU267" s="53"/>
      <c r="DV267" s="53"/>
      <c r="DW267" s="53"/>
      <c r="DX267" s="53"/>
      <c r="DY267" s="53"/>
      <c r="DZ267" s="53"/>
      <c r="EA267" s="53"/>
      <c r="EB267" s="53"/>
      <c r="EC267" s="53"/>
      <c r="ED267" s="53"/>
      <c r="EE267" s="53"/>
      <c r="EF267" s="53"/>
      <c r="EG267" s="53"/>
      <c r="EH267" s="53"/>
      <c r="EI267" s="53"/>
      <c r="EJ267" s="53"/>
      <c r="EK267" s="53"/>
      <c r="EL267" s="53"/>
      <c r="EM267" s="53"/>
      <c r="EN267" s="53"/>
      <c r="EO267" s="53"/>
      <c r="EP267" s="53"/>
      <c r="EQ267" s="53"/>
      <c r="ER267" s="53"/>
    </row>
    <row r="268" spans="1:148" ht="9.75" customHeight="1" x14ac:dyDescent="0.2">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c r="CS268" s="53"/>
      <c r="CT268" s="53"/>
      <c r="CU268" s="53"/>
      <c r="CV268" s="53"/>
      <c r="CW268" s="53"/>
      <c r="CX268" s="53"/>
      <c r="CY268" s="53"/>
      <c r="CZ268" s="53"/>
      <c r="DA268" s="53"/>
      <c r="DB268" s="53"/>
      <c r="DC268" s="53"/>
      <c r="DD268" s="53"/>
      <c r="DE268" s="53"/>
      <c r="DF268" s="53"/>
      <c r="DG268" s="53"/>
      <c r="DH268" s="53"/>
      <c r="DI268" s="53"/>
      <c r="DJ268" s="53"/>
      <c r="DK268" s="53"/>
      <c r="DL268" s="53"/>
      <c r="DM268" s="53"/>
      <c r="DN268" s="53"/>
      <c r="DO268" s="53"/>
      <c r="DP268" s="53"/>
      <c r="DQ268" s="53"/>
      <c r="DR268" s="53"/>
      <c r="DS268" s="53"/>
      <c r="DT268" s="53"/>
      <c r="DU268" s="53"/>
      <c r="DV268" s="53"/>
      <c r="DW268" s="53"/>
      <c r="DX268" s="53"/>
      <c r="DY268" s="53"/>
      <c r="DZ268" s="53"/>
      <c r="EA268" s="53"/>
      <c r="EB268" s="53"/>
      <c r="EC268" s="53"/>
      <c r="ED268" s="53"/>
      <c r="EE268" s="53"/>
      <c r="EF268" s="53"/>
      <c r="EG268" s="53"/>
      <c r="EH268" s="53"/>
      <c r="EI268" s="53"/>
      <c r="EJ268" s="53"/>
      <c r="EK268" s="53"/>
      <c r="EL268" s="53"/>
      <c r="EM268" s="53"/>
      <c r="EN268" s="53"/>
      <c r="EO268" s="53"/>
      <c r="EP268" s="53"/>
      <c r="EQ268" s="53"/>
      <c r="ER268" s="53"/>
    </row>
    <row r="269" spans="1:148" ht="9.75" customHeight="1" x14ac:dyDescent="0.2">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53"/>
      <c r="CS269" s="53"/>
      <c r="CT269" s="53"/>
      <c r="CU269" s="53"/>
      <c r="CV269" s="53"/>
      <c r="CW269" s="53"/>
      <c r="CX269" s="53"/>
      <c r="CY269" s="53"/>
      <c r="CZ269" s="53"/>
      <c r="DA269" s="53"/>
      <c r="DB269" s="53"/>
      <c r="DC269" s="53"/>
      <c r="DD269" s="53"/>
      <c r="DE269" s="53"/>
      <c r="DF269" s="53"/>
      <c r="DG269" s="53"/>
      <c r="DH269" s="53"/>
      <c r="DI269" s="53"/>
      <c r="DJ269" s="53"/>
      <c r="DK269" s="53"/>
      <c r="DL269" s="53"/>
      <c r="DM269" s="53"/>
      <c r="DN269" s="53"/>
      <c r="DO269" s="53"/>
      <c r="DP269" s="53"/>
      <c r="DQ269" s="53"/>
      <c r="DR269" s="53"/>
      <c r="DS269" s="53"/>
      <c r="DT269" s="53"/>
      <c r="DU269" s="53"/>
      <c r="DV269" s="53"/>
      <c r="DW269" s="53"/>
      <c r="DX269" s="53"/>
      <c r="DY269" s="53"/>
      <c r="DZ269" s="53"/>
      <c r="EA269" s="53"/>
      <c r="EB269" s="53"/>
      <c r="EC269" s="53"/>
      <c r="ED269" s="53"/>
      <c r="EE269" s="53"/>
      <c r="EF269" s="53"/>
      <c r="EG269" s="53"/>
      <c r="EH269" s="53"/>
      <c r="EI269" s="53"/>
      <c r="EJ269" s="53"/>
      <c r="EK269" s="53"/>
      <c r="EL269" s="53"/>
      <c r="EM269" s="53"/>
      <c r="EN269" s="53"/>
      <c r="EO269" s="53"/>
      <c r="EP269" s="53"/>
      <c r="EQ269" s="53"/>
      <c r="ER269" s="53"/>
    </row>
    <row r="270" spans="1:148" ht="9.75" customHeight="1" x14ac:dyDescent="0.2">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53"/>
      <c r="CS270" s="53"/>
      <c r="CT270" s="53"/>
      <c r="CU270" s="53"/>
      <c r="CV270" s="53"/>
      <c r="CW270" s="53"/>
      <c r="CX270" s="53"/>
      <c r="CY270" s="53"/>
      <c r="CZ270" s="53"/>
      <c r="DA270" s="53"/>
      <c r="DB270" s="53"/>
      <c r="DC270" s="53"/>
      <c r="DD270" s="53"/>
      <c r="DE270" s="53"/>
      <c r="DF270" s="53"/>
      <c r="DG270" s="53"/>
      <c r="DH270" s="53"/>
      <c r="DI270" s="53"/>
      <c r="DJ270" s="53"/>
      <c r="DK270" s="53"/>
      <c r="DL270" s="53"/>
      <c r="DM270" s="53"/>
      <c r="DN270" s="53"/>
      <c r="DO270" s="53"/>
      <c r="DP270" s="53"/>
      <c r="DQ270" s="53"/>
      <c r="DR270" s="53"/>
      <c r="DS270" s="53"/>
      <c r="DT270" s="53"/>
      <c r="DU270" s="53"/>
      <c r="DV270" s="53"/>
      <c r="DW270" s="53"/>
      <c r="DX270" s="53"/>
      <c r="DY270" s="53"/>
      <c r="DZ270" s="53"/>
      <c r="EA270" s="53"/>
      <c r="EB270" s="53"/>
      <c r="EC270" s="53"/>
      <c r="ED270" s="53"/>
      <c r="EE270" s="53"/>
      <c r="EF270" s="53"/>
      <c r="EG270" s="53"/>
      <c r="EH270" s="53"/>
      <c r="EI270" s="53"/>
      <c r="EJ270" s="53"/>
      <c r="EK270" s="53"/>
      <c r="EL270" s="53"/>
      <c r="EM270" s="53"/>
      <c r="EN270" s="53"/>
      <c r="EO270" s="53"/>
      <c r="EP270" s="53"/>
      <c r="EQ270" s="53"/>
      <c r="ER270" s="53"/>
    </row>
    <row r="271" spans="1:148" ht="9.75" customHeight="1" x14ac:dyDescent="0.2">
      <c r="A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53"/>
      <c r="DY271" s="53"/>
      <c r="DZ271" s="53"/>
      <c r="EA271" s="53"/>
      <c r="EB271" s="53"/>
      <c r="EC271" s="53"/>
      <c r="ED271" s="53"/>
      <c r="EE271" s="53"/>
      <c r="EF271" s="53"/>
      <c r="EG271" s="53"/>
      <c r="EH271" s="53"/>
      <c r="EI271" s="53"/>
      <c r="EJ271" s="53"/>
      <c r="EK271" s="53"/>
      <c r="EL271" s="53"/>
      <c r="EM271" s="53"/>
      <c r="EN271" s="53"/>
      <c r="EO271" s="53"/>
      <c r="EP271" s="53"/>
      <c r="EQ271" s="53"/>
      <c r="ER271" s="53"/>
    </row>
    <row r="272" spans="1:148" ht="9.75" customHeight="1" x14ac:dyDescent="0.2">
      <c r="A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53"/>
      <c r="DY272" s="53"/>
      <c r="DZ272" s="53"/>
      <c r="EA272" s="53"/>
      <c r="EB272" s="53"/>
      <c r="EC272" s="53"/>
      <c r="ED272" s="53"/>
      <c r="EE272" s="53"/>
      <c r="EF272" s="53"/>
      <c r="EG272" s="53"/>
      <c r="EH272" s="53"/>
      <c r="EI272" s="53"/>
      <c r="EJ272" s="53"/>
      <c r="EK272" s="53"/>
      <c r="EL272" s="53"/>
      <c r="EM272" s="53"/>
      <c r="EN272" s="53"/>
      <c r="EO272" s="53"/>
      <c r="EP272" s="53"/>
      <c r="EQ272" s="53"/>
      <c r="ER272" s="53"/>
    </row>
    <row r="273" spans="1:148" ht="9.75" customHeight="1" x14ac:dyDescent="0.2">
      <c r="A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53"/>
      <c r="DY273" s="53"/>
      <c r="DZ273" s="53"/>
      <c r="EA273" s="53"/>
      <c r="EB273" s="53"/>
      <c r="EC273" s="53"/>
      <c r="ED273" s="53"/>
      <c r="EE273" s="53"/>
      <c r="EF273" s="53"/>
      <c r="EG273" s="53"/>
      <c r="EH273" s="53"/>
      <c r="EI273" s="53"/>
      <c r="EJ273" s="53"/>
      <c r="EK273" s="53"/>
      <c r="EL273" s="53"/>
      <c r="EM273" s="53"/>
      <c r="EN273" s="53"/>
      <c r="EO273" s="53"/>
      <c r="EP273" s="53"/>
      <c r="EQ273" s="53"/>
      <c r="ER273" s="53"/>
    </row>
    <row r="274" spans="1:148" ht="9.75" customHeight="1" x14ac:dyDescent="0.2">
      <c r="CX274" s="53"/>
      <c r="CY274" s="53"/>
      <c r="CZ274" s="53"/>
      <c r="DA274" s="53"/>
      <c r="DB274" s="53"/>
      <c r="DC274" s="53"/>
      <c r="DD274" s="53"/>
      <c r="DE274" s="53"/>
      <c r="DF274" s="53"/>
      <c r="DG274" s="53"/>
      <c r="DH274" s="53"/>
      <c r="DI274" s="53"/>
      <c r="DJ274" s="53"/>
      <c r="DK274" s="53"/>
      <c r="DL274" s="53"/>
      <c r="DM274" s="53"/>
      <c r="DN274" s="53"/>
      <c r="DO274" s="53"/>
      <c r="DP274" s="53"/>
      <c r="DQ274" s="53"/>
      <c r="DR274" s="53"/>
      <c r="DS274" s="53"/>
      <c r="DT274" s="53"/>
      <c r="DU274" s="53"/>
      <c r="DV274" s="53"/>
      <c r="DW274" s="53"/>
      <c r="DX274" s="53"/>
      <c r="DY274" s="53"/>
      <c r="DZ274" s="53"/>
      <c r="EA274" s="53"/>
      <c r="EB274" s="53"/>
      <c r="EC274" s="53"/>
      <c r="ED274" s="53"/>
      <c r="EE274" s="53"/>
      <c r="EF274" s="53"/>
      <c r="EG274" s="53"/>
      <c r="EH274" s="53"/>
      <c r="EI274" s="53"/>
      <c r="EJ274" s="53"/>
      <c r="EK274" s="53"/>
      <c r="EL274" s="53"/>
      <c r="EM274" s="53"/>
      <c r="EN274" s="53"/>
      <c r="EO274" s="53"/>
      <c r="EP274" s="53"/>
      <c r="EQ274" s="53"/>
      <c r="ER274" s="53"/>
    </row>
    <row r="275" spans="1:148" ht="9.75" customHeight="1" x14ac:dyDescent="0.2">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53"/>
      <c r="DY275" s="53"/>
      <c r="DZ275" s="53"/>
      <c r="EA275" s="53"/>
      <c r="EB275" s="53"/>
      <c r="EC275" s="53"/>
      <c r="ED275" s="53"/>
      <c r="EE275" s="53"/>
      <c r="EF275" s="53"/>
      <c r="EG275" s="53"/>
      <c r="EH275" s="53"/>
      <c r="EI275" s="53"/>
      <c r="EJ275" s="53"/>
      <c r="EK275" s="53"/>
      <c r="EL275" s="53"/>
      <c r="EM275" s="53"/>
      <c r="EN275" s="53"/>
      <c r="EO275" s="53"/>
      <c r="EP275" s="53"/>
      <c r="EQ275" s="53"/>
      <c r="ER275" s="53"/>
    </row>
    <row r="290" spans="1:1" ht="9.75" customHeight="1" x14ac:dyDescent="0.2">
      <c r="A290" s="10"/>
    </row>
  </sheetData>
  <sheetProtection password="DEEC" sheet="1" objects="1" scenarios="1" selectLockedCells="1"/>
  <mergeCells count="1393">
    <mergeCell ref="EE202:EE203"/>
    <mergeCell ref="AF22:AW23"/>
    <mergeCell ref="AY22:BF23"/>
    <mergeCell ref="AN192:AQ193"/>
    <mergeCell ref="AN194:AQ195"/>
    <mergeCell ref="AN196:AQ197"/>
    <mergeCell ref="AN198:AQ199"/>
    <mergeCell ref="AN200:AQ201"/>
    <mergeCell ref="AN202:AQ203"/>
    <mergeCell ref="AM162:AR163"/>
    <mergeCell ref="AX50:BV51"/>
    <mergeCell ref="AX52:BV53"/>
    <mergeCell ref="AX54:BV55"/>
    <mergeCell ref="AX56:BV57"/>
    <mergeCell ref="AX58:BV59"/>
    <mergeCell ref="AX60:BV61"/>
    <mergeCell ref="CA202:CE203"/>
    <mergeCell ref="AX192:BV193"/>
    <mergeCell ref="AX194:BV195"/>
    <mergeCell ref="AX64:BV65"/>
    <mergeCell ref="AX66:BV67"/>
    <mergeCell ref="AX68:BV69"/>
    <mergeCell ref="AX70:BV71"/>
    <mergeCell ref="AN174:AQ175"/>
    <mergeCell ref="AN176:AQ177"/>
    <mergeCell ref="AN178:AQ179"/>
    <mergeCell ref="AN102:AQ103"/>
    <mergeCell ref="AN104:AQ105"/>
    <mergeCell ref="AN106:AQ107"/>
    <mergeCell ref="AN108:AQ109"/>
    <mergeCell ref="AN110:AQ111"/>
    <mergeCell ref="AN112:AQ113"/>
    <mergeCell ref="B20:AD21"/>
    <mergeCell ref="AF20:AW21"/>
    <mergeCell ref="AY20:BF21"/>
    <mergeCell ref="BH20:BV21"/>
    <mergeCell ref="B17:BV18"/>
    <mergeCell ref="B46:BV47"/>
    <mergeCell ref="B36:BV43"/>
    <mergeCell ref="B44:BV45"/>
    <mergeCell ref="CF202:CG203"/>
    <mergeCell ref="CH202:CN203"/>
    <mergeCell ref="DE202:DJ203"/>
    <mergeCell ref="DL202:DQ203"/>
    <mergeCell ref="DS202:DW203"/>
    <mergeCell ref="CV202:DB203"/>
    <mergeCell ref="CP202:CR203"/>
    <mergeCell ref="AN150:AQ151"/>
    <mergeCell ref="AN152:AQ153"/>
    <mergeCell ref="AN154:AQ155"/>
    <mergeCell ref="AN156:AQ157"/>
    <mergeCell ref="AS74:AV75"/>
    <mergeCell ref="AN88:AQ89"/>
    <mergeCell ref="AN90:AQ91"/>
    <mergeCell ref="AN92:AQ93"/>
    <mergeCell ref="AN94:AQ95"/>
    <mergeCell ref="AN96:AQ97"/>
    <mergeCell ref="AN98:AQ99"/>
    <mergeCell ref="AN100:AQ101"/>
    <mergeCell ref="AS86:AV87"/>
    <mergeCell ref="AS128:AV129"/>
    <mergeCell ref="AS102:AV103"/>
    <mergeCell ref="AX62:BV63"/>
    <mergeCell ref="AN114:AQ115"/>
    <mergeCell ref="EF202:EI203"/>
    <mergeCell ref="EJ202:EJ203"/>
    <mergeCell ref="EK202:EO203"/>
    <mergeCell ref="AX200:BV201"/>
    <mergeCell ref="AX202:BV203"/>
    <mergeCell ref="AX74:BV75"/>
    <mergeCell ref="AX118:BV119"/>
    <mergeCell ref="AX162:BV163"/>
    <mergeCell ref="AX114:BV115"/>
    <mergeCell ref="AX120:BV121"/>
    <mergeCell ref="AX122:BV123"/>
    <mergeCell ref="AX124:BV125"/>
    <mergeCell ref="AX126:BV127"/>
    <mergeCell ref="AX128:BV129"/>
    <mergeCell ref="AX130:BV131"/>
    <mergeCell ref="AX132:BV133"/>
    <mergeCell ref="AX134:BV135"/>
    <mergeCell ref="AX136:BV137"/>
    <mergeCell ref="AX150:BV151"/>
    <mergeCell ref="AX170:BV171"/>
    <mergeCell ref="AX172:BV173"/>
    <mergeCell ref="AX174:BV175"/>
    <mergeCell ref="AX176:BV177"/>
    <mergeCell ref="AX178:BV179"/>
    <mergeCell ref="AX180:BV181"/>
    <mergeCell ref="AX182:BV183"/>
    <mergeCell ref="AX184:BV185"/>
    <mergeCell ref="AX76:BV77"/>
    <mergeCell ref="AX78:BV79"/>
    <mergeCell ref="AX80:BV81"/>
    <mergeCell ref="AX82:BV83"/>
    <mergeCell ref="AX142:BV143"/>
    <mergeCell ref="AM118:AR119"/>
    <mergeCell ref="AN120:AQ121"/>
    <mergeCell ref="AN122:AQ123"/>
    <mergeCell ref="AN124:AQ125"/>
    <mergeCell ref="AN126:AQ127"/>
    <mergeCell ref="AN128:AQ129"/>
    <mergeCell ref="AN130:AQ131"/>
    <mergeCell ref="AN132:AQ133"/>
    <mergeCell ref="AN134:AQ135"/>
    <mergeCell ref="AN136:AQ137"/>
    <mergeCell ref="AN138:AQ139"/>
    <mergeCell ref="AN140:AQ141"/>
    <mergeCell ref="AN158:AQ159"/>
    <mergeCell ref="AN164:AQ165"/>
    <mergeCell ref="AN166:AQ167"/>
    <mergeCell ref="AN168:AQ169"/>
    <mergeCell ref="AN170:AQ171"/>
    <mergeCell ref="AX196:BV197"/>
    <mergeCell ref="AX198:BV199"/>
    <mergeCell ref="AX152:BV153"/>
    <mergeCell ref="AX154:BV155"/>
    <mergeCell ref="AX156:BV157"/>
    <mergeCell ref="AX158:BV159"/>
    <mergeCell ref="AX164:BV165"/>
    <mergeCell ref="AX166:BV167"/>
    <mergeCell ref="AX168:BV169"/>
    <mergeCell ref="AX84:BV85"/>
    <mergeCell ref="AX86:BV87"/>
    <mergeCell ref="AX88:BV89"/>
    <mergeCell ref="AX90:BV91"/>
    <mergeCell ref="AX92:BV93"/>
    <mergeCell ref="AX94:BV95"/>
    <mergeCell ref="AX96:BV97"/>
    <mergeCell ref="AX98:BV99"/>
    <mergeCell ref="AX100:BV101"/>
    <mergeCell ref="AX102:BV103"/>
    <mergeCell ref="AX104:BV105"/>
    <mergeCell ref="AX106:BV107"/>
    <mergeCell ref="AX108:BV109"/>
    <mergeCell ref="AX110:BV111"/>
    <mergeCell ref="AX112:BV113"/>
    <mergeCell ref="AX138:BV139"/>
    <mergeCell ref="AX140:BV141"/>
    <mergeCell ref="AX144:BV145"/>
    <mergeCell ref="AX146:BV147"/>
    <mergeCell ref="AX148:BV149"/>
    <mergeCell ref="AX186:BV187"/>
    <mergeCell ref="AX188:BV189"/>
    <mergeCell ref="V86:Z87"/>
    <mergeCell ref="V64:Z65"/>
    <mergeCell ref="AB64:AE65"/>
    <mergeCell ref="V66:Z67"/>
    <mergeCell ref="AB66:AE67"/>
    <mergeCell ref="B84:D85"/>
    <mergeCell ref="B56:T57"/>
    <mergeCell ref="V58:Z59"/>
    <mergeCell ref="AB58:AE59"/>
    <mergeCell ref="AN68:AQ69"/>
    <mergeCell ref="AN70:AQ71"/>
    <mergeCell ref="AM74:AR75"/>
    <mergeCell ref="AN76:AQ77"/>
    <mergeCell ref="AN78:AQ79"/>
    <mergeCell ref="AN80:AQ81"/>
    <mergeCell ref="V56:Z57"/>
    <mergeCell ref="AB56:AE57"/>
    <mergeCell ref="AB76:AE77"/>
    <mergeCell ref="B74:D75"/>
    <mergeCell ref="B58:T59"/>
    <mergeCell ref="B60:T61"/>
    <mergeCell ref="B62:T63"/>
    <mergeCell ref="B64:T65"/>
    <mergeCell ref="AN82:AQ83"/>
    <mergeCell ref="AN84:AQ85"/>
    <mergeCell ref="AN86:AQ87"/>
    <mergeCell ref="V78:Z79"/>
    <mergeCell ref="AG70:AL71"/>
    <mergeCell ref="AG74:AL75"/>
    <mergeCell ref="V74:Z75"/>
    <mergeCell ref="AB74:AE75"/>
    <mergeCell ref="E80:T81"/>
    <mergeCell ref="AG64:AL65"/>
    <mergeCell ref="AG50:AL51"/>
    <mergeCell ref="AS50:AV51"/>
    <mergeCell ref="AB60:AE61"/>
    <mergeCell ref="AG56:AL57"/>
    <mergeCell ref="AG58:AL59"/>
    <mergeCell ref="V52:Z53"/>
    <mergeCell ref="B52:T53"/>
    <mergeCell ref="AB52:AE53"/>
    <mergeCell ref="V68:Z69"/>
    <mergeCell ref="AB68:AE69"/>
    <mergeCell ref="AM50:AR51"/>
    <mergeCell ref="AN52:AQ53"/>
    <mergeCell ref="AN54:AQ55"/>
    <mergeCell ref="AN56:AQ57"/>
    <mergeCell ref="AN58:AQ59"/>
    <mergeCell ref="AN60:AQ61"/>
    <mergeCell ref="AN62:AQ63"/>
    <mergeCell ref="AN64:AQ65"/>
    <mergeCell ref="AN66:AQ67"/>
    <mergeCell ref="B54:T55"/>
    <mergeCell ref="V60:Z61"/>
    <mergeCell ref="V54:Z55"/>
    <mergeCell ref="AB54:AE55"/>
    <mergeCell ref="B34:E35"/>
    <mergeCell ref="AN34:AR35"/>
    <mergeCell ref="BO24:BR26"/>
    <mergeCell ref="BO27:BV28"/>
    <mergeCell ref="BS24:BV26"/>
    <mergeCell ref="AI24:AL26"/>
    <mergeCell ref="AE27:AL28"/>
    <mergeCell ref="V24:Y26"/>
    <mergeCell ref="V27:AC28"/>
    <mergeCell ref="AE24:AH26"/>
    <mergeCell ref="Z24:AC26"/>
    <mergeCell ref="B24:H26"/>
    <mergeCell ref="B27:H28"/>
    <mergeCell ref="L27:R28"/>
    <mergeCell ref="L24:R26"/>
    <mergeCell ref="AA34:AE35"/>
    <mergeCell ref="AX34:BB35"/>
    <mergeCell ref="AX29:BV33"/>
    <mergeCell ref="BA24:BD26"/>
    <mergeCell ref="AW24:AZ26"/>
    <mergeCell ref="AW27:BD28"/>
    <mergeCell ref="BJ24:BM26"/>
    <mergeCell ref="BF27:BM28"/>
    <mergeCell ref="AR24:AU26"/>
    <mergeCell ref="BF24:BI26"/>
    <mergeCell ref="AN24:AQ26"/>
    <mergeCell ref="B29:Y33"/>
    <mergeCell ref="AN27:AU28"/>
    <mergeCell ref="AA29:AV33"/>
    <mergeCell ref="BX53:BZ54"/>
    <mergeCell ref="CA53:CP54"/>
    <mergeCell ref="CR53:CV54"/>
    <mergeCell ref="CX53:DA54"/>
    <mergeCell ref="BX61:BZ62"/>
    <mergeCell ref="CX65:DA66"/>
    <mergeCell ref="CR43:CV44"/>
    <mergeCell ref="CX43:DA44"/>
    <mergeCell ref="CA57:CP58"/>
    <mergeCell ref="CR57:CV58"/>
    <mergeCell ref="CX57:DA58"/>
    <mergeCell ref="AG62:AL63"/>
    <mergeCell ref="B48:J49"/>
    <mergeCell ref="BX67:BZ68"/>
    <mergeCell ref="AG68:AL69"/>
    <mergeCell ref="B68:T69"/>
    <mergeCell ref="AG60:AL61"/>
    <mergeCell ref="AS60:AV61"/>
    <mergeCell ref="V62:Z63"/>
    <mergeCell ref="AB62:AE63"/>
    <mergeCell ref="AS68:AV69"/>
    <mergeCell ref="AS64:AV65"/>
    <mergeCell ref="AG66:AL67"/>
    <mergeCell ref="AB50:AE51"/>
    <mergeCell ref="AG54:AL55"/>
    <mergeCell ref="AG52:AL53"/>
    <mergeCell ref="CX47:DA48"/>
    <mergeCell ref="BX55:BZ56"/>
    <mergeCell ref="CA55:CP56"/>
    <mergeCell ref="CR55:CV56"/>
    <mergeCell ref="CX55:DA56"/>
    <mergeCell ref="BX47:BZ48"/>
    <mergeCell ref="CA47:CP48"/>
    <mergeCell ref="CR47:CV48"/>
    <mergeCell ref="CX85:DA86"/>
    <mergeCell ref="BX91:BZ92"/>
    <mergeCell ref="CA91:CP92"/>
    <mergeCell ref="CR91:CV92"/>
    <mergeCell ref="CX91:DA92"/>
    <mergeCell ref="BX99:BZ100"/>
    <mergeCell ref="CA99:CP100"/>
    <mergeCell ref="BX73:BZ74"/>
    <mergeCell ref="BX43:BZ44"/>
    <mergeCell ref="CA43:CP44"/>
    <mergeCell ref="CR85:CV86"/>
    <mergeCell ref="CX109:DA110"/>
    <mergeCell ref="CX103:DA104"/>
    <mergeCell ref="CX81:DA82"/>
    <mergeCell ref="CX93:DA94"/>
    <mergeCell ref="BX65:BZ66"/>
    <mergeCell ref="CA65:CP66"/>
    <mergeCell ref="CR65:CV66"/>
    <mergeCell ref="BX69:BZ70"/>
    <mergeCell ref="CA69:CP70"/>
    <mergeCell ref="CR69:CV70"/>
    <mergeCell ref="CR67:CV68"/>
    <mergeCell ref="CX69:DA70"/>
    <mergeCell ref="CX71:DA72"/>
    <mergeCell ref="BX103:BZ104"/>
    <mergeCell ref="CA103:CP104"/>
    <mergeCell ref="CR109:CV110"/>
    <mergeCell ref="BX57:BZ58"/>
    <mergeCell ref="CR71:CV72"/>
    <mergeCell ref="CX73:DA74"/>
    <mergeCell ref="BX79:BZ80"/>
    <mergeCell ref="BX155:BZ156"/>
    <mergeCell ref="CA155:CP156"/>
    <mergeCell ref="CR155:CV156"/>
    <mergeCell ref="CA109:CP110"/>
    <mergeCell ref="BX41:BZ42"/>
    <mergeCell ref="CA105:CP106"/>
    <mergeCell ref="CA41:CP42"/>
    <mergeCell ref="CR41:CV42"/>
    <mergeCell ref="CX41:DA42"/>
    <mergeCell ref="BX45:BZ46"/>
    <mergeCell ref="CA171:CP172"/>
    <mergeCell ref="CR171:CV172"/>
    <mergeCell ref="CA141:CP142"/>
    <mergeCell ref="CR141:CV142"/>
    <mergeCell ref="BX141:BZ142"/>
    <mergeCell ref="BX75:BZ76"/>
    <mergeCell ref="CA75:CP76"/>
    <mergeCell ref="CR75:CV76"/>
    <mergeCell ref="CA95:CP96"/>
    <mergeCell ref="CR95:CV96"/>
    <mergeCell ref="CA129:CP130"/>
    <mergeCell ref="BX107:BZ108"/>
    <mergeCell ref="CR129:CV130"/>
    <mergeCell ref="BX137:BZ138"/>
    <mergeCell ref="BX169:BZ170"/>
    <mergeCell ref="CR169:CV170"/>
    <mergeCell ref="BX101:BZ102"/>
    <mergeCell ref="CA101:CP102"/>
    <mergeCell ref="CR111:CV112"/>
    <mergeCell ref="CA169:CP170"/>
    <mergeCell ref="CR143:CV144"/>
    <mergeCell ref="BX123:BZ124"/>
    <mergeCell ref="DO45:DR46"/>
    <mergeCell ref="DC43:DH44"/>
    <mergeCell ref="DO37:DR38"/>
    <mergeCell ref="CA73:CP74"/>
    <mergeCell ref="CR73:CV74"/>
    <mergeCell ref="CX95:DA96"/>
    <mergeCell ref="CX101:DA102"/>
    <mergeCell ref="CX111:DA112"/>
    <mergeCell ref="CR103:CV104"/>
    <mergeCell ref="CA113:CP114"/>
    <mergeCell ref="CR113:CV114"/>
    <mergeCell ref="BX179:BZ180"/>
    <mergeCell ref="CA179:CP180"/>
    <mergeCell ref="CR179:CV180"/>
    <mergeCell ref="BX181:BZ182"/>
    <mergeCell ref="CA181:CP182"/>
    <mergeCell ref="CR181:CV182"/>
    <mergeCell ref="CX107:DA108"/>
    <mergeCell ref="CX127:DA128"/>
    <mergeCell ref="CA127:CP128"/>
    <mergeCell ref="CA107:CP108"/>
    <mergeCell ref="CR107:CV108"/>
    <mergeCell ref="CR123:CV124"/>
    <mergeCell ref="CX123:DA124"/>
    <mergeCell ref="CX143:DA144"/>
    <mergeCell ref="BX161:BZ162"/>
    <mergeCell ref="BX151:BZ152"/>
    <mergeCell ref="CA151:CP152"/>
    <mergeCell ref="BX147:BZ148"/>
    <mergeCell ref="CX161:DA162"/>
    <mergeCell ref="CX159:DA160"/>
    <mergeCell ref="CX99:DA100"/>
    <mergeCell ref="BX97:CF98"/>
    <mergeCell ref="CA67:CP68"/>
    <mergeCell ref="BX71:BZ72"/>
    <mergeCell ref="CR79:CV80"/>
    <mergeCell ref="CR127:CV128"/>
    <mergeCell ref="BX115:BZ116"/>
    <mergeCell ref="CA115:CP116"/>
    <mergeCell ref="CR115:CV116"/>
    <mergeCell ref="CA111:CP112"/>
    <mergeCell ref="DC27:DH28"/>
    <mergeCell ref="DO27:DR28"/>
    <mergeCell ref="DC37:DH38"/>
    <mergeCell ref="BX63:CF64"/>
    <mergeCell ref="CA61:CP62"/>
    <mergeCell ref="CR61:CV62"/>
    <mergeCell ref="CX61:DA62"/>
    <mergeCell ref="BX59:BZ60"/>
    <mergeCell ref="BX49:BZ50"/>
    <mergeCell ref="CA49:CP50"/>
    <mergeCell ref="CR49:CV50"/>
    <mergeCell ref="CX49:DA50"/>
    <mergeCell ref="BX35:BZ36"/>
    <mergeCell ref="CA35:CP36"/>
    <mergeCell ref="CR35:CV36"/>
    <mergeCell ref="CX35:DA36"/>
    <mergeCell ref="BX33:BZ34"/>
    <mergeCell ref="BX51:BZ52"/>
    <mergeCell ref="CA51:CP52"/>
    <mergeCell ref="CR51:CV52"/>
    <mergeCell ref="CX51:DA52"/>
    <mergeCell ref="BX37:BZ38"/>
    <mergeCell ref="DC135:DH136"/>
    <mergeCell ref="DO107:DR108"/>
    <mergeCell ref="DO123:DR124"/>
    <mergeCell ref="CX145:DA146"/>
    <mergeCell ref="DC143:DH144"/>
    <mergeCell ref="DI127:DN128"/>
    <mergeCell ref="DC109:DH110"/>
    <mergeCell ref="DC117:DH118"/>
    <mergeCell ref="DO117:DR118"/>
    <mergeCell ref="DC49:DH50"/>
    <mergeCell ref="DC45:DH46"/>
    <mergeCell ref="DO55:DR56"/>
    <mergeCell ref="CX33:DA34"/>
    <mergeCell ref="BX31:BZ32"/>
    <mergeCell ref="BX39:BZ40"/>
    <mergeCell ref="CA39:CP40"/>
    <mergeCell ref="CR39:CV40"/>
    <mergeCell ref="CX39:DA40"/>
    <mergeCell ref="CR99:CV100"/>
    <mergeCell ref="BX89:BZ90"/>
    <mergeCell ref="CA89:CP90"/>
    <mergeCell ref="CR89:CV90"/>
    <mergeCell ref="CX89:DA90"/>
    <mergeCell ref="BX87:BZ88"/>
    <mergeCell ref="CA87:CP88"/>
    <mergeCell ref="CR87:CV88"/>
    <mergeCell ref="CX87:DA88"/>
    <mergeCell ref="BX85:BZ86"/>
    <mergeCell ref="CX83:DA84"/>
    <mergeCell ref="BX81:BZ82"/>
    <mergeCell ref="CA81:CP82"/>
    <mergeCell ref="CR81:CV82"/>
    <mergeCell ref="DC123:DH124"/>
    <mergeCell ref="DC121:DH122"/>
    <mergeCell ref="DC131:DH132"/>
    <mergeCell ref="BX139:BZ140"/>
    <mergeCell ref="CA123:CP124"/>
    <mergeCell ref="CR119:CV120"/>
    <mergeCell ref="BX83:BZ84"/>
    <mergeCell ref="CA83:CP84"/>
    <mergeCell ref="CR83:CV84"/>
    <mergeCell ref="CA85:CP86"/>
    <mergeCell ref="BX93:BZ94"/>
    <mergeCell ref="DO135:DR136"/>
    <mergeCell ref="BX157:BZ158"/>
    <mergeCell ref="DO121:DR122"/>
    <mergeCell ref="DC133:DH134"/>
    <mergeCell ref="DO133:DR134"/>
    <mergeCell ref="BX121:BZ122"/>
    <mergeCell ref="CA121:CP122"/>
    <mergeCell ref="CR121:CV122"/>
    <mergeCell ref="CX121:DA122"/>
    <mergeCell ref="CX135:DA136"/>
    <mergeCell ref="CA143:CP144"/>
    <mergeCell ref="DO109:DR110"/>
    <mergeCell ref="DO131:DR132"/>
    <mergeCell ref="CA137:CP138"/>
    <mergeCell ref="CR137:CV138"/>
    <mergeCell ref="BX143:BZ144"/>
    <mergeCell ref="BX135:BZ136"/>
    <mergeCell ref="CA135:CP136"/>
    <mergeCell ref="CR135:CV136"/>
    <mergeCell ref="CX115:DA116"/>
    <mergeCell ref="DC119:DH120"/>
    <mergeCell ref="DO143:DR144"/>
    <mergeCell ref="DC129:DH130"/>
    <mergeCell ref="DO129:DR130"/>
    <mergeCell ref="CX119:DA120"/>
    <mergeCell ref="CX117:DA118"/>
    <mergeCell ref="CA119:CP120"/>
    <mergeCell ref="DC197:DH198"/>
    <mergeCell ref="DO197:DR198"/>
    <mergeCell ref="BX189:BZ190"/>
    <mergeCell ref="CA189:CP190"/>
    <mergeCell ref="CR189:CV190"/>
    <mergeCell ref="CX189:DA190"/>
    <mergeCell ref="CA191:CP192"/>
    <mergeCell ref="CR191:CV192"/>
    <mergeCell ref="DO191:DR192"/>
    <mergeCell ref="DC191:DH192"/>
    <mergeCell ref="DO189:DR190"/>
    <mergeCell ref="BX185:BZ186"/>
    <mergeCell ref="CA185:CP186"/>
    <mergeCell ref="DO151:DR152"/>
    <mergeCell ref="DO157:DR158"/>
    <mergeCell ref="DC145:DH146"/>
    <mergeCell ref="DO145:DR146"/>
    <mergeCell ref="CA173:CP174"/>
    <mergeCell ref="CR173:CV174"/>
    <mergeCell ref="CR175:CV176"/>
    <mergeCell ref="CX155:DA156"/>
    <mergeCell ref="CA149:CP150"/>
    <mergeCell ref="CX133:DA134"/>
    <mergeCell ref="BX131:BZ132"/>
    <mergeCell ref="CA131:CP132"/>
    <mergeCell ref="CR131:CV132"/>
    <mergeCell ref="CX199:DA200"/>
    <mergeCell ref="CX169:DA170"/>
    <mergeCell ref="CX167:DA168"/>
    <mergeCell ref="CX139:DA140"/>
    <mergeCell ref="CR185:CV186"/>
    <mergeCell ref="CX185:DA186"/>
    <mergeCell ref="CX191:DA192"/>
    <mergeCell ref="CX179:DA180"/>
    <mergeCell ref="CX175:DA176"/>
    <mergeCell ref="CX163:DA164"/>
    <mergeCell ref="CA139:CP140"/>
    <mergeCell ref="CA193:CP194"/>
    <mergeCell ref="CR193:CV194"/>
    <mergeCell ref="CX193:DA194"/>
    <mergeCell ref="BX111:BZ112"/>
    <mergeCell ref="BX119:BZ120"/>
    <mergeCell ref="CX137:DA138"/>
    <mergeCell ref="CR139:CV140"/>
    <mergeCell ref="CX131:DA132"/>
    <mergeCell ref="BX145:BZ146"/>
    <mergeCell ref="CA145:CP146"/>
    <mergeCell ref="CR145:CV146"/>
    <mergeCell ref="BX117:BZ118"/>
    <mergeCell ref="CA117:CP118"/>
    <mergeCell ref="CR117:CV118"/>
    <mergeCell ref="CX129:DA130"/>
    <mergeCell ref="BX133:BZ134"/>
    <mergeCell ref="CA133:CP134"/>
    <mergeCell ref="CR133:CV134"/>
    <mergeCell ref="CX113:DA114"/>
    <mergeCell ref="BX125:CF126"/>
    <mergeCell ref="BX127:BZ128"/>
    <mergeCell ref="BX191:BZ192"/>
    <mergeCell ref="CA187:CP188"/>
    <mergeCell ref="CR187:CV188"/>
    <mergeCell ref="CX187:DA188"/>
    <mergeCell ref="BX197:BZ198"/>
    <mergeCell ref="CA197:CP198"/>
    <mergeCell ref="CR197:CV198"/>
    <mergeCell ref="CX197:DA198"/>
    <mergeCell ref="BX177:CF178"/>
    <mergeCell ref="CR163:CV164"/>
    <mergeCell ref="CX141:DA142"/>
    <mergeCell ref="BX149:BZ150"/>
    <mergeCell ref="CR147:CV148"/>
    <mergeCell ref="BX163:BZ164"/>
    <mergeCell ref="CA163:CP164"/>
    <mergeCell ref="BX159:BZ160"/>
    <mergeCell ref="BX165:BZ166"/>
    <mergeCell ref="CX195:DA196"/>
    <mergeCell ref="BX193:BZ194"/>
    <mergeCell ref="CR149:CV150"/>
    <mergeCell ref="CX149:DA150"/>
    <mergeCell ref="CA161:CP162"/>
    <mergeCell ref="CR161:CV162"/>
    <mergeCell ref="CA159:CP160"/>
    <mergeCell ref="CR159:CV160"/>
    <mergeCell ref="CX151:DA152"/>
    <mergeCell ref="CX157:DA158"/>
    <mergeCell ref="CX165:DA166"/>
    <mergeCell ref="CA147:CP148"/>
    <mergeCell ref="DO33:DR34"/>
    <mergeCell ref="DC35:DH36"/>
    <mergeCell ref="DO35:DR36"/>
    <mergeCell ref="DC47:DH48"/>
    <mergeCell ref="DO47:DR48"/>
    <mergeCell ref="DO43:DR44"/>
    <mergeCell ref="DO49:DR50"/>
    <mergeCell ref="DC41:DH42"/>
    <mergeCell ref="DO41:DR42"/>
    <mergeCell ref="DO39:DR40"/>
    <mergeCell ref="DO185:DR186"/>
    <mergeCell ref="BX187:BZ188"/>
    <mergeCell ref="BX183:BZ184"/>
    <mergeCell ref="CA183:CP184"/>
    <mergeCell ref="CR183:CV184"/>
    <mergeCell ref="CX183:DA184"/>
    <mergeCell ref="DC183:DH184"/>
    <mergeCell ref="DC187:DH188"/>
    <mergeCell ref="DC141:DH142"/>
    <mergeCell ref="DO141:DR142"/>
    <mergeCell ref="CX147:DA148"/>
    <mergeCell ref="CA157:CP158"/>
    <mergeCell ref="CR157:CV158"/>
    <mergeCell ref="BX153:CF154"/>
    <mergeCell ref="DC127:DH128"/>
    <mergeCell ref="DO127:DR128"/>
    <mergeCell ref="BX113:BZ114"/>
    <mergeCell ref="CR105:CV106"/>
    <mergeCell ref="CX105:DA106"/>
    <mergeCell ref="DC107:DH108"/>
    <mergeCell ref="DO69:DR70"/>
    <mergeCell ref="DC51:DH52"/>
    <mergeCell ref="DO51:DR52"/>
    <mergeCell ref="DC67:DH68"/>
    <mergeCell ref="DO67:DR68"/>
    <mergeCell ref="DC57:DH58"/>
    <mergeCell ref="DO57:DR58"/>
    <mergeCell ref="DC53:DH54"/>
    <mergeCell ref="DJ55:DM56"/>
    <mergeCell ref="DJ57:DM58"/>
    <mergeCell ref="DC39:DH40"/>
    <mergeCell ref="DO53:DR54"/>
    <mergeCell ref="DC55:DH56"/>
    <mergeCell ref="CR37:CV38"/>
    <mergeCell ref="CX37:DA38"/>
    <mergeCell ref="CA79:CP80"/>
    <mergeCell ref="CX79:DA80"/>
    <mergeCell ref="CA59:CP60"/>
    <mergeCell ref="CR59:CV60"/>
    <mergeCell ref="CX59:DA60"/>
    <mergeCell ref="CX67:DA68"/>
    <mergeCell ref="DO75:DR76"/>
    <mergeCell ref="DC77:DH78"/>
    <mergeCell ref="DO77:DR78"/>
    <mergeCell ref="CA45:CP46"/>
    <mergeCell ref="CR45:CV46"/>
    <mergeCell ref="CX45:DA46"/>
    <mergeCell ref="DC59:DH60"/>
    <mergeCell ref="CA71:CP72"/>
    <mergeCell ref="CA77:CP78"/>
    <mergeCell ref="CR77:CV78"/>
    <mergeCell ref="CX77:DA78"/>
    <mergeCell ref="CA37:CP38"/>
    <mergeCell ref="CX75:DA76"/>
    <mergeCell ref="BX105:BZ106"/>
    <mergeCell ref="DO115:DR116"/>
    <mergeCell ref="DC87:DH88"/>
    <mergeCell ref="DO87:DR88"/>
    <mergeCell ref="DC89:DH90"/>
    <mergeCell ref="DC99:DH100"/>
    <mergeCell ref="DO99:DR100"/>
    <mergeCell ref="DC101:DH102"/>
    <mergeCell ref="DO101:DR102"/>
    <mergeCell ref="DJ93:DM94"/>
    <mergeCell ref="DJ95:DM96"/>
    <mergeCell ref="DC93:DH94"/>
    <mergeCell ref="DC103:DH104"/>
    <mergeCell ref="DO103:DR104"/>
    <mergeCell ref="DO59:DR60"/>
    <mergeCell ref="DC61:DH62"/>
    <mergeCell ref="DO61:DR62"/>
    <mergeCell ref="DO71:DR72"/>
    <mergeCell ref="DC65:DH66"/>
    <mergeCell ref="DO65:DR66"/>
    <mergeCell ref="DC73:DH74"/>
    <mergeCell ref="DO73:DR74"/>
    <mergeCell ref="DO85:DR86"/>
    <mergeCell ref="DC79:DH80"/>
    <mergeCell ref="DO79:DR80"/>
    <mergeCell ref="DC83:DH84"/>
    <mergeCell ref="DO83:DR84"/>
    <mergeCell ref="DC75:DH76"/>
    <mergeCell ref="DC71:DH72"/>
    <mergeCell ref="DO89:DR90"/>
    <mergeCell ref="DC69:DH70"/>
    <mergeCell ref="DC95:DH96"/>
    <mergeCell ref="DO95:DR96"/>
    <mergeCell ref="DC81:DH82"/>
    <mergeCell ref="DO139:DR140"/>
    <mergeCell ref="DC137:DH138"/>
    <mergeCell ref="DC173:DH174"/>
    <mergeCell ref="DO173:DR174"/>
    <mergeCell ref="DC175:DH176"/>
    <mergeCell ref="DO175:DR176"/>
    <mergeCell ref="DC169:DH170"/>
    <mergeCell ref="DO169:DR170"/>
    <mergeCell ref="DC171:DH172"/>
    <mergeCell ref="DO171:DR172"/>
    <mergeCell ref="DC159:DH160"/>
    <mergeCell ref="DO159:DR160"/>
    <mergeCell ref="DO161:DR162"/>
    <mergeCell ref="DO155:DR156"/>
    <mergeCell ref="DO137:DR138"/>
    <mergeCell ref="DC139:DH140"/>
    <mergeCell ref="DC111:DH112"/>
    <mergeCell ref="DO111:DR112"/>
    <mergeCell ref="DC113:DH114"/>
    <mergeCell ref="DO113:DR114"/>
    <mergeCell ref="DC91:DH92"/>
    <mergeCell ref="DO91:DR92"/>
    <mergeCell ref="DC105:DH106"/>
    <mergeCell ref="DO105:DR106"/>
    <mergeCell ref="DC85:DH86"/>
    <mergeCell ref="DO119:DR120"/>
    <mergeCell ref="DC115:DH116"/>
    <mergeCell ref="DO81:DR82"/>
    <mergeCell ref="DO93:DR94"/>
    <mergeCell ref="DJ101:DM102"/>
    <mergeCell ref="DO181:DR182"/>
    <mergeCell ref="DC189:DH190"/>
    <mergeCell ref="DC193:DH194"/>
    <mergeCell ref="DO183:DR184"/>
    <mergeCell ref="DC185:DH186"/>
    <mergeCell ref="DC161:DH162"/>
    <mergeCell ref="DC147:DH148"/>
    <mergeCell ref="DO147:DR148"/>
    <mergeCell ref="DC155:DH156"/>
    <mergeCell ref="DC163:DH164"/>
    <mergeCell ref="DO163:DR164"/>
    <mergeCell ref="DC149:DH150"/>
    <mergeCell ref="DO149:DR150"/>
    <mergeCell ref="DC151:DH152"/>
    <mergeCell ref="DJ167:DM168"/>
    <mergeCell ref="DJ169:DM170"/>
    <mergeCell ref="DJ171:DM172"/>
    <mergeCell ref="DJ173:DM174"/>
    <mergeCell ref="DJ175:DM176"/>
    <mergeCell ref="DJ181:DM182"/>
    <mergeCell ref="DJ183:DM184"/>
    <mergeCell ref="DJ185:DM186"/>
    <mergeCell ref="DJ187:DM188"/>
    <mergeCell ref="DJ189:DM190"/>
    <mergeCell ref="DC165:DH166"/>
    <mergeCell ref="DO165:DR166"/>
    <mergeCell ref="DC157:DH158"/>
    <mergeCell ref="AS92:AV93"/>
    <mergeCell ref="AS200:AV201"/>
    <mergeCell ref="AS88:AV89"/>
    <mergeCell ref="AS54:AV55"/>
    <mergeCell ref="AS150:AV151"/>
    <mergeCell ref="AS176:AV177"/>
    <mergeCell ref="AS190:AV191"/>
    <mergeCell ref="AS194:AV195"/>
    <mergeCell ref="AS188:AV189"/>
    <mergeCell ref="AS66:AV67"/>
    <mergeCell ref="AS52:AV53"/>
    <mergeCell ref="AS62:AV63"/>
    <mergeCell ref="AS58:AV59"/>
    <mergeCell ref="AS80:AV81"/>
    <mergeCell ref="CO202:CO203"/>
    <mergeCell ref="CT202:CU203"/>
    <mergeCell ref="AS134:AV135"/>
    <mergeCell ref="AS56:AV57"/>
    <mergeCell ref="BX77:BZ78"/>
    <mergeCell ref="BX195:BZ196"/>
    <mergeCell ref="CA195:CP196"/>
    <mergeCell ref="CR195:CV196"/>
    <mergeCell ref="CA199:CP200"/>
    <mergeCell ref="CR199:CV200"/>
    <mergeCell ref="CR101:CV102"/>
    <mergeCell ref="CA93:CP94"/>
    <mergeCell ref="CR93:CV94"/>
    <mergeCell ref="BX95:BZ96"/>
    <mergeCell ref="CA165:CP166"/>
    <mergeCell ref="CR165:CV166"/>
    <mergeCell ref="BX129:BZ130"/>
    <mergeCell ref="BX109:BZ110"/>
    <mergeCell ref="AG198:AL199"/>
    <mergeCell ref="B182:D183"/>
    <mergeCell ref="DC199:DH200"/>
    <mergeCell ref="BX202:BZ203"/>
    <mergeCell ref="AS198:AV199"/>
    <mergeCell ref="BX167:BZ168"/>
    <mergeCell ref="BX199:BZ200"/>
    <mergeCell ref="BX171:BZ172"/>
    <mergeCell ref="AX190:BV191"/>
    <mergeCell ref="DD202:DD203"/>
    <mergeCell ref="CA167:CP168"/>
    <mergeCell ref="CR167:CV168"/>
    <mergeCell ref="BX173:BZ174"/>
    <mergeCell ref="CR151:CV152"/>
    <mergeCell ref="CX171:DA172"/>
    <mergeCell ref="CX173:DA174"/>
    <mergeCell ref="DO199:DR200"/>
    <mergeCell ref="DO193:DR194"/>
    <mergeCell ref="DC195:DH196"/>
    <mergeCell ref="DO195:DR196"/>
    <mergeCell ref="DC179:DH180"/>
    <mergeCell ref="DK202:DK203"/>
    <mergeCell ref="DR202:DR203"/>
    <mergeCell ref="DI155:DN156"/>
    <mergeCell ref="DI179:DN180"/>
    <mergeCell ref="DJ193:DM194"/>
    <mergeCell ref="AS202:AV203"/>
    <mergeCell ref="DO179:DR180"/>
    <mergeCell ref="DC181:DH182"/>
    <mergeCell ref="DC167:DH168"/>
    <mergeCell ref="DO167:DR168"/>
    <mergeCell ref="DO187:DR188"/>
    <mergeCell ref="AG88:AL89"/>
    <mergeCell ref="AG90:AL91"/>
    <mergeCell ref="AS90:AV91"/>
    <mergeCell ref="E90:T91"/>
    <mergeCell ref="B200:D201"/>
    <mergeCell ref="E200:T201"/>
    <mergeCell ref="V200:Z201"/>
    <mergeCell ref="AB200:AE201"/>
    <mergeCell ref="AG200:AL201"/>
    <mergeCell ref="B202:D203"/>
    <mergeCell ref="E202:T203"/>
    <mergeCell ref="V202:Z203"/>
    <mergeCell ref="AB202:AE203"/>
    <mergeCell ref="AG202:AL203"/>
    <mergeCell ref="B188:D189"/>
    <mergeCell ref="E188:T189"/>
    <mergeCell ref="V188:Z189"/>
    <mergeCell ref="AB188:AE189"/>
    <mergeCell ref="B180:D181"/>
    <mergeCell ref="E180:T181"/>
    <mergeCell ref="V180:Z181"/>
    <mergeCell ref="AB180:AE181"/>
    <mergeCell ref="E196:T197"/>
    <mergeCell ref="AG186:AL187"/>
    <mergeCell ref="AG182:AL183"/>
    <mergeCell ref="B190:D191"/>
    <mergeCell ref="E190:T191"/>
    <mergeCell ref="V190:Z191"/>
    <mergeCell ref="B196:D197"/>
    <mergeCell ref="B186:D187"/>
    <mergeCell ref="E186:T187"/>
    <mergeCell ref="V186:Z187"/>
    <mergeCell ref="V80:Z81"/>
    <mergeCell ref="V70:Z71"/>
    <mergeCell ref="AB70:AE71"/>
    <mergeCell ref="B72:J73"/>
    <mergeCell ref="B76:D77"/>
    <mergeCell ref="E76:T77"/>
    <mergeCell ref="E74:T75"/>
    <mergeCell ref="B82:D83"/>
    <mergeCell ref="E82:T83"/>
    <mergeCell ref="B78:D79"/>
    <mergeCell ref="E78:T79"/>
    <mergeCell ref="B80:D81"/>
    <mergeCell ref="AS78:AV79"/>
    <mergeCell ref="AG80:AL81"/>
    <mergeCell ref="V82:Z83"/>
    <mergeCell ref="AB82:AE83"/>
    <mergeCell ref="AG82:AL83"/>
    <mergeCell ref="AS82:AV83"/>
    <mergeCell ref="B70:T71"/>
    <mergeCell ref="E100:T101"/>
    <mergeCell ref="E96:T97"/>
    <mergeCell ref="E104:T105"/>
    <mergeCell ref="AB104:AE105"/>
    <mergeCell ref="AB106:AE107"/>
    <mergeCell ref="AB110:AE111"/>
    <mergeCell ref="AB80:AE81"/>
    <mergeCell ref="B88:D89"/>
    <mergeCell ref="E88:T89"/>
    <mergeCell ref="V88:Z89"/>
    <mergeCell ref="AB88:AE89"/>
    <mergeCell ref="E84:T85"/>
    <mergeCell ref="V84:Z85"/>
    <mergeCell ref="AB84:AE85"/>
    <mergeCell ref="AB92:AE93"/>
    <mergeCell ref="E98:T99"/>
    <mergeCell ref="V98:Z99"/>
    <mergeCell ref="AB98:AE99"/>
    <mergeCell ref="B104:D105"/>
    <mergeCell ref="V96:Z97"/>
    <mergeCell ref="AB96:AE97"/>
    <mergeCell ref="B98:D99"/>
    <mergeCell ref="B90:D91"/>
    <mergeCell ref="B94:D95"/>
    <mergeCell ref="E94:T95"/>
    <mergeCell ref="V94:Z95"/>
    <mergeCell ref="E92:T93"/>
    <mergeCell ref="V90:Z91"/>
    <mergeCell ref="AB90:AE91"/>
    <mergeCell ref="V92:Z93"/>
    <mergeCell ref="B86:D87"/>
    <mergeCell ref="E86:T87"/>
    <mergeCell ref="E126:T127"/>
    <mergeCell ref="V126:Z127"/>
    <mergeCell ref="AB126:AE127"/>
    <mergeCell ref="B138:D139"/>
    <mergeCell ref="B130:D131"/>
    <mergeCell ref="E130:T131"/>
    <mergeCell ref="B128:D129"/>
    <mergeCell ref="B134:D135"/>
    <mergeCell ref="B118:D119"/>
    <mergeCell ref="E118:T119"/>
    <mergeCell ref="V128:Z129"/>
    <mergeCell ref="AB128:AE129"/>
    <mergeCell ref="E124:T125"/>
    <mergeCell ref="V124:Z125"/>
    <mergeCell ref="E128:T129"/>
    <mergeCell ref="B106:D107"/>
    <mergeCell ref="B114:D115"/>
    <mergeCell ref="E114:T115"/>
    <mergeCell ref="V114:Z115"/>
    <mergeCell ref="B112:D113"/>
    <mergeCell ref="V106:Z107"/>
    <mergeCell ref="B110:D111"/>
    <mergeCell ref="E110:T111"/>
    <mergeCell ref="V110:Z111"/>
    <mergeCell ref="V138:Z139"/>
    <mergeCell ref="AB138:AE139"/>
    <mergeCell ref="AB114:AE115"/>
    <mergeCell ref="B116:J117"/>
    <mergeCell ref="AG134:AL135"/>
    <mergeCell ref="V118:Z119"/>
    <mergeCell ref="AB118:AE119"/>
    <mergeCell ref="B120:D121"/>
    <mergeCell ref="E120:T121"/>
    <mergeCell ref="E134:T135"/>
    <mergeCell ref="E106:T107"/>
    <mergeCell ref="B92:D93"/>
    <mergeCell ref="V146:Z147"/>
    <mergeCell ref="AB146:AE147"/>
    <mergeCell ref="V134:Z135"/>
    <mergeCell ref="AB134:AE135"/>
    <mergeCell ref="V140:Z141"/>
    <mergeCell ref="AB140:AE141"/>
    <mergeCell ref="V120:Z121"/>
    <mergeCell ref="E144:T145"/>
    <mergeCell ref="V144:Z145"/>
    <mergeCell ref="AB144:AE145"/>
    <mergeCell ref="B146:D147"/>
    <mergeCell ref="E146:T147"/>
    <mergeCell ref="B132:D133"/>
    <mergeCell ref="E132:T133"/>
    <mergeCell ref="V132:Z133"/>
    <mergeCell ref="B122:D123"/>
    <mergeCell ref="E122:T123"/>
    <mergeCell ref="V122:Z123"/>
    <mergeCell ref="AB122:AE123"/>
    <mergeCell ref="B124:D125"/>
    <mergeCell ref="V130:Z131"/>
    <mergeCell ref="AB130:AE131"/>
    <mergeCell ref="E138:T139"/>
    <mergeCell ref="B126:D127"/>
    <mergeCell ref="AG136:AL137"/>
    <mergeCell ref="AB120:AE121"/>
    <mergeCell ref="AG130:AL131"/>
    <mergeCell ref="AG124:AL125"/>
    <mergeCell ref="AB132:AE133"/>
    <mergeCell ref="B136:D137"/>
    <mergeCell ref="E136:T137"/>
    <mergeCell ref="V136:Z137"/>
    <mergeCell ref="AB136:AE137"/>
    <mergeCell ref="AG128:AL129"/>
    <mergeCell ref="B198:D199"/>
    <mergeCell ref="E198:T199"/>
    <mergeCell ref="V198:Z199"/>
    <mergeCell ref="AB198:AE199"/>
    <mergeCell ref="B194:D195"/>
    <mergeCell ref="E194:T195"/>
    <mergeCell ref="V194:Z195"/>
    <mergeCell ref="AB194:AE195"/>
    <mergeCell ref="B156:D157"/>
    <mergeCell ref="E156:T157"/>
    <mergeCell ref="V156:Z157"/>
    <mergeCell ref="AB192:AE193"/>
    <mergeCell ref="B176:D177"/>
    <mergeCell ref="E176:T177"/>
    <mergeCell ref="V176:Z177"/>
    <mergeCell ref="AB176:AE177"/>
    <mergeCell ref="E154:T155"/>
    <mergeCell ref="V154:Z155"/>
    <mergeCell ref="B152:D153"/>
    <mergeCell ref="E152:T153"/>
    <mergeCell ref="V152:Z153"/>
    <mergeCell ref="AB124:AE125"/>
    <mergeCell ref="B140:D141"/>
    <mergeCell ref="E140:T141"/>
    <mergeCell ref="V142:Z143"/>
    <mergeCell ref="B142:D143"/>
    <mergeCell ref="E142:T143"/>
    <mergeCell ref="AB142:AE143"/>
    <mergeCell ref="B150:D151"/>
    <mergeCell ref="E150:T151"/>
    <mergeCell ref="V150:Z151"/>
    <mergeCell ref="AB150:AE151"/>
    <mergeCell ref="AB158:AE159"/>
    <mergeCell ref="AB148:AE149"/>
    <mergeCell ref="B144:D145"/>
    <mergeCell ref="B154:D155"/>
    <mergeCell ref="B148:D149"/>
    <mergeCell ref="E148:T149"/>
    <mergeCell ref="V148:Z149"/>
    <mergeCell ref="AB156:AE157"/>
    <mergeCell ref="B192:D193"/>
    <mergeCell ref="E192:T193"/>
    <mergeCell ref="V174:Z175"/>
    <mergeCell ref="AB174:AE175"/>
    <mergeCell ref="E162:T163"/>
    <mergeCell ref="V162:Z163"/>
    <mergeCell ref="AB162:AE163"/>
    <mergeCell ref="V166:Z167"/>
    <mergeCell ref="AB166:AE167"/>
    <mergeCell ref="B164:D165"/>
    <mergeCell ref="B170:D171"/>
    <mergeCell ref="AB182:AE183"/>
    <mergeCell ref="B178:D179"/>
    <mergeCell ref="B172:D173"/>
    <mergeCell ref="E172:T173"/>
    <mergeCell ref="V172:Z173"/>
    <mergeCell ref="AB172:AE173"/>
    <mergeCell ref="AB184:AE185"/>
    <mergeCell ref="E182:T183"/>
    <mergeCell ref="V182:Z183"/>
    <mergeCell ref="AB186:AE187"/>
    <mergeCell ref="AB190:AE191"/>
    <mergeCell ref="B160:J161"/>
    <mergeCell ref="B174:D175"/>
    <mergeCell ref="E164:T165"/>
    <mergeCell ref="V164:Z165"/>
    <mergeCell ref="AB164:AE165"/>
    <mergeCell ref="B158:D159"/>
    <mergeCell ref="E158:T159"/>
    <mergeCell ref="V158:Z159"/>
    <mergeCell ref="B168:D169"/>
    <mergeCell ref="E168:T169"/>
    <mergeCell ref="V168:Z169"/>
    <mergeCell ref="AG168:AL169"/>
    <mergeCell ref="AG166:AL167"/>
    <mergeCell ref="AG172:AL173"/>
    <mergeCell ref="V192:Z193"/>
    <mergeCell ref="E178:T179"/>
    <mergeCell ref="V178:Z179"/>
    <mergeCell ref="AB178:AE179"/>
    <mergeCell ref="B162:D163"/>
    <mergeCell ref="AG184:AL185"/>
    <mergeCell ref="AG176:AL177"/>
    <mergeCell ref="AB168:AE169"/>
    <mergeCell ref="AG174:AL175"/>
    <mergeCell ref="B166:D167"/>
    <mergeCell ref="E166:T167"/>
    <mergeCell ref="E170:T171"/>
    <mergeCell ref="V170:Z171"/>
    <mergeCell ref="AB170:AE171"/>
    <mergeCell ref="E174:T175"/>
    <mergeCell ref="B184:D185"/>
    <mergeCell ref="E184:T185"/>
    <mergeCell ref="V184:Z185"/>
    <mergeCell ref="AG94:AL95"/>
    <mergeCell ref="AS94:AV95"/>
    <mergeCell ref="B66:T67"/>
    <mergeCell ref="AG102:AL103"/>
    <mergeCell ref="AS120:AV121"/>
    <mergeCell ref="AG122:AL123"/>
    <mergeCell ref="AS122:AV123"/>
    <mergeCell ref="V108:Z109"/>
    <mergeCell ref="AB108:AE109"/>
    <mergeCell ref="AS118:AV119"/>
    <mergeCell ref="B102:D103"/>
    <mergeCell ref="E102:T103"/>
    <mergeCell ref="V102:Z103"/>
    <mergeCell ref="AB102:AE103"/>
    <mergeCell ref="B96:D97"/>
    <mergeCell ref="E112:T113"/>
    <mergeCell ref="V112:Z113"/>
    <mergeCell ref="AB112:AE113"/>
    <mergeCell ref="B108:D109"/>
    <mergeCell ref="E108:T109"/>
    <mergeCell ref="AG96:AL97"/>
    <mergeCell ref="AS96:AV97"/>
    <mergeCell ref="AG84:AL85"/>
    <mergeCell ref="AS84:AV85"/>
    <mergeCell ref="AG92:AL93"/>
    <mergeCell ref="AG98:AL99"/>
    <mergeCell ref="AS98:AV99"/>
    <mergeCell ref="AB94:AE95"/>
    <mergeCell ref="AG100:AL101"/>
    <mergeCell ref="AG120:AL121"/>
    <mergeCell ref="AG118:AL119"/>
    <mergeCell ref="B100:D101"/>
    <mergeCell ref="AB196:AE197"/>
    <mergeCell ref="AS192:AV193"/>
    <mergeCell ref="V196:Z197"/>
    <mergeCell ref="AS184:AV185"/>
    <mergeCell ref="AB154:AE155"/>
    <mergeCell ref="AB152:AE153"/>
    <mergeCell ref="V104:Z105"/>
    <mergeCell ref="V100:Z101"/>
    <mergeCell ref="AB100:AE101"/>
    <mergeCell ref="AS124:AV125"/>
    <mergeCell ref="AG126:AL127"/>
    <mergeCell ref="AC11:AP13"/>
    <mergeCell ref="AC14:AP15"/>
    <mergeCell ref="AG76:AL77"/>
    <mergeCell ref="AS76:AV77"/>
    <mergeCell ref="AB78:AE79"/>
    <mergeCell ref="AG78:AL79"/>
    <mergeCell ref="AG154:AL155"/>
    <mergeCell ref="AG158:AL159"/>
    <mergeCell ref="AG190:AL191"/>
    <mergeCell ref="AS182:AV183"/>
    <mergeCell ref="AS166:AV167"/>
    <mergeCell ref="AS158:AV159"/>
    <mergeCell ref="AG162:AL163"/>
    <mergeCell ref="AS168:AV169"/>
    <mergeCell ref="AR11:BE13"/>
    <mergeCell ref="AS126:AV127"/>
    <mergeCell ref="V76:Z77"/>
    <mergeCell ref="AB86:AE87"/>
    <mergeCell ref="AS100:AV101"/>
    <mergeCell ref="AG104:AL105"/>
    <mergeCell ref="AS104:AV105"/>
    <mergeCell ref="B6:AL8"/>
    <mergeCell ref="B9:AL10"/>
    <mergeCell ref="AS156:AV157"/>
    <mergeCell ref="AG150:AL151"/>
    <mergeCell ref="B11:L13"/>
    <mergeCell ref="N11:AA13"/>
    <mergeCell ref="N14:AA15"/>
    <mergeCell ref="BG11:BS13"/>
    <mergeCell ref="BG14:BS15"/>
    <mergeCell ref="AS70:AV71"/>
    <mergeCell ref="B50:T51"/>
    <mergeCell ref="AG156:AL157"/>
    <mergeCell ref="AS136:AV137"/>
    <mergeCell ref="AS130:AV131"/>
    <mergeCell ref="AG132:AL133"/>
    <mergeCell ref="AS132:AV133"/>
    <mergeCell ref="V50:Z51"/>
    <mergeCell ref="AG146:AL147"/>
    <mergeCell ref="AG138:AL139"/>
    <mergeCell ref="AS138:AV139"/>
    <mergeCell ref="AG140:AL141"/>
    <mergeCell ref="AS140:AV141"/>
    <mergeCell ref="AS146:AV147"/>
    <mergeCell ref="AS152:AV153"/>
    <mergeCell ref="AG148:AL149"/>
    <mergeCell ref="AS154:AV155"/>
    <mergeCell ref="AS148:AV149"/>
    <mergeCell ref="AN9:CG10"/>
    <mergeCell ref="BU14:CG15"/>
    <mergeCell ref="AG106:AL107"/>
    <mergeCell ref="AS106:AV107"/>
    <mergeCell ref="AG86:AL87"/>
    <mergeCell ref="B2:ER4"/>
    <mergeCell ref="B14:L15"/>
    <mergeCell ref="AN6:CG8"/>
    <mergeCell ref="DC31:DH32"/>
    <mergeCell ref="DO31:DR32"/>
    <mergeCell ref="DC25:DH26"/>
    <mergeCell ref="DO29:DR30"/>
    <mergeCell ref="BX23:BZ24"/>
    <mergeCell ref="CA23:CP24"/>
    <mergeCell ref="CR23:CV24"/>
    <mergeCell ref="DC23:DH24"/>
    <mergeCell ref="DO23:DR24"/>
    <mergeCell ref="CX29:DA30"/>
    <mergeCell ref="DC29:DH30"/>
    <mergeCell ref="DC21:DH22"/>
    <mergeCell ref="AR14:BE15"/>
    <mergeCell ref="EO5:ER7"/>
    <mergeCell ref="DZ8:EC10"/>
    <mergeCell ref="DZ12:EC14"/>
    <mergeCell ref="EO8:ER10"/>
    <mergeCell ref="EE12:EH14"/>
    <mergeCell ref="EJ12:EM14"/>
    <mergeCell ref="EO12:ER14"/>
    <mergeCell ref="CA27:CP28"/>
    <mergeCell ref="B22:AD23"/>
    <mergeCell ref="BH22:BV23"/>
    <mergeCell ref="DZ5:EC7"/>
    <mergeCell ref="EE5:EH7"/>
    <mergeCell ref="DU5:DX7"/>
    <mergeCell ref="EJ5:EM7"/>
    <mergeCell ref="DA5:DD7"/>
    <mergeCell ref="DF5:DI7"/>
    <mergeCell ref="CA31:CP32"/>
    <mergeCell ref="CR31:CV32"/>
    <mergeCell ref="CX31:DA32"/>
    <mergeCell ref="CR33:CV34"/>
    <mergeCell ref="CA33:CP34"/>
    <mergeCell ref="DA8:DD10"/>
    <mergeCell ref="DF8:DI10"/>
    <mergeCell ref="DA12:DD14"/>
    <mergeCell ref="DF12:DI14"/>
    <mergeCell ref="DO25:DR26"/>
    <mergeCell ref="BX25:BZ26"/>
    <mergeCell ref="CA25:CP26"/>
    <mergeCell ref="CR25:CV26"/>
    <mergeCell ref="CX25:DA26"/>
    <mergeCell ref="BX19:CF20"/>
    <mergeCell ref="BX29:BZ30"/>
    <mergeCell ref="CA29:CP30"/>
    <mergeCell ref="CR29:CV30"/>
    <mergeCell ref="DO21:DR22"/>
    <mergeCell ref="CX23:DA24"/>
    <mergeCell ref="BX21:BZ22"/>
    <mergeCell ref="CA21:CP22"/>
    <mergeCell ref="CR21:CV22"/>
    <mergeCell ref="CX21:DA22"/>
    <mergeCell ref="CR27:CV28"/>
    <mergeCell ref="BX27:BZ28"/>
    <mergeCell ref="BU11:CG13"/>
    <mergeCell ref="CX27:DA28"/>
    <mergeCell ref="DC33:DH34"/>
    <mergeCell ref="DI21:DN22"/>
    <mergeCell ref="DJ23:DM24"/>
    <mergeCell ref="DJ25:DM26"/>
    <mergeCell ref="DK5:DN7"/>
    <mergeCell ref="DP5:DS7"/>
    <mergeCell ref="DK12:DN14"/>
    <mergeCell ref="DP12:DS14"/>
    <mergeCell ref="DU12:DX14"/>
    <mergeCell ref="DK8:DN10"/>
    <mergeCell ref="CL8:CZ10"/>
    <mergeCell ref="CL12:CZ14"/>
    <mergeCell ref="EE8:EH10"/>
    <mergeCell ref="EJ8:EM10"/>
    <mergeCell ref="DP8:DS10"/>
    <mergeCell ref="DU8:DX10"/>
    <mergeCell ref="EP18:ER19"/>
    <mergeCell ref="EL18:EO19"/>
    <mergeCell ref="EH18:EJ19"/>
    <mergeCell ref="DS18:EG19"/>
    <mergeCell ref="DU15:DX16"/>
    <mergeCell ref="DP15:DS16"/>
    <mergeCell ref="DK15:DN16"/>
    <mergeCell ref="DF15:DI16"/>
    <mergeCell ref="DA15:DD16"/>
    <mergeCell ref="CL15:CZ16"/>
    <mergeCell ref="CL18:CZ19"/>
    <mergeCell ref="DA18:DC19"/>
    <mergeCell ref="DE18:DH19"/>
    <mergeCell ref="DI18:DK19"/>
    <mergeCell ref="DZ15:ER16"/>
    <mergeCell ref="AG196:AL197"/>
    <mergeCell ref="AS174:AV175"/>
    <mergeCell ref="AS162:AV163"/>
    <mergeCell ref="AG152:AL153"/>
    <mergeCell ref="AG142:AL143"/>
    <mergeCell ref="AS142:AV143"/>
    <mergeCell ref="AG144:AL145"/>
    <mergeCell ref="AS144:AV145"/>
    <mergeCell ref="AS172:AV173"/>
    <mergeCell ref="AS186:AV187"/>
    <mergeCell ref="AG164:AL165"/>
    <mergeCell ref="AS164:AV165"/>
    <mergeCell ref="AG170:AL171"/>
    <mergeCell ref="AS170:AV171"/>
    <mergeCell ref="AS178:AV179"/>
    <mergeCell ref="AG180:AL181"/>
    <mergeCell ref="AS180:AV181"/>
    <mergeCell ref="AG178:AL179"/>
    <mergeCell ref="AS196:AV197"/>
    <mergeCell ref="AG188:AL189"/>
    <mergeCell ref="AN180:AQ181"/>
    <mergeCell ref="AN182:AQ183"/>
    <mergeCell ref="AN184:AQ185"/>
    <mergeCell ref="AN186:AQ187"/>
    <mergeCell ref="AN188:AQ189"/>
    <mergeCell ref="AN190:AQ191"/>
    <mergeCell ref="AG194:AL195"/>
    <mergeCell ref="AN172:AQ173"/>
    <mergeCell ref="AN142:AQ143"/>
    <mergeCell ref="AN144:AQ145"/>
    <mergeCell ref="AN146:AQ147"/>
    <mergeCell ref="AN148:AQ149"/>
    <mergeCell ref="DX202:DX203"/>
    <mergeCell ref="DY202:ED203"/>
    <mergeCell ref="AG108:AL109"/>
    <mergeCell ref="AS108:AV109"/>
    <mergeCell ref="AG110:AL111"/>
    <mergeCell ref="AS110:AV111"/>
    <mergeCell ref="AG112:AL113"/>
    <mergeCell ref="AS112:AV113"/>
    <mergeCell ref="AG114:AL115"/>
    <mergeCell ref="AS114:AV115"/>
    <mergeCell ref="CX181:DA182"/>
    <mergeCell ref="BX175:BZ176"/>
    <mergeCell ref="CA175:CP176"/>
    <mergeCell ref="AG192:AL193"/>
    <mergeCell ref="DJ139:DM140"/>
    <mergeCell ref="DJ141:DM142"/>
    <mergeCell ref="DJ143:DM144"/>
    <mergeCell ref="DJ145:DM146"/>
    <mergeCell ref="DJ147:DM148"/>
    <mergeCell ref="DJ149:DM150"/>
    <mergeCell ref="DJ151:DM152"/>
    <mergeCell ref="DJ157:DM158"/>
    <mergeCell ref="DJ159:DM160"/>
    <mergeCell ref="DJ161:DM162"/>
    <mergeCell ref="DJ163:DM164"/>
    <mergeCell ref="DJ165:DM166"/>
    <mergeCell ref="DT169:ER170"/>
    <mergeCell ref="DT171:ER172"/>
    <mergeCell ref="DT173:ER174"/>
    <mergeCell ref="DJ195:DM196"/>
    <mergeCell ref="DJ197:DM198"/>
    <mergeCell ref="DJ199:DM200"/>
    <mergeCell ref="DJ27:DM28"/>
    <mergeCell ref="DJ29:DM30"/>
    <mergeCell ref="DJ31:DM32"/>
    <mergeCell ref="DJ33:DM34"/>
    <mergeCell ref="DJ35:DM36"/>
    <mergeCell ref="DJ37:DM38"/>
    <mergeCell ref="DJ39:DM40"/>
    <mergeCell ref="DJ41:DM42"/>
    <mergeCell ref="DJ43:DM44"/>
    <mergeCell ref="DJ45:DM46"/>
    <mergeCell ref="DJ47:DM48"/>
    <mergeCell ref="DJ49:DM50"/>
    <mergeCell ref="DJ51:DM52"/>
    <mergeCell ref="DJ53:DM54"/>
    <mergeCell ref="DJ129:DM130"/>
    <mergeCell ref="DJ59:DM60"/>
    <mergeCell ref="DJ61:DM62"/>
    <mergeCell ref="DJ67:DM68"/>
    <mergeCell ref="DJ69:DM70"/>
    <mergeCell ref="DJ71:DM72"/>
    <mergeCell ref="DJ73:DM74"/>
    <mergeCell ref="DJ75:DM76"/>
    <mergeCell ref="DJ77:DM78"/>
    <mergeCell ref="DJ79:DM80"/>
    <mergeCell ref="DJ81:DM82"/>
    <mergeCell ref="DJ83:DM84"/>
    <mergeCell ref="DJ85:DM86"/>
    <mergeCell ref="DJ87:DM88"/>
    <mergeCell ref="DJ89:DM90"/>
    <mergeCell ref="DJ91:DM92"/>
    <mergeCell ref="DI65:DN66"/>
    <mergeCell ref="DI99:DN100"/>
    <mergeCell ref="DJ103:DM104"/>
    <mergeCell ref="DJ105:DM106"/>
    <mergeCell ref="DJ107:DM108"/>
    <mergeCell ref="DJ109:DM110"/>
    <mergeCell ref="DJ111:DM112"/>
    <mergeCell ref="DJ113:DM114"/>
    <mergeCell ref="DJ115:DM116"/>
    <mergeCell ref="DJ117:DM118"/>
    <mergeCell ref="DJ119:DM120"/>
    <mergeCell ref="DJ121:DM122"/>
    <mergeCell ref="DJ123:DM124"/>
    <mergeCell ref="DJ131:DM132"/>
    <mergeCell ref="DJ133:DM134"/>
    <mergeCell ref="DJ135:DM136"/>
    <mergeCell ref="DJ137:DM138"/>
    <mergeCell ref="DJ191:DM192"/>
    <mergeCell ref="DT91:ER92"/>
    <mergeCell ref="DT95:ER96"/>
    <mergeCell ref="DT101:ER102"/>
    <mergeCell ref="DT103:ER104"/>
    <mergeCell ref="DT105:ER106"/>
    <mergeCell ref="DT107:ER108"/>
    <mergeCell ref="DT109:ER110"/>
    <mergeCell ref="DT111:ER112"/>
    <mergeCell ref="DT113:ER114"/>
    <mergeCell ref="DT115:ER116"/>
    <mergeCell ref="DT117:ER118"/>
    <mergeCell ref="DT119:ER120"/>
    <mergeCell ref="DT121:ER122"/>
    <mergeCell ref="DT123:ER124"/>
    <mergeCell ref="DT129:ER130"/>
    <mergeCell ref="DT131:ER132"/>
    <mergeCell ref="DT21:ER22"/>
    <mergeCell ref="DT23:ER24"/>
    <mergeCell ref="DT25:ER26"/>
    <mergeCell ref="DT27:ER28"/>
    <mergeCell ref="DT29:ER30"/>
    <mergeCell ref="DT31:ER32"/>
    <mergeCell ref="DT33:ER34"/>
    <mergeCell ref="DT35:ER36"/>
    <mergeCell ref="DT37:ER38"/>
    <mergeCell ref="DT39:ER40"/>
    <mergeCell ref="DT41:ER42"/>
    <mergeCell ref="DT43:ER44"/>
    <mergeCell ref="DT45:ER46"/>
    <mergeCell ref="DT47:ER48"/>
    <mergeCell ref="DT49:ER50"/>
    <mergeCell ref="DT51:ER52"/>
    <mergeCell ref="DT53:ER54"/>
    <mergeCell ref="DT133:ER134"/>
    <mergeCell ref="DT55:ER56"/>
    <mergeCell ref="DT57:ER58"/>
    <mergeCell ref="DT59:ER60"/>
    <mergeCell ref="DT61:ER62"/>
    <mergeCell ref="DT67:ER68"/>
    <mergeCell ref="DT69:ER70"/>
    <mergeCell ref="DT71:ER72"/>
    <mergeCell ref="DT73:ER74"/>
    <mergeCell ref="DT75:ER76"/>
    <mergeCell ref="DT77:ER78"/>
    <mergeCell ref="DT79:ER80"/>
    <mergeCell ref="DT81:ER82"/>
    <mergeCell ref="DT83:ER84"/>
    <mergeCell ref="DT85:ER86"/>
    <mergeCell ref="DT87:ER88"/>
    <mergeCell ref="DT89:ER90"/>
    <mergeCell ref="DT175:ER176"/>
    <mergeCell ref="DT181:ER182"/>
    <mergeCell ref="DT183:ER184"/>
    <mergeCell ref="DT185:ER186"/>
    <mergeCell ref="DT187:ER188"/>
    <mergeCell ref="DT189:ER190"/>
    <mergeCell ref="DT191:ER192"/>
    <mergeCell ref="DT193:ER194"/>
    <mergeCell ref="DT195:ER196"/>
    <mergeCell ref="DT197:ER198"/>
    <mergeCell ref="DT199:ER200"/>
    <mergeCell ref="DT179:ER180"/>
    <mergeCell ref="DT155:ER156"/>
    <mergeCell ref="DT127:ER128"/>
    <mergeCell ref="DT99:ER100"/>
    <mergeCell ref="DT65:ER66"/>
    <mergeCell ref="DT135:ER136"/>
    <mergeCell ref="DT137:ER138"/>
    <mergeCell ref="DT139:ER140"/>
    <mergeCell ref="DT141:ER142"/>
    <mergeCell ref="DT143:ER144"/>
    <mergeCell ref="DT145:ER146"/>
    <mergeCell ref="DT147:ER148"/>
    <mergeCell ref="DT149:ER150"/>
    <mergeCell ref="DT151:ER152"/>
    <mergeCell ref="DT157:ER158"/>
    <mergeCell ref="DT159:ER160"/>
    <mergeCell ref="DT161:ER162"/>
    <mergeCell ref="DT163:ER164"/>
    <mergeCell ref="DT165:ER166"/>
    <mergeCell ref="DT167:ER168"/>
    <mergeCell ref="DT93:ER94"/>
  </mergeCells>
  <conditionalFormatting sqref="DA18:DC19 DI18:DK19">
    <cfRule type="expression" dxfId="1" priority="1">
      <formula>IF($CL$18="",TRUE,FALSE)</formula>
    </cfRule>
  </conditionalFormatting>
  <conditionalFormatting sqref="EH18:EJ19 EP18:ER19">
    <cfRule type="expression" dxfId="0" priority="1709">
      <formula>IF($DS$18="",TRUE,FALSE)</formula>
    </cfRule>
  </conditionalFormatting>
  <printOptions horizontalCentered="1"/>
  <pageMargins left="0.15748031496062992" right="0.15748031496062992" top="0.15748031496062992" bottom="0.15748031496062992" header="0" footer="0"/>
  <pageSetup scale="3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DL243"/>
  <sheetViews>
    <sheetView showGridLines="0" showRowColHeaders="0" tabSelected="1" showOutlineSymbols="0" topLeftCell="A154" zoomScaleNormal="100" zoomScaleSheetLayoutView="69" workbookViewId="0">
      <selection activeCell="AI62" sqref="AI62:BN63"/>
    </sheetView>
  </sheetViews>
  <sheetFormatPr defaultColWidth="0" defaultRowHeight="12" customHeight="1" x14ac:dyDescent="0.2"/>
  <cols>
    <col min="1" max="1" width="1" style="6" customWidth="1"/>
    <col min="2" max="33" width="2.5703125" style="6" customWidth="1"/>
    <col min="34" max="34" width="2.5703125" style="410" customWidth="1"/>
    <col min="35" max="66" width="2.5703125" style="6" customWidth="1"/>
    <col min="67" max="67" width="2.5703125" style="410" customWidth="1"/>
    <col min="68" max="99" width="2.5703125" style="6" customWidth="1"/>
    <col min="100" max="100" width="1" style="6" customWidth="1"/>
    <col min="101" max="101" width="2.5703125" style="6" customWidth="1"/>
    <col min="102" max="16384" width="2.5703125" style="6" hidden="1"/>
  </cols>
  <sheetData>
    <row r="1" spans="1:100" s="1" customFormat="1" ht="5.25" customHeight="1" x14ac:dyDescent="0.2">
      <c r="A1" s="2"/>
      <c r="B1" s="40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408"/>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407"/>
      <c r="BN1" s="407"/>
      <c r="BO1" s="407"/>
      <c r="BP1" s="407"/>
      <c r="BQ1" s="407"/>
      <c r="BR1" s="407"/>
      <c r="BS1" s="407"/>
      <c r="BT1" s="407"/>
      <c r="BU1" s="407"/>
      <c r="BV1" s="407"/>
      <c r="BW1" s="407"/>
      <c r="BX1" s="407"/>
      <c r="BY1" s="407"/>
      <c r="BZ1" s="2"/>
      <c r="CA1" s="407"/>
      <c r="CB1" s="2"/>
      <c r="CC1" s="2"/>
      <c r="CD1" s="2"/>
      <c r="CE1" s="2"/>
      <c r="CF1" s="2"/>
      <c r="CG1" s="2"/>
      <c r="CH1" s="2"/>
      <c r="CI1" s="2"/>
      <c r="CJ1" s="2"/>
      <c r="CK1" s="2"/>
      <c r="CL1" s="2"/>
      <c r="CM1" s="2"/>
      <c r="CN1" s="2"/>
      <c r="CO1" s="2"/>
      <c r="CP1" s="407"/>
      <c r="CQ1" s="407"/>
      <c r="CR1" s="407"/>
      <c r="CS1" s="407"/>
      <c r="CT1" s="407"/>
      <c r="CU1" s="407"/>
      <c r="CV1" s="407"/>
    </row>
    <row r="2" spans="1:100" s="1" customFormat="1" ht="12" customHeight="1" x14ac:dyDescent="0.2">
      <c r="A2" s="2"/>
      <c r="B2" s="1274" t="s">
        <v>2976</v>
      </c>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6"/>
      <c r="AH2" s="408"/>
      <c r="AI2" s="997" t="s">
        <v>2727</v>
      </c>
      <c r="AJ2" s="997"/>
      <c r="AK2" s="997"/>
      <c r="AL2" s="997"/>
      <c r="AM2" s="997"/>
      <c r="AN2" s="997"/>
      <c r="AO2" s="997"/>
      <c r="AP2" s="997"/>
      <c r="AQ2" s="997"/>
      <c r="AR2" s="997"/>
      <c r="AS2" s="997"/>
      <c r="AT2" s="997"/>
      <c r="AU2" s="997"/>
      <c r="AV2" s="997"/>
      <c r="AW2" s="997"/>
      <c r="AX2" s="997"/>
      <c r="AY2" s="997"/>
      <c r="AZ2" s="997"/>
      <c r="BA2" s="997"/>
      <c r="BB2" s="997"/>
      <c r="BC2" s="997"/>
      <c r="BD2" s="997"/>
      <c r="BE2" s="997"/>
      <c r="BF2" s="997"/>
      <c r="BG2" s="997"/>
      <c r="BH2" s="997"/>
      <c r="BI2" s="997"/>
      <c r="BJ2" s="997"/>
      <c r="BK2" s="997"/>
      <c r="BL2" s="997"/>
      <c r="BM2" s="997"/>
      <c r="BN2" s="997"/>
      <c r="BO2" s="997"/>
      <c r="BP2" s="997"/>
      <c r="BQ2" s="997"/>
      <c r="BR2" s="997"/>
      <c r="BS2" s="997"/>
      <c r="BT2" s="997"/>
      <c r="BU2" s="997"/>
      <c r="BV2" s="997"/>
      <c r="BW2" s="997"/>
      <c r="BX2" s="997"/>
      <c r="BY2" s="997"/>
      <c r="BZ2" s="997"/>
      <c r="CA2" s="997"/>
      <c r="CB2" s="997"/>
      <c r="CC2" s="997"/>
      <c r="CD2" s="997"/>
      <c r="CE2" s="997"/>
      <c r="CF2" s="997"/>
      <c r="CG2" s="997"/>
      <c r="CH2" s="997"/>
      <c r="CI2" s="997"/>
      <c r="CJ2" s="997"/>
      <c r="CK2" s="997"/>
      <c r="CL2" s="997"/>
      <c r="CM2" s="997"/>
      <c r="CN2" s="997"/>
      <c r="CO2" s="997"/>
      <c r="CP2" s="997"/>
      <c r="CQ2" s="997"/>
      <c r="CR2" s="997"/>
      <c r="CS2" s="997"/>
      <c r="CT2" s="997"/>
      <c r="CU2" s="1433"/>
      <c r="CV2" s="407"/>
    </row>
    <row r="3" spans="1:100" s="1" customFormat="1" ht="12" customHeight="1" x14ac:dyDescent="0.2">
      <c r="A3" s="2"/>
      <c r="B3" s="1430"/>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431"/>
      <c r="AF3" s="1431"/>
      <c r="AG3" s="1432"/>
      <c r="AH3" s="408"/>
      <c r="AI3" s="997"/>
      <c r="AJ3" s="997"/>
      <c r="AK3" s="997"/>
      <c r="AL3" s="997"/>
      <c r="AM3" s="997"/>
      <c r="AN3" s="997"/>
      <c r="AO3" s="997"/>
      <c r="AP3" s="997"/>
      <c r="AQ3" s="997"/>
      <c r="AR3" s="997"/>
      <c r="AS3" s="997"/>
      <c r="AT3" s="997"/>
      <c r="AU3" s="997"/>
      <c r="AV3" s="997"/>
      <c r="AW3" s="997"/>
      <c r="AX3" s="997"/>
      <c r="AY3" s="997"/>
      <c r="AZ3" s="997"/>
      <c r="BA3" s="997"/>
      <c r="BB3" s="997"/>
      <c r="BC3" s="997"/>
      <c r="BD3" s="997"/>
      <c r="BE3" s="997"/>
      <c r="BF3" s="997"/>
      <c r="BG3" s="997"/>
      <c r="BH3" s="997"/>
      <c r="BI3" s="997"/>
      <c r="BJ3" s="997"/>
      <c r="BK3" s="997"/>
      <c r="BL3" s="997"/>
      <c r="BM3" s="997"/>
      <c r="BN3" s="997"/>
      <c r="BO3" s="997"/>
      <c r="BP3" s="997"/>
      <c r="BQ3" s="997"/>
      <c r="BR3" s="997"/>
      <c r="BS3" s="997"/>
      <c r="BT3" s="997"/>
      <c r="BU3" s="997"/>
      <c r="BV3" s="997"/>
      <c r="BW3" s="997"/>
      <c r="BX3" s="997"/>
      <c r="BY3" s="997"/>
      <c r="BZ3" s="997"/>
      <c r="CA3" s="997"/>
      <c r="CB3" s="997"/>
      <c r="CC3" s="997"/>
      <c r="CD3" s="997"/>
      <c r="CE3" s="997"/>
      <c r="CF3" s="997"/>
      <c r="CG3" s="997"/>
      <c r="CH3" s="997"/>
      <c r="CI3" s="997"/>
      <c r="CJ3" s="997"/>
      <c r="CK3" s="997"/>
      <c r="CL3" s="997"/>
      <c r="CM3" s="997"/>
      <c r="CN3" s="997"/>
      <c r="CO3" s="997"/>
      <c r="CP3" s="997"/>
      <c r="CQ3" s="997"/>
      <c r="CR3" s="997"/>
      <c r="CS3" s="997"/>
      <c r="CT3" s="997"/>
      <c r="CU3" s="1433"/>
      <c r="CV3" s="407"/>
    </row>
    <row r="4" spans="1:100" s="1" customFormat="1" ht="12" customHeight="1" x14ac:dyDescent="0.2">
      <c r="A4" s="2"/>
      <c r="B4" s="1443"/>
      <c r="C4" s="1444"/>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5"/>
      <c r="AH4" s="1437"/>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43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288"/>
      <c r="CV4" s="407"/>
    </row>
    <row r="5" spans="1:100" s="1" customFormat="1" ht="12" customHeight="1" x14ac:dyDescent="0.2">
      <c r="A5" s="2"/>
      <c r="B5" s="1446"/>
      <c r="C5" s="1437"/>
      <c r="D5" s="1437"/>
      <c r="E5" s="1437"/>
      <c r="F5" s="1437"/>
      <c r="G5" s="1437"/>
      <c r="H5" s="1437"/>
      <c r="I5" s="1437"/>
      <c r="J5" s="1437"/>
      <c r="K5" s="1437"/>
      <c r="L5" s="1437"/>
      <c r="M5" s="1437"/>
      <c r="N5" s="1437"/>
      <c r="O5" s="1437"/>
      <c r="P5" s="1437"/>
      <c r="Q5" s="1437"/>
      <c r="R5" s="1437"/>
      <c r="S5" s="1437"/>
      <c r="T5" s="1437"/>
      <c r="U5" s="1437"/>
      <c r="V5" s="1437"/>
      <c r="W5" s="1437"/>
      <c r="X5" s="1437"/>
      <c r="Y5" s="1437"/>
      <c r="Z5" s="1437"/>
      <c r="AA5" s="1437"/>
      <c r="AB5" s="1437"/>
      <c r="AC5" s="1437"/>
      <c r="AD5" s="1437"/>
      <c r="AE5" s="1437"/>
      <c r="AF5" s="1437"/>
      <c r="AG5" s="1447"/>
      <c r="AH5" s="1437"/>
      <c r="AI5" s="1289"/>
      <c r="AJ5" s="1289"/>
      <c r="AK5" s="1289"/>
      <c r="AL5" s="1289"/>
      <c r="AM5" s="1289"/>
      <c r="AN5" s="1289"/>
      <c r="AO5" s="1289"/>
      <c r="AP5" s="1289"/>
      <c r="AQ5" s="1289"/>
      <c r="AR5" s="1289"/>
      <c r="AS5" s="1289"/>
      <c r="AT5" s="1289"/>
      <c r="AU5" s="1289"/>
      <c r="AV5" s="1289"/>
      <c r="AW5" s="1289"/>
      <c r="AX5" s="1289"/>
      <c r="AY5" s="1289"/>
      <c r="AZ5" s="1289"/>
      <c r="BA5" s="1289"/>
      <c r="BB5" s="1289"/>
      <c r="BC5" s="1289"/>
      <c r="BD5" s="1289"/>
      <c r="BE5" s="1289"/>
      <c r="BF5" s="1289"/>
      <c r="BG5" s="1289"/>
      <c r="BH5" s="1289"/>
      <c r="BI5" s="1289"/>
      <c r="BJ5" s="1289"/>
      <c r="BK5" s="1289"/>
      <c r="BL5" s="1289"/>
      <c r="BM5" s="1289"/>
      <c r="BN5" s="1289"/>
      <c r="BO5" s="1438"/>
      <c r="BP5" s="1289"/>
      <c r="BQ5" s="1289"/>
      <c r="BR5" s="1289"/>
      <c r="BS5" s="1289"/>
      <c r="BT5" s="1289"/>
      <c r="BU5" s="1289"/>
      <c r="BV5" s="1289"/>
      <c r="BW5" s="1289"/>
      <c r="BX5" s="1289"/>
      <c r="BY5" s="1289"/>
      <c r="BZ5" s="1289"/>
      <c r="CA5" s="1289"/>
      <c r="CB5" s="1289"/>
      <c r="CC5" s="1289"/>
      <c r="CD5" s="1289"/>
      <c r="CE5" s="1289"/>
      <c r="CF5" s="1289"/>
      <c r="CG5" s="1289"/>
      <c r="CH5" s="1289"/>
      <c r="CI5" s="1289"/>
      <c r="CJ5" s="1289"/>
      <c r="CK5" s="1289"/>
      <c r="CL5" s="1289"/>
      <c r="CM5" s="1289"/>
      <c r="CN5" s="1289"/>
      <c r="CO5" s="1289"/>
      <c r="CP5" s="1289"/>
      <c r="CQ5" s="1289"/>
      <c r="CR5" s="1289"/>
      <c r="CS5" s="1289"/>
      <c r="CT5" s="1289"/>
      <c r="CU5" s="1289"/>
      <c r="CV5" s="407"/>
    </row>
    <row r="6" spans="1:100" s="1" customFormat="1" ht="12" customHeight="1" x14ac:dyDescent="0.2">
      <c r="A6" s="2"/>
      <c r="B6" s="1446"/>
      <c r="C6" s="1437"/>
      <c r="D6" s="1437"/>
      <c r="E6" s="1437"/>
      <c r="F6" s="1437"/>
      <c r="G6" s="1437"/>
      <c r="H6" s="1437"/>
      <c r="I6" s="1437"/>
      <c r="J6" s="1437"/>
      <c r="K6" s="1437"/>
      <c r="L6" s="1437"/>
      <c r="M6" s="1437"/>
      <c r="N6" s="1437"/>
      <c r="O6" s="1437"/>
      <c r="P6" s="1437"/>
      <c r="Q6" s="1437"/>
      <c r="R6" s="1437"/>
      <c r="S6" s="1437"/>
      <c r="T6" s="1437"/>
      <c r="U6" s="1437"/>
      <c r="V6" s="1437"/>
      <c r="W6" s="1437"/>
      <c r="X6" s="1437"/>
      <c r="Y6" s="1437"/>
      <c r="Z6" s="1437"/>
      <c r="AA6" s="1437"/>
      <c r="AB6" s="1437"/>
      <c r="AC6" s="1437"/>
      <c r="AD6" s="1437"/>
      <c r="AE6" s="1437"/>
      <c r="AF6" s="1437"/>
      <c r="AG6" s="1447"/>
      <c r="AH6" s="1437"/>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43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88"/>
      <c r="CM6" s="1288"/>
      <c r="CN6" s="1288"/>
      <c r="CO6" s="1288"/>
      <c r="CP6" s="1288"/>
      <c r="CQ6" s="1288"/>
      <c r="CR6" s="1288"/>
      <c r="CS6" s="1288"/>
      <c r="CT6" s="1288"/>
      <c r="CU6" s="1288"/>
      <c r="CV6" s="407"/>
    </row>
    <row r="7" spans="1:100" s="1" customFormat="1" ht="12" customHeight="1" x14ac:dyDescent="0.2">
      <c r="A7" s="2"/>
      <c r="B7" s="1446"/>
      <c r="C7" s="1437"/>
      <c r="D7" s="1437"/>
      <c r="E7" s="1437"/>
      <c r="F7" s="1437"/>
      <c r="G7" s="1437"/>
      <c r="H7" s="1437"/>
      <c r="I7" s="1437"/>
      <c r="J7" s="1437"/>
      <c r="K7" s="1437"/>
      <c r="L7" s="1437"/>
      <c r="M7" s="1437"/>
      <c r="N7" s="1437"/>
      <c r="O7" s="1437"/>
      <c r="P7" s="1437"/>
      <c r="Q7" s="1437"/>
      <c r="R7" s="1437"/>
      <c r="S7" s="1437"/>
      <c r="T7" s="1437"/>
      <c r="U7" s="1437"/>
      <c r="V7" s="1437"/>
      <c r="W7" s="1437"/>
      <c r="X7" s="1437"/>
      <c r="Y7" s="1437"/>
      <c r="Z7" s="1437"/>
      <c r="AA7" s="1437"/>
      <c r="AB7" s="1437"/>
      <c r="AC7" s="1437"/>
      <c r="AD7" s="1437"/>
      <c r="AE7" s="1437"/>
      <c r="AF7" s="1437"/>
      <c r="AG7" s="1447"/>
      <c r="AH7" s="1437"/>
      <c r="AI7" s="1289"/>
      <c r="AJ7" s="1289"/>
      <c r="AK7" s="1289"/>
      <c r="AL7" s="1289"/>
      <c r="AM7" s="1289"/>
      <c r="AN7" s="1289"/>
      <c r="AO7" s="1289"/>
      <c r="AP7" s="1289"/>
      <c r="AQ7" s="1289"/>
      <c r="AR7" s="1289"/>
      <c r="AS7" s="1289"/>
      <c r="AT7" s="1289"/>
      <c r="AU7" s="1289"/>
      <c r="AV7" s="1289"/>
      <c r="AW7" s="1289"/>
      <c r="AX7" s="1289"/>
      <c r="AY7" s="1289"/>
      <c r="AZ7" s="1289"/>
      <c r="BA7" s="1289"/>
      <c r="BB7" s="1289"/>
      <c r="BC7" s="1289"/>
      <c r="BD7" s="1289"/>
      <c r="BE7" s="1289"/>
      <c r="BF7" s="1289"/>
      <c r="BG7" s="1289"/>
      <c r="BH7" s="1289"/>
      <c r="BI7" s="1289"/>
      <c r="BJ7" s="1289"/>
      <c r="BK7" s="1289"/>
      <c r="BL7" s="1289"/>
      <c r="BM7" s="1289"/>
      <c r="BN7" s="1289"/>
      <c r="BO7" s="1438"/>
      <c r="BP7" s="1289"/>
      <c r="BQ7" s="1289"/>
      <c r="BR7" s="1289"/>
      <c r="BS7" s="1289"/>
      <c r="BT7" s="1289"/>
      <c r="BU7" s="1289"/>
      <c r="BV7" s="1289"/>
      <c r="BW7" s="1289"/>
      <c r="BX7" s="1289"/>
      <c r="BY7" s="1289"/>
      <c r="BZ7" s="1289"/>
      <c r="CA7" s="1289"/>
      <c r="CB7" s="1289"/>
      <c r="CC7" s="1289"/>
      <c r="CD7" s="1289"/>
      <c r="CE7" s="1289"/>
      <c r="CF7" s="1289"/>
      <c r="CG7" s="1289"/>
      <c r="CH7" s="1289"/>
      <c r="CI7" s="1289"/>
      <c r="CJ7" s="1289"/>
      <c r="CK7" s="1289"/>
      <c r="CL7" s="1289"/>
      <c r="CM7" s="1289"/>
      <c r="CN7" s="1289"/>
      <c r="CO7" s="1289"/>
      <c r="CP7" s="1289"/>
      <c r="CQ7" s="1289"/>
      <c r="CR7" s="1289"/>
      <c r="CS7" s="1289"/>
      <c r="CT7" s="1289"/>
      <c r="CU7" s="1289"/>
      <c r="CV7" s="407"/>
    </row>
    <row r="8" spans="1:100" s="1" customFormat="1" ht="12" customHeight="1" x14ac:dyDescent="0.2">
      <c r="A8" s="2"/>
      <c r="B8" s="1446"/>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47"/>
      <c r="AH8" s="1437"/>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88"/>
      <c r="BE8" s="1288"/>
      <c r="BF8" s="1288"/>
      <c r="BG8" s="1288"/>
      <c r="BH8" s="1288"/>
      <c r="BI8" s="1288"/>
      <c r="BJ8" s="1288"/>
      <c r="BK8" s="1288"/>
      <c r="BL8" s="1288"/>
      <c r="BM8" s="1288"/>
      <c r="BN8" s="1288"/>
      <c r="BO8" s="1438"/>
      <c r="BP8" s="1288"/>
      <c r="BQ8" s="1288"/>
      <c r="BR8" s="1288"/>
      <c r="BS8" s="1288"/>
      <c r="BT8" s="1288"/>
      <c r="BU8" s="1288"/>
      <c r="BV8" s="1288"/>
      <c r="BW8" s="1288"/>
      <c r="BX8" s="1288"/>
      <c r="BY8" s="1288"/>
      <c r="BZ8" s="1288"/>
      <c r="CA8" s="1288"/>
      <c r="CB8" s="1288"/>
      <c r="CC8" s="1288"/>
      <c r="CD8" s="1288"/>
      <c r="CE8" s="1288"/>
      <c r="CF8" s="1288"/>
      <c r="CG8" s="1288"/>
      <c r="CH8" s="1288"/>
      <c r="CI8" s="1288"/>
      <c r="CJ8" s="1288"/>
      <c r="CK8" s="1288"/>
      <c r="CL8" s="1288"/>
      <c r="CM8" s="1288"/>
      <c r="CN8" s="1288"/>
      <c r="CO8" s="1288"/>
      <c r="CP8" s="1288"/>
      <c r="CQ8" s="1288"/>
      <c r="CR8" s="1288"/>
      <c r="CS8" s="1288"/>
      <c r="CT8" s="1288"/>
      <c r="CU8" s="1288"/>
      <c r="CV8" s="407"/>
    </row>
    <row r="9" spans="1:100" s="1" customFormat="1" ht="12" customHeight="1" x14ac:dyDescent="0.2">
      <c r="A9" s="2"/>
      <c r="B9" s="1446"/>
      <c r="C9" s="1437"/>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7"/>
      <c r="AB9" s="1437"/>
      <c r="AC9" s="1437"/>
      <c r="AD9" s="1437"/>
      <c r="AE9" s="1437"/>
      <c r="AF9" s="1437"/>
      <c r="AG9" s="1447"/>
      <c r="AH9" s="1437"/>
      <c r="AI9" s="1289"/>
      <c r="AJ9" s="1289"/>
      <c r="AK9" s="1289"/>
      <c r="AL9" s="1289"/>
      <c r="AM9" s="1289"/>
      <c r="AN9" s="1289"/>
      <c r="AO9" s="1289"/>
      <c r="AP9" s="1289"/>
      <c r="AQ9" s="1289"/>
      <c r="AR9" s="1289"/>
      <c r="AS9" s="1289"/>
      <c r="AT9" s="1289"/>
      <c r="AU9" s="1289"/>
      <c r="AV9" s="1289"/>
      <c r="AW9" s="1289"/>
      <c r="AX9" s="1289"/>
      <c r="AY9" s="1289"/>
      <c r="AZ9" s="1289"/>
      <c r="BA9" s="1289"/>
      <c r="BB9" s="1289"/>
      <c r="BC9" s="1289"/>
      <c r="BD9" s="1289"/>
      <c r="BE9" s="1289"/>
      <c r="BF9" s="1289"/>
      <c r="BG9" s="1289"/>
      <c r="BH9" s="1289"/>
      <c r="BI9" s="1289"/>
      <c r="BJ9" s="1289"/>
      <c r="BK9" s="1289"/>
      <c r="BL9" s="1289"/>
      <c r="BM9" s="1289"/>
      <c r="BN9" s="1289"/>
      <c r="BO9" s="1438"/>
      <c r="BP9" s="1289"/>
      <c r="BQ9" s="1289"/>
      <c r="BR9" s="1289"/>
      <c r="BS9" s="1289"/>
      <c r="BT9" s="1289"/>
      <c r="BU9" s="1289"/>
      <c r="BV9" s="1289"/>
      <c r="BW9" s="1289"/>
      <c r="BX9" s="1289"/>
      <c r="BY9" s="1289"/>
      <c r="BZ9" s="1289"/>
      <c r="CA9" s="1289"/>
      <c r="CB9" s="1289"/>
      <c r="CC9" s="1289"/>
      <c r="CD9" s="1289"/>
      <c r="CE9" s="1289"/>
      <c r="CF9" s="1289"/>
      <c r="CG9" s="1289"/>
      <c r="CH9" s="1289"/>
      <c r="CI9" s="1289"/>
      <c r="CJ9" s="1289"/>
      <c r="CK9" s="1289"/>
      <c r="CL9" s="1289"/>
      <c r="CM9" s="1289"/>
      <c r="CN9" s="1289"/>
      <c r="CO9" s="1289"/>
      <c r="CP9" s="1289"/>
      <c r="CQ9" s="1289"/>
      <c r="CR9" s="1289"/>
      <c r="CS9" s="1289"/>
      <c r="CT9" s="1289"/>
      <c r="CU9" s="1289"/>
      <c r="CV9" s="407"/>
    </row>
    <row r="10" spans="1:100" s="1" customFormat="1" ht="12" customHeight="1" x14ac:dyDescent="0.2">
      <c r="A10" s="2"/>
      <c r="B10" s="1446"/>
      <c r="C10" s="1437"/>
      <c r="D10" s="1437"/>
      <c r="E10" s="1437"/>
      <c r="F10" s="1437"/>
      <c r="G10" s="1437"/>
      <c r="H10" s="1437"/>
      <c r="I10" s="1437"/>
      <c r="J10" s="1437"/>
      <c r="K10" s="1437"/>
      <c r="L10" s="1437"/>
      <c r="M10" s="1437"/>
      <c r="N10" s="1437"/>
      <c r="O10" s="1437"/>
      <c r="P10" s="1437"/>
      <c r="Q10" s="1437"/>
      <c r="R10" s="1437"/>
      <c r="S10" s="1437"/>
      <c r="T10" s="1437"/>
      <c r="U10" s="1437"/>
      <c r="V10" s="1437"/>
      <c r="W10" s="1437"/>
      <c r="X10" s="1437"/>
      <c r="Y10" s="1437"/>
      <c r="Z10" s="1437"/>
      <c r="AA10" s="1437"/>
      <c r="AB10" s="1437"/>
      <c r="AC10" s="1437"/>
      <c r="AD10" s="1437"/>
      <c r="AE10" s="1437"/>
      <c r="AF10" s="1437"/>
      <c r="AG10" s="1447"/>
      <c r="AH10" s="1437"/>
      <c r="AI10" s="1288"/>
      <c r="AJ10" s="1288"/>
      <c r="AK10" s="1288"/>
      <c r="AL10" s="1288"/>
      <c r="AM10" s="1288"/>
      <c r="AN10" s="1288"/>
      <c r="AO10" s="1288"/>
      <c r="AP10" s="1288"/>
      <c r="AQ10" s="1288"/>
      <c r="AR10" s="1288"/>
      <c r="AS10" s="1288"/>
      <c r="AT10" s="1288"/>
      <c r="AU10" s="1288"/>
      <c r="AV10" s="1288"/>
      <c r="AW10" s="1288"/>
      <c r="AX10" s="1288"/>
      <c r="AY10" s="1288"/>
      <c r="AZ10" s="1288"/>
      <c r="BA10" s="1288"/>
      <c r="BB10" s="1288"/>
      <c r="BC10" s="1288"/>
      <c r="BD10" s="1288"/>
      <c r="BE10" s="1288"/>
      <c r="BF10" s="1288"/>
      <c r="BG10" s="1288"/>
      <c r="BH10" s="1288"/>
      <c r="BI10" s="1288"/>
      <c r="BJ10" s="1288"/>
      <c r="BK10" s="1288"/>
      <c r="BL10" s="1288"/>
      <c r="BM10" s="1288"/>
      <c r="BN10" s="1288"/>
      <c r="BO10" s="1438"/>
      <c r="BP10" s="1288"/>
      <c r="BQ10" s="1288"/>
      <c r="BR10" s="1288"/>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3"/>
    </row>
    <row r="11" spans="1:100" s="1" customFormat="1" ht="12" customHeight="1" x14ac:dyDescent="0.2">
      <c r="A11" s="2"/>
      <c r="B11" s="1446"/>
      <c r="C11" s="1437"/>
      <c r="D11" s="1437"/>
      <c r="E11" s="1437"/>
      <c r="F11" s="1437"/>
      <c r="G11" s="1437"/>
      <c r="H11" s="1437"/>
      <c r="I11" s="1437"/>
      <c r="J11" s="1437"/>
      <c r="K11" s="1437"/>
      <c r="L11" s="1437"/>
      <c r="M11" s="1437"/>
      <c r="N11" s="1437"/>
      <c r="O11" s="1437"/>
      <c r="P11" s="1437"/>
      <c r="Q11" s="1437"/>
      <c r="R11" s="1437"/>
      <c r="S11" s="1437"/>
      <c r="T11" s="1437"/>
      <c r="U11" s="1437"/>
      <c r="V11" s="1437"/>
      <c r="W11" s="1437"/>
      <c r="X11" s="1437"/>
      <c r="Y11" s="1437"/>
      <c r="Z11" s="1437"/>
      <c r="AA11" s="1437"/>
      <c r="AB11" s="1437"/>
      <c r="AC11" s="1437"/>
      <c r="AD11" s="1437"/>
      <c r="AE11" s="1437"/>
      <c r="AF11" s="1437"/>
      <c r="AG11" s="1447"/>
      <c r="AH11" s="1437"/>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438"/>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71"/>
    </row>
    <row r="12" spans="1:100" s="1" customFormat="1" ht="12" customHeight="1" x14ac:dyDescent="0.2">
      <c r="A12" s="2"/>
      <c r="B12" s="1446"/>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47"/>
      <c r="AH12" s="1437"/>
      <c r="AI12" s="1288"/>
      <c r="AJ12" s="1288"/>
      <c r="AK12" s="1288"/>
      <c r="AL12" s="1288"/>
      <c r="AM12" s="1288"/>
      <c r="AN12" s="1288"/>
      <c r="AO12" s="1288"/>
      <c r="AP12" s="1288"/>
      <c r="AQ12" s="1288"/>
      <c r="AR12" s="1288"/>
      <c r="AS12" s="1288"/>
      <c r="AT12" s="1288"/>
      <c r="AU12" s="1288"/>
      <c r="AV12" s="1288"/>
      <c r="AW12" s="1288"/>
      <c r="AX12" s="1288"/>
      <c r="AY12" s="1288"/>
      <c r="AZ12" s="1288"/>
      <c r="BA12" s="1288"/>
      <c r="BB12" s="1288"/>
      <c r="BC12" s="1288"/>
      <c r="BD12" s="1288"/>
      <c r="BE12" s="1288"/>
      <c r="BF12" s="1288"/>
      <c r="BG12" s="1288"/>
      <c r="BH12" s="1288"/>
      <c r="BI12" s="1288"/>
      <c r="BJ12" s="1288"/>
      <c r="BK12" s="1288"/>
      <c r="BL12" s="1288"/>
      <c r="BM12" s="1288"/>
      <c r="BN12" s="1288"/>
      <c r="BO12" s="1438"/>
      <c r="BP12" s="1288"/>
      <c r="BQ12" s="1288"/>
      <c r="BR12" s="1288"/>
      <c r="BS12" s="1288"/>
      <c r="BT12" s="1288"/>
      <c r="BU12" s="1288"/>
      <c r="BV12" s="1288"/>
      <c r="BW12" s="1288"/>
      <c r="BX12" s="1288"/>
      <c r="BY12" s="1288"/>
      <c r="BZ12" s="1288"/>
      <c r="CA12" s="1288"/>
      <c r="CB12" s="1288"/>
      <c r="CC12" s="1288"/>
      <c r="CD12" s="1288"/>
      <c r="CE12" s="1288"/>
      <c r="CF12" s="1288"/>
      <c r="CG12" s="1288"/>
      <c r="CH12" s="1288"/>
      <c r="CI12" s="1288"/>
      <c r="CJ12" s="1288"/>
      <c r="CK12" s="1288"/>
      <c r="CL12" s="1288"/>
      <c r="CM12" s="1288"/>
      <c r="CN12" s="1288"/>
      <c r="CO12" s="1288"/>
      <c r="CP12" s="1288"/>
      <c r="CQ12" s="1288"/>
      <c r="CR12" s="1288"/>
      <c r="CS12" s="1288"/>
      <c r="CT12" s="1288"/>
      <c r="CU12" s="1288"/>
      <c r="CV12" s="171"/>
    </row>
    <row r="13" spans="1:100" s="1" customFormat="1" ht="12" customHeight="1" x14ac:dyDescent="0.2">
      <c r="A13" s="2"/>
      <c r="B13" s="1446"/>
      <c r="C13" s="1437"/>
      <c r="D13" s="1437"/>
      <c r="E13" s="1437"/>
      <c r="F13" s="1437"/>
      <c r="G13" s="1437"/>
      <c r="H13" s="1437"/>
      <c r="I13" s="1437"/>
      <c r="J13" s="1437"/>
      <c r="K13" s="1437"/>
      <c r="L13" s="1437"/>
      <c r="M13" s="1437"/>
      <c r="N13" s="1437"/>
      <c r="O13" s="1437"/>
      <c r="P13" s="1437"/>
      <c r="Q13" s="1437"/>
      <c r="R13" s="1437"/>
      <c r="S13" s="1437"/>
      <c r="T13" s="1437"/>
      <c r="U13" s="1437"/>
      <c r="V13" s="1437"/>
      <c r="W13" s="1437"/>
      <c r="X13" s="1437"/>
      <c r="Y13" s="1437"/>
      <c r="Z13" s="1437"/>
      <c r="AA13" s="1437"/>
      <c r="AB13" s="1437"/>
      <c r="AC13" s="1437"/>
      <c r="AD13" s="1437"/>
      <c r="AE13" s="1437"/>
      <c r="AF13" s="1437"/>
      <c r="AG13" s="1447"/>
      <c r="AH13" s="1437"/>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438"/>
      <c r="BP13" s="1289"/>
      <c r="BQ13" s="1289"/>
      <c r="BR13" s="1289"/>
      <c r="BS13" s="1289"/>
      <c r="BT13" s="1289"/>
      <c r="BU13" s="1289"/>
      <c r="BV13" s="1289"/>
      <c r="BW13" s="1289"/>
      <c r="BX13" s="1289"/>
      <c r="BY13" s="1289"/>
      <c r="BZ13" s="1289"/>
      <c r="CA13" s="1289"/>
      <c r="CB13" s="1289"/>
      <c r="CC13" s="1289"/>
      <c r="CD13" s="1289"/>
      <c r="CE13" s="1289"/>
      <c r="CF13" s="1289"/>
      <c r="CG13" s="1289"/>
      <c r="CH13" s="1289"/>
      <c r="CI13" s="1289"/>
      <c r="CJ13" s="1289"/>
      <c r="CK13" s="1289"/>
      <c r="CL13" s="1289"/>
      <c r="CM13" s="1289"/>
      <c r="CN13" s="1289"/>
      <c r="CO13" s="1289"/>
      <c r="CP13" s="1289"/>
      <c r="CQ13" s="1289"/>
      <c r="CR13" s="1289"/>
      <c r="CS13" s="1289"/>
      <c r="CT13" s="1289"/>
      <c r="CU13" s="1289"/>
      <c r="CV13" s="2"/>
    </row>
    <row r="14" spans="1:100" ht="12" customHeight="1" x14ac:dyDescent="0.2">
      <c r="A14" s="5"/>
      <c r="B14" s="1446"/>
      <c r="C14" s="1437"/>
      <c r="D14" s="1437"/>
      <c r="E14" s="1437"/>
      <c r="F14" s="1437"/>
      <c r="G14" s="1437"/>
      <c r="H14" s="1437"/>
      <c r="I14" s="1437"/>
      <c r="J14" s="1437"/>
      <c r="K14" s="1437"/>
      <c r="L14" s="1437"/>
      <c r="M14" s="1437"/>
      <c r="N14" s="1437"/>
      <c r="O14" s="1437"/>
      <c r="P14" s="1437"/>
      <c r="Q14" s="1437"/>
      <c r="R14" s="1437"/>
      <c r="S14" s="1437"/>
      <c r="T14" s="1437"/>
      <c r="U14" s="1437"/>
      <c r="V14" s="1437"/>
      <c r="W14" s="1437"/>
      <c r="X14" s="1437"/>
      <c r="Y14" s="1437"/>
      <c r="Z14" s="1437"/>
      <c r="AA14" s="1437"/>
      <c r="AB14" s="1437"/>
      <c r="AC14" s="1437"/>
      <c r="AD14" s="1437"/>
      <c r="AE14" s="1437"/>
      <c r="AF14" s="1437"/>
      <c r="AG14" s="1447"/>
      <c r="AH14" s="1437"/>
      <c r="AI14" s="1288"/>
      <c r="AJ14" s="1288"/>
      <c r="AK14" s="1288"/>
      <c r="AL14" s="1288"/>
      <c r="AM14" s="1288"/>
      <c r="AN14" s="1288"/>
      <c r="AO14" s="1288"/>
      <c r="AP14" s="1288"/>
      <c r="AQ14" s="1288"/>
      <c r="AR14" s="1288"/>
      <c r="AS14" s="1288"/>
      <c r="AT14" s="1288"/>
      <c r="AU14" s="1288"/>
      <c r="AV14" s="1288"/>
      <c r="AW14" s="1288"/>
      <c r="AX14" s="1288"/>
      <c r="AY14" s="1288"/>
      <c r="AZ14" s="1288"/>
      <c r="BA14" s="1288"/>
      <c r="BB14" s="1288"/>
      <c r="BC14" s="1288"/>
      <c r="BD14" s="1288"/>
      <c r="BE14" s="1288"/>
      <c r="BF14" s="1288"/>
      <c r="BG14" s="1288"/>
      <c r="BH14" s="1288"/>
      <c r="BI14" s="1288"/>
      <c r="BJ14" s="1288"/>
      <c r="BK14" s="1288"/>
      <c r="BL14" s="1288"/>
      <c r="BM14" s="1288"/>
      <c r="BN14" s="1288"/>
      <c r="BO14" s="1438"/>
      <c r="BP14" s="1288"/>
      <c r="BQ14" s="1288"/>
      <c r="BR14" s="1288"/>
      <c r="BS14" s="1288"/>
      <c r="BT14" s="1288"/>
      <c r="BU14" s="1288"/>
      <c r="BV14" s="1288"/>
      <c r="BW14" s="1288"/>
      <c r="BX14" s="1288"/>
      <c r="BY14" s="1288"/>
      <c r="BZ14" s="1288"/>
      <c r="CA14" s="1288"/>
      <c r="CB14" s="1288"/>
      <c r="CC14" s="1288"/>
      <c r="CD14" s="1288"/>
      <c r="CE14" s="1288"/>
      <c r="CF14" s="1288"/>
      <c r="CG14" s="1288"/>
      <c r="CH14" s="1288"/>
      <c r="CI14" s="1288"/>
      <c r="CJ14" s="1288"/>
      <c r="CK14" s="1288"/>
      <c r="CL14" s="1288"/>
      <c r="CM14" s="1288"/>
      <c r="CN14" s="1288"/>
      <c r="CO14" s="1288"/>
      <c r="CP14" s="1288"/>
      <c r="CQ14" s="1288"/>
      <c r="CR14" s="1288"/>
      <c r="CS14" s="1288"/>
      <c r="CT14" s="1288"/>
      <c r="CU14" s="1288"/>
      <c r="CV14" s="5"/>
    </row>
    <row r="15" spans="1:100" ht="12" customHeight="1" x14ac:dyDescent="0.2">
      <c r="A15" s="5"/>
      <c r="B15" s="1446"/>
      <c r="C15" s="1437"/>
      <c r="D15" s="1437"/>
      <c r="E15" s="1437"/>
      <c r="F15" s="1437"/>
      <c r="G15" s="1437"/>
      <c r="H15" s="1437"/>
      <c r="I15" s="1437"/>
      <c r="J15" s="1437"/>
      <c r="K15" s="1437"/>
      <c r="L15" s="1437"/>
      <c r="M15" s="1437"/>
      <c r="N15" s="1437"/>
      <c r="O15" s="1437"/>
      <c r="P15" s="1437"/>
      <c r="Q15" s="1437"/>
      <c r="R15" s="1437"/>
      <c r="S15" s="1437"/>
      <c r="T15" s="1437"/>
      <c r="U15" s="1437"/>
      <c r="V15" s="1437"/>
      <c r="W15" s="1437"/>
      <c r="X15" s="1437"/>
      <c r="Y15" s="1437"/>
      <c r="Z15" s="1437"/>
      <c r="AA15" s="1437"/>
      <c r="AB15" s="1437"/>
      <c r="AC15" s="1437"/>
      <c r="AD15" s="1437"/>
      <c r="AE15" s="1437"/>
      <c r="AF15" s="1437"/>
      <c r="AG15" s="1447"/>
      <c r="AH15" s="1437"/>
      <c r="AI15" s="1289"/>
      <c r="AJ15" s="1289"/>
      <c r="AK15" s="1289"/>
      <c r="AL15" s="1289"/>
      <c r="AM15" s="1289"/>
      <c r="AN15" s="1289"/>
      <c r="AO15" s="1289"/>
      <c r="AP15" s="1289"/>
      <c r="AQ15" s="1289"/>
      <c r="AR15" s="1289"/>
      <c r="AS15" s="1289"/>
      <c r="AT15" s="1289"/>
      <c r="AU15" s="1289"/>
      <c r="AV15" s="1289"/>
      <c r="AW15" s="1289"/>
      <c r="AX15" s="1289"/>
      <c r="AY15" s="1289"/>
      <c r="AZ15" s="1289"/>
      <c r="BA15" s="1289"/>
      <c r="BB15" s="1289"/>
      <c r="BC15" s="1289"/>
      <c r="BD15" s="1289"/>
      <c r="BE15" s="1289"/>
      <c r="BF15" s="1289"/>
      <c r="BG15" s="1289"/>
      <c r="BH15" s="1289"/>
      <c r="BI15" s="1289"/>
      <c r="BJ15" s="1289"/>
      <c r="BK15" s="1289"/>
      <c r="BL15" s="1289"/>
      <c r="BM15" s="1289"/>
      <c r="BN15" s="1289"/>
      <c r="BO15" s="1438"/>
      <c r="BP15" s="1289"/>
      <c r="BQ15" s="1289"/>
      <c r="BR15" s="1289"/>
      <c r="BS15" s="1289"/>
      <c r="BT15" s="1289"/>
      <c r="BU15" s="1289"/>
      <c r="BV15" s="1289"/>
      <c r="BW15" s="1289"/>
      <c r="BX15" s="1289"/>
      <c r="BY15" s="1289"/>
      <c r="BZ15" s="1289"/>
      <c r="CA15" s="1289"/>
      <c r="CB15" s="1289"/>
      <c r="CC15" s="1289"/>
      <c r="CD15" s="1289"/>
      <c r="CE15" s="1289"/>
      <c r="CF15" s="1289"/>
      <c r="CG15" s="1289"/>
      <c r="CH15" s="1289"/>
      <c r="CI15" s="1289"/>
      <c r="CJ15" s="1289"/>
      <c r="CK15" s="1289"/>
      <c r="CL15" s="1289"/>
      <c r="CM15" s="1289"/>
      <c r="CN15" s="1289"/>
      <c r="CO15" s="1289"/>
      <c r="CP15" s="1289"/>
      <c r="CQ15" s="1289"/>
      <c r="CR15" s="1289"/>
      <c r="CS15" s="1289"/>
      <c r="CT15" s="1289"/>
      <c r="CU15" s="1289"/>
      <c r="CV15" s="5"/>
    </row>
    <row r="16" spans="1:100" ht="12" customHeight="1" x14ac:dyDescent="0.2">
      <c r="A16" s="5"/>
      <c r="B16" s="1446"/>
      <c r="C16" s="1437"/>
      <c r="D16" s="1437"/>
      <c r="E16" s="1437"/>
      <c r="F16" s="1437"/>
      <c r="G16" s="1437"/>
      <c r="H16" s="1437"/>
      <c r="I16" s="1437"/>
      <c r="J16" s="1437"/>
      <c r="K16" s="1437"/>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47"/>
      <c r="AH16" s="1437"/>
      <c r="AI16" s="1288"/>
      <c r="AJ16" s="1288"/>
      <c r="AK16" s="1288"/>
      <c r="AL16" s="1288"/>
      <c r="AM16" s="1288"/>
      <c r="AN16" s="1288"/>
      <c r="AO16" s="1288"/>
      <c r="AP16" s="1288"/>
      <c r="AQ16" s="1288"/>
      <c r="AR16" s="1288"/>
      <c r="AS16" s="1288"/>
      <c r="AT16" s="1288"/>
      <c r="AU16" s="1288"/>
      <c r="AV16" s="1288"/>
      <c r="AW16" s="1288"/>
      <c r="AX16" s="1288"/>
      <c r="AY16" s="1288"/>
      <c r="AZ16" s="1288"/>
      <c r="BA16" s="1288"/>
      <c r="BB16" s="1288"/>
      <c r="BC16" s="1288"/>
      <c r="BD16" s="1288"/>
      <c r="BE16" s="1288"/>
      <c r="BF16" s="1288"/>
      <c r="BG16" s="1288"/>
      <c r="BH16" s="1288"/>
      <c r="BI16" s="1288"/>
      <c r="BJ16" s="1288"/>
      <c r="BK16" s="1288"/>
      <c r="BL16" s="1288"/>
      <c r="BM16" s="1288"/>
      <c r="BN16" s="1288"/>
      <c r="BO16" s="1438"/>
      <c r="BP16" s="1288"/>
      <c r="BQ16" s="1288"/>
      <c r="BR16" s="1288"/>
      <c r="BS16" s="1288"/>
      <c r="BT16" s="1288"/>
      <c r="BU16" s="1288"/>
      <c r="BV16" s="1288"/>
      <c r="BW16" s="1288"/>
      <c r="BX16" s="1288"/>
      <c r="BY16" s="1288"/>
      <c r="BZ16" s="1288"/>
      <c r="CA16" s="1288"/>
      <c r="CB16" s="1288"/>
      <c r="CC16" s="1288"/>
      <c r="CD16" s="1288"/>
      <c r="CE16" s="1288"/>
      <c r="CF16" s="1288"/>
      <c r="CG16" s="1288"/>
      <c r="CH16" s="1288"/>
      <c r="CI16" s="1288"/>
      <c r="CJ16" s="1288"/>
      <c r="CK16" s="1288"/>
      <c r="CL16" s="1288"/>
      <c r="CM16" s="1288"/>
      <c r="CN16" s="1288"/>
      <c r="CO16" s="1288"/>
      <c r="CP16" s="1288"/>
      <c r="CQ16" s="1288"/>
      <c r="CR16" s="1288"/>
      <c r="CS16" s="1288"/>
      <c r="CT16" s="1288"/>
      <c r="CU16" s="1288"/>
      <c r="CV16" s="5"/>
    </row>
    <row r="17" spans="1:116" ht="12" customHeight="1" x14ac:dyDescent="0.2">
      <c r="A17" s="5"/>
      <c r="B17" s="1446"/>
      <c r="C17" s="1437"/>
      <c r="D17" s="1437"/>
      <c r="E17" s="1437"/>
      <c r="F17" s="1437"/>
      <c r="G17" s="1437"/>
      <c r="H17" s="1437"/>
      <c r="I17" s="1437"/>
      <c r="J17" s="1437"/>
      <c r="K17" s="1437"/>
      <c r="L17" s="1437"/>
      <c r="M17" s="1437"/>
      <c r="N17" s="1437"/>
      <c r="O17" s="1437"/>
      <c r="P17" s="1437"/>
      <c r="Q17" s="1437"/>
      <c r="R17" s="1437"/>
      <c r="S17" s="1437"/>
      <c r="T17" s="1437"/>
      <c r="U17" s="1437"/>
      <c r="V17" s="1437"/>
      <c r="W17" s="1437"/>
      <c r="X17" s="1437"/>
      <c r="Y17" s="1437"/>
      <c r="Z17" s="1437"/>
      <c r="AA17" s="1437"/>
      <c r="AB17" s="1437"/>
      <c r="AC17" s="1437"/>
      <c r="AD17" s="1437"/>
      <c r="AE17" s="1437"/>
      <c r="AF17" s="1437"/>
      <c r="AG17" s="1447"/>
      <c r="AH17" s="1437"/>
      <c r="AI17" s="1289"/>
      <c r="AJ17" s="1289"/>
      <c r="AK17" s="1289"/>
      <c r="AL17" s="1289"/>
      <c r="AM17" s="1289"/>
      <c r="AN17" s="1289"/>
      <c r="AO17" s="1289"/>
      <c r="AP17" s="1289"/>
      <c r="AQ17" s="1289"/>
      <c r="AR17" s="1289"/>
      <c r="AS17" s="1289"/>
      <c r="AT17" s="1289"/>
      <c r="AU17" s="1289"/>
      <c r="AV17" s="1289"/>
      <c r="AW17" s="1289"/>
      <c r="AX17" s="1289"/>
      <c r="AY17" s="1289"/>
      <c r="AZ17" s="1289"/>
      <c r="BA17" s="1289"/>
      <c r="BB17" s="1289"/>
      <c r="BC17" s="1289"/>
      <c r="BD17" s="1289"/>
      <c r="BE17" s="1289"/>
      <c r="BF17" s="1289"/>
      <c r="BG17" s="1289"/>
      <c r="BH17" s="1289"/>
      <c r="BI17" s="1289"/>
      <c r="BJ17" s="1289"/>
      <c r="BK17" s="1289"/>
      <c r="BL17" s="1289"/>
      <c r="BM17" s="1289"/>
      <c r="BN17" s="1289"/>
      <c r="BO17" s="1438"/>
      <c r="BP17" s="1289"/>
      <c r="BQ17" s="1289"/>
      <c r="BR17" s="1289"/>
      <c r="BS17" s="1289"/>
      <c r="BT17" s="1289"/>
      <c r="BU17" s="1289"/>
      <c r="BV17" s="1289"/>
      <c r="BW17" s="1289"/>
      <c r="BX17" s="1289"/>
      <c r="BY17" s="1289"/>
      <c r="BZ17" s="1289"/>
      <c r="CA17" s="1289"/>
      <c r="CB17" s="1289"/>
      <c r="CC17" s="1289"/>
      <c r="CD17" s="1289"/>
      <c r="CE17" s="1289"/>
      <c r="CF17" s="1289"/>
      <c r="CG17" s="1289"/>
      <c r="CH17" s="1289"/>
      <c r="CI17" s="1289"/>
      <c r="CJ17" s="1289"/>
      <c r="CK17" s="1289"/>
      <c r="CL17" s="1289"/>
      <c r="CM17" s="1289"/>
      <c r="CN17" s="1289"/>
      <c r="CO17" s="1289"/>
      <c r="CP17" s="1289"/>
      <c r="CQ17" s="1289"/>
      <c r="CR17" s="1289"/>
      <c r="CS17" s="1289"/>
      <c r="CT17" s="1289"/>
      <c r="CU17" s="1289"/>
      <c r="CV17" s="5"/>
    </row>
    <row r="18" spans="1:116" ht="12" customHeight="1" x14ac:dyDescent="0.2">
      <c r="A18" s="5"/>
      <c r="B18" s="1446"/>
      <c r="C18" s="1437"/>
      <c r="D18" s="1437"/>
      <c r="E18" s="1437"/>
      <c r="F18" s="1437"/>
      <c r="G18" s="1437"/>
      <c r="H18" s="1437"/>
      <c r="I18" s="1437"/>
      <c r="J18" s="1437"/>
      <c r="K18" s="1437"/>
      <c r="L18" s="1437"/>
      <c r="M18" s="1437"/>
      <c r="N18" s="1437"/>
      <c r="O18" s="1437"/>
      <c r="P18" s="1437"/>
      <c r="Q18" s="1437"/>
      <c r="R18" s="1437"/>
      <c r="S18" s="1437"/>
      <c r="T18" s="1437"/>
      <c r="U18" s="1437"/>
      <c r="V18" s="1437"/>
      <c r="W18" s="1437"/>
      <c r="X18" s="1437"/>
      <c r="Y18" s="1437"/>
      <c r="Z18" s="1437"/>
      <c r="AA18" s="1437"/>
      <c r="AB18" s="1437"/>
      <c r="AC18" s="1437"/>
      <c r="AD18" s="1437"/>
      <c r="AE18" s="1437"/>
      <c r="AF18" s="1437"/>
      <c r="AG18" s="1447"/>
      <c r="AH18" s="1437"/>
      <c r="AI18" s="1288"/>
      <c r="AJ18" s="1288"/>
      <c r="AK18" s="1288"/>
      <c r="AL18" s="1288"/>
      <c r="AM18" s="1288"/>
      <c r="AN18" s="1288"/>
      <c r="AO18" s="1288"/>
      <c r="AP18" s="1288"/>
      <c r="AQ18" s="1288"/>
      <c r="AR18" s="1288"/>
      <c r="AS18" s="1288"/>
      <c r="AT18" s="1288"/>
      <c r="AU18" s="1288"/>
      <c r="AV18" s="1288"/>
      <c r="AW18" s="1288"/>
      <c r="AX18" s="1288"/>
      <c r="AY18" s="1288"/>
      <c r="AZ18" s="1288"/>
      <c r="BA18" s="1288"/>
      <c r="BB18" s="1288"/>
      <c r="BC18" s="1288"/>
      <c r="BD18" s="1288"/>
      <c r="BE18" s="1288"/>
      <c r="BF18" s="1288"/>
      <c r="BG18" s="1288"/>
      <c r="BH18" s="1288"/>
      <c r="BI18" s="1288"/>
      <c r="BJ18" s="1288"/>
      <c r="BK18" s="1288"/>
      <c r="BL18" s="1288"/>
      <c r="BM18" s="1288"/>
      <c r="BN18" s="1288"/>
      <c r="BO18" s="1438"/>
      <c r="BP18" s="1288"/>
      <c r="BQ18" s="1288"/>
      <c r="BR18" s="1288"/>
      <c r="BS18" s="1288"/>
      <c r="BT18" s="1288"/>
      <c r="BU18" s="1288"/>
      <c r="BV18" s="1288"/>
      <c r="BW18" s="1288"/>
      <c r="BX18" s="1288"/>
      <c r="BY18" s="1288"/>
      <c r="BZ18" s="1288"/>
      <c r="CA18" s="1288"/>
      <c r="CB18" s="1288"/>
      <c r="CC18" s="1288"/>
      <c r="CD18" s="1288"/>
      <c r="CE18" s="1288"/>
      <c r="CF18" s="1288"/>
      <c r="CG18" s="1288"/>
      <c r="CH18" s="1288"/>
      <c r="CI18" s="1288"/>
      <c r="CJ18" s="1288"/>
      <c r="CK18" s="1288"/>
      <c r="CL18" s="1288"/>
      <c r="CM18" s="1288"/>
      <c r="CN18" s="1288"/>
      <c r="CO18" s="1288"/>
      <c r="CP18" s="1288"/>
      <c r="CQ18" s="1288"/>
      <c r="CR18" s="1288"/>
      <c r="CS18" s="1288"/>
      <c r="CT18" s="1288"/>
      <c r="CU18" s="1288"/>
      <c r="CV18" s="5"/>
      <c r="DE18" s="8" t="e">
        <f>#REF!</f>
        <v>#REF!</v>
      </c>
      <c r="DF18" s="8" t="e">
        <f>#REF!</f>
        <v>#REF!</v>
      </c>
      <c r="DG18" s="8" t="e">
        <f>#REF!</f>
        <v>#REF!</v>
      </c>
      <c r="DH18" s="8" t="e">
        <f>#REF!</f>
        <v>#REF!</v>
      </c>
      <c r="DI18" s="8" t="e">
        <f>NaturalArmor</f>
        <v>#NAME?</v>
      </c>
      <c r="DJ18" s="8" t="e">
        <f>VALUE(#REF!)</f>
        <v>#REF!</v>
      </c>
      <c r="DK18" s="8" t="e">
        <f>VALUE(ACMisc)</f>
        <v>#NAME?</v>
      </c>
    </row>
    <row r="19" spans="1:116" ht="12" customHeight="1" x14ac:dyDescent="0.2">
      <c r="A19" s="5"/>
      <c r="B19" s="1446"/>
      <c r="C19" s="1437"/>
      <c r="D19" s="1437"/>
      <c r="E19" s="1437"/>
      <c r="F19" s="1437"/>
      <c r="G19" s="1437"/>
      <c r="H19" s="1437"/>
      <c r="I19" s="1437"/>
      <c r="J19" s="1437"/>
      <c r="K19" s="1437"/>
      <c r="L19" s="1437"/>
      <c r="M19" s="1437"/>
      <c r="N19" s="1437"/>
      <c r="O19" s="1437"/>
      <c r="P19" s="1437"/>
      <c r="Q19" s="1437"/>
      <c r="R19" s="1437"/>
      <c r="S19" s="1437"/>
      <c r="T19" s="1437"/>
      <c r="U19" s="1437"/>
      <c r="V19" s="1437"/>
      <c r="W19" s="1437"/>
      <c r="X19" s="1437"/>
      <c r="Y19" s="1437"/>
      <c r="Z19" s="1437"/>
      <c r="AA19" s="1437"/>
      <c r="AB19" s="1437"/>
      <c r="AC19" s="1437"/>
      <c r="AD19" s="1437"/>
      <c r="AE19" s="1437"/>
      <c r="AF19" s="1437"/>
      <c r="AG19" s="1447"/>
      <c r="AH19" s="1437"/>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89"/>
      <c r="BE19" s="1289"/>
      <c r="BF19" s="1289"/>
      <c r="BG19" s="1289"/>
      <c r="BH19" s="1289"/>
      <c r="BI19" s="1289"/>
      <c r="BJ19" s="1289"/>
      <c r="BK19" s="1289"/>
      <c r="BL19" s="1289"/>
      <c r="BM19" s="1289"/>
      <c r="BN19" s="1289"/>
      <c r="BO19" s="1438"/>
      <c r="BP19" s="1289"/>
      <c r="BQ19" s="1289"/>
      <c r="BR19" s="1289"/>
      <c r="BS19" s="1289"/>
      <c r="BT19" s="1289"/>
      <c r="BU19" s="1289"/>
      <c r="BV19" s="1289"/>
      <c r="BW19" s="1289"/>
      <c r="BX19" s="1289"/>
      <c r="BY19" s="1289"/>
      <c r="BZ19" s="1289"/>
      <c r="CA19" s="1289"/>
      <c r="CB19" s="1289"/>
      <c r="CC19" s="1289"/>
      <c r="CD19" s="1289"/>
      <c r="CE19" s="1289"/>
      <c r="CF19" s="1289"/>
      <c r="CG19" s="1289"/>
      <c r="CH19" s="1289"/>
      <c r="CI19" s="1289"/>
      <c r="CJ19" s="1289"/>
      <c r="CK19" s="1289"/>
      <c r="CL19" s="1289"/>
      <c r="CM19" s="1289"/>
      <c r="CN19" s="1289"/>
      <c r="CO19" s="1289"/>
      <c r="CP19" s="1289"/>
      <c r="CQ19" s="1289"/>
      <c r="CR19" s="1289"/>
      <c r="CS19" s="1289"/>
      <c r="CT19" s="1289"/>
      <c r="CU19" s="1289"/>
      <c r="CV19" s="5"/>
      <c r="DE19" s="6" t="e">
        <f>IF(DE18,TEXT(DE18,"+0;-0")&amp;" armor","")</f>
        <v>#REF!</v>
      </c>
      <c r="DF19" s="6" t="e">
        <f>IF(DF18,TEXT(DF18,"+0;-0")&amp;" shield","")</f>
        <v>#REF!</v>
      </c>
      <c r="DG19" s="6" t="e">
        <f>IF(DG18,TEXT(DG18,"+0;-0")&amp;" dex","")</f>
        <v>#REF!</v>
      </c>
      <c r="DH19" s="6" t="e">
        <f>IF(DH18,TEXT(DH18,"+0;-0")&amp;" size","")</f>
        <v>#REF!</v>
      </c>
      <c r="DI19" s="6" t="e">
        <f>IF(DI18,TEXT(DI18,"+0;-0")&amp;" natural","")</f>
        <v>#NAME?</v>
      </c>
      <c r="DJ19" s="6" t="e">
        <f>IF(DJ18,TEXT(DJ18,"+0;-0")&amp;" deflection","")</f>
        <v>#REF!</v>
      </c>
      <c r="DK19" s="6" t="e">
        <f>IF(DK18,TEXT(DK18,"+0;-0")&amp;" misc","")</f>
        <v>#NAME?</v>
      </c>
    </row>
    <row r="20" spans="1:116" ht="12" customHeight="1" x14ac:dyDescent="0.2">
      <c r="A20" s="5"/>
      <c r="B20" s="1446"/>
      <c r="C20" s="1437"/>
      <c r="D20" s="1437"/>
      <c r="E20" s="1437"/>
      <c r="F20" s="1437"/>
      <c r="G20" s="1437"/>
      <c r="H20" s="1437"/>
      <c r="I20" s="1437"/>
      <c r="J20" s="1437"/>
      <c r="K20" s="1437"/>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47"/>
      <c r="AH20" s="1437"/>
      <c r="AI20" s="1288"/>
      <c r="AJ20" s="1288"/>
      <c r="AK20" s="1288"/>
      <c r="AL20" s="1288"/>
      <c r="AM20" s="1288"/>
      <c r="AN20" s="1288"/>
      <c r="AO20" s="1288"/>
      <c r="AP20" s="1288"/>
      <c r="AQ20" s="1288"/>
      <c r="AR20" s="1288"/>
      <c r="AS20" s="1288"/>
      <c r="AT20" s="1288"/>
      <c r="AU20" s="1288"/>
      <c r="AV20" s="1288"/>
      <c r="AW20" s="1288"/>
      <c r="AX20" s="1288"/>
      <c r="AY20" s="1288"/>
      <c r="AZ20" s="1288"/>
      <c r="BA20" s="1288"/>
      <c r="BB20" s="1288"/>
      <c r="BC20" s="1288"/>
      <c r="BD20" s="1288"/>
      <c r="BE20" s="1288"/>
      <c r="BF20" s="1288"/>
      <c r="BG20" s="1288"/>
      <c r="BH20" s="1288"/>
      <c r="BI20" s="1288"/>
      <c r="BJ20" s="1288"/>
      <c r="BK20" s="1288"/>
      <c r="BL20" s="1288"/>
      <c r="BM20" s="1288"/>
      <c r="BN20" s="1288"/>
      <c r="BO20" s="1438"/>
      <c r="BP20" s="1288"/>
      <c r="BQ20" s="1288"/>
      <c r="BR20" s="1288"/>
      <c r="BS20" s="1288"/>
      <c r="BT20" s="1288"/>
      <c r="BU20" s="1288"/>
      <c r="BV20" s="1288"/>
      <c r="BW20" s="1288"/>
      <c r="BX20" s="1288"/>
      <c r="BY20" s="1288"/>
      <c r="BZ20" s="1288"/>
      <c r="CA20" s="1288"/>
      <c r="CB20" s="1288"/>
      <c r="CC20" s="1288"/>
      <c r="CD20" s="1288"/>
      <c r="CE20" s="1288"/>
      <c r="CF20" s="1288"/>
      <c r="CG20" s="1288"/>
      <c r="CH20" s="1288"/>
      <c r="CI20" s="1288"/>
      <c r="CJ20" s="1288"/>
      <c r="CK20" s="1288"/>
      <c r="CL20" s="1288"/>
      <c r="CM20" s="1288"/>
      <c r="CN20" s="1288"/>
      <c r="CO20" s="1288"/>
      <c r="CP20" s="1288"/>
      <c r="CQ20" s="1288"/>
      <c r="CR20" s="1288"/>
      <c r="CS20" s="1288"/>
      <c r="CT20" s="1288"/>
      <c r="CU20" s="1288"/>
      <c r="CV20" s="5"/>
      <c r="DE20" s="6" t="e">
        <f>DE19</f>
        <v>#REF!</v>
      </c>
      <c r="DF20" s="6" t="e">
        <f t="shared" ref="DF20:DK20" si="0">IF(AND(DE20&lt;&gt;"",DF19&lt;&gt;""),DE20&amp;", "&amp;DF19,DE20&amp;DF19)</f>
        <v>#REF!</v>
      </c>
      <c r="DG20" s="6" t="e">
        <f t="shared" si="0"/>
        <v>#REF!</v>
      </c>
      <c r="DH20" s="6" t="e">
        <f t="shared" si="0"/>
        <v>#REF!</v>
      </c>
      <c r="DI20" s="6" t="e">
        <f t="shared" si="0"/>
        <v>#REF!</v>
      </c>
      <c r="DJ20" s="6" t="e">
        <f t="shared" si="0"/>
        <v>#REF!</v>
      </c>
      <c r="DK20" s="6" t="e">
        <f t="shared" si="0"/>
        <v>#REF!</v>
      </c>
      <c r="DL20" s="6" t="e">
        <f>IF(DK20&lt;&gt;"","("&amp;DK20&amp;"), ","")&amp;"touch "&amp;TouchAC&amp;", flat-footed "&amp;FlatFootedAC</f>
        <v>#REF!</v>
      </c>
    </row>
    <row r="21" spans="1:116" ht="12" customHeight="1" x14ac:dyDescent="0.2">
      <c r="A21" s="5"/>
      <c r="B21" s="1446"/>
      <c r="C21" s="1437"/>
      <c r="D21" s="1437"/>
      <c r="E21" s="1437"/>
      <c r="F21" s="1437"/>
      <c r="G21" s="1437"/>
      <c r="H21" s="1437"/>
      <c r="I21" s="1437"/>
      <c r="J21" s="1437"/>
      <c r="K21" s="1437"/>
      <c r="L21" s="1437"/>
      <c r="M21" s="1437"/>
      <c r="N21" s="1437"/>
      <c r="O21" s="1437"/>
      <c r="P21" s="1437"/>
      <c r="Q21" s="1437"/>
      <c r="R21" s="1437"/>
      <c r="S21" s="1437"/>
      <c r="T21" s="1437"/>
      <c r="U21" s="1437"/>
      <c r="V21" s="1437"/>
      <c r="W21" s="1437"/>
      <c r="X21" s="1437"/>
      <c r="Y21" s="1437"/>
      <c r="Z21" s="1437"/>
      <c r="AA21" s="1437"/>
      <c r="AB21" s="1437"/>
      <c r="AC21" s="1437"/>
      <c r="AD21" s="1437"/>
      <c r="AE21" s="1437"/>
      <c r="AF21" s="1437"/>
      <c r="AG21" s="1447"/>
      <c r="AH21" s="1437"/>
      <c r="AI21" s="1289"/>
      <c r="AJ21" s="1289"/>
      <c r="AK21" s="1289"/>
      <c r="AL21" s="1289"/>
      <c r="AM21" s="1289"/>
      <c r="AN21" s="1289"/>
      <c r="AO21" s="1289"/>
      <c r="AP21" s="1289"/>
      <c r="AQ21" s="1289"/>
      <c r="AR21" s="1289"/>
      <c r="AS21" s="1289"/>
      <c r="AT21" s="1289"/>
      <c r="AU21" s="1289"/>
      <c r="AV21" s="1289"/>
      <c r="AW21" s="1289"/>
      <c r="AX21" s="1289"/>
      <c r="AY21" s="1289"/>
      <c r="AZ21" s="1289"/>
      <c r="BA21" s="1289"/>
      <c r="BB21" s="1289"/>
      <c r="BC21" s="1289"/>
      <c r="BD21" s="1289"/>
      <c r="BE21" s="1289"/>
      <c r="BF21" s="1289"/>
      <c r="BG21" s="1289"/>
      <c r="BH21" s="1289"/>
      <c r="BI21" s="1289"/>
      <c r="BJ21" s="1289"/>
      <c r="BK21" s="1289"/>
      <c r="BL21" s="1289"/>
      <c r="BM21" s="1289"/>
      <c r="BN21" s="1289"/>
      <c r="BO21" s="1438"/>
      <c r="BP21" s="1289"/>
      <c r="BQ21" s="1289"/>
      <c r="BR21" s="1289"/>
      <c r="BS21" s="1289"/>
      <c r="BT21" s="1289"/>
      <c r="BU21" s="1289"/>
      <c r="BV21" s="1289"/>
      <c r="BW21" s="1289"/>
      <c r="BX21" s="1289"/>
      <c r="BY21" s="1289"/>
      <c r="BZ21" s="1289"/>
      <c r="CA21" s="1289"/>
      <c r="CB21" s="1289"/>
      <c r="CC21" s="1289"/>
      <c r="CD21" s="1289"/>
      <c r="CE21" s="1289"/>
      <c r="CF21" s="1289"/>
      <c r="CG21" s="1289"/>
      <c r="CH21" s="1289"/>
      <c r="CI21" s="1289"/>
      <c r="CJ21" s="1289"/>
      <c r="CK21" s="1289"/>
      <c r="CL21" s="1289"/>
      <c r="CM21" s="1289"/>
      <c r="CN21" s="1289"/>
      <c r="CO21" s="1289"/>
      <c r="CP21" s="1289"/>
      <c r="CQ21" s="1289"/>
      <c r="CR21" s="1289"/>
      <c r="CS21" s="1289"/>
      <c r="CT21" s="1289"/>
      <c r="CU21" s="1289"/>
      <c r="CV21" s="5"/>
    </row>
    <row r="22" spans="1:116" ht="12" customHeight="1" x14ac:dyDescent="0.2">
      <c r="A22" s="5"/>
      <c r="B22" s="1446"/>
      <c r="C22" s="1437"/>
      <c r="D22" s="1437"/>
      <c r="E22" s="1437"/>
      <c r="F22" s="1437"/>
      <c r="G22" s="1437"/>
      <c r="H22" s="1437"/>
      <c r="I22" s="1437"/>
      <c r="J22" s="1437"/>
      <c r="K22" s="1437"/>
      <c r="L22" s="1437"/>
      <c r="M22" s="1437"/>
      <c r="N22" s="1437"/>
      <c r="O22" s="1437"/>
      <c r="P22" s="1437"/>
      <c r="Q22" s="1437"/>
      <c r="R22" s="1437"/>
      <c r="S22" s="1437"/>
      <c r="T22" s="1437"/>
      <c r="U22" s="1437"/>
      <c r="V22" s="1437"/>
      <c r="W22" s="1437"/>
      <c r="X22" s="1437"/>
      <c r="Y22" s="1437"/>
      <c r="Z22" s="1437"/>
      <c r="AA22" s="1437"/>
      <c r="AB22" s="1437"/>
      <c r="AC22" s="1437"/>
      <c r="AD22" s="1437"/>
      <c r="AE22" s="1437"/>
      <c r="AF22" s="1437"/>
      <c r="AG22" s="1447"/>
      <c r="AH22" s="1437"/>
      <c r="AI22" s="1288"/>
      <c r="AJ22" s="1288"/>
      <c r="AK22" s="1288"/>
      <c r="AL22" s="1288"/>
      <c r="AM22" s="1288"/>
      <c r="AN22" s="1288"/>
      <c r="AO22" s="1288"/>
      <c r="AP22" s="1288"/>
      <c r="AQ22" s="1288"/>
      <c r="AR22" s="1288"/>
      <c r="AS22" s="1288"/>
      <c r="AT22" s="1288"/>
      <c r="AU22" s="1288"/>
      <c r="AV22" s="1288"/>
      <c r="AW22" s="1288"/>
      <c r="AX22" s="1288"/>
      <c r="AY22" s="1288"/>
      <c r="AZ22" s="1288"/>
      <c r="BA22" s="1288"/>
      <c r="BB22" s="1288"/>
      <c r="BC22" s="1288"/>
      <c r="BD22" s="1288"/>
      <c r="BE22" s="1288"/>
      <c r="BF22" s="1288"/>
      <c r="BG22" s="1288"/>
      <c r="BH22" s="1288"/>
      <c r="BI22" s="1288"/>
      <c r="BJ22" s="1288"/>
      <c r="BK22" s="1288"/>
      <c r="BL22" s="1288"/>
      <c r="BM22" s="1288"/>
      <c r="BN22" s="1288"/>
      <c r="BO22" s="1438"/>
      <c r="BP22" s="1288"/>
      <c r="BQ22" s="1288"/>
      <c r="BR22" s="1288"/>
      <c r="BS22" s="1288"/>
      <c r="BT22" s="1288"/>
      <c r="BU22" s="1288"/>
      <c r="BV22" s="1288"/>
      <c r="BW22" s="1288"/>
      <c r="BX22" s="1288"/>
      <c r="BY22" s="1288"/>
      <c r="BZ22" s="1288"/>
      <c r="CA22" s="1288"/>
      <c r="CB22" s="1288"/>
      <c r="CC22" s="1288"/>
      <c r="CD22" s="1288"/>
      <c r="CE22" s="1288"/>
      <c r="CF22" s="1288"/>
      <c r="CG22" s="1288"/>
      <c r="CH22" s="1288"/>
      <c r="CI22" s="1288"/>
      <c r="CJ22" s="1288"/>
      <c r="CK22" s="1288"/>
      <c r="CL22" s="1288"/>
      <c r="CM22" s="1288"/>
      <c r="CN22" s="1288"/>
      <c r="CO22" s="1288"/>
      <c r="CP22" s="1288"/>
      <c r="CQ22" s="1288"/>
      <c r="CR22" s="1288"/>
      <c r="CS22" s="1288"/>
      <c r="CT22" s="1288"/>
      <c r="CU22" s="1288"/>
      <c r="CV22" s="5"/>
    </row>
    <row r="23" spans="1:116" ht="12" customHeight="1" x14ac:dyDescent="0.2">
      <c r="A23" s="5"/>
      <c r="B23" s="1446"/>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47"/>
      <c r="AH23" s="1437"/>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438"/>
      <c r="BP23" s="1289"/>
      <c r="BQ23" s="1289"/>
      <c r="BR23" s="1289"/>
      <c r="BS23" s="1289"/>
      <c r="BT23" s="1289"/>
      <c r="BU23" s="1289"/>
      <c r="BV23" s="1289"/>
      <c r="BW23" s="1289"/>
      <c r="BX23" s="1289"/>
      <c r="BY23" s="1289"/>
      <c r="BZ23" s="1289"/>
      <c r="CA23" s="1289"/>
      <c r="CB23" s="1289"/>
      <c r="CC23" s="1289"/>
      <c r="CD23" s="1289"/>
      <c r="CE23" s="1289"/>
      <c r="CF23" s="1289"/>
      <c r="CG23" s="1289"/>
      <c r="CH23" s="1289"/>
      <c r="CI23" s="1289"/>
      <c r="CJ23" s="1289"/>
      <c r="CK23" s="1289"/>
      <c r="CL23" s="1289"/>
      <c r="CM23" s="1289"/>
      <c r="CN23" s="1289"/>
      <c r="CO23" s="1289"/>
      <c r="CP23" s="1289"/>
      <c r="CQ23" s="1289"/>
      <c r="CR23" s="1289"/>
      <c r="CS23" s="1289"/>
      <c r="CT23" s="1289"/>
      <c r="CU23" s="1289"/>
      <c r="CV23" s="5"/>
    </row>
    <row r="24" spans="1:116" ht="12" customHeight="1" x14ac:dyDescent="0.2">
      <c r="A24" s="5"/>
      <c r="B24" s="1446"/>
      <c r="C24" s="1437"/>
      <c r="D24" s="1437"/>
      <c r="E24" s="1437"/>
      <c r="F24" s="1437"/>
      <c r="G24" s="1437"/>
      <c r="H24" s="1437"/>
      <c r="I24" s="1437"/>
      <c r="J24" s="1437"/>
      <c r="K24" s="1437"/>
      <c r="L24" s="1437"/>
      <c r="M24" s="1437"/>
      <c r="N24" s="1437"/>
      <c r="O24" s="1437"/>
      <c r="P24" s="1437"/>
      <c r="Q24" s="1437"/>
      <c r="R24" s="1437"/>
      <c r="S24" s="1437"/>
      <c r="T24" s="1437"/>
      <c r="U24" s="1437"/>
      <c r="V24" s="1437"/>
      <c r="W24" s="1437"/>
      <c r="X24" s="1437"/>
      <c r="Y24" s="1437"/>
      <c r="Z24" s="1437"/>
      <c r="AA24" s="1437"/>
      <c r="AB24" s="1437"/>
      <c r="AC24" s="1437"/>
      <c r="AD24" s="1437"/>
      <c r="AE24" s="1437"/>
      <c r="AF24" s="1437"/>
      <c r="AG24" s="1447"/>
      <c r="AH24" s="1437"/>
      <c r="AI24" s="1288"/>
      <c r="AJ24" s="1288"/>
      <c r="AK24" s="1288"/>
      <c r="AL24" s="1288"/>
      <c r="AM24" s="1288"/>
      <c r="AN24" s="1288"/>
      <c r="AO24" s="1288"/>
      <c r="AP24" s="1288"/>
      <c r="AQ24" s="1288"/>
      <c r="AR24" s="1288"/>
      <c r="AS24" s="1288"/>
      <c r="AT24" s="1288"/>
      <c r="AU24" s="1288"/>
      <c r="AV24" s="1288"/>
      <c r="AW24" s="1288"/>
      <c r="AX24" s="1288"/>
      <c r="AY24" s="1288"/>
      <c r="AZ24" s="1288"/>
      <c r="BA24" s="1288"/>
      <c r="BB24" s="1288"/>
      <c r="BC24" s="1288"/>
      <c r="BD24" s="1288"/>
      <c r="BE24" s="1288"/>
      <c r="BF24" s="1288"/>
      <c r="BG24" s="1288"/>
      <c r="BH24" s="1288"/>
      <c r="BI24" s="1288"/>
      <c r="BJ24" s="1288"/>
      <c r="BK24" s="1288"/>
      <c r="BL24" s="1288"/>
      <c r="BM24" s="1288"/>
      <c r="BN24" s="1288"/>
      <c r="BO24" s="1438"/>
      <c r="BP24" s="1288"/>
      <c r="BQ24" s="1288"/>
      <c r="BR24" s="1288"/>
      <c r="BS24" s="1288"/>
      <c r="BT24" s="1288"/>
      <c r="BU24" s="1288"/>
      <c r="BV24" s="1288"/>
      <c r="BW24" s="1288"/>
      <c r="BX24" s="1288"/>
      <c r="BY24" s="1288"/>
      <c r="BZ24" s="1288"/>
      <c r="CA24" s="1288"/>
      <c r="CB24" s="1288"/>
      <c r="CC24" s="1288"/>
      <c r="CD24" s="1288"/>
      <c r="CE24" s="1288"/>
      <c r="CF24" s="1288"/>
      <c r="CG24" s="1288"/>
      <c r="CH24" s="1288"/>
      <c r="CI24" s="1288"/>
      <c r="CJ24" s="1288"/>
      <c r="CK24" s="1288"/>
      <c r="CL24" s="1288"/>
      <c r="CM24" s="1288"/>
      <c r="CN24" s="1288"/>
      <c r="CO24" s="1288"/>
      <c r="CP24" s="1288"/>
      <c r="CQ24" s="1288"/>
      <c r="CR24" s="1288"/>
      <c r="CS24" s="1288"/>
      <c r="CT24" s="1288"/>
      <c r="CU24" s="1288"/>
      <c r="CV24" s="5"/>
    </row>
    <row r="25" spans="1:116" ht="12" customHeight="1" x14ac:dyDescent="0.2">
      <c r="A25" s="5"/>
      <c r="B25" s="1446"/>
      <c r="C25" s="1437"/>
      <c r="D25" s="1437"/>
      <c r="E25" s="1437"/>
      <c r="F25" s="1437"/>
      <c r="G25" s="1437"/>
      <c r="H25" s="1437"/>
      <c r="I25" s="1437"/>
      <c r="J25" s="1437"/>
      <c r="K25" s="1437"/>
      <c r="L25" s="1437"/>
      <c r="M25" s="1437"/>
      <c r="N25" s="1437"/>
      <c r="O25" s="1437"/>
      <c r="P25" s="1437"/>
      <c r="Q25" s="1437"/>
      <c r="R25" s="1437"/>
      <c r="S25" s="1437"/>
      <c r="T25" s="1437"/>
      <c r="U25" s="1437"/>
      <c r="V25" s="1437"/>
      <c r="W25" s="1437"/>
      <c r="X25" s="1437"/>
      <c r="Y25" s="1437"/>
      <c r="Z25" s="1437"/>
      <c r="AA25" s="1437"/>
      <c r="AB25" s="1437"/>
      <c r="AC25" s="1437"/>
      <c r="AD25" s="1437"/>
      <c r="AE25" s="1437"/>
      <c r="AF25" s="1437"/>
      <c r="AG25" s="1447"/>
      <c r="AH25" s="1437"/>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9"/>
      <c r="BM25" s="1289"/>
      <c r="BN25" s="1289"/>
      <c r="BO25" s="1438"/>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5"/>
    </row>
    <row r="26" spans="1:116" ht="12" customHeight="1" x14ac:dyDescent="0.2">
      <c r="A26" s="5"/>
      <c r="B26" s="1446"/>
      <c r="C26" s="1437"/>
      <c r="D26" s="1437"/>
      <c r="E26" s="1437"/>
      <c r="F26" s="1437"/>
      <c r="G26" s="1437"/>
      <c r="H26" s="1437"/>
      <c r="I26" s="1437"/>
      <c r="J26" s="1437"/>
      <c r="K26" s="1437"/>
      <c r="L26" s="1437"/>
      <c r="M26" s="1437"/>
      <c r="N26" s="1437"/>
      <c r="O26" s="1437"/>
      <c r="P26" s="1437"/>
      <c r="Q26" s="1437"/>
      <c r="R26" s="1437"/>
      <c r="S26" s="1437"/>
      <c r="T26" s="1437"/>
      <c r="U26" s="1437"/>
      <c r="V26" s="1437"/>
      <c r="W26" s="1437"/>
      <c r="X26" s="1437"/>
      <c r="Y26" s="1437"/>
      <c r="Z26" s="1437"/>
      <c r="AA26" s="1437"/>
      <c r="AB26" s="1437"/>
      <c r="AC26" s="1437"/>
      <c r="AD26" s="1437"/>
      <c r="AE26" s="1437"/>
      <c r="AF26" s="1437"/>
      <c r="AG26" s="1447"/>
      <c r="AH26" s="1437"/>
      <c r="AI26" s="1288"/>
      <c r="AJ26" s="1288"/>
      <c r="AK26" s="1288"/>
      <c r="AL26" s="1288"/>
      <c r="AM26" s="1288"/>
      <c r="AN26" s="1288"/>
      <c r="AO26" s="1288"/>
      <c r="AP26" s="1288"/>
      <c r="AQ26" s="1288"/>
      <c r="AR26" s="1288"/>
      <c r="AS26" s="1288"/>
      <c r="AT26" s="1288"/>
      <c r="AU26" s="1288"/>
      <c r="AV26" s="1288"/>
      <c r="AW26" s="1288"/>
      <c r="AX26" s="1288"/>
      <c r="AY26" s="1288"/>
      <c r="AZ26" s="1288"/>
      <c r="BA26" s="1288"/>
      <c r="BB26" s="1288"/>
      <c r="BC26" s="1288"/>
      <c r="BD26" s="1288"/>
      <c r="BE26" s="1288"/>
      <c r="BF26" s="1288"/>
      <c r="BG26" s="1288"/>
      <c r="BH26" s="1288"/>
      <c r="BI26" s="1288"/>
      <c r="BJ26" s="1288"/>
      <c r="BK26" s="1288"/>
      <c r="BL26" s="1288"/>
      <c r="BM26" s="1288"/>
      <c r="BN26" s="1288"/>
      <c r="BO26" s="1438"/>
      <c r="BP26" s="1288"/>
      <c r="BQ26" s="1288"/>
      <c r="BR26" s="1288"/>
      <c r="BS26" s="1288"/>
      <c r="BT26" s="1288"/>
      <c r="BU26" s="1288"/>
      <c r="BV26" s="1288"/>
      <c r="BW26" s="1288"/>
      <c r="BX26" s="1288"/>
      <c r="BY26" s="1288"/>
      <c r="BZ26" s="1288"/>
      <c r="CA26" s="1288"/>
      <c r="CB26" s="1288"/>
      <c r="CC26" s="1288"/>
      <c r="CD26" s="1288"/>
      <c r="CE26" s="1288"/>
      <c r="CF26" s="1288"/>
      <c r="CG26" s="1288"/>
      <c r="CH26" s="1288"/>
      <c r="CI26" s="1288"/>
      <c r="CJ26" s="1288"/>
      <c r="CK26" s="1288"/>
      <c r="CL26" s="1288"/>
      <c r="CM26" s="1288"/>
      <c r="CN26" s="1288"/>
      <c r="CO26" s="1288"/>
      <c r="CP26" s="1288"/>
      <c r="CQ26" s="1288"/>
      <c r="CR26" s="1288"/>
      <c r="CS26" s="1288"/>
      <c r="CT26" s="1288"/>
      <c r="CU26" s="1288"/>
      <c r="CV26" s="5"/>
    </row>
    <row r="27" spans="1:116" ht="12" customHeight="1" x14ac:dyDescent="0.2">
      <c r="A27" s="5"/>
      <c r="B27" s="1446"/>
      <c r="C27" s="1437"/>
      <c r="D27" s="1437"/>
      <c r="E27" s="1437"/>
      <c r="F27" s="1437"/>
      <c r="G27" s="1437"/>
      <c r="H27" s="1437"/>
      <c r="I27" s="1437"/>
      <c r="J27" s="1437"/>
      <c r="K27" s="1437"/>
      <c r="L27" s="1437"/>
      <c r="M27" s="1437"/>
      <c r="N27" s="1437"/>
      <c r="O27" s="1437"/>
      <c r="P27" s="1437"/>
      <c r="Q27" s="1437"/>
      <c r="R27" s="1437"/>
      <c r="S27" s="1437"/>
      <c r="T27" s="1437"/>
      <c r="U27" s="1437"/>
      <c r="V27" s="1437"/>
      <c r="W27" s="1437"/>
      <c r="X27" s="1437"/>
      <c r="Y27" s="1437"/>
      <c r="Z27" s="1437"/>
      <c r="AA27" s="1437"/>
      <c r="AB27" s="1437"/>
      <c r="AC27" s="1437"/>
      <c r="AD27" s="1437"/>
      <c r="AE27" s="1437"/>
      <c r="AF27" s="1437"/>
      <c r="AG27" s="1447"/>
      <c r="AH27" s="1437"/>
      <c r="AI27" s="1289"/>
      <c r="AJ27" s="1289"/>
      <c r="AK27" s="1289"/>
      <c r="AL27" s="1289"/>
      <c r="AM27" s="1289"/>
      <c r="AN27" s="1289"/>
      <c r="AO27" s="1289"/>
      <c r="AP27" s="1289"/>
      <c r="AQ27" s="1289"/>
      <c r="AR27" s="1289"/>
      <c r="AS27" s="1289"/>
      <c r="AT27" s="1289"/>
      <c r="AU27" s="1289"/>
      <c r="AV27" s="1289"/>
      <c r="AW27" s="1289"/>
      <c r="AX27" s="1289"/>
      <c r="AY27" s="1289"/>
      <c r="AZ27" s="1289"/>
      <c r="BA27" s="1289"/>
      <c r="BB27" s="1289"/>
      <c r="BC27" s="1289"/>
      <c r="BD27" s="1289"/>
      <c r="BE27" s="1289"/>
      <c r="BF27" s="1289"/>
      <c r="BG27" s="1289"/>
      <c r="BH27" s="1289"/>
      <c r="BI27" s="1289"/>
      <c r="BJ27" s="1289"/>
      <c r="BK27" s="1289"/>
      <c r="BL27" s="1289"/>
      <c r="BM27" s="1289"/>
      <c r="BN27" s="1289"/>
      <c r="BO27" s="1438"/>
      <c r="BP27" s="1289"/>
      <c r="BQ27" s="1289"/>
      <c r="BR27" s="1289"/>
      <c r="BS27" s="1289"/>
      <c r="BT27" s="1289"/>
      <c r="BU27" s="1289"/>
      <c r="BV27" s="1289"/>
      <c r="BW27" s="1289"/>
      <c r="BX27" s="1289"/>
      <c r="BY27" s="1289"/>
      <c r="BZ27" s="1289"/>
      <c r="CA27" s="1289"/>
      <c r="CB27" s="1289"/>
      <c r="CC27" s="1289"/>
      <c r="CD27" s="1289"/>
      <c r="CE27" s="1289"/>
      <c r="CF27" s="1289"/>
      <c r="CG27" s="1289"/>
      <c r="CH27" s="1289"/>
      <c r="CI27" s="1289"/>
      <c r="CJ27" s="1289"/>
      <c r="CK27" s="1289"/>
      <c r="CL27" s="1289"/>
      <c r="CM27" s="1289"/>
      <c r="CN27" s="1289"/>
      <c r="CO27" s="1289"/>
      <c r="CP27" s="1289"/>
      <c r="CQ27" s="1289"/>
      <c r="CR27" s="1289"/>
      <c r="CS27" s="1289"/>
      <c r="CT27" s="1289"/>
      <c r="CU27" s="1289"/>
      <c r="CV27" s="5"/>
    </row>
    <row r="28" spans="1:116" ht="12" customHeight="1" x14ac:dyDescent="0.2">
      <c r="A28" s="5"/>
      <c r="B28" s="1446"/>
      <c r="C28" s="1437"/>
      <c r="D28" s="1437"/>
      <c r="E28" s="1437"/>
      <c r="F28" s="1437"/>
      <c r="G28" s="1437"/>
      <c r="H28" s="1437"/>
      <c r="I28" s="1437"/>
      <c r="J28" s="1437"/>
      <c r="K28" s="1437"/>
      <c r="L28" s="1437"/>
      <c r="M28" s="1437"/>
      <c r="N28" s="1437"/>
      <c r="O28" s="1437"/>
      <c r="P28" s="1437"/>
      <c r="Q28" s="1437"/>
      <c r="R28" s="1437"/>
      <c r="S28" s="1437"/>
      <c r="T28" s="1437"/>
      <c r="U28" s="1437"/>
      <c r="V28" s="1437"/>
      <c r="W28" s="1437"/>
      <c r="X28" s="1437"/>
      <c r="Y28" s="1437"/>
      <c r="Z28" s="1437"/>
      <c r="AA28" s="1437"/>
      <c r="AB28" s="1437"/>
      <c r="AC28" s="1437"/>
      <c r="AD28" s="1437"/>
      <c r="AE28" s="1437"/>
      <c r="AF28" s="1437"/>
      <c r="AG28" s="1447"/>
      <c r="AH28" s="1437"/>
      <c r="AI28" s="1288"/>
      <c r="AJ28" s="1288"/>
      <c r="AK28" s="1288"/>
      <c r="AL28" s="1288"/>
      <c r="AM28" s="1288"/>
      <c r="AN28" s="1288"/>
      <c r="AO28" s="1288"/>
      <c r="AP28" s="1288"/>
      <c r="AQ28" s="1288"/>
      <c r="AR28" s="1288"/>
      <c r="AS28" s="1288"/>
      <c r="AT28" s="1288"/>
      <c r="AU28" s="1288"/>
      <c r="AV28" s="1288"/>
      <c r="AW28" s="1288"/>
      <c r="AX28" s="1288"/>
      <c r="AY28" s="1288"/>
      <c r="AZ28" s="1288"/>
      <c r="BA28" s="1288"/>
      <c r="BB28" s="1288"/>
      <c r="BC28" s="1288"/>
      <c r="BD28" s="1288"/>
      <c r="BE28" s="1288"/>
      <c r="BF28" s="1288"/>
      <c r="BG28" s="1288"/>
      <c r="BH28" s="1288"/>
      <c r="BI28" s="1288"/>
      <c r="BJ28" s="1288"/>
      <c r="BK28" s="1288"/>
      <c r="BL28" s="1288"/>
      <c r="BM28" s="1288"/>
      <c r="BN28" s="1288"/>
      <c r="BO28" s="1438"/>
      <c r="BP28" s="1288"/>
      <c r="BQ28" s="1288"/>
      <c r="BR28" s="1288"/>
      <c r="BS28" s="1288"/>
      <c r="BT28" s="1288"/>
      <c r="BU28" s="1288"/>
      <c r="BV28" s="1288"/>
      <c r="BW28" s="1288"/>
      <c r="BX28" s="1288"/>
      <c r="BY28" s="1288"/>
      <c r="BZ28" s="1288"/>
      <c r="CA28" s="1288"/>
      <c r="CB28" s="1288"/>
      <c r="CC28" s="1288"/>
      <c r="CD28" s="1288"/>
      <c r="CE28" s="1288"/>
      <c r="CF28" s="1288"/>
      <c r="CG28" s="1288"/>
      <c r="CH28" s="1288"/>
      <c r="CI28" s="1288"/>
      <c r="CJ28" s="1288"/>
      <c r="CK28" s="1288"/>
      <c r="CL28" s="1288"/>
      <c r="CM28" s="1288"/>
      <c r="CN28" s="1288"/>
      <c r="CO28" s="1288"/>
      <c r="CP28" s="1288"/>
      <c r="CQ28" s="1288"/>
      <c r="CR28" s="1288"/>
      <c r="CS28" s="1288"/>
      <c r="CT28" s="1288"/>
      <c r="CU28" s="1288"/>
      <c r="CV28" s="5"/>
    </row>
    <row r="29" spans="1:116" ht="12" customHeight="1" x14ac:dyDescent="0.2">
      <c r="A29" s="5"/>
      <c r="B29" s="1446"/>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47"/>
      <c r="AH29" s="1437"/>
      <c r="AI29" s="1289"/>
      <c r="AJ29" s="1289"/>
      <c r="AK29" s="1289"/>
      <c r="AL29" s="1289"/>
      <c r="AM29" s="1289"/>
      <c r="AN29" s="1289"/>
      <c r="AO29" s="1289"/>
      <c r="AP29" s="1289"/>
      <c r="AQ29" s="1289"/>
      <c r="AR29" s="1289"/>
      <c r="AS29" s="1289"/>
      <c r="AT29" s="1289"/>
      <c r="AU29" s="1289"/>
      <c r="AV29" s="1289"/>
      <c r="AW29" s="1289"/>
      <c r="AX29" s="1289"/>
      <c r="AY29" s="1289"/>
      <c r="AZ29" s="1289"/>
      <c r="BA29" s="1289"/>
      <c r="BB29" s="1289"/>
      <c r="BC29" s="1289"/>
      <c r="BD29" s="1289"/>
      <c r="BE29" s="1289"/>
      <c r="BF29" s="1289"/>
      <c r="BG29" s="1289"/>
      <c r="BH29" s="1289"/>
      <c r="BI29" s="1289"/>
      <c r="BJ29" s="1289"/>
      <c r="BK29" s="1289"/>
      <c r="BL29" s="1289"/>
      <c r="BM29" s="1289"/>
      <c r="BN29" s="1289"/>
      <c r="BO29" s="1438"/>
      <c r="BP29" s="1289"/>
      <c r="BQ29" s="1289"/>
      <c r="BR29" s="1289"/>
      <c r="BS29" s="1289"/>
      <c r="BT29" s="1289"/>
      <c r="BU29" s="1289"/>
      <c r="BV29" s="1289"/>
      <c r="BW29" s="1289"/>
      <c r="BX29" s="1289"/>
      <c r="BY29" s="1289"/>
      <c r="BZ29" s="1289"/>
      <c r="CA29" s="1289"/>
      <c r="CB29" s="1289"/>
      <c r="CC29" s="1289"/>
      <c r="CD29" s="1289"/>
      <c r="CE29" s="1289"/>
      <c r="CF29" s="1289"/>
      <c r="CG29" s="1289"/>
      <c r="CH29" s="1289"/>
      <c r="CI29" s="1289"/>
      <c r="CJ29" s="1289"/>
      <c r="CK29" s="1289"/>
      <c r="CL29" s="1289"/>
      <c r="CM29" s="1289"/>
      <c r="CN29" s="1289"/>
      <c r="CO29" s="1289"/>
      <c r="CP29" s="1289"/>
      <c r="CQ29" s="1289"/>
      <c r="CR29" s="1289"/>
      <c r="CS29" s="1289"/>
      <c r="CT29" s="1289"/>
      <c r="CU29" s="1289"/>
      <c r="CV29" s="5"/>
    </row>
    <row r="30" spans="1:116" ht="12" customHeight="1" x14ac:dyDescent="0.2">
      <c r="A30" s="5"/>
      <c r="B30" s="1446"/>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47"/>
      <c r="AH30" s="1437"/>
      <c r="AI30" s="1288"/>
      <c r="AJ30" s="1288"/>
      <c r="AK30" s="1288"/>
      <c r="AL30" s="1288"/>
      <c r="AM30" s="1288"/>
      <c r="AN30" s="1288"/>
      <c r="AO30" s="1288"/>
      <c r="AP30" s="1288"/>
      <c r="AQ30" s="1288"/>
      <c r="AR30" s="1288"/>
      <c r="AS30" s="1288"/>
      <c r="AT30" s="1288"/>
      <c r="AU30" s="1288"/>
      <c r="AV30" s="1288"/>
      <c r="AW30" s="1288"/>
      <c r="AX30" s="1288"/>
      <c r="AY30" s="1288"/>
      <c r="AZ30" s="1288"/>
      <c r="BA30" s="1288"/>
      <c r="BB30" s="1288"/>
      <c r="BC30" s="1288"/>
      <c r="BD30" s="1288"/>
      <c r="BE30" s="1288"/>
      <c r="BF30" s="1288"/>
      <c r="BG30" s="1288"/>
      <c r="BH30" s="1288"/>
      <c r="BI30" s="1288"/>
      <c r="BJ30" s="1288"/>
      <c r="BK30" s="1288"/>
      <c r="BL30" s="1288"/>
      <c r="BM30" s="1288"/>
      <c r="BN30" s="1288"/>
      <c r="BO30" s="1438"/>
      <c r="BP30" s="1288"/>
      <c r="BQ30" s="1288"/>
      <c r="BR30" s="1288"/>
      <c r="BS30" s="1288"/>
      <c r="BT30" s="1288"/>
      <c r="BU30" s="1288"/>
      <c r="BV30" s="1288"/>
      <c r="BW30" s="1288"/>
      <c r="BX30" s="1288"/>
      <c r="BY30" s="1288"/>
      <c r="BZ30" s="1288"/>
      <c r="CA30" s="1288"/>
      <c r="CB30" s="1288"/>
      <c r="CC30" s="1288"/>
      <c r="CD30" s="1288"/>
      <c r="CE30" s="1288"/>
      <c r="CF30" s="1288"/>
      <c r="CG30" s="1288"/>
      <c r="CH30" s="1288"/>
      <c r="CI30" s="1288"/>
      <c r="CJ30" s="1288"/>
      <c r="CK30" s="1288"/>
      <c r="CL30" s="1288"/>
      <c r="CM30" s="1288"/>
      <c r="CN30" s="1288"/>
      <c r="CO30" s="1288"/>
      <c r="CP30" s="1288"/>
      <c r="CQ30" s="1288"/>
      <c r="CR30" s="1288"/>
      <c r="CS30" s="1288"/>
      <c r="CT30" s="1288"/>
      <c r="CU30" s="1288"/>
      <c r="CV30" s="5"/>
    </row>
    <row r="31" spans="1:116" ht="12" customHeight="1" x14ac:dyDescent="0.2">
      <c r="A31" s="5"/>
      <c r="B31" s="1446"/>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47"/>
      <c r="AH31" s="1437"/>
      <c r="AI31" s="1289"/>
      <c r="AJ31" s="1289"/>
      <c r="AK31" s="1289"/>
      <c r="AL31" s="1289"/>
      <c r="AM31" s="1289"/>
      <c r="AN31" s="1289"/>
      <c r="AO31" s="1289"/>
      <c r="AP31" s="1289"/>
      <c r="AQ31" s="1289"/>
      <c r="AR31" s="1289"/>
      <c r="AS31" s="1289"/>
      <c r="AT31" s="1289"/>
      <c r="AU31" s="1289"/>
      <c r="AV31" s="1289"/>
      <c r="AW31" s="1289"/>
      <c r="AX31" s="1289"/>
      <c r="AY31" s="1289"/>
      <c r="AZ31" s="1289"/>
      <c r="BA31" s="1289"/>
      <c r="BB31" s="1289"/>
      <c r="BC31" s="1289"/>
      <c r="BD31" s="1289"/>
      <c r="BE31" s="1289"/>
      <c r="BF31" s="1289"/>
      <c r="BG31" s="1289"/>
      <c r="BH31" s="1289"/>
      <c r="BI31" s="1289"/>
      <c r="BJ31" s="1289"/>
      <c r="BK31" s="1289"/>
      <c r="BL31" s="1289"/>
      <c r="BM31" s="1289"/>
      <c r="BN31" s="1289"/>
      <c r="BO31" s="1438"/>
      <c r="BP31" s="1289"/>
      <c r="BQ31" s="1289"/>
      <c r="BR31" s="1289"/>
      <c r="BS31" s="1289"/>
      <c r="BT31" s="1289"/>
      <c r="BU31" s="1289"/>
      <c r="BV31" s="1289"/>
      <c r="BW31" s="1289"/>
      <c r="BX31" s="1289"/>
      <c r="BY31" s="1289"/>
      <c r="BZ31" s="1289"/>
      <c r="CA31" s="1289"/>
      <c r="CB31" s="1289"/>
      <c r="CC31" s="1289"/>
      <c r="CD31" s="1289"/>
      <c r="CE31" s="1289"/>
      <c r="CF31" s="1289"/>
      <c r="CG31" s="1289"/>
      <c r="CH31" s="1289"/>
      <c r="CI31" s="1289"/>
      <c r="CJ31" s="1289"/>
      <c r="CK31" s="1289"/>
      <c r="CL31" s="1289"/>
      <c r="CM31" s="1289"/>
      <c r="CN31" s="1289"/>
      <c r="CO31" s="1289"/>
      <c r="CP31" s="1289"/>
      <c r="CQ31" s="1289"/>
      <c r="CR31" s="1289"/>
      <c r="CS31" s="1289"/>
      <c r="CT31" s="1289"/>
      <c r="CU31" s="1289"/>
      <c r="CV31" s="5"/>
      <c r="CY31" s="6">
        <f>1</f>
        <v>1</v>
      </c>
    </row>
    <row r="32" spans="1:116" ht="12" customHeight="1" x14ac:dyDescent="0.2">
      <c r="A32" s="5"/>
      <c r="B32" s="1446"/>
      <c r="C32" s="1437"/>
      <c r="D32" s="1437"/>
      <c r="E32" s="1437"/>
      <c r="F32" s="1437"/>
      <c r="G32" s="1437"/>
      <c r="H32" s="1437"/>
      <c r="I32" s="1437"/>
      <c r="J32" s="1437"/>
      <c r="K32" s="1437"/>
      <c r="L32" s="1437"/>
      <c r="M32" s="1437"/>
      <c r="N32" s="1437"/>
      <c r="O32" s="1437"/>
      <c r="P32" s="1437"/>
      <c r="Q32" s="1437"/>
      <c r="R32" s="1437"/>
      <c r="S32" s="1437"/>
      <c r="T32" s="1437"/>
      <c r="U32" s="1437"/>
      <c r="V32" s="1437"/>
      <c r="W32" s="1437"/>
      <c r="X32" s="1437"/>
      <c r="Y32" s="1437"/>
      <c r="Z32" s="1437"/>
      <c r="AA32" s="1437"/>
      <c r="AB32" s="1437"/>
      <c r="AC32" s="1437"/>
      <c r="AD32" s="1437"/>
      <c r="AE32" s="1437"/>
      <c r="AF32" s="1437"/>
      <c r="AG32" s="1447"/>
      <c r="AH32" s="1437"/>
      <c r="AI32" s="1288"/>
      <c r="AJ32" s="1288"/>
      <c r="AK32" s="1288"/>
      <c r="AL32" s="1288"/>
      <c r="AM32" s="1288"/>
      <c r="AN32" s="1288"/>
      <c r="AO32" s="1288"/>
      <c r="AP32" s="1288"/>
      <c r="AQ32" s="1288"/>
      <c r="AR32" s="1288"/>
      <c r="AS32" s="1288"/>
      <c r="AT32" s="1288"/>
      <c r="AU32" s="1288"/>
      <c r="AV32" s="1288"/>
      <c r="AW32" s="1288"/>
      <c r="AX32" s="1288"/>
      <c r="AY32" s="1288"/>
      <c r="AZ32" s="1288"/>
      <c r="BA32" s="1288"/>
      <c r="BB32" s="1288"/>
      <c r="BC32" s="1288"/>
      <c r="BD32" s="1288"/>
      <c r="BE32" s="1288"/>
      <c r="BF32" s="1288"/>
      <c r="BG32" s="1288"/>
      <c r="BH32" s="1288"/>
      <c r="BI32" s="1288"/>
      <c r="BJ32" s="1288"/>
      <c r="BK32" s="1288"/>
      <c r="BL32" s="1288"/>
      <c r="BM32" s="1288"/>
      <c r="BN32" s="1288"/>
      <c r="BO32" s="1438"/>
      <c r="BP32" s="1288"/>
      <c r="BQ32" s="1288"/>
      <c r="BR32" s="1288"/>
      <c r="BS32" s="1288"/>
      <c r="BT32" s="1288"/>
      <c r="BU32" s="1288"/>
      <c r="BV32" s="1288"/>
      <c r="BW32" s="1288"/>
      <c r="BX32" s="1288"/>
      <c r="BY32" s="1288"/>
      <c r="BZ32" s="1288"/>
      <c r="CA32" s="1288"/>
      <c r="CB32" s="1288"/>
      <c r="CC32" s="1288"/>
      <c r="CD32" s="1288"/>
      <c r="CE32" s="1288"/>
      <c r="CF32" s="1288"/>
      <c r="CG32" s="1288"/>
      <c r="CH32" s="1288"/>
      <c r="CI32" s="1288"/>
      <c r="CJ32" s="1288"/>
      <c r="CK32" s="1288"/>
      <c r="CL32" s="1288"/>
      <c r="CM32" s="1288"/>
      <c r="CN32" s="1288"/>
      <c r="CO32" s="1288"/>
      <c r="CP32" s="1288"/>
      <c r="CQ32" s="1288"/>
      <c r="CR32" s="1288"/>
      <c r="CS32" s="1288"/>
      <c r="CT32" s="1288"/>
      <c r="CU32" s="1288"/>
      <c r="CV32" s="5"/>
    </row>
    <row r="33" spans="1:103" ht="12" customHeight="1" x14ac:dyDescent="0.2">
      <c r="A33" s="5"/>
      <c r="B33" s="1446"/>
      <c r="C33" s="1437"/>
      <c r="D33" s="1437"/>
      <c r="E33" s="1437"/>
      <c r="F33" s="1437"/>
      <c r="G33" s="1437"/>
      <c r="H33" s="1437"/>
      <c r="I33" s="1437"/>
      <c r="J33" s="1437"/>
      <c r="K33" s="1437"/>
      <c r="L33" s="1437"/>
      <c r="M33" s="1437"/>
      <c r="N33" s="1437"/>
      <c r="O33" s="1437"/>
      <c r="P33" s="1437"/>
      <c r="Q33" s="1437"/>
      <c r="R33" s="1437"/>
      <c r="S33" s="1437"/>
      <c r="T33" s="1437"/>
      <c r="U33" s="1437"/>
      <c r="V33" s="1437"/>
      <c r="W33" s="1437"/>
      <c r="X33" s="1437"/>
      <c r="Y33" s="1437"/>
      <c r="Z33" s="1437"/>
      <c r="AA33" s="1437"/>
      <c r="AB33" s="1437"/>
      <c r="AC33" s="1437"/>
      <c r="AD33" s="1437"/>
      <c r="AE33" s="1437"/>
      <c r="AF33" s="1437"/>
      <c r="AG33" s="1447"/>
      <c r="AH33" s="1437"/>
      <c r="AI33" s="1289"/>
      <c r="AJ33" s="1289"/>
      <c r="AK33" s="1289"/>
      <c r="AL33" s="1289"/>
      <c r="AM33" s="1289"/>
      <c r="AN33" s="1289"/>
      <c r="AO33" s="1289"/>
      <c r="AP33" s="1289"/>
      <c r="AQ33" s="1289"/>
      <c r="AR33" s="1289"/>
      <c r="AS33" s="1289"/>
      <c r="AT33" s="1289"/>
      <c r="AU33" s="1289"/>
      <c r="AV33" s="1289"/>
      <c r="AW33" s="1289"/>
      <c r="AX33" s="1289"/>
      <c r="AY33" s="1289"/>
      <c r="AZ33" s="1289"/>
      <c r="BA33" s="1289"/>
      <c r="BB33" s="1289"/>
      <c r="BC33" s="1289"/>
      <c r="BD33" s="1289"/>
      <c r="BE33" s="1289"/>
      <c r="BF33" s="1289"/>
      <c r="BG33" s="1289"/>
      <c r="BH33" s="1289"/>
      <c r="BI33" s="1289"/>
      <c r="BJ33" s="1289"/>
      <c r="BK33" s="1289"/>
      <c r="BL33" s="1289"/>
      <c r="BM33" s="1289"/>
      <c r="BN33" s="1289"/>
      <c r="BO33" s="1438"/>
      <c r="BP33" s="1289"/>
      <c r="BQ33" s="1289"/>
      <c r="BR33" s="1289"/>
      <c r="BS33" s="1289"/>
      <c r="BT33" s="1289"/>
      <c r="BU33" s="1289"/>
      <c r="BV33" s="1289"/>
      <c r="BW33" s="1289"/>
      <c r="BX33" s="1289"/>
      <c r="BY33" s="1289"/>
      <c r="BZ33" s="1289"/>
      <c r="CA33" s="1289"/>
      <c r="CB33" s="1289"/>
      <c r="CC33" s="1289"/>
      <c r="CD33" s="1289"/>
      <c r="CE33" s="1289"/>
      <c r="CF33" s="1289"/>
      <c r="CG33" s="1289"/>
      <c r="CH33" s="1289"/>
      <c r="CI33" s="1289"/>
      <c r="CJ33" s="1289"/>
      <c r="CK33" s="1289"/>
      <c r="CL33" s="1289"/>
      <c r="CM33" s="1289"/>
      <c r="CN33" s="1289"/>
      <c r="CO33" s="1289"/>
      <c r="CP33" s="1289"/>
      <c r="CQ33" s="1289"/>
      <c r="CR33" s="1289"/>
      <c r="CS33" s="1289"/>
      <c r="CT33" s="1289"/>
      <c r="CU33" s="1289"/>
      <c r="CV33" s="5"/>
      <c r="CY33" s="6">
        <f>CY31+1</f>
        <v>2</v>
      </c>
    </row>
    <row r="34" spans="1:103" ht="12" customHeight="1" x14ac:dyDescent="0.2">
      <c r="A34" s="5"/>
      <c r="B34" s="1446"/>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47"/>
      <c r="AH34" s="1437"/>
      <c r="AI34" s="1288"/>
      <c r="AJ34" s="1288"/>
      <c r="AK34" s="1288"/>
      <c r="AL34" s="1288"/>
      <c r="AM34" s="1288"/>
      <c r="AN34" s="1288"/>
      <c r="AO34" s="1288"/>
      <c r="AP34" s="1288"/>
      <c r="AQ34" s="1288"/>
      <c r="AR34" s="1288"/>
      <c r="AS34" s="1288"/>
      <c r="AT34" s="1288"/>
      <c r="AU34" s="1288"/>
      <c r="AV34" s="1288"/>
      <c r="AW34" s="1288"/>
      <c r="AX34" s="1288"/>
      <c r="AY34" s="1288"/>
      <c r="AZ34" s="1288"/>
      <c r="BA34" s="1288"/>
      <c r="BB34" s="1288"/>
      <c r="BC34" s="1288"/>
      <c r="BD34" s="1288"/>
      <c r="BE34" s="1288"/>
      <c r="BF34" s="1288"/>
      <c r="BG34" s="1288"/>
      <c r="BH34" s="1288"/>
      <c r="BI34" s="1288"/>
      <c r="BJ34" s="1288"/>
      <c r="BK34" s="1288"/>
      <c r="BL34" s="1288"/>
      <c r="BM34" s="1288"/>
      <c r="BN34" s="1288"/>
      <c r="BO34" s="1438"/>
      <c r="BP34" s="1288"/>
      <c r="BQ34" s="1288"/>
      <c r="BR34" s="1288"/>
      <c r="BS34" s="1288"/>
      <c r="BT34" s="1288"/>
      <c r="BU34" s="1288"/>
      <c r="BV34" s="1288"/>
      <c r="BW34" s="1288"/>
      <c r="BX34" s="1288"/>
      <c r="BY34" s="1288"/>
      <c r="BZ34" s="1288"/>
      <c r="CA34" s="1288"/>
      <c r="CB34" s="1288"/>
      <c r="CC34" s="1288"/>
      <c r="CD34" s="1288"/>
      <c r="CE34" s="1288"/>
      <c r="CF34" s="1288"/>
      <c r="CG34" s="1288"/>
      <c r="CH34" s="1288"/>
      <c r="CI34" s="1288"/>
      <c r="CJ34" s="1288"/>
      <c r="CK34" s="1288"/>
      <c r="CL34" s="1288"/>
      <c r="CM34" s="1288"/>
      <c r="CN34" s="1288"/>
      <c r="CO34" s="1288"/>
      <c r="CP34" s="1288"/>
      <c r="CQ34" s="1288"/>
      <c r="CR34" s="1288"/>
      <c r="CS34" s="1288"/>
      <c r="CT34" s="1288"/>
      <c r="CU34" s="1288"/>
      <c r="CV34" s="5"/>
    </row>
    <row r="35" spans="1:103" ht="12" customHeight="1" x14ac:dyDescent="0.2">
      <c r="A35" s="5"/>
      <c r="B35" s="1446"/>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47"/>
      <c r="AH35" s="1437"/>
      <c r="AI35" s="1289"/>
      <c r="AJ35" s="1289"/>
      <c r="AK35" s="1289"/>
      <c r="AL35" s="1289"/>
      <c r="AM35" s="1289"/>
      <c r="AN35" s="1289"/>
      <c r="AO35" s="1289"/>
      <c r="AP35" s="1289"/>
      <c r="AQ35" s="1289"/>
      <c r="AR35" s="1289"/>
      <c r="AS35" s="1289"/>
      <c r="AT35" s="1289"/>
      <c r="AU35" s="1289"/>
      <c r="AV35" s="1289"/>
      <c r="AW35" s="1289"/>
      <c r="AX35" s="1289"/>
      <c r="AY35" s="1289"/>
      <c r="AZ35" s="1289"/>
      <c r="BA35" s="1289"/>
      <c r="BB35" s="1289"/>
      <c r="BC35" s="1289"/>
      <c r="BD35" s="1289"/>
      <c r="BE35" s="1289"/>
      <c r="BF35" s="1289"/>
      <c r="BG35" s="1289"/>
      <c r="BH35" s="1289"/>
      <c r="BI35" s="1289"/>
      <c r="BJ35" s="1289"/>
      <c r="BK35" s="1289"/>
      <c r="BL35" s="1289"/>
      <c r="BM35" s="1289"/>
      <c r="BN35" s="1289"/>
      <c r="BO35" s="1438"/>
      <c r="BP35" s="1289"/>
      <c r="BQ35" s="1289"/>
      <c r="BR35" s="1289"/>
      <c r="BS35" s="1289"/>
      <c r="BT35" s="1289"/>
      <c r="BU35" s="1289"/>
      <c r="BV35" s="1289"/>
      <c r="BW35" s="1289"/>
      <c r="BX35" s="1289"/>
      <c r="BY35" s="1289"/>
      <c r="BZ35" s="1289"/>
      <c r="CA35" s="1289"/>
      <c r="CB35" s="1289"/>
      <c r="CC35" s="1289"/>
      <c r="CD35" s="1289"/>
      <c r="CE35" s="1289"/>
      <c r="CF35" s="1289"/>
      <c r="CG35" s="1289"/>
      <c r="CH35" s="1289"/>
      <c r="CI35" s="1289"/>
      <c r="CJ35" s="1289"/>
      <c r="CK35" s="1289"/>
      <c r="CL35" s="1289"/>
      <c r="CM35" s="1289"/>
      <c r="CN35" s="1289"/>
      <c r="CO35" s="1289"/>
      <c r="CP35" s="1289"/>
      <c r="CQ35" s="1289"/>
      <c r="CR35" s="1289"/>
      <c r="CS35" s="1289"/>
      <c r="CT35" s="1289"/>
      <c r="CU35" s="1289"/>
      <c r="CV35" s="5"/>
      <c r="CY35" s="6">
        <f>CY33+1</f>
        <v>3</v>
      </c>
    </row>
    <row r="36" spans="1:103" ht="12" customHeight="1" x14ac:dyDescent="0.2">
      <c r="A36" s="5"/>
      <c r="B36" s="1446"/>
      <c r="C36" s="1437"/>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c r="AG36" s="1447"/>
      <c r="AH36" s="1437"/>
      <c r="AI36" s="1288"/>
      <c r="AJ36" s="1288"/>
      <c r="AK36" s="1288"/>
      <c r="AL36" s="1288"/>
      <c r="AM36" s="1288"/>
      <c r="AN36" s="1288"/>
      <c r="AO36" s="1288"/>
      <c r="AP36" s="1288"/>
      <c r="AQ36" s="1288"/>
      <c r="AR36" s="1288"/>
      <c r="AS36" s="1288"/>
      <c r="AT36" s="1288"/>
      <c r="AU36" s="1288"/>
      <c r="AV36" s="1288"/>
      <c r="AW36" s="1288"/>
      <c r="AX36" s="1288"/>
      <c r="AY36" s="1288"/>
      <c r="AZ36" s="1288"/>
      <c r="BA36" s="1288"/>
      <c r="BB36" s="1288"/>
      <c r="BC36" s="1288"/>
      <c r="BD36" s="1288"/>
      <c r="BE36" s="1288"/>
      <c r="BF36" s="1288"/>
      <c r="BG36" s="1288"/>
      <c r="BH36" s="1288"/>
      <c r="BI36" s="1288"/>
      <c r="BJ36" s="1288"/>
      <c r="BK36" s="1288"/>
      <c r="BL36" s="1288"/>
      <c r="BM36" s="1288"/>
      <c r="BN36" s="1288"/>
      <c r="BO36" s="1438"/>
      <c r="BP36" s="1288"/>
      <c r="BQ36" s="1288"/>
      <c r="BR36" s="1288"/>
      <c r="BS36" s="1288"/>
      <c r="BT36" s="1288"/>
      <c r="BU36" s="1288"/>
      <c r="BV36" s="1288"/>
      <c r="BW36" s="1288"/>
      <c r="BX36" s="1288"/>
      <c r="BY36" s="1288"/>
      <c r="BZ36" s="1288"/>
      <c r="CA36" s="1288"/>
      <c r="CB36" s="1288"/>
      <c r="CC36" s="1288"/>
      <c r="CD36" s="1288"/>
      <c r="CE36" s="1288"/>
      <c r="CF36" s="1288"/>
      <c r="CG36" s="1288"/>
      <c r="CH36" s="1288"/>
      <c r="CI36" s="1288"/>
      <c r="CJ36" s="1288"/>
      <c r="CK36" s="1288"/>
      <c r="CL36" s="1288"/>
      <c r="CM36" s="1288"/>
      <c r="CN36" s="1288"/>
      <c r="CO36" s="1288"/>
      <c r="CP36" s="1288"/>
      <c r="CQ36" s="1288"/>
      <c r="CR36" s="1288"/>
      <c r="CS36" s="1288"/>
      <c r="CT36" s="1288"/>
      <c r="CU36" s="1288"/>
      <c r="CV36" s="5"/>
    </row>
    <row r="37" spans="1:103" ht="12" customHeight="1" x14ac:dyDescent="0.2">
      <c r="A37" s="5"/>
      <c r="B37" s="1446"/>
      <c r="C37" s="1437"/>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c r="AG37" s="1447"/>
      <c r="AH37" s="1437"/>
      <c r="AI37" s="1289"/>
      <c r="AJ37" s="1289"/>
      <c r="AK37" s="1289"/>
      <c r="AL37" s="1289"/>
      <c r="AM37" s="1289"/>
      <c r="AN37" s="1289"/>
      <c r="AO37" s="1289"/>
      <c r="AP37" s="1289"/>
      <c r="AQ37" s="1289"/>
      <c r="AR37" s="1289"/>
      <c r="AS37" s="1289"/>
      <c r="AT37" s="1289"/>
      <c r="AU37" s="1289"/>
      <c r="AV37" s="1289"/>
      <c r="AW37" s="1289"/>
      <c r="AX37" s="1289"/>
      <c r="AY37" s="1289"/>
      <c r="AZ37" s="1289"/>
      <c r="BA37" s="1289"/>
      <c r="BB37" s="1289"/>
      <c r="BC37" s="1289"/>
      <c r="BD37" s="1289"/>
      <c r="BE37" s="1289"/>
      <c r="BF37" s="1289"/>
      <c r="BG37" s="1289"/>
      <c r="BH37" s="1289"/>
      <c r="BI37" s="1289"/>
      <c r="BJ37" s="1289"/>
      <c r="BK37" s="1289"/>
      <c r="BL37" s="1289"/>
      <c r="BM37" s="1289"/>
      <c r="BN37" s="1289"/>
      <c r="BO37" s="1438"/>
      <c r="BP37" s="1289"/>
      <c r="BQ37" s="1289"/>
      <c r="BR37" s="1289"/>
      <c r="BS37" s="1289"/>
      <c r="BT37" s="1289"/>
      <c r="BU37" s="1289"/>
      <c r="BV37" s="1289"/>
      <c r="BW37" s="1289"/>
      <c r="BX37" s="1289"/>
      <c r="BY37" s="1289"/>
      <c r="BZ37" s="1289"/>
      <c r="CA37" s="1289"/>
      <c r="CB37" s="1289"/>
      <c r="CC37" s="1289"/>
      <c r="CD37" s="1289"/>
      <c r="CE37" s="1289"/>
      <c r="CF37" s="1289"/>
      <c r="CG37" s="1289"/>
      <c r="CH37" s="1289"/>
      <c r="CI37" s="1289"/>
      <c r="CJ37" s="1289"/>
      <c r="CK37" s="1289"/>
      <c r="CL37" s="1289"/>
      <c r="CM37" s="1289"/>
      <c r="CN37" s="1289"/>
      <c r="CO37" s="1289"/>
      <c r="CP37" s="1289"/>
      <c r="CQ37" s="1289"/>
      <c r="CR37" s="1289"/>
      <c r="CS37" s="1289"/>
      <c r="CT37" s="1289"/>
      <c r="CU37" s="1289"/>
      <c r="CV37" s="5"/>
      <c r="CY37" s="6">
        <f>CY35+1</f>
        <v>4</v>
      </c>
    </row>
    <row r="38" spans="1:103" ht="12" customHeight="1" x14ac:dyDescent="0.2">
      <c r="A38" s="5"/>
      <c r="B38" s="1446"/>
      <c r="C38" s="1437"/>
      <c r="D38" s="1437"/>
      <c r="E38" s="1437"/>
      <c r="F38" s="1437"/>
      <c r="G38" s="1437"/>
      <c r="H38" s="1437"/>
      <c r="I38" s="1437"/>
      <c r="J38" s="1437"/>
      <c r="K38" s="1437"/>
      <c r="L38" s="1437"/>
      <c r="M38" s="1437"/>
      <c r="N38" s="1437"/>
      <c r="O38" s="1437"/>
      <c r="P38" s="1437"/>
      <c r="Q38" s="1437"/>
      <c r="R38" s="1437"/>
      <c r="S38" s="1437"/>
      <c r="T38" s="1437"/>
      <c r="U38" s="1437"/>
      <c r="V38" s="1437"/>
      <c r="W38" s="1437"/>
      <c r="X38" s="1437"/>
      <c r="Y38" s="1437"/>
      <c r="Z38" s="1437"/>
      <c r="AA38" s="1437"/>
      <c r="AB38" s="1437"/>
      <c r="AC38" s="1437"/>
      <c r="AD38" s="1437"/>
      <c r="AE38" s="1437"/>
      <c r="AF38" s="1437"/>
      <c r="AG38" s="1447"/>
      <c r="AH38" s="1437"/>
      <c r="AI38" s="1439"/>
      <c r="AJ38" s="1288"/>
      <c r="AK38" s="1288"/>
      <c r="AL38" s="1288"/>
      <c r="AM38" s="1288"/>
      <c r="AN38" s="1288"/>
      <c r="AO38" s="1288"/>
      <c r="AP38" s="1288"/>
      <c r="AQ38" s="1288"/>
      <c r="AR38" s="1288"/>
      <c r="AS38" s="1288"/>
      <c r="AT38" s="1288"/>
      <c r="AU38" s="1288"/>
      <c r="AV38" s="1288"/>
      <c r="AW38" s="1288"/>
      <c r="AX38" s="1288"/>
      <c r="AY38" s="1288"/>
      <c r="AZ38" s="1288"/>
      <c r="BA38" s="1288"/>
      <c r="BB38" s="1288"/>
      <c r="BC38" s="1288"/>
      <c r="BD38" s="1288"/>
      <c r="BE38" s="1288"/>
      <c r="BF38" s="1288"/>
      <c r="BG38" s="1288"/>
      <c r="BH38" s="1288"/>
      <c r="BI38" s="1288"/>
      <c r="BJ38" s="1288"/>
      <c r="BK38" s="1288"/>
      <c r="BL38" s="1288"/>
      <c r="BM38" s="1288"/>
      <c r="BN38" s="1288"/>
      <c r="BO38" s="1438"/>
      <c r="BP38" s="1288"/>
      <c r="BQ38" s="1288"/>
      <c r="BR38" s="1288"/>
      <c r="BS38" s="1288"/>
      <c r="BT38" s="1288"/>
      <c r="BU38" s="1288"/>
      <c r="BV38" s="1288"/>
      <c r="BW38" s="1288"/>
      <c r="BX38" s="1288"/>
      <c r="BY38" s="1288"/>
      <c r="BZ38" s="1288"/>
      <c r="CA38" s="1288"/>
      <c r="CB38" s="1288"/>
      <c r="CC38" s="1288"/>
      <c r="CD38" s="1288"/>
      <c r="CE38" s="1288"/>
      <c r="CF38" s="1288"/>
      <c r="CG38" s="1288"/>
      <c r="CH38" s="1288"/>
      <c r="CI38" s="1288"/>
      <c r="CJ38" s="1288"/>
      <c r="CK38" s="1288"/>
      <c r="CL38" s="1288"/>
      <c r="CM38" s="1288"/>
      <c r="CN38" s="1288"/>
      <c r="CO38" s="1288"/>
      <c r="CP38" s="1288"/>
      <c r="CQ38" s="1288"/>
      <c r="CR38" s="1288"/>
      <c r="CS38" s="1288"/>
      <c r="CT38" s="1288"/>
      <c r="CU38" s="1288"/>
      <c r="CV38" s="5"/>
    </row>
    <row r="39" spans="1:103" ht="12" customHeight="1" x14ac:dyDescent="0.2">
      <c r="A39" s="5"/>
      <c r="B39" s="1446"/>
      <c r="C39" s="1437"/>
      <c r="D39" s="1437"/>
      <c r="E39" s="1437"/>
      <c r="F39" s="1437"/>
      <c r="G39" s="1437"/>
      <c r="H39" s="1437"/>
      <c r="I39" s="1437"/>
      <c r="J39" s="1437"/>
      <c r="K39" s="1437"/>
      <c r="L39" s="1437"/>
      <c r="M39" s="1437"/>
      <c r="N39" s="1437"/>
      <c r="O39" s="1437"/>
      <c r="P39" s="1437"/>
      <c r="Q39" s="1437"/>
      <c r="R39" s="1437"/>
      <c r="S39" s="1437"/>
      <c r="T39" s="1437"/>
      <c r="U39" s="1437"/>
      <c r="V39" s="1437"/>
      <c r="W39" s="1437"/>
      <c r="X39" s="1437"/>
      <c r="Y39" s="1437"/>
      <c r="Z39" s="1437"/>
      <c r="AA39" s="1437"/>
      <c r="AB39" s="1437"/>
      <c r="AC39" s="1437"/>
      <c r="AD39" s="1437"/>
      <c r="AE39" s="1437"/>
      <c r="AF39" s="1437"/>
      <c r="AG39" s="1447"/>
      <c r="AH39" s="1437"/>
      <c r="AI39" s="1289"/>
      <c r="AJ39" s="1289"/>
      <c r="AK39" s="1289"/>
      <c r="AL39" s="1289"/>
      <c r="AM39" s="1289"/>
      <c r="AN39" s="1289"/>
      <c r="AO39" s="1289"/>
      <c r="AP39" s="1289"/>
      <c r="AQ39" s="1289"/>
      <c r="AR39" s="1289"/>
      <c r="AS39" s="1289"/>
      <c r="AT39" s="1289"/>
      <c r="AU39" s="1289"/>
      <c r="AV39" s="1289"/>
      <c r="AW39" s="1289"/>
      <c r="AX39" s="1289"/>
      <c r="AY39" s="1289"/>
      <c r="AZ39" s="1289"/>
      <c r="BA39" s="1289"/>
      <c r="BB39" s="1289"/>
      <c r="BC39" s="1289"/>
      <c r="BD39" s="1289"/>
      <c r="BE39" s="1289"/>
      <c r="BF39" s="1289"/>
      <c r="BG39" s="1289"/>
      <c r="BH39" s="1289"/>
      <c r="BI39" s="1289"/>
      <c r="BJ39" s="1289"/>
      <c r="BK39" s="1289"/>
      <c r="BL39" s="1289"/>
      <c r="BM39" s="1289"/>
      <c r="BN39" s="1289"/>
      <c r="BO39" s="1438"/>
      <c r="BP39" s="1289"/>
      <c r="BQ39" s="1289"/>
      <c r="BR39" s="1289"/>
      <c r="BS39" s="1289"/>
      <c r="BT39" s="1289"/>
      <c r="BU39" s="1289"/>
      <c r="BV39" s="1289"/>
      <c r="BW39" s="1289"/>
      <c r="BX39" s="1289"/>
      <c r="BY39" s="1289"/>
      <c r="BZ39" s="1289"/>
      <c r="CA39" s="1289"/>
      <c r="CB39" s="1289"/>
      <c r="CC39" s="1289"/>
      <c r="CD39" s="1289"/>
      <c r="CE39" s="1289"/>
      <c r="CF39" s="1289"/>
      <c r="CG39" s="1289"/>
      <c r="CH39" s="1289"/>
      <c r="CI39" s="1289"/>
      <c r="CJ39" s="1289"/>
      <c r="CK39" s="1289"/>
      <c r="CL39" s="1289"/>
      <c r="CM39" s="1289"/>
      <c r="CN39" s="1289"/>
      <c r="CO39" s="1289"/>
      <c r="CP39" s="1289"/>
      <c r="CQ39" s="1289"/>
      <c r="CR39" s="1289"/>
      <c r="CS39" s="1289"/>
      <c r="CT39" s="1289"/>
      <c r="CU39" s="1289"/>
      <c r="CV39" s="5"/>
      <c r="CY39" s="6">
        <f>CY37+1</f>
        <v>5</v>
      </c>
    </row>
    <row r="40" spans="1:103" ht="12" customHeight="1" x14ac:dyDescent="0.2">
      <c r="A40" s="5"/>
      <c r="B40" s="1446"/>
      <c r="C40" s="1437"/>
      <c r="D40" s="1437"/>
      <c r="E40" s="1437"/>
      <c r="F40" s="1437"/>
      <c r="G40" s="1437"/>
      <c r="H40" s="1437"/>
      <c r="I40" s="1437"/>
      <c r="J40" s="1437"/>
      <c r="K40" s="1437"/>
      <c r="L40" s="1437"/>
      <c r="M40" s="1437"/>
      <c r="N40" s="1437"/>
      <c r="O40" s="1437"/>
      <c r="P40" s="1437"/>
      <c r="Q40" s="1437"/>
      <c r="R40" s="1437"/>
      <c r="S40" s="1437"/>
      <c r="T40" s="1437"/>
      <c r="U40" s="1437"/>
      <c r="V40" s="1437"/>
      <c r="W40" s="1437"/>
      <c r="X40" s="1437"/>
      <c r="Y40" s="1437"/>
      <c r="Z40" s="1437"/>
      <c r="AA40" s="1437"/>
      <c r="AB40" s="1437"/>
      <c r="AC40" s="1437"/>
      <c r="AD40" s="1437"/>
      <c r="AE40" s="1437"/>
      <c r="AF40" s="1437"/>
      <c r="AG40" s="1447"/>
      <c r="AH40" s="1437"/>
      <c r="AI40" s="1439"/>
      <c r="AJ40" s="1288"/>
      <c r="AK40" s="1288"/>
      <c r="AL40" s="1288"/>
      <c r="AM40" s="1288"/>
      <c r="AN40" s="1288"/>
      <c r="AO40" s="1288"/>
      <c r="AP40" s="1288"/>
      <c r="AQ40" s="1288"/>
      <c r="AR40" s="1288"/>
      <c r="AS40" s="1288"/>
      <c r="AT40" s="1288"/>
      <c r="AU40" s="1288"/>
      <c r="AV40" s="1288"/>
      <c r="AW40" s="1288"/>
      <c r="AX40" s="1288"/>
      <c r="AY40" s="1288"/>
      <c r="AZ40" s="1288"/>
      <c r="BA40" s="1288"/>
      <c r="BB40" s="1288"/>
      <c r="BC40" s="1288"/>
      <c r="BD40" s="1288"/>
      <c r="BE40" s="1288"/>
      <c r="BF40" s="1288"/>
      <c r="BG40" s="1288"/>
      <c r="BH40" s="1288"/>
      <c r="BI40" s="1288"/>
      <c r="BJ40" s="1288"/>
      <c r="BK40" s="1288"/>
      <c r="BL40" s="1288"/>
      <c r="BM40" s="1288"/>
      <c r="BN40" s="1288"/>
      <c r="BO40" s="1438"/>
      <c r="BP40" s="1288"/>
      <c r="BQ40" s="1288"/>
      <c r="BR40" s="1288"/>
      <c r="BS40" s="1288"/>
      <c r="BT40" s="1288"/>
      <c r="BU40" s="1288"/>
      <c r="BV40" s="1288"/>
      <c r="BW40" s="1288"/>
      <c r="BX40" s="1288"/>
      <c r="BY40" s="1288"/>
      <c r="BZ40" s="1288"/>
      <c r="CA40" s="1288"/>
      <c r="CB40" s="1288"/>
      <c r="CC40" s="1288"/>
      <c r="CD40" s="1288"/>
      <c r="CE40" s="1288"/>
      <c r="CF40" s="1288"/>
      <c r="CG40" s="1288"/>
      <c r="CH40" s="1288"/>
      <c r="CI40" s="1288"/>
      <c r="CJ40" s="1288"/>
      <c r="CK40" s="1288"/>
      <c r="CL40" s="1288"/>
      <c r="CM40" s="1288"/>
      <c r="CN40" s="1288"/>
      <c r="CO40" s="1288"/>
      <c r="CP40" s="1288"/>
      <c r="CQ40" s="1288"/>
      <c r="CR40" s="1288"/>
      <c r="CS40" s="1288"/>
      <c r="CT40" s="1288"/>
      <c r="CU40" s="1288"/>
      <c r="CV40" s="5"/>
    </row>
    <row r="41" spans="1:103" ht="12" customHeight="1" x14ac:dyDescent="0.2">
      <c r="A41" s="5"/>
      <c r="B41" s="1446"/>
      <c r="C41" s="1437"/>
      <c r="D41" s="1437"/>
      <c r="E41" s="1437"/>
      <c r="F41" s="1437"/>
      <c r="G41" s="1437"/>
      <c r="H41" s="1437"/>
      <c r="I41" s="1437"/>
      <c r="J41" s="1437"/>
      <c r="K41" s="1437"/>
      <c r="L41" s="1437"/>
      <c r="M41" s="1437"/>
      <c r="N41" s="1437"/>
      <c r="O41" s="1437"/>
      <c r="P41" s="1437"/>
      <c r="Q41" s="1437"/>
      <c r="R41" s="1437"/>
      <c r="S41" s="1437"/>
      <c r="T41" s="1437"/>
      <c r="U41" s="1437"/>
      <c r="V41" s="1437"/>
      <c r="W41" s="1437"/>
      <c r="X41" s="1437"/>
      <c r="Y41" s="1437"/>
      <c r="Z41" s="1437"/>
      <c r="AA41" s="1437"/>
      <c r="AB41" s="1437"/>
      <c r="AC41" s="1437"/>
      <c r="AD41" s="1437"/>
      <c r="AE41" s="1437"/>
      <c r="AF41" s="1437"/>
      <c r="AG41" s="1447"/>
      <c r="AH41" s="1437"/>
      <c r="AI41" s="1289"/>
      <c r="AJ41" s="1289"/>
      <c r="AK41" s="1289"/>
      <c r="AL41" s="1289"/>
      <c r="AM41" s="1289"/>
      <c r="AN41" s="1289"/>
      <c r="AO41" s="1289"/>
      <c r="AP41" s="1289"/>
      <c r="AQ41" s="1289"/>
      <c r="AR41" s="1289"/>
      <c r="AS41" s="1289"/>
      <c r="AT41" s="1289"/>
      <c r="AU41" s="1289"/>
      <c r="AV41" s="1289"/>
      <c r="AW41" s="1289"/>
      <c r="AX41" s="1289"/>
      <c r="AY41" s="1289"/>
      <c r="AZ41" s="1289"/>
      <c r="BA41" s="1289"/>
      <c r="BB41" s="1289"/>
      <c r="BC41" s="1289"/>
      <c r="BD41" s="1289"/>
      <c r="BE41" s="1289"/>
      <c r="BF41" s="1289"/>
      <c r="BG41" s="1289"/>
      <c r="BH41" s="1289"/>
      <c r="BI41" s="1289"/>
      <c r="BJ41" s="1289"/>
      <c r="BK41" s="1289"/>
      <c r="BL41" s="1289"/>
      <c r="BM41" s="1289"/>
      <c r="BN41" s="1289"/>
      <c r="BO41" s="1438"/>
      <c r="BP41" s="1289"/>
      <c r="BQ41" s="1289"/>
      <c r="BR41" s="1289"/>
      <c r="BS41" s="1289"/>
      <c r="BT41" s="1289"/>
      <c r="BU41" s="1289"/>
      <c r="BV41" s="1289"/>
      <c r="BW41" s="1289"/>
      <c r="BX41" s="1289"/>
      <c r="BY41" s="1289"/>
      <c r="BZ41" s="1289"/>
      <c r="CA41" s="1289"/>
      <c r="CB41" s="1289"/>
      <c r="CC41" s="1289"/>
      <c r="CD41" s="1289"/>
      <c r="CE41" s="1289"/>
      <c r="CF41" s="1289"/>
      <c r="CG41" s="1289"/>
      <c r="CH41" s="1289"/>
      <c r="CI41" s="1289"/>
      <c r="CJ41" s="1289"/>
      <c r="CK41" s="1289"/>
      <c r="CL41" s="1289"/>
      <c r="CM41" s="1289"/>
      <c r="CN41" s="1289"/>
      <c r="CO41" s="1289"/>
      <c r="CP41" s="1289"/>
      <c r="CQ41" s="1289"/>
      <c r="CR41" s="1289"/>
      <c r="CS41" s="1289"/>
      <c r="CT41" s="1289"/>
      <c r="CU41" s="1289"/>
      <c r="CV41" s="5"/>
      <c r="CY41" s="6">
        <f>CY39+1</f>
        <v>6</v>
      </c>
    </row>
    <row r="42" spans="1:103" ht="12" customHeight="1" x14ac:dyDescent="0.2">
      <c r="A42" s="5"/>
      <c r="B42" s="1446"/>
      <c r="C42" s="1437"/>
      <c r="D42" s="1437"/>
      <c r="E42" s="1437"/>
      <c r="F42" s="1437"/>
      <c r="G42" s="1437"/>
      <c r="H42" s="1437"/>
      <c r="I42" s="1437"/>
      <c r="J42" s="1437"/>
      <c r="K42" s="1437"/>
      <c r="L42" s="1437"/>
      <c r="M42" s="1437"/>
      <c r="N42" s="1437"/>
      <c r="O42" s="1437"/>
      <c r="P42" s="1437"/>
      <c r="Q42" s="1437"/>
      <c r="R42" s="1437"/>
      <c r="S42" s="1437"/>
      <c r="T42" s="1437"/>
      <c r="U42" s="1437"/>
      <c r="V42" s="1437"/>
      <c r="W42" s="1437"/>
      <c r="X42" s="1437"/>
      <c r="Y42" s="1437"/>
      <c r="Z42" s="1437"/>
      <c r="AA42" s="1437"/>
      <c r="AB42" s="1437"/>
      <c r="AC42" s="1437"/>
      <c r="AD42" s="1437"/>
      <c r="AE42" s="1437"/>
      <c r="AF42" s="1437"/>
      <c r="AG42" s="1447"/>
      <c r="AH42" s="1437"/>
      <c r="AI42" s="1439"/>
      <c r="AJ42" s="1288"/>
      <c r="AK42" s="1288"/>
      <c r="AL42" s="1288"/>
      <c r="AM42" s="1288"/>
      <c r="AN42" s="1288"/>
      <c r="AO42" s="1288"/>
      <c r="AP42" s="1288"/>
      <c r="AQ42" s="1288"/>
      <c r="AR42" s="1288"/>
      <c r="AS42" s="1288"/>
      <c r="AT42" s="1288"/>
      <c r="AU42" s="1288"/>
      <c r="AV42" s="1288"/>
      <c r="AW42" s="1288"/>
      <c r="AX42" s="1288"/>
      <c r="AY42" s="1288"/>
      <c r="AZ42" s="1288"/>
      <c r="BA42" s="1288"/>
      <c r="BB42" s="1288"/>
      <c r="BC42" s="1288"/>
      <c r="BD42" s="1288"/>
      <c r="BE42" s="1288"/>
      <c r="BF42" s="1288"/>
      <c r="BG42" s="1288"/>
      <c r="BH42" s="1288"/>
      <c r="BI42" s="1288"/>
      <c r="BJ42" s="1288"/>
      <c r="BK42" s="1288"/>
      <c r="BL42" s="1288"/>
      <c r="BM42" s="1288"/>
      <c r="BN42" s="1288"/>
      <c r="BO42" s="1438"/>
      <c r="BP42" s="1288"/>
      <c r="BQ42" s="1288"/>
      <c r="BR42" s="1288"/>
      <c r="BS42" s="1288"/>
      <c r="BT42" s="1288"/>
      <c r="BU42" s="1288"/>
      <c r="BV42" s="1288"/>
      <c r="BW42" s="1288"/>
      <c r="BX42" s="1288"/>
      <c r="BY42" s="1288"/>
      <c r="BZ42" s="1288"/>
      <c r="CA42" s="1288"/>
      <c r="CB42" s="1288"/>
      <c r="CC42" s="1288"/>
      <c r="CD42" s="1288"/>
      <c r="CE42" s="1288"/>
      <c r="CF42" s="1288"/>
      <c r="CG42" s="1288"/>
      <c r="CH42" s="1288"/>
      <c r="CI42" s="1288"/>
      <c r="CJ42" s="1288"/>
      <c r="CK42" s="1288"/>
      <c r="CL42" s="1288"/>
      <c r="CM42" s="1288"/>
      <c r="CN42" s="1288"/>
      <c r="CO42" s="1288"/>
      <c r="CP42" s="1288"/>
      <c r="CQ42" s="1288"/>
      <c r="CR42" s="1288"/>
      <c r="CS42" s="1288"/>
      <c r="CT42" s="1288"/>
      <c r="CU42" s="1288"/>
      <c r="CV42" s="5"/>
    </row>
    <row r="43" spans="1:103" ht="12" customHeight="1" x14ac:dyDescent="0.2">
      <c r="A43" s="5"/>
      <c r="B43" s="1446"/>
      <c r="C43" s="1437"/>
      <c r="D43" s="1437"/>
      <c r="E43" s="1437"/>
      <c r="F43" s="1437"/>
      <c r="G43" s="1437"/>
      <c r="H43" s="1437"/>
      <c r="I43" s="1437"/>
      <c r="J43" s="1437"/>
      <c r="K43" s="1437"/>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c r="AG43" s="1447"/>
      <c r="AH43" s="1437"/>
      <c r="AI43" s="1289"/>
      <c r="AJ43" s="1289"/>
      <c r="AK43" s="1289"/>
      <c r="AL43" s="1289"/>
      <c r="AM43" s="1289"/>
      <c r="AN43" s="1289"/>
      <c r="AO43" s="1289"/>
      <c r="AP43" s="1289"/>
      <c r="AQ43" s="1289"/>
      <c r="AR43" s="1289"/>
      <c r="AS43" s="1289"/>
      <c r="AT43" s="1289"/>
      <c r="AU43" s="1289"/>
      <c r="AV43" s="1289"/>
      <c r="AW43" s="1289"/>
      <c r="AX43" s="1289"/>
      <c r="AY43" s="1289"/>
      <c r="AZ43" s="1289"/>
      <c r="BA43" s="1289"/>
      <c r="BB43" s="1289"/>
      <c r="BC43" s="1289"/>
      <c r="BD43" s="1289"/>
      <c r="BE43" s="1289"/>
      <c r="BF43" s="1289"/>
      <c r="BG43" s="1289"/>
      <c r="BH43" s="1289"/>
      <c r="BI43" s="1289"/>
      <c r="BJ43" s="1289"/>
      <c r="BK43" s="1289"/>
      <c r="BL43" s="1289"/>
      <c r="BM43" s="1289"/>
      <c r="BN43" s="1289"/>
      <c r="BO43" s="1438"/>
      <c r="BP43" s="1289"/>
      <c r="BQ43" s="1289"/>
      <c r="BR43" s="1289"/>
      <c r="BS43" s="1289"/>
      <c r="BT43" s="1289"/>
      <c r="BU43" s="1289"/>
      <c r="BV43" s="1289"/>
      <c r="BW43" s="1289"/>
      <c r="BX43" s="1289"/>
      <c r="BY43" s="1289"/>
      <c r="BZ43" s="1289"/>
      <c r="CA43" s="1289"/>
      <c r="CB43" s="1289"/>
      <c r="CC43" s="1289"/>
      <c r="CD43" s="1289"/>
      <c r="CE43" s="1289"/>
      <c r="CF43" s="1289"/>
      <c r="CG43" s="1289"/>
      <c r="CH43" s="1289"/>
      <c r="CI43" s="1289"/>
      <c r="CJ43" s="1289"/>
      <c r="CK43" s="1289"/>
      <c r="CL43" s="1289"/>
      <c r="CM43" s="1289"/>
      <c r="CN43" s="1289"/>
      <c r="CO43" s="1289"/>
      <c r="CP43" s="1289"/>
      <c r="CQ43" s="1289"/>
      <c r="CR43" s="1289"/>
      <c r="CS43" s="1289"/>
      <c r="CT43" s="1289"/>
      <c r="CU43" s="1289"/>
      <c r="CV43" s="5"/>
      <c r="CY43" s="6">
        <f>CY41+1</f>
        <v>7</v>
      </c>
    </row>
    <row r="44" spans="1:103" ht="12" customHeight="1" x14ac:dyDescent="0.2">
      <c r="A44" s="5"/>
      <c r="B44" s="1446"/>
      <c r="C44" s="1437"/>
      <c r="D44" s="1437"/>
      <c r="E44" s="1437"/>
      <c r="F44" s="1437"/>
      <c r="G44" s="1437"/>
      <c r="H44" s="1437"/>
      <c r="I44" s="1437"/>
      <c r="J44" s="1437"/>
      <c r="K44" s="1437"/>
      <c r="L44" s="1437"/>
      <c r="M44" s="1437"/>
      <c r="N44" s="1437"/>
      <c r="O44" s="1437"/>
      <c r="P44" s="1437"/>
      <c r="Q44" s="1437"/>
      <c r="R44" s="1437"/>
      <c r="S44" s="1437"/>
      <c r="T44" s="1437"/>
      <c r="U44" s="1437"/>
      <c r="V44" s="1437"/>
      <c r="W44" s="1437"/>
      <c r="X44" s="1437"/>
      <c r="Y44" s="1437"/>
      <c r="Z44" s="1437"/>
      <c r="AA44" s="1437"/>
      <c r="AB44" s="1437"/>
      <c r="AC44" s="1437"/>
      <c r="AD44" s="1437"/>
      <c r="AE44" s="1437"/>
      <c r="AF44" s="1437"/>
      <c r="AG44" s="1447"/>
      <c r="AH44" s="1437"/>
      <c r="AI44" s="1288"/>
      <c r="AJ44" s="1288"/>
      <c r="AK44" s="1288"/>
      <c r="AL44" s="1288"/>
      <c r="AM44" s="1288"/>
      <c r="AN44" s="1288"/>
      <c r="AO44" s="1288"/>
      <c r="AP44" s="1288"/>
      <c r="AQ44" s="1288"/>
      <c r="AR44" s="1288"/>
      <c r="AS44" s="1288"/>
      <c r="AT44" s="1288"/>
      <c r="AU44" s="1288"/>
      <c r="AV44" s="1288"/>
      <c r="AW44" s="1288"/>
      <c r="AX44" s="1288"/>
      <c r="AY44" s="1288"/>
      <c r="AZ44" s="1288"/>
      <c r="BA44" s="1288"/>
      <c r="BB44" s="1288"/>
      <c r="BC44" s="1288"/>
      <c r="BD44" s="1288"/>
      <c r="BE44" s="1288"/>
      <c r="BF44" s="1288"/>
      <c r="BG44" s="1288"/>
      <c r="BH44" s="1288"/>
      <c r="BI44" s="1288"/>
      <c r="BJ44" s="1288"/>
      <c r="BK44" s="1288"/>
      <c r="BL44" s="1288"/>
      <c r="BM44" s="1288"/>
      <c r="BN44" s="1288"/>
      <c r="BO44" s="1438"/>
      <c r="BP44" s="1288"/>
      <c r="BQ44" s="1288"/>
      <c r="BR44" s="1288"/>
      <c r="BS44" s="1288"/>
      <c r="BT44" s="1288"/>
      <c r="BU44" s="1288"/>
      <c r="BV44" s="1288"/>
      <c r="BW44" s="1288"/>
      <c r="BX44" s="1288"/>
      <c r="BY44" s="1288"/>
      <c r="BZ44" s="1288"/>
      <c r="CA44" s="1288"/>
      <c r="CB44" s="1288"/>
      <c r="CC44" s="1288"/>
      <c r="CD44" s="1288"/>
      <c r="CE44" s="1288"/>
      <c r="CF44" s="1288"/>
      <c r="CG44" s="1288"/>
      <c r="CH44" s="1288"/>
      <c r="CI44" s="1288"/>
      <c r="CJ44" s="1288"/>
      <c r="CK44" s="1288"/>
      <c r="CL44" s="1288"/>
      <c r="CM44" s="1288"/>
      <c r="CN44" s="1288"/>
      <c r="CO44" s="1288"/>
      <c r="CP44" s="1288"/>
      <c r="CQ44" s="1288"/>
      <c r="CR44" s="1288"/>
      <c r="CS44" s="1288"/>
      <c r="CT44" s="1288"/>
      <c r="CU44" s="1288"/>
      <c r="CV44" s="5"/>
    </row>
    <row r="45" spans="1:103" ht="12" customHeight="1" x14ac:dyDescent="0.2">
      <c r="A45" s="5"/>
      <c r="B45" s="1446"/>
      <c r="C45" s="1437"/>
      <c r="D45" s="1437"/>
      <c r="E45" s="1437"/>
      <c r="F45" s="1437"/>
      <c r="G45" s="1437"/>
      <c r="H45" s="1437"/>
      <c r="I45" s="1437"/>
      <c r="J45" s="1437"/>
      <c r="K45" s="1437"/>
      <c r="L45" s="1437"/>
      <c r="M45" s="1437"/>
      <c r="N45" s="1437"/>
      <c r="O45" s="1437"/>
      <c r="P45" s="1437"/>
      <c r="Q45" s="1437"/>
      <c r="R45" s="1437"/>
      <c r="S45" s="1437"/>
      <c r="T45" s="1437"/>
      <c r="U45" s="1437"/>
      <c r="V45" s="1437"/>
      <c r="W45" s="1437"/>
      <c r="X45" s="1437"/>
      <c r="Y45" s="1437"/>
      <c r="Z45" s="1437"/>
      <c r="AA45" s="1437"/>
      <c r="AB45" s="1437"/>
      <c r="AC45" s="1437"/>
      <c r="AD45" s="1437"/>
      <c r="AE45" s="1437"/>
      <c r="AF45" s="1437"/>
      <c r="AG45" s="1447"/>
      <c r="AH45" s="1437"/>
      <c r="AI45" s="1289"/>
      <c r="AJ45" s="1289"/>
      <c r="AK45" s="1289"/>
      <c r="AL45" s="1289"/>
      <c r="AM45" s="1289"/>
      <c r="AN45" s="1289"/>
      <c r="AO45" s="1289"/>
      <c r="AP45" s="1289"/>
      <c r="AQ45" s="1289"/>
      <c r="AR45" s="1289"/>
      <c r="AS45" s="1289"/>
      <c r="AT45" s="1289"/>
      <c r="AU45" s="1289"/>
      <c r="AV45" s="1289"/>
      <c r="AW45" s="1289"/>
      <c r="AX45" s="1289"/>
      <c r="AY45" s="1289"/>
      <c r="AZ45" s="1289"/>
      <c r="BA45" s="1289"/>
      <c r="BB45" s="1289"/>
      <c r="BC45" s="1289"/>
      <c r="BD45" s="1289"/>
      <c r="BE45" s="1289"/>
      <c r="BF45" s="1289"/>
      <c r="BG45" s="1289"/>
      <c r="BH45" s="1289"/>
      <c r="BI45" s="1289"/>
      <c r="BJ45" s="1289"/>
      <c r="BK45" s="1289"/>
      <c r="BL45" s="1289"/>
      <c r="BM45" s="1289"/>
      <c r="BN45" s="1289"/>
      <c r="BO45" s="1438"/>
      <c r="BP45" s="1289"/>
      <c r="BQ45" s="1289"/>
      <c r="BR45" s="1289"/>
      <c r="BS45" s="1289"/>
      <c r="BT45" s="1289"/>
      <c r="BU45" s="1289"/>
      <c r="BV45" s="1289"/>
      <c r="BW45" s="1289"/>
      <c r="BX45" s="1289"/>
      <c r="BY45" s="1289"/>
      <c r="BZ45" s="1289"/>
      <c r="CA45" s="1289"/>
      <c r="CB45" s="1289"/>
      <c r="CC45" s="1289"/>
      <c r="CD45" s="1289"/>
      <c r="CE45" s="1289"/>
      <c r="CF45" s="1289"/>
      <c r="CG45" s="1289"/>
      <c r="CH45" s="1289"/>
      <c r="CI45" s="1289"/>
      <c r="CJ45" s="1289"/>
      <c r="CK45" s="1289"/>
      <c r="CL45" s="1289"/>
      <c r="CM45" s="1289"/>
      <c r="CN45" s="1289"/>
      <c r="CO45" s="1289"/>
      <c r="CP45" s="1289"/>
      <c r="CQ45" s="1289"/>
      <c r="CR45" s="1289"/>
      <c r="CS45" s="1289"/>
      <c r="CT45" s="1289"/>
      <c r="CU45" s="1289"/>
      <c r="CV45" s="5"/>
      <c r="CY45" s="6">
        <f>CY43+1</f>
        <v>8</v>
      </c>
    </row>
    <row r="46" spans="1:103" ht="12" customHeight="1" x14ac:dyDescent="0.2">
      <c r="A46" s="5"/>
      <c r="B46" s="1446"/>
      <c r="C46" s="1437"/>
      <c r="D46" s="1437"/>
      <c r="E46" s="1437"/>
      <c r="F46" s="1437"/>
      <c r="G46" s="1437"/>
      <c r="H46" s="1437"/>
      <c r="I46" s="1437"/>
      <c r="J46" s="1437"/>
      <c r="K46" s="1437"/>
      <c r="L46" s="1437"/>
      <c r="M46" s="1437"/>
      <c r="N46" s="1437"/>
      <c r="O46" s="1437"/>
      <c r="P46" s="1437"/>
      <c r="Q46" s="1437"/>
      <c r="R46" s="1437"/>
      <c r="S46" s="1437"/>
      <c r="T46" s="1437"/>
      <c r="U46" s="1437"/>
      <c r="V46" s="1437"/>
      <c r="W46" s="1437"/>
      <c r="X46" s="1437"/>
      <c r="Y46" s="1437"/>
      <c r="Z46" s="1437"/>
      <c r="AA46" s="1437"/>
      <c r="AB46" s="1437"/>
      <c r="AC46" s="1437"/>
      <c r="AD46" s="1437"/>
      <c r="AE46" s="1437"/>
      <c r="AF46" s="1437"/>
      <c r="AG46" s="1447"/>
      <c r="AH46" s="1437"/>
      <c r="AI46" s="1436"/>
      <c r="AJ46" s="1436"/>
      <c r="AK46" s="1436"/>
      <c r="AL46" s="1436"/>
      <c r="AM46" s="1436"/>
      <c r="AN46" s="1436"/>
      <c r="AO46" s="1436"/>
      <c r="AP46" s="1436"/>
      <c r="AQ46" s="1436"/>
      <c r="AR46" s="1436"/>
      <c r="AS46" s="1436"/>
      <c r="AT46" s="1436"/>
      <c r="AU46" s="1436"/>
      <c r="AV46" s="1436"/>
      <c r="AW46" s="1436"/>
      <c r="AX46" s="1436"/>
      <c r="AY46" s="1436"/>
      <c r="AZ46" s="1436"/>
      <c r="BA46" s="1436"/>
      <c r="BB46" s="1436"/>
      <c r="BC46" s="1436"/>
      <c r="BD46" s="1436"/>
      <c r="BE46" s="1436"/>
      <c r="BF46" s="1436"/>
      <c r="BG46" s="1436"/>
      <c r="BH46" s="1436"/>
      <c r="BI46" s="1436"/>
      <c r="BJ46" s="1436"/>
      <c r="BK46" s="1436"/>
      <c r="BL46" s="1436"/>
      <c r="BM46" s="1436"/>
      <c r="BN46" s="1436"/>
      <c r="BO46" s="1438"/>
      <c r="BP46" s="1288"/>
      <c r="BQ46" s="1288"/>
      <c r="BR46" s="1288"/>
      <c r="BS46" s="1288"/>
      <c r="BT46" s="1288"/>
      <c r="BU46" s="1288"/>
      <c r="BV46" s="1288"/>
      <c r="BW46" s="1288"/>
      <c r="BX46" s="1288"/>
      <c r="BY46" s="1288"/>
      <c r="BZ46" s="1288"/>
      <c r="CA46" s="1288"/>
      <c r="CB46" s="1288"/>
      <c r="CC46" s="1288"/>
      <c r="CD46" s="1288"/>
      <c r="CE46" s="1288"/>
      <c r="CF46" s="1288"/>
      <c r="CG46" s="1288"/>
      <c r="CH46" s="1288"/>
      <c r="CI46" s="1288"/>
      <c r="CJ46" s="1288"/>
      <c r="CK46" s="1288"/>
      <c r="CL46" s="1288"/>
      <c r="CM46" s="1288"/>
      <c r="CN46" s="1288"/>
      <c r="CO46" s="1288"/>
      <c r="CP46" s="1288"/>
      <c r="CQ46" s="1288"/>
      <c r="CR46" s="1288"/>
      <c r="CS46" s="1288"/>
      <c r="CT46" s="1288"/>
      <c r="CU46" s="1288"/>
      <c r="CV46" s="5"/>
    </row>
    <row r="47" spans="1:103" ht="12" customHeight="1" x14ac:dyDescent="0.2">
      <c r="A47" s="5"/>
      <c r="B47" s="1446"/>
      <c r="C47" s="1437"/>
      <c r="D47" s="1437"/>
      <c r="E47" s="1437"/>
      <c r="F47" s="1437"/>
      <c r="G47" s="1437"/>
      <c r="H47" s="1437"/>
      <c r="I47" s="1437"/>
      <c r="J47" s="1437"/>
      <c r="K47" s="1437"/>
      <c r="L47" s="1437"/>
      <c r="M47" s="1437"/>
      <c r="N47" s="1437"/>
      <c r="O47" s="1437"/>
      <c r="P47" s="1437"/>
      <c r="Q47" s="1437"/>
      <c r="R47" s="1437"/>
      <c r="S47" s="1437"/>
      <c r="T47" s="1437"/>
      <c r="U47" s="1437"/>
      <c r="V47" s="1437"/>
      <c r="W47" s="1437"/>
      <c r="X47" s="1437"/>
      <c r="Y47" s="1437"/>
      <c r="Z47" s="1437"/>
      <c r="AA47" s="1437"/>
      <c r="AB47" s="1437"/>
      <c r="AC47" s="1437"/>
      <c r="AD47" s="1437"/>
      <c r="AE47" s="1437"/>
      <c r="AF47" s="1437"/>
      <c r="AG47" s="1447"/>
      <c r="AH47" s="1437"/>
      <c r="AI47" s="1289"/>
      <c r="AJ47" s="1289"/>
      <c r="AK47" s="1289"/>
      <c r="AL47" s="1289"/>
      <c r="AM47" s="1289"/>
      <c r="AN47" s="1289"/>
      <c r="AO47" s="1289"/>
      <c r="AP47" s="1289"/>
      <c r="AQ47" s="1289"/>
      <c r="AR47" s="1289"/>
      <c r="AS47" s="1289"/>
      <c r="AT47" s="1289"/>
      <c r="AU47" s="1289"/>
      <c r="AV47" s="1289"/>
      <c r="AW47" s="1289"/>
      <c r="AX47" s="1289"/>
      <c r="AY47" s="1289"/>
      <c r="AZ47" s="1289"/>
      <c r="BA47" s="1289"/>
      <c r="BB47" s="1289"/>
      <c r="BC47" s="1289"/>
      <c r="BD47" s="1289"/>
      <c r="BE47" s="1289"/>
      <c r="BF47" s="1289"/>
      <c r="BG47" s="1289"/>
      <c r="BH47" s="1289"/>
      <c r="BI47" s="1289"/>
      <c r="BJ47" s="1289"/>
      <c r="BK47" s="1289"/>
      <c r="BL47" s="1289"/>
      <c r="BM47" s="1289"/>
      <c r="BN47" s="1289"/>
      <c r="BO47" s="1438"/>
      <c r="BP47" s="1289"/>
      <c r="BQ47" s="1289"/>
      <c r="BR47" s="1289"/>
      <c r="BS47" s="1289"/>
      <c r="BT47" s="1289"/>
      <c r="BU47" s="1289"/>
      <c r="BV47" s="1289"/>
      <c r="BW47" s="1289"/>
      <c r="BX47" s="1289"/>
      <c r="BY47" s="1289"/>
      <c r="BZ47" s="1289"/>
      <c r="CA47" s="1289"/>
      <c r="CB47" s="1289"/>
      <c r="CC47" s="1289"/>
      <c r="CD47" s="1289"/>
      <c r="CE47" s="1289"/>
      <c r="CF47" s="1289"/>
      <c r="CG47" s="1289"/>
      <c r="CH47" s="1289"/>
      <c r="CI47" s="1289"/>
      <c r="CJ47" s="1289"/>
      <c r="CK47" s="1289"/>
      <c r="CL47" s="1289"/>
      <c r="CM47" s="1289"/>
      <c r="CN47" s="1289"/>
      <c r="CO47" s="1289"/>
      <c r="CP47" s="1289"/>
      <c r="CQ47" s="1289"/>
      <c r="CR47" s="1289"/>
      <c r="CS47" s="1289"/>
      <c r="CT47" s="1289"/>
      <c r="CU47" s="1289"/>
      <c r="CV47" s="5"/>
      <c r="CY47" s="6">
        <f>CY45+1</f>
        <v>9</v>
      </c>
    </row>
    <row r="48" spans="1:103" ht="12" customHeight="1" x14ac:dyDescent="0.2">
      <c r="A48" s="5"/>
      <c r="B48" s="1448"/>
      <c r="C48" s="1449"/>
      <c r="D48" s="1449"/>
      <c r="E48" s="1449"/>
      <c r="F48" s="1449"/>
      <c r="G48" s="1449"/>
      <c r="H48" s="1449"/>
      <c r="I48" s="1449"/>
      <c r="J48" s="1449"/>
      <c r="K48" s="1449"/>
      <c r="L48" s="1449"/>
      <c r="M48" s="1449"/>
      <c r="N48" s="1449"/>
      <c r="O48" s="1449"/>
      <c r="P48" s="1449"/>
      <c r="Q48" s="1449"/>
      <c r="R48" s="1449"/>
      <c r="S48" s="1449"/>
      <c r="T48" s="1449"/>
      <c r="U48" s="1449"/>
      <c r="V48" s="1449"/>
      <c r="W48" s="1449"/>
      <c r="X48" s="1449"/>
      <c r="Y48" s="1449"/>
      <c r="Z48" s="1449"/>
      <c r="AA48" s="1449"/>
      <c r="AB48" s="1449"/>
      <c r="AC48" s="1449"/>
      <c r="AD48" s="1449"/>
      <c r="AE48" s="1449"/>
      <c r="AF48" s="1449"/>
      <c r="AG48" s="1450"/>
      <c r="AH48" s="1437"/>
      <c r="AI48" s="1436"/>
      <c r="AJ48" s="1436"/>
      <c r="AK48" s="1436"/>
      <c r="AL48" s="1436"/>
      <c r="AM48" s="1436"/>
      <c r="AN48" s="1436"/>
      <c r="AO48" s="1436"/>
      <c r="AP48" s="1436"/>
      <c r="AQ48" s="1436"/>
      <c r="AR48" s="1436"/>
      <c r="AS48" s="1436"/>
      <c r="AT48" s="1436"/>
      <c r="AU48" s="1436"/>
      <c r="AV48" s="1436"/>
      <c r="AW48" s="1436"/>
      <c r="AX48" s="1436"/>
      <c r="AY48" s="1436"/>
      <c r="AZ48" s="1436"/>
      <c r="BA48" s="1436"/>
      <c r="BB48" s="1436"/>
      <c r="BC48" s="1436"/>
      <c r="BD48" s="1436"/>
      <c r="BE48" s="1436"/>
      <c r="BF48" s="1436"/>
      <c r="BG48" s="1436"/>
      <c r="BH48" s="1436"/>
      <c r="BI48" s="1436"/>
      <c r="BJ48" s="1436"/>
      <c r="BK48" s="1436"/>
      <c r="BL48" s="1436"/>
      <c r="BM48" s="1436"/>
      <c r="BN48" s="1436"/>
      <c r="BO48" s="1438"/>
      <c r="BP48" s="1288"/>
      <c r="BQ48" s="1288"/>
      <c r="BR48" s="1288"/>
      <c r="BS48" s="1288"/>
      <c r="BT48" s="1288"/>
      <c r="BU48" s="1288"/>
      <c r="BV48" s="1288"/>
      <c r="BW48" s="1288"/>
      <c r="BX48" s="1288"/>
      <c r="BY48" s="1288"/>
      <c r="BZ48" s="1288"/>
      <c r="CA48" s="1288"/>
      <c r="CB48" s="1288"/>
      <c r="CC48" s="1288"/>
      <c r="CD48" s="1288"/>
      <c r="CE48" s="1288"/>
      <c r="CF48" s="1288"/>
      <c r="CG48" s="1288"/>
      <c r="CH48" s="1288"/>
      <c r="CI48" s="1288"/>
      <c r="CJ48" s="1288"/>
      <c r="CK48" s="1288"/>
      <c r="CL48" s="1288"/>
      <c r="CM48" s="1288"/>
      <c r="CN48" s="1288"/>
      <c r="CO48" s="1288"/>
      <c r="CP48" s="1288"/>
      <c r="CQ48" s="1288"/>
      <c r="CR48" s="1288"/>
      <c r="CS48" s="1288"/>
      <c r="CT48" s="1288"/>
      <c r="CU48" s="1288"/>
      <c r="CV48" s="5"/>
    </row>
    <row r="49" spans="1:103" ht="12" customHeight="1" x14ac:dyDescent="0.2">
      <c r="A49" s="5"/>
      <c r="AH49" s="1437"/>
      <c r="AI49" s="1289"/>
      <c r="AJ49" s="1289"/>
      <c r="AK49" s="1289"/>
      <c r="AL49" s="1289"/>
      <c r="AM49" s="1289"/>
      <c r="AN49" s="1289"/>
      <c r="AO49" s="1289"/>
      <c r="AP49" s="1289"/>
      <c r="AQ49" s="1289"/>
      <c r="AR49" s="1289"/>
      <c r="AS49" s="1289"/>
      <c r="AT49" s="1289"/>
      <c r="AU49" s="1289"/>
      <c r="AV49" s="1289"/>
      <c r="AW49" s="1289"/>
      <c r="AX49" s="1289"/>
      <c r="AY49" s="1289"/>
      <c r="AZ49" s="1289"/>
      <c r="BA49" s="1289"/>
      <c r="BB49" s="1289"/>
      <c r="BC49" s="1289"/>
      <c r="BD49" s="1289"/>
      <c r="BE49" s="1289"/>
      <c r="BF49" s="1289"/>
      <c r="BG49" s="1289"/>
      <c r="BH49" s="1289"/>
      <c r="BI49" s="1289"/>
      <c r="BJ49" s="1289"/>
      <c r="BK49" s="1289"/>
      <c r="BL49" s="1289"/>
      <c r="BM49" s="1289"/>
      <c r="BN49" s="1289"/>
      <c r="BO49" s="1438"/>
      <c r="BP49" s="1289"/>
      <c r="BQ49" s="1289"/>
      <c r="BR49" s="1289"/>
      <c r="BS49" s="1289"/>
      <c r="BT49" s="1289"/>
      <c r="BU49" s="1289"/>
      <c r="BV49" s="1289"/>
      <c r="BW49" s="1289"/>
      <c r="BX49" s="1289"/>
      <c r="BY49" s="1289"/>
      <c r="BZ49" s="1289"/>
      <c r="CA49" s="1289"/>
      <c r="CB49" s="1289"/>
      <c r="CC49" s="1289"/>
      <c r="CD49" s="1289"/>
      <c r="CE49" s="1289"/>
      <c r="CF49" s="1289"/>
      <c r="CG49" s="1289"/>
      <c r="CH49" s="1289"/>
      <c r="CI49" s="1289"/>
      <c r="CJ49" s="1289"/>
      <c r="CK49" s="1289"/>
      <c r="CL49" s="1289"/>
      <c r="CM49" s="1289"/>
      <c r="CN49" s="1289"/>
      <c r="CO49" s="1289"/>
      <c r="CP49" s="1289"/>
      <c r="CQ49" s="1289"/>
      <c r="CR49" s="1289"/>
      <c r="CS49" s="1289"/>
      <c r="CT49" s="1289"/>
      <c r="CU49" s="1289"/>
      <c r="CV49" s="5"/>
      <c r="CY49" s="6">
        <f>CY47+1</f>
        <v>10</v>
      </c>
    </row>
    <row r="50" spans="1:103" ht="12" customHeight="1" x14ac:dyDescent="0.2">
      <c r="A50" s="5"/>
      <c r="B50" s="1274" t="s">
        <v>2978</v>
      </c>
      <c r="C50" s="1275"/>
      <c r="D50" s="1275"/>
      <c r="E50" s="1275"/>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6"/>
      <c r="AH50" s="1437"/>
      <c r="AI50" s="1436"/>
      <c r="AJ50" s="1436"/>
      <c r="AK50" s="1436"/>
      <c r="AL50" s="1436"/>
      <c r="AM50" s="1436"/>
      <c r="AN50" s="1436"/>
      <c r="AO50" s="1436"/>
      <c r="AP50" s="1436"/>
      <c r="AQ50" s="1436"/>
      <c r="AR50" s="1436"/>
      <c r="AS50" s="1436"/>
      <c r="AT50" s="1436"/>
      <c r="AU50" s="1436"/>
      <c r="AV50" s="1436"/>
      <c r="AW50" s="1436"/>
      <c r="AX50" s="1436"/>
      <c r="AY50" s="1436"/>
      <c r="AZ50" s="1436"/>
      <c r="BA50" s="1436"/>
      <c r="BB50" s="1436"/>
      <c r="BC50" s="1436"/>
      <c r="BD50" s="1436"/>
      <c r="BE50" s="1436"/>
      <c r="BF50" s="1436"/>
      <c r="BG50" s="1436"/>
      <c r="BH50" s="1436"/>
      <c r="BI50" s="1436"/>
      <c r="BJ50" s="1436"/>
      <c r="BK50" s="1436"/>
      <c r="BL50" s="1436"/>
      <c r="BM50" s="1436"/>
      <c r="BN50" s="1436"/>
      <c r="BO50" s="1438"/>
      <c r="BP50" s="1288"/>
      <c r="BQ50" s="1288"/>
      <c r="BR50" s="1288"/>
      <c r="BS50" s="1288"/>
      <c r="BT50" s="1288"/>
      <c r="BU50" s="1288"/>
      <c r="BV50" s="1288"/>
      <c r="BW50" s="1288"/>
      <c r="BX50" s="1288"/>
      <c r="BY50" s="1288"/>
      <c r="BZ50" s="1288"/>
      <c r="CA50" s="1288"/>
      <c r="CB50" s="1288"/>
      <c r="CC50" s="1288"/>
      <c r="CD50" s="1288"/>
      <c r="CE50" s="1288"/>
      <c r="CF50" s="1288"/>
      <c r="CG50" s="1288"/>
      <c r="CH50" s="1288"/>
      <c r="CI50" s="1288"/>
      <c r="CJ50" s="1288"/>
      <c r="CK50" s="1288"/>
      <c r="CL50" s="1288"/>
      <c r="CM50" s="1288"/>
      <c r="CN50" s="1288"/>
      <c r="CO50" s="1288"/>
      <c r="CP50" s="1288"/>
      <c r="CQ50" s="1288"/>
      <c r="CR50" s="1288"/>
      <c r="CS50" s="1288"/>
      <c r="CT50" s="1288"/>
      <c r="CU50" s="1288"/>
      <c r="CV50" s="5"/>
    </row>
    <row r="51" spans="1:103" ht="12" customHeight="1" x14ac:dyDescent="0.2">
      <c r="A51" s="5"/>
      <c r="B51" s="1430"/>
      <c r="C51" s="1431"/>
      <c r="D51" s="1431"/>
      <c r="E51" s="1431"/>
      <c r="F51" s="1431"/>
      <c r="G51" s="1431"/>
      <c r="H51" s="1431"/>
      <c r="I51" s="1431"/>
      <c r="J51" s="1431"/>
      <c r="K51" s="1431"/>
      <c r="L51" s="1431"/>
      <c r="M51" s="1431"/>
      <c r="N51" s="1431"/>
      <c r="O51" s="1431"/>
      <c r="P51" s="1431"/>
      <c r="Q51" s="1431"/>
      <c r="R51" s="1431"/>
      <c r="S51" s="1431"/>
      <c r="T51" s="1431"/>
      <c r="U51" s="1431"/>
      <c r="V51" s="1431"/>
      <c r="W51" s="1431"/>
      <c r="X51" s="1431"/>
      <c r="Y51" s="1431"/>
      <c r="Z51" s="1431"/>
      <c r="AA51" s="1431"/>
      <c r="AB51" s="1431"/>
      <c r="AC51" s="1431"/>
      <c r="AD51" s="1431"/>
      <c r="AE51" s="1431"/>
      <c r="AF51" s="1431"/>
      <c r="AG51" s="1432"/>
      <c r="AH51" s="1437"/>
      <c r="AI51" s="1289"/>
      <c r="AJ51" s="1289"/>
      <c r="AK51" s="1289"/>
      <c r="AL51" s="1289"/>
      <c r="AM51" s="1289"/>
      <c r="AN51" s="1289"/>
      <c r="AO51" s="1289"/>
      <c r="AP51" s="1289"/>
      <c r="AQ51" s="1289"/>
      <c r="AR51" s="1289"/>
      <c r="AS51" s="1289"/>
      <c r="AT51" s="1289"/>
      <c r="AU51" s="1289"/>
      <c r="AV51" s="1289"/>
      <c r="AW51" s="1289"/>
      <c r="AX51" s="1289"/>
      <c r="AY51" s="1289"/>
      <c r="AZ51" s="1289"/>
      <c r="BA51" s="1289"/>
      <c r="BB51" s="1289"/>
      <c r="BC51" s="1289"/>
      <c r="BD51" s="1289"/>
      <c r="BE51" s="1289"/>
      <c r="BF51" s="1289"/>
      <c r="BG51" s="1289"/>
      <c r="BH51" s="1289"/>
      <c r="BI51" s="1289"/>
      <c r="BJ51" s="1289"/>
      <c r="BK51" s="1289"/>
      <c r="BL51" s="1289"/>
      <c r="BM51" s="1289"/>
      <c r="BN51" s="1289"/>
      <c r="BO51" s="1438"/>
      <c r="BP51" s="1289"/>
      <c r="BQ51" s="1289"/>
      <c r="BR51" s="1289"/>
      <c r="BS51" s="1289"/>
      <c r="BT51" s="1289"/>
      <c r="BU51" s="1289"/>
      <c r="BV51" s="1289"/>
      <c r="BW51" s="1289"/>
      <c r="BX51" s="1289"/>
      <c r="BY51" s="1289"/>
      <c r="BZ51" s="1289"/>
      <c r="CA51" s="1289"/>
      <c r="CB51" s="1289"/>
      <c r="CC51" s="1289"/>
      <c r="CD51" s="1289"/>
      <c r="CE51" s="1289"/>
      <c r="CF51" s="1289"/>
      <c r="CG51" s="1289"/>
      <c r="CH51" s="1289"/>
      <c r="CI51" s="1289"/>
      <c r="CJ51" s="1289"/>
      <c r="CK51" s="1289"/>
      <c r="CL51" s="1289"/>
      <c r="CM51" s="1289"/>
      <c r="CN51" s="1289"/>
      <c r="CO51" s="1289"/>
      <c r="CP51" s="1289"/>
      <c r="CQ51" s="1289"/>
      <c r="CR51" s="1289"/>
      <c r="CS51" s="1289"/>
      <c r="CT51" s="1289"/>
      <c r="CU51" s="1289"/>
      <c r="CV51" s="5"/>
      <c r="CY51" s="6">
        <f>CY49+1</f>
        <v>11</v>
      </c>
    </row>
    <row r="52" spans="1:103" ht="12" customHeight="1" x14ac:dyDescent="0.25">
      <c r="A52" s="5"/>
      <c r="B52" s="1434" t="s">
        <v>2979</v>
      </c>
      <c r="C52" s="1420"/>
      <c r="D52" s="1420"/>
      <c r="E52" s="1420"/>
      <c r="F52" s="1419" t="s">
        <v>2986</v>
      </c>
      <c r="G52" s="1419"/>
      <c r="H52" s="1419"/>
      <c r="I52" s="1419"/>
      <c r="J52" s="1419"/>
      <c r="K52" s="1419"/>
      <c r="L52" s="1419"/>
      <c r="M52" s="1419"/>
      <c r="N52" s="1419"/>
      <c r="O52" s="1419"/>
      <c r="P52" s="1419"/>
      <c r="Q52" s="1419"/>
      <c r="R52" s="1419"/>
      <c r="S52" s="1419"/>
      <c r="T52" s="1419"/>
      <c r="U52" s="1419"/>
      <c r="W52" s="483"/>
      <c r="X52" s="483"/>
      <c r="Z52" s="1420" t="s">
        <v>2987</v>
      </c>
      <c r="AA52" s="1420"/>
      <c r="AB52" s="1420"/>
      <c r="AC52" s="1420"/>
      <c r="AD52" s="1420"/>
      <c r="AE52" s="1420"/>
      <c r="AF52" s="1420"/>
      <c r="AG52" s="484"/>
      <c r="AH52" s="1437"/>
      <c r="AI52" s="1436"/>
      <c r="AJ52" s="1436"/>
      <c r="AK52" s="1436"/>
      <c r="AL52" s="1436"/>
      <c r="AM52" s="1436"/>
      <c r="AN52" s="1436"/>
      <c r="AO52" s="1436"/>
      <c r="AP52" s="1436"/>
      <c r="AQ52" s="1436"/>
      <c r="AR52" s="1436"/>
      <c r="AS52" s="1436"/>
      <c r="AT52" s="1436"/>
      <c r="AU52" s="1436"/>
      <c r="AV52" s="1436"/>
      <c r="AW52" s="1436"/>
      <c r="AX52" s="1436"/>
      <c r="AY52" s="1436"/>
      <c r="AZ52" s="1436"/>
      <c r="BA52" s="1436"/>
      <c r="BB52" s="1436"/>
      <c r="BC52" s="1436"/>
      <c r="BD52" s="1436"/>
      <c r="BE52" s="1436"/>
      <c r="BF52" s="1436"/>
      <c r="BG52" s="1436"/>
      <c r="BH52" s="1436"/>
      <c r="BI52" s="1436"/>
      <c r="BJ52" s="1436"/>
      <c r="BK52" s="1436"/>
      <c r="BL52" s="1436"/>
      <c r="BM52" s="1436"/>
      <c r="BN52" s="1436"/>
      <c r="BO52" s="1438"/>
      <c r="BP52" s="1288"/>
      <c r="BQ52" s="1288"/>
      <c r="BR52" s="1288"/>
      <c r="BS52" s="1288"/>
      <c r="BT52" s="1288"/>
      <c r="BU52" s="1288"/>
      <c r="BV52" s="1288"/>
      <c r="BW52" s="1288"/>
      <c r="BX52" s="1288"/>
      <c r="BY52" s="1288"/>
      <c r="BZ52" s="1288"/>
      <c r="CA52" s="1288"/>
      <c r="CB52" s="1288"/>
      <c r="CC52" s="1288"/>
      <c r="CD52" s="1288"/>
      <c r="CE52" s="1288"/>
      <c r="CF52" s="1288"/>
      <c r="CG52" s="1288"/>
      <c r="CH52" s="1288"/>
      <c r="CI52" s="1288"/>
      <c r="CJ52" s="1288"/>
      <c r="CK52" s="1288"/>
      <c r="CL52" s="1288"/>
      <c r="CM52" s="1288"/>
      <c r="CN52" s="1288"/>
      <c r="CO52" s="1288"/>
      <c r="CP52" s="1288"/>
      <c r="CQ52" s="1288"/>
      <c r="CR52" s="1288"/>
      <c r="CS52" s="1288"/>
      <c r="CT52" s="1288"/>
      <c r="CU52" s="1288"/>
      <c r="CV52" s="5"/>
    </row>
    <row r="53" spans="1:103" ht="12" customHeight="1" x14ac:dyDescent="0.25">
      <c r="A53" s="5"/>
      <c r="B53" s="1434"/>
      <c r="C53" s="1420"/>
      <c r="D53" s="1420"/>
      <c r="E53" s="1420"/>
      <c r="F53" s="1419"/>
      <c r="G53" s="1419"/>
      <c r="H53" s="1419"/>
      <c r="I53" s="1419"/>
      <c r="J53" s="1419"/>
      <c r="K53" s="1419"/>
      <c r="L53" s="1419"/>
      <c r="M53" s="1419"/>
      <c r="N53" s="1419"/>
      <c r="O53" s="1419"/>
      <c r="P53" s="1419"/>
      <c r="Q53" s="1419"/>
      <c r="R53" s="1419"/>
      <c r="S53" s="1419"/>
      <c r="T53" s="1419"/>
      <c r="U53" s="1419"/>
      <c r="V53" s="483"/>
      <c r="W53" s="483"/>
      <c r="X53" s="483"/>
      <c r="Z53" s="1420"/>
      <c r="AA53" s="1420"/>
      <c r="AB53" s="1420"/>
      <c r="AC53" s="1420"/>
      <c r="AD53" s="1420"/>
      <c r="AE53" s="1420"/>
      <c r="AF53" s="1420"/>
      <c r="AG53" s="484"/>
      <c r="AH53" s="1437"/>
      <c r="AI53" s="1289"/>
      <c r="AJ53" s="1289"/>
      <c r="AK53" s="1289"/>
      <c r="AL53" s="1289"/>
      <c r="AM53" s="1289"/>
      <c r="AN53" s="1289"/>
      <c r="AO53" s="1289"/>
      <c r="AP53" s="1289"/>
      <c r="AQ53" s="1289"/>
      <c r="AR53" s="1289"/>
      <c r="AS53" s="1289"/>
      <c r="AT53" s="1289"/>
      <c r="AU53" s="1289"/>
      <c r="AV53" s="1289"/>
      <c r="AW53" s="1289"/>
      <c r="AX53" s="1289"/>
      <c r="AY53" s="1289"/>
      <c r="AZ53" s="1289"/>
      <c r="BA53" s="1289"/>
      <c r="BB53" s="1289"/>
      <c r="BC53" s="1289"/>
      <c r="BD53" s="1289"/>
      <c r="BE53" s="1289"/>
      <c r="BF53" s="1289"/>
      <c r="BG53" s="1289"/>
      <c r="BH53" s="1289"/>
      <c r="BI53" s="1289"/>
      <c r="BJ53" s="1289"/>
      <c r="BK53" s="1289"/>
      <c r="BL53" s="1289"/>
      <c r="BM53" s="1289"/>
      <c r="BN53" s="1289"/>
      <c r="BO53" s="1438"/>
      <c r="BP53" s="1289"/>
      <c r="BQ53" s="1289"/>
      <c r="BR53" s="1289"/>
      <c r="BS53" s="1289"/>
      <c r="BT53" s="1289"/>
      <c r="BU53" s="1289"/>
      <c r="BV53" s="1289"/>
      <c r="BW53" s="1289"/>
      <c r="BX53" s="1289"/>
      <c r="BY53" s="1289"/>
      <c r="BZ53" s="1289"/>
      <c r="CA53" s="1289"/>
      <c r="CB53" s="1289"/>
      <c r="CC53" s="1289"/>
      <c r="CD53" s="1289"/>
      <c r="CE53" s="1289"/>
      <c r="CF53" s="1289"/>
      <c r="CG53" s="1289"/>
      <c r="CH53" s="1289"/>
      <c r="CI53" s="1289"/>
      <c r="CJ53" s="1289"/>
      <c r="CK53" s="1289"/>
      <c r="CL53" s="1289"/>
      <c r="CM53" s="1289"/>
      <c r="CN53" s="1289"/>
      <c r="CO53" s="1289"/>
      <c r="CP53" s="1289"/>
      <c r="CQ53" s="1289"/>
      <c r="CR53" s="1289"/>
      <c r="CS53" s="1289"/>
      <c r="CT53" s="1289"/>
      <c r="CU53" s="1289"/>
      <c r="CV53" s="5"/>
      <c r="CY53" s="6">
        <f>CY51+1</f>
        <v>12</v>
      </c>
    </row>
    <row r="54" spans="1:103" ht="12" customHeight="1" x14ac:dyDescent="0.25">
      <c r="A54" s="5"/>
      <c r="B54" s="1434">
        <v>1</v>
      </c>
      <c r="C54" s="1420"/>
      <c r="D54" s="1420"/>
      <c r="E54" s="1420"/>
      <c r="F54" s="1419" t="s">
        <v>2980</v>
      </c>
      <c r="G54" s="1419"/>
      <c r="H54" s="1419"/>
      <c r="I54" s="1419"/>
      <c r="J54" s="1419"/>
      <c r="K54" s="1419"/>
      <c r="L54" s="1419"/>
      <c r="M54" s="1419"/>
      <c r="N54" s="1419"/>
      <c r="O54" s="1419"/>
      <c r="P54" s="1419"/>
      <c r="Q54" s="1419"/>
      <c r="R54" s="1419"/>
      <c r="S54" s="1419"/>
      <c r="T54" s="1419"/>
      <c r="U54" s="1419"/>
      <c r="V54" s="483"/>
      <c r="W54" s="483"/>
      <c r="X54" s="483"/>
      <c r="Z54" s="1421"/>
      <c r="AA54" s="1422"/>
      <c r="AB54" s="1422"/>
      <c r="AC54" s="1422"/>
      <c r="AD54" s="1422"/>
      <c r="AE54" s="1422"/>
      <c r="AF54" s="1423"/>
      <c r="AG54" s="484"/>
      <c r="AH54" s="1437"/>
      <c r="AI54" s="1436"/>
      <c r="AJ54" s="1436"/>
      <c r="AK54" s="1436"/>
      <c r="AL54" s="1436"/>
      <c r="AM54" s="1436"/>
      <c r="AN54" s="1436"/>
      <c r="AO54" s="1436"/>
      <c r="AP54" s="1436"/>
      <c r="AQ54" s="1436"/>
      <c r="AR54" s="1436"/>
      <c r="AS54" s="1436"/>
      <c r="AT54" s="1436"/>
      <c r="AU54" s="1436"/>
      <c r="AV54" s="1436"/>
      <c r="AW54" s="1436"/>
      <c r="AX54" s="1436"/>
      <c r="AY54" s="1436"/>
      <c r="AZ54" s="1436"/>
      <c r="BA54" s="1436"/>
      <c r="BB54" s="1436"/>
      <c r="BC54" s="1436"/>
      <c r="BD54" s="1436"/>
      <c r="BE54" s="1436"/>
      <c r="BF54" s="1436"/>
      <c r="BG54" s="1436"/>
      <c r="BH54" s="1436"/>
      <c r="BI54" s="1436"/>
      <c r="BJ54" s="1436"/>
      <c r="BK54" s="1436"/>
      <c r="BL54" s="1436"/>
      <c r="BM54" s="1436"/>
      <c r="BN54" s="1436"/>
      <c r="BO54" s="1438"/>
      <c r="BP54" s="1288"/>
      <c r="BQ54" s="1288"/>
      <c r="BR54" s="1288"/>
      <c r="BS54" s="1288"/>
      <c r="BT54" s="1288"/>
      <c r="BU54" s="1288"/>
      <c r="BV54" s="1288"/>
      <c r="BW54" s="1288"/>
      <c r="BX54" s="1288"/>
      <c r="BY54" s="1288"/>
      <c r="BZ54" s="1288"/>
      <c r="CA54" s="1288"/>
      <c r="CB54" s="1288"/>
      <c r="CC54" s="1288"/>
      <c r="CD54" s="1288"/>
      <c r="CE54" s="1288"/>
      <c r="CF54" s="1288"/>
      <c r="CG54" s="1288"/>
      <c r="CH54" s="1288"/>
      <c r="CI54" s="1288"/>
      <c r="CJ54" s="1288"/>
      <c r="CK54" s="1288"/>
      <c r="CL54" s="1288"/>
      <c r="CM54" s="1288"/>
      <c r="CN54" s="1288"/>
      <c r="CO54" s="1288"/>
      <c r="CP54" s="1288"/>
      <c r="CQ54" s="1288"/>
      <c r="CR54" s="1288"/>
      <c r="CS54" s="1288"/>
      <c r="CT54" s="1288"/>
      <c r="CU54" s="1288"/>
      <c r="CV54" s="5"/>
    </row>
    <row r="55" spans="1:103" ht="12" customHeight="1" x14ac:dyDescent="0.25">
      <c r="A55" s="5"/>
      <c r="B55" s="1434"/>
      <c r="C55" s="1420"/>
      <c r="D55" s="1420"/>
      <c r="E55" s="1420"/>
      <c r="F55" s="1419"/>
      <c r="G55" s="1419"/>
      <c r="H55" s="1419"/>
      <c r="I55" s="1419"/>
      <c r="J55" s="1419"/>
      <c r="K55" s="1419"/>
      <c r="L55" s="1419"/>
      <c r="M55" s="1419"/>
      <c r="N55" s="1419"/>
      <c r="O55" s="1419"/>
      <c r="P55" s="1419"/>
      <c r="Q55" s="1419"/>
      <c r="R55" s="1419"/>
      <c r="S55" s="1419"/>
      <c r="T55" s="1419"/>
      <c r="U55" s="1419"/>
      <c r="V55" s="483"/>
      <c r="W55" s="483"/>
      <c r="X55" s="483"/>
      <c r="Z55" s="1424"/>
      <c r="AA55" s="1425"/>
      <c r="AB55" s="1425"/>
      <c r="AC55" s="1425"/>
      <c r="AD55" s="1425"/>
      <c r="AE55" s="1425"/>
      <c r="AF55" s="1426"/>
      <c r="AG55" s="484"/>
      <c r="AH55" s="1437"/>
      <c r="AI55" s="1289"/>
      <c r="AJ55" s="1289"/>
      <c r="AK55" s="1289"/>
      <c r="AL55" s="1289"/>
      <c r="AM55" s="1289"/>
      <c r="AN55" s="1289"/>
      <c r="AO55" s="1289"/>
      <c r="AP55" s="1289"/>
      <c r="AQ55" s="1289"/>
      <c r="AR55" s="1289"/>
      <c r="AS55" s="1289"/>
      <c r="AT55" s="1289"/>
      <c r="AU55" s="1289"/>
      <c r="AV55" s="1289"/>
      <c r="AW55" s="1289"/>
      <c r="AX55" s="1289"/>
      <c r="AY55" s="1289"/>
      <c r="AZ55" s="1289"/>
      <c r="BA55" s="1289"/>
      <c r="BB55" s="1289"/>
      <c r="BC55" s="1289"/>
      <c r="BD55" s="1289"/>
      <c r="BE55" s="1289"/>
      <c r="BF55" s="1289"/>
      <c r="BG55" s="1289"/>
      <c r="BH55" s="1289"/>
      <c r="BI55" s="1289"/>
      <c r="BJ55" s="1289"/>
      <c r="BK55" s="1289"/>
      <c r="BL55" s="1289"/>
      <c r="BM55" s="1289"/>
      <c r="BN55" s="1289"/>
      <c r="BO55" s="1438"/>
      <c r="BP55" s="1289"/>
      <c r="BQ55" s="1289"/>
      <c r="BR55" s="1289"/>
      <c r="BS55" s="1289"/>
      <c r="BT55" s="1289"/>
      <c r="BU55" s="1289"/>
      <c r="BV55" s="1289"/>
      <c r="BW55" s="1289"/>
      <c r="BX55" s="1289"/>
      <c r="BY55" s="1289"/>
      <c r="BZ55" s="1289"/>
      <c r="CA55" s="1289"/>
      <c r="CB55" s="1289"/>
      <c r="CC55" s="1289"/>
      <c r="CD55" s="1289"/>
      <c r="CE55" s="1289"/>
      <c r="CF55" s="1289"/>
      <c r="CG55" s="1289"/>
      <c r="CH55" s="1289"/>
      <c r="CI55" s="1289"/>
      <c r="CJ55" s="1289"/>
      <c r="CK55" s="1289"/>
      <c r="CL55" s="1289"/>
      <c r="CM55" s="1289"/>
      <c r="CN55" s="1289"/>
      <c r="CO55" s="1289"/>
      <c r="CP55" s="1289"/>
      <c r="CQ55" s="1289"/>
      <c r="CR55" s="1289"/>
      <c r="CS55" s="1289"/>
      <c r="CT55" s="1289"/>
      <c r="CU55" s="1289"/>
      <c r="CV55" s="5"/>
      <c r="CY55" s="6">
        <f>CY53+1</f>
        <v>13</v>
      </c>
    </row>
    <row r="56" spans="1:103" ht="12" customHeight="1" x14ac:dyDescent="0.25">
      <c r="A56" s="5"/>
      <c r="B56" s="1434">
        <f>B54+1</f>
        <v>2</v>
      </c>
      <c r="C56" s="1420"/>
      <c r="D56" s="1420"/>
      <c r="E56" s="1420"/>
      <c r="F56" s="1419" t="s">
        <v>2981</v>
      </c>
      <c r="G56" s="1419"/>
      <c r="H56" s="1419"/>
      <c r="I56" s="1419"/>
      <c r="J56" s="1419"/>
      <c r="K56" s="1419"/>
      <c r="L56" s="1419"/>
      <c r="M56" s="1419"/>
      <c r="N56" s="1419"/>
      <c r="O56" s="1419"/>
      <c r="P56" s="1419"/>
      <c r="Q56" s="1419"/>
      <c r="R56" s="1419"/>
      <c r="S56" s="1419"/>
      <c r="T56" s="1419"/>
      <c r="U56" s="1419"/>
      <c r="V56" s="483"/>
      <c r="W56" s="483"/>
      <c r="X56" s="483"/>
      <c r="Z56" s="1427"/>
      <c r="AA56" s="1428"/>
      <c r="AB56" s="1428"/>
      <c r="AC56" s="1428"/>
      <c r="AD56" s="1428"/>
      <c r="AE56" s="1428"/>
      <c r="AF56" s="1429"/>
      <c r="AG56" s="484"/>
      <c r="AH56" s="1437"/>
      <c r="AI56" s="1288"/>
      <c r="AJ56" s="1288"/>
      <c r="AK56" s="1288"/>
      <c r="AL56" s="1288"/>
      <c r="AM56" s="1288"/>
      <c r="AN56" s="1288"/>
      <c r="AO56" s="1288"/>
      <c r="AP56" s="1288"/>
      <c r="AQ56" s="1288"/>
      <c r="AR56" s="1288"/>
      <c r="AS56" s="1288"/>
      <c r="AT56" s="1288"/>
      <c r="AU56" s="1288"/>
      <c r="AV56" s="1288"/>
      <c r="AW56" s="1288"/>
      <c r="AX56" s="1288"/>
      <c r="AY56" s="1288"/>
      <c r="AZ56" s="1288"/>
      <c r="BA56" s="1288"/>
      <c r="BB56" s="1288"/>
      <c r="BC56" s="1288"/>
      <c r="BD56" s="1288"/>
      <c r="BE56" s="1288"/>
      <c r="BF56" s="1288"/>
      <c r="BG56" s="1288"/>
      <c r="BH56" s="1288"/>
      <c r="BI56" s="1288"/>
      <c r="BJ56" s="1288"/>
      <c r="BK56" s="1288"/>
      <c r="BL56" s="1288"/>
      <c r="BM56" s="1288"/>
      <c r="BN56" s="1288"/>
      <c r="BO56" s="1438"/>
      <c r="BP56" s="1288"/>
      <c r="BQ56" s="1288"/>
      <c r="BR56" s="1288"/>
      <c r="BS56" s="1288"/>
      <c r="BT56" s="1288"/>
      <c r="BU56" s="1288"/>
      <c r="BV56" s="1288"/>
      <c r="BW56" s="1288"/>
      <c r="BX56" s="1288"/>
      <c r="BY56" s="1288"/>
      <c r="BZ56" s="1288"/>
      <c r="CA56" s="1288"/>
      <c r="CB56" s="1288"/>
      <c r="CC56" s="1288"/>
      <c r="CD56" s="1288"/>
      <c r="CE56" s="1288"/>
      <c r="CF56" s="1288"/>
      <c r="CG56" s="1288"/>
      <c r="CH56" s="1288"/>
      <c r="CI56" s="1288"/>
      <c r="CJ56" s="1288"/>
      <c r="CK56" s="1288"/>
      <c r="CL56" s="1288"/>
      <c r="CM56" s="1288"/>
      <c r="CN56" s="1288"/>
      <c r="CO56" s="1288"/>
      <c r="CP56" s="1288"/>
      <c r="CQ56" s="1288"/>
      <c r="CR56" s="1288"/>
      <c r="CS56" s="1288"/>
      <c r="CT56" s="1288"/>
      <c r="CU56" s="1288"/>
      <c r="CV56" s="5"/>
    </row>
    <row r="57" spans="1:103" ht="12" customHeight="1" x14ac:dyDescent="0.25">
      <c r="A57" s="5"/>
      <c r="B57" s="1434"/>
      <c r="C57" s="1420"/>
      <c r="D57" s="1420"/>
      <c r="E57" s="1420"/>
      <c r="F57" s="1419"/>
      <c r="G57" s="1419"/>
      <c r="H57" s="1419"/>
      <c r="I57" s="1419"/>
      <c r="J57" s="1419"/>
      <c r="K57" s="1419"/>
      <c r="L57" s="1419"/>
      <c r="M57" s="1419"/>
      <c r="N57" s="1419"/>
      <c r="O57" s="1419"/>
      <c r="P57" s="1419"/>
      <c r="Q57" s="1419"/>
      <c r="R57" s="1419"/>
      <c r="S57" s="1419"/>
      <c r="T57" s="1419"/>
      <c r="U57" s="1419"/>
      <c r="V57" s="483"/>
      <c r="W57" s="483"/>
      <c r="X57" s="483"/>
      <c r="Y57" s="483"/>
      <c r="Z57" s="483"/>
      <c r="AA57" s="483"/>
      <c r="AB57" s="483"/>
      <c r="AC57" s="483"/>
      <c r="AD57" s="483"/>
      <c r="AE57" s="483"/>
      <c r="AF57" s="483"/>
      <c r="AG57" s="484"/>
      <c r="AH57" s="1437"/>
      <c r="AI57" s="1289"/>
      <c r="AJ57" s="1289"/>
      <c r="AK57" s="1289"/>
      <c r="AL57" s="1289"/>
      <c r="AM57" s="1289"/>
      <c r="AN57" s="1289"/>
      <c r="AO57" s="1289"/>
      <c r="AP57" s="1289"/>
      <c r="AQ57" s="1289"/>
      <c r="AR57" s="1289"/>
      <c r="AS57" s="1289"/>
      <c r="AT57" s="1289"/>
      <c r="AU57" s="1289"/>
      <c r="AV57" s="1289"/>
      <c r="AW57" s="1289"/>
      <c r="AX57" s="1289"/>
      <c r="AY57" s="1289"/>
      <c r="AZ57" s="1289"/>
      <c r="BA57" s="1289"/>
      <c r="BB57" s="1289"/>
      <c r="BC57" s="1289"/>
      <c r="BD57" s="1289"/>
      <c r="BE57" s="1289"/>
      <c r="BF57" s="1289"/>
      <c r="BG57" s="1289"/>
      <c r="BH57" s="1289"/>
      <c r="BI57" s="1289"/>
      <c r="BJ57" s="1289"/>
      <c r="BK57" s="1289"/>
      <c r="BL57" s="1289"/>
      <c r="BM57" s="1289"/>
      <c r="BN57" s="1289"/>
      <c r="BO57" s="1438"/>
      <c r="BP57" s="1289"/>
      <c r="BQ57" s="1289"/>
      <c r="BR57" s="1289"/>
      <c r="BS57" s="1289"/>
      <c r="BT57" s="1289"/>
      <c r="BU57" s="1289"/>
      <c r="BV57" s="1289"/>
      <c r="BW57" s="1289"/>
      <c r="BX57" s="1289"/>
      <c r="BY57" s="1289"/>
      <c r="BZ57" s="1289"/>
      <c r="CA57" s="1289"/>
      <c r="CB57" s="1289"/>
      <c r="CC57" s="1289"/>
      <c r="CD57" s="1289"/>
      <c r="CE57" s="1289"/>
      <c r="CF57" s="1289"/>
      <c r="CG57" s="1289"/>
      <c r="CH57" s="1289"/>
      <c r="CI57" s="1289"/>
      <c r="CJ57" s="1289"/>
      <c r="CK57" s="1289"/>
      <c r="CL57" s="1289"/>
      <c r="CM57" s="1289"/>
      <c r="CN57" s="1289"/>
      <c r="CO57" s="1289"/>
      <c r="CP57" s="1289"/>
      <c r="CQ57" s="1289"/>
      <c r="CR57" s="1289"/>
      <c r="CS57" s="1289"/>
      <c r="CT57" s="1289"/>
      <c r="CU57" s="1289"/>
      <c r="CV57" s="5"/>
      <c r="CY57" s="6">
        <f>CY55+1</f>
        <v>14</v>
      </c>
    </row>
    <row r="58" spans="1:103" ht="12" customHeight="1" x14ac:dyDescent="0.2">
      <c r="A58" s="5"/>
      <c r="B58" s="1434">
        <f>B56+1</f>
        <v>3</v>
      </c>
      <c r="C58" s="1420"/>
      <c r="D58" s="1420"/>
      <c r="E58" s="1420"/>
      <c r="F58" s="1419" t="s">
        <v>2982</v>
      </c>
      <c r="G58" s="1419"/>
      <c r="H58" s="1419"/>
      <c r="I58" s="1419"/>
      <c r="J58" s="1419"/>
      <c r="K58" s="1419"/>
      <c r="L58" s="1419"/>
      <c r="M58" s="1419"/>
      <c r="N58" s="1419"/>
      <c r="O58" s="1419"/>
      <c r="P58" s="1419"/>
      <c r="Q58" s="1419"/>
      <c r="R58" s="1419"/>
      <c r="S58" s="1419"/>
      <c r="T58" s="1419"/>
      <c r="U58" s="1419"/>
      <c r="V58" s="1419"/>
      <c r="W58" s="1419"/>
      <c r="X58" s="1419"/>
      <c r="Y58" s="1419"/>
      <c r="Z58" s="1419"/>
      <c r="AA58" s="1419"/>
      <c r="AB58" s="1419"/>
      <c r="AC58" s="1419"/>
      <c r="AD58" s="1419"/>
      <c r="AE58" s="1419"/>
      <c r="AF58" s="1419"/>
      <c r="AG58" s="1435"/>
      <c r="AH58" s="1437"/>
      <c r="AI58" s="1288"/>
      <c r="AJ58" s="1288"/>
      <c r="AK58" s="1288"/>
      <c r="AL58" s="1288"/>
      <c r="AM58" s="1288"/>
      <c r="AN58" s="1288"/>
      <c r="AO58" s="1288"/>
      <c r="AP58" s="1288"/>
      <c r="AQ58" s="1288"/>
      <c r="AR58" s="1288"/>
      <c r="AS58" s="1288"/>
      <c r="AT58" s="1288"/>
      <c r="AU58" s="1288"/>
      <c r="AV58" s="1288"/>
      <c r="AW58" s="1288"/>
      <c r="AX58" s="1288"/>
      <c r="AY58" s="1288"/>
      <c r="AZ58" s="1288"/>
      <c r="BA58" s="1288"/>
      <c r="BB58" s="1288"/>
      <c r="BC58" s="1288"/>
      <c r="BD58" s="1288"/>
      <c r="BE58" s="1288"/>
      <c r="BF58" s="1288"/>
      <c r="BG58" s="1288"/>
      <c r="BH58" s="1288"/>
      <c r="BI58" s="1288"/>
      <c r="BJ58" s="1288"/>
      <c r="BK58" s="1288"/>
      <c r="BL58" s="1288"/>
      <c r="BM58" s="1288"/>
      <c r="BN58" s="1288"/>
      <c r="BO58" s="1438"/>
      <c r="BP58" s="1288"/>
      <c r="BQ58" s="1288"/>
      <c r="BR58" s="1288"/>
      <c r="BS58" s="1288"/>
      <c r="BT58" s="1288"/>
      <c r="BU58" s="1288"/>
      <c r="BV58" s="1288"/>
      <c r="BW58" s="1288"/>
      <c r="BX58" s="1288"/>
      <c r="BY58" s="1288"/>
      <c r="BZ58" s="1288"/>
      <c r="CA58" s="1288"/>
      <c r="CB58" s="1288"/>
      <c r="CC58" s="1288"/>
      <c r="CD58" s="1288"/>
      <c r="CE58" s="1288"/>
      <c r="CF58" s="1288"/>
      <c r="CG58" s="1288"/>
      <c r="CH58" s="1288"/>
      <c r="CI58" s="1288"/>
      <c r="CJ58" s="1288"/>
      <c r="CK58" s="1288"/>
      <c r="CL58" s="1288"/>
      <c r="CM58" s="1288"/>
      <c r="CN58" s="1288"/>
      <c r="CO58" s="1288"/>
      <c r="CP58" s="1288"/>
      <c r="CQ58" s="1288"/>
      <c r="CR58" s="1288"/>
      <c r="CS58" s="1288"/>
      <c r="CT58" s="1288"/>
      <c r="CU58" s="1288"/>
      <c r="CV58" s="5"/>
    </row>
    <row r="59" spans="1:103" ht="12" customHeight="1" x14ac:dyDescent="0.2">
      <c r="A59" s="5"/>
      <c r="B59" s="1434"/>
      <c r="C59" s="1420"/>
      <c r="D59" s="1420"/>
      <c r="E59" s="1420"/>
      <c r="F59" s="1419"/>
      <c r="G59" s="1419"/>
      <c r="H59" s="1419"/>
      <c r="I59" s="1419"/>
      <c r="J59" s="1419"/>
      <c r="K59" s="1419"/>
      <c r="L59" s="1419"/>
      <c r="M59" s="1419"/>
      <c r="N59" s="1419"/>
      <c r="O59" s="1419"/>
      <c r="P59" s="1419"/>
      <c r="Q59" s="1419"/>
      <c r="R59" s="1419"/>
      <c r="S59" s="1419"/>
      <c r="T59" s="1419"/>
      <c r="U59" s="1419"/>
      <c r="V59" s="1419"/>
      <c r="W59" s="1419"/>
      <c r="X59" s="1419"/>
      <c r="Y59" s="1419"/>
      <c r="Z59" s="1419"/>
      <c r="AA59" s="1419"/>
      <c r="AB59" s="1419"/>
      <c r="AC59" s="1419"/>
      <c r="AD59" s="1419"/>
      <c r="AE59" s="1419"/>
      <c r="AF59" s="1419"/>
      <c r="AG59" s="1435"/>
      <c r="AH59" s="1437"/>
      <c r="AI59" s="1289"/>
      <c r="AJ59" s="1289"/>
      <c r="AK59" s="1289"/>
      <c r="AL59" s="1289"/>
      <c r="AM59" s="1289"/>
      <c r="AN59" s="1289"/>
      <c r="AO59" s="1289"/>
      <c r="AP59" s="1289"/>
      <c r="AQ59" s="1289"/>
      <c r="AR59" s="1289"/>
      <c r="AS59" s="1289"/>
      <c r="AT59" s="1289"/>
      <c r="AU59" s="1289"/>
      <c r="AV59" s="1289"/>
      <c r="AW59" s="1289"/>
      <c r="AX59" s="1289"/>
      <c r="AY59" s="1289"/>
      <c r="AZ59" s="1289"/>
      <c r="BA59" s="1289"/>
      <c r="BB59" s="1289"/>
      <c r="BC59" s="1289"/>
      <c r="BD59" s="1289"/>
      <c r="BE59" s="1289"/>
      <c r="BF59" s="1289"/>
      <c r="BG59" s="1289"/>
      <c r="BH59" s="1289"/>
      <c r="BI59" s="1289"/>
      <c r="BJ59" s="1289"/>
      <c r="BK59" s="1289"/>
      <c r="BL59" s="1289"/>
      <c r="BM59" s="1289"/>
      <c r="BN59" s="1289"/>
      <c r="BO59" s="1438"/>
      <c r="BP59" s="1289"/>
      <c r="BQ59" s="1289"/>
      <c r="BR59" s="1289"/>
      <c r="BS59" s="1289"/>
      <c r="BT59" s="1289"/>
      <c r="BU59" s="1289"/>
      <c r="BV59" s="1289"/>
      <c r="BW59" s="1289"/>
      <c r="BX59" s="1289"/>
      <c r="BY59" s="1289"/>
      <c r="BZ59" s="1289"/>
      <c r="CA59" s="1289"/>
      <c r="CB59" s="1289"/>
      <c r="CC59" s="1289"/>
      <c r="CD59" s="1289"/>
      <c r="CE59" s="1289"/>
      <c r="CF59" s="1289"/>
      <c r="CG59" s="1289"/>
      <c r="CH59" s="1289"/>
      <c r="CI59" s="1289"/>
      <c r="CJ59" s="1289"/>
      <c r="CK59" s="1289"/>
      <c r="CL59" s="1289"/>
      <c r="CM59" s="1289"/>
      <c r="CN59" s="1289"/>
      <c r="CO59" s="1289"/>
      <c r="CP59" s="1289"/>
      <c r="CQ59" s="1289"/>
      <c r="CR59" s="1289"/>
      <c r="CS59" s="1289"/>
      <c r="CT59" s="1289"/>
      <c r="CU59" s="1289"/>
      <c r="CV59" s="5"/>
      <c r="CY59" s="6">
        <f>CY57+1</f>
        <v>15</v>
      </c>
    </row>
    <row r="60" spans="1:103" ht="12" customHeight="1" x14ac:dyDescent="0.2">
      <c r="A60" s="5"/>
      <c r="B60" s="1434">
        <f>B58+1</f>
        <v>4</v>
      </c>
      <c r="C60" s="1420"/>
      <c r="D60" s="1420"/>
      <c r="E60" s="1420"/>
      <c r="F60" s="1419" t="s">
        <v>2983</v>
      </c>
      <c r="G60" s="1419"/>
      <c r="H60" s="1419"/>
      <c r="I60" s="1419"/>
      <c r="J60" s="1419"/>
      <c r="K60" s="1419"/>
      <c r="L60" s="1419"/>
      <c r="M60" s="1419"/>
      <c r="N60" s="1419"/>
      <c r="O60" s="1419"/>
      <c r="P60" s="1419"/>
      <c r="Q60" s="1419"/>
      <c r="R60" s="1419"/>
      <c r="S60" s="1419"/>
      <c r="T60" s="1419"/>
      <c r="U60" s="1419"/>
      <c r="V60" s="1419"/>
      <c r="W60" s="1419"/>
      <c r="X60" s="1419"/>
      <c r="Y60" s="1419"/>
      <c r="Z60" s="1419"/>
      <c r="AA60" s="1419"/>
      <c r="AB60" s="1419"/>
      <c r="AC60" s="1419"/>
      <c r="AD60" s="1419"/>
      <c r="AE60" s="1419"/>
      <c r="AF60" s="1419"/>
      <c r="AG60" s="1435"/>
      <c r="AH60" s="1437"/>
      <c r="AI60" s="1436"/>
      <c r="AJ60" s="1436"/>
      <c r="AK60" s="1436"/>
      <c r="AL60" s="1436"/>
      <c r="AM60" s="1436"/>
      <c r="AN60" s="1436"/>
      <c r="AO60" s="1436"/>
      <c r="AP60" s="1436"/>
      <c r="AQ60" s="1436"/>
      <c r="AR60" s="1436"/>
      <c r="AS60" s="1436"/>
      <c r="AT60" s="1436"/>
      <c r="AU60" s="1436"/>
      <c r="AV60" s="1436"/>
      <c r="AW60" s="1436"/>
      <c r="AX60" s="1436"/>
      <c r="AY60" s="1436"/>
      <c r="AZ60" s="1436"/>
      <c r="BA60" s="1436"/>
      <c r="BB60" s="1436"/>
      <c r="BC60" s="1436"/>
      <c r="BD60" s="1436"/>
      <c r="BE60" s="1436"/>
      <c r="BF60" s="1436"/>
      <c r="BG60" s="1436"/>
      <c r="BH60" s="1436"/>
      <c r="BI60" s="1436"/>
      <c r="BJ60" s="1436"/>
      <c r="BK60" s="1436"/>
      <c r="BL60" s="1436"/>
      <c r="BM60" s="1436"/>
      <c r="BN60" s="1436"/>
      <c r="BO60" s="1438"/>
      <c r="BP60" s="1288"/>
      <c r="BQ60" s="1288"/>
      <c r="BR60" s="1288"/>
      <c r="BS60" s="1288"/>
      <c r="BT60" s="1288"/>
      <c r="BU60" s="1288"/>
      <c r="BV60" s="1288"/>
      <c r="BW60" s="1288"/>
      <c r="BX60" s="1288"/>
      <c r="BY60" s="1288"/>
      <c r="BZ60" s="1288"/>
      <c r="CA60" s="1288"/>
      <c r="CB60" s="1288"/>
      <c r="CC60" s="1288"/>
      <c r="CD60" s="1288"/>
      <c r="CE60" s="1288"/>
      <c r="CF60" s="1288"/>
      <c r="CG60" s="1288"/>
      <c r="CH60" s="1288"/>
      <c r="CI60" s="1288"/>
      <c r="CJ60" s="1288"/>
      <c r="CK60" s="1288"/>
      <c r="CL60" s="1288"/>
      <c r="CM60" s="1288"/>
      <c r="CN60" s="1288"/>
      <c r="CO60" s="1288"/>
      <c r="CP60" s="1288"/>
      <c r="CQ60" s="1288"/>
      <c r="CR60" s="1288"/>
      <c r="CS60" s="1288"/>
      <c r="CT60" s="1288"/>
      <c r="CU60" s="1288"/>
      <c r="CV60" s="5"/>
    </row>
    <row r="61" spans="1:103" ht="12" customHeight="1" x14ac:dyDescent="0.2">
      <c r="A61" s="5"/>
      <c r="B61" s="1434"/>
      <c r="C61" s="1420"/>
      <c r="D61" s="1420"/>
      <c r="E61" s="1420"/>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1419"/>
      <c r="AB61" s="1419"/>
      <c r="AC61" s="1419"/>
      <c r="AD61" s="1419"/>
      <c r="AE61" s="1419"/>
      <c r="AF61" s="1419"/>
      <c r="AG61" s="1435"/>
      <c r="AH61" s="1437"/>
      <c r="AI61" s="1289"/>
      <c r="AJ61" s="1289"/>
      <c r="AK61" s="1289"/>
      <c r="AL61" s="1289"/>
      <c r="AM61" s="1289"/>
      <c r="AN61" s="1289"/>
      <c r="AO61" s="1289"/>
      <c r="AP61" s="1289"/>
      <c r="AQ61" s="1289"/>
      <c r="AR61" s="1289"/>
      <c r="AS61" s="1289"/>
      <c r="AT61" s="1289"/>
      <c r="AU61" s="1289"/>
      <c r="AV61" s="1289"/>
      <c r="AW61" s="1289"/>
      <c r="AX61" s="1289"/>
      <c r="AY61" s="1289"/>
      <c r="AZ61" s="1289"/>
      <c r="BA61" s="1289"/>
      <c r="BB61" s="1289"/>
      <c r="BC61" s="1289"/>
      <c r="BD61" s="1289"/>
      <c r="BE61" s="1289"/>
      <c r="BF61" s="1289"/>
      <c r="BG61" s="1289"/>
      <c r="BH61" s="1289"/>
      <c r="BI61" s="1289"/>
      <c r="BJ61" s="1289"/>
      <c r="BK61" s="1289"/>
      <c r="BL61" s="1289"/>
      <c r="BM61" s="1289"/>
      <c r="BN61" s="1289"/>
      <c r="BO61" s="1438"/>
      <c r="BP61" s="1289"/>
      <c r="BQ61" s="1289"/>
      <c r="BR61" s="1289"/>
      <c r="BS61" s="1289"/>
      <c r="BT61" s="1289"/>
      <c r="BU61" s="1289"/>
      <c r="BV61" s="1289"/>
      <c r="BW61" s="1289"/>
      <c r="BX61" s="1289"/>
      <c r="BY61" s="1289"/>
      <c r="BZ61" s="1289"/>
      <c r="CA61" s="1289"/>
      <c r="CB61" s="1289"/>
      <c r="CC61" s="1289"/>
      <c r="CD61" s="1289"/>
      <c r="CE61" s="1289"/>
      <c r="CF61" s="1289"/>
      <c r="CG61" s="1289"/>
      <c r="CH61" s="1289"/>
      <c r="CI61" s="1289"/>
      <c r="CJ61" s="1289"/>
      <c r="CK61" s="1289"/>
      <c r="CL61" s="1289"/>
      <c r="CM61" s="1289"/>
      <c r="CN61" s="1289"/>
      <c r="CO61" s="1289"/>
      <c r="CP61" s="1289"/>
      <c r="CQ61" s="1289"/>
      <c r="CR61" s="1289"/>
      <c r="CS61" s="1289"/>
      <c r="CT61" s="1289"/>
      <c r="CU61" s="1289"/>
      <c r="CV61" s="5"/>
      <c r="CY61" s="6">
        <f>CY59+1</f>
        <v>16</v>
      </c>
    </row>
    <row r="62" spans="1:103" ht="12" customHeight="1" x14ac:dyDescent="0.2">
      <c r="A62" s="5"/>
      <c r="B62" s="1434">
        <f>B60+1</f>
        <v>5</v>
      </c>
      <c r="C62" s="1420"/>
      <c r="D62" s="1420"/>
      <c r="E62" s="1420"/>
      <c r="F62" s="1419" t="s">
        <v>2984</v>
      </c>
      <c r="G62" s="1419"/>
      <c r="H62" s="1419"/>
      <c r="I62" s="1419"/>
      <c r="J62" s="1419"/>
      <c r="K62" s="1419"/>
      <c r="L62" s="1419"/>
      <c r="M62" s="1419"/>
      <c r="N62" s="1419"/>
      <c r="O62" s="1419"/>
      <c r="P62" s="1419"/>
      <c r="Q62" s="1419"/>
      <c r="R62" s="1419"/>
      <c r="S62" s="1419"/>
      <c r="T62" s="1419"/>
      <c r="U62" s="1419"/>
      <c r="V62" s="1419"/>
      <c r="W62" s="1419"/>
      <c r="X62" s="1419"/>
      <c r="Y62" s="1419"/>
      <c r="Z62" s="1419"/>
      <c r="AA62" s="1419"/>
      <c r="AB62" s="1419"/>
      <c r="AC62" s="1419"/>
      <c r="AD62" s="1419"/>
      <c r="AE62" s="1419"/>
      <c r="AF62" s="1419"/>
      <c r="AG62" s="1435"/>
      <c r="AH62" s="1437"/>
      <c r="AI62" s="1436"/>
      <c r="AJ62" s="1436"/>
      <c r="AK62" s="1436"/>
      <c r="AL62" s="1436"/>
      <c r="AM62" s="1436"/>
      <c r="AN62" s="1436"/>
      <c r="AO62" s="1436"/>
      <c r="AP62" s="1436"/>
      <c r="AQ62" s="1436"/>
      <c r="AR62" s="1436"/>
      <c r="AS62" s="1436"/>
      <c r="AT62" s="1436"/>
      <c r="AU62" s="1436"/>
      <c r="AV62" s="1436"/>
      <c r="AW62" s="1436"/>
      <c r="AX62" s="1436"/>
      <c r="AY62" s="1436"/>
      <c r="AZ62" s="1436"/>
      <c r="BA62" s="1436"/>
      <c r="BB62" s="1436"/>
      <c r="BC62" s="1436"/>
      <c r="BD62" s="1436"/>
      <c r="BE62" s="1436"/>
      <c r="BF62" s="1436"/>
      <c r="BG62" s="1436"/>
      <c r="BH62" s="1436"/>
      <c r="BI62" s="1436"/>
      <c r="BJ62" s="1436"/>
      <c r="BK62" s="1436"/>
      <c r="BL62" s="1436"/>
      <c r="BM62" s="1436"/>
      <c r="BN62" s="1436"/>
      <c r="BO62" s="1438"/>
      <c r="BP62" s="1288"/>
      <c r="BQ62" s="1288"/>
      <c r="BR62" s="1288"/>
      <c r="BS62" s="1288"/>
      <c r="BT62" s="1288"/>
      <c r="BU62" s="1288"/>
      <c r="BV62" s="1288"/>
      <c r="BW62" s="1288"/>
      <c r="BX62" s="1288"/>
      <c r="BY62" s="1288"/>
      <c r="BZ62" s="1288"/>
      <c r="CA62" s="1288"/>
      <c r="CB62" s="1288"/>
      <c r="CC62" s="1288"/>
      <c r="CD62" s="1288"/>
      <c r="CE62" s="1288"/>
      <c r="CF62" s="1288"/>
      <c r="CG62" s="1288"/>
      <c r="CH62" s="1288"/>
      <c r="CI62" s="1288"/>
      <c r="CJ62" s="1288"/>
      <c r="CK62" s="1288"/>
      <c r="CL62" s="1288"/>
      <c r="CM62" s="1288"/>
      <c r="CN62" s="1288"/>
      <c r="CO62" s="1288"/>
      <c r="CP62" s="1288"/>
      <c r="CQ62" s="1288"/>
      <c r="CR62" s="1288"/>
      <c r="CS62" s="1288"/>
      <c r="CT62" s="1288"/>
      <c r="CU62" s="1288"/>
      <c r="CV62" s="5"/>
    </row>
    <row r="63" spans="1:103" ht="12" customHeight="1" x14ac:dyDescent="0.2">
      <c r="A63" s="5"/>
      <c r="B63" s="1434"/>
      <c r="C63" s="1420"/>
      <c r="D63" s="1420"/>
      <c r="E63" s="1420"/>
      <c r="F63" s="1419"/>
      <c r="G63" s="1419"/>
      <c r="H63" s="1419"/>
      <c r="I63" s="1419"/>
      <c r="J63" s="1419"/>
      <c r="K63" s="1419"/>
      <c r="L63" s="1419"/>
      <c r="M63" s="1419"/>
      <c r="N63" s="1419"/>
      <c r="O63" s="1419"/>
      <c r="P63" s="1419"/>
      <c r="Q63" s="1419"/>
      <c r="R63" s="1419"/>
      <c r="S63" s="1419"/>
      <c r="T63" s="1419"/>
      <c r="U63" s="1419"/>
      <c r="V63" s="1419"/>
      <c r="W63" s="1419"/>
      <c r="X63" s="1419"/>
      <c r="Y63" s="1419"/>
      <c r="Z63" s="1419"/>
      <c r="AA63" s="1419"/>
      <c r="AB63" s="1419"/>
      <c r="AC63" s="1419"/>
      <c r="AD63" s="1419"/>
      <c r="AE63" s="1419"/>
      <c r="AF63" s="1419"/>
      <c r="AG63" s="1435"/>
      <c r="AH63" s="1437"/>
      <c r="AI63" s="1289"/>
      <c r="AJ63" s="1289"/>
      <c r="AK63" s="1289"/>
      <c r="AL63" s="1289"/>
      <c r="AM63" s="1289"/>
      <c r="AN63" s="1289"/>
      <c r="AO63" s="1289"/>
      <c r="AP63" s="1289"/>
      <c r="AQ63" s="1289"/>
      <c r="AR63" s="1289"/>
      <c r="AS63" s="1289"/>
      <c r="AT63" s="1289"/>
      <c r="AU63" s="1289"/>
      <c r="AV63" s="1289"/>
      <c r="AW63" s="1289"/>
      <c r="AX63" s="1289"/>
      <c r="AY63" s="1289"/>
      <c r="AZ63" s="1289"/>
      <c r="BA63" s="1289"/>
      <c r="BB63" s="1289"/>
      <c r="BC63" s="1289"/>
      <c r="BD63" s="1289"/>
      <c r="BE63" s="1289"/>
      <c r="BF63" s="1289"/>
      <c r="BG63" s="1289"/>
      <c r="BH63" s="1289"/>
      <c r="BI63" s="1289"/>
      <c r="BJ63" s="1289"/>
      <c r="BK63" s="1289"/>
      <c r="BL63" s="1289"/>
      <c r="BM63" s="1289"/>
      <c r="BN63" s="1289"/>
      <c r="BO63" s="1438"/>
      <c r="BP63" s="1289"/>
      <c r="BQ63" s="1289"/>
      <c r="BR63" s="1289"/>
      <c r="BS63" s="1289"/>
      <c r="BT63" s="1289"/>
      <c r="BU63" s="1289"/>
      <c r="BV63" s="1289"/>
      <c r="BW63" s="1289"/>
      <c r="BX63" s="1289"/>
      <c r="BY63" s="1289"/>
      <c r="BZ63" s="1289"/>
      <c r="CA63" s="1289"/>
      <c r="CB63" s="1289"/>
      <c r="CC63" s="1289"/>
      <c r="CD63" s="1289"/>
      <c r="CE63" s="1289"/>
      <c r="CF63" s="1289"/>
      <c r="CG63" s="1289"/>
      <c r="CH63" s="1289"/>
      <c r="CI63" s="1289"/>
      <c r="CJ63" s="1289"/>
      <c r="CK63" s="1289"/>
      <c r="CL63" s="1289"/>
      <c r="CM63" s="1289"/>
      <c r="CN63" s="1289"/>
      <c r="CO63" s="1289"/>
      <c r="CP63" s="1289"/>
      <c r="CQ63" s="1289"/>
      <c r="CR63" s="1289"/>
      <c r="CS63" s="1289"/>
      <c r="CT63" s="1289"/>
      <c r="CU63" s="1289"/>
      <c r="CV63" s="5"/>
      <c r="CY63" s="6">
        <f>CY61+1</f>
        <v>17</v>
      </c>
    </row>
    <row r="64" spans="1:103" ht="12" customHeight="1" x14ac:dyDescent="0.2">
      <c r="A64" s="5"/>
      <c r="B64" s="1434">
        <f>B62+1</f>
        <v>6</v>
      </c>
      <c r="C64" s="1420"/>
      <c r="D64" s="1420"/>
      <c r="E64" s="1420"/>
      <c r="F64" s="1419" t="s">
        <v>890</v>
      </c>
      <c r="G64" s="1419"/>
      <c r="H64" s="1419"/>
      <c r="I64" s="1419"/>
      <c r="J64" s="1419"/>
      <c r="K64" s="1419"/>
      <c r="L64" s="1419"/>
      <c r="M64" s="1419"/>
      <c r="N64" s="1419"/>
      <c r="O64" s="1419"/>
      <c r="P64" s="1419"/>
      <c r="Q64" s="1419"/>
      <c r="R64" s="1419"/>
      <c r="S64" s="1419"/>
      <c r="T64" s="1419"/>
      <c r="U64" s="1419"/>
      <c r="V64" s="1419"/>
      <c r="W64" s="1419"/>
      <c r="X64" s="1419"/>
      <c r="Y64" s="1419"/>
      <c r="Z64" s="1419"/>
      <c r="AA64" s="1419"/>
      <c r="AB64" s="1419"/>
      <c r="AC64" s="1419"/>
      <c r="AD64" s="1419"/>
      <c r="AE64" s="1419"/>
      <c r="AF64" s="1419"/>
      <c r="AG64" s="1435"/>
      <c r="AH64" s="1437"/>
      <c r="AI64" s="1436"/>
      <c r="AJ64" s="1436"/>
      <c r="AK64" s="1436"/>
      <c r="AL64" s="1436"/>
      <c r="AM64" s="1436"/>
      <c r="AN64" s="1436"/>
      <c r="AO64" s="1436"/>
      <c r="AP64" s="1436"/>
      <c r="AQ64" s="1436"/>
      <c r="AR64" s="1436"/>
      <c r="AS64" s="1436"/>
      <c r="AT64" s="1436"/>
      <c r="AU64" s="1436"/>
      <c r="AV64" s="1436"/>
      <c r="AW64" s="1436"/>
      <c r="AX64" s="1436"/>
      <c r="AY64" s="1436"/>
      <c r="AZ64" s="1436"/>
      <c r="BA64" s="1436"/>
      <c r="BB64" s="1436"/>
      <c r="BC64" s="1436"/>
      <c r="BD64" s="1436"/>
      <c r="BE64" s="1436"/>
      <c r="BF64" s="1436"/>
      <c r="BG64" s="1436"/>
      <c r="BH64" s="1436"/>
      <c r="BI64" s="1436"/>
      <c r="BJ64" s="1436"/>
      <c r="BK64" s="1436"/>
      <c r="BL64" s="1436"/>
      <c r="BM64" s="1436"/>
      <c r="BN64" s="1436"/>
      <c r="BO64" s="1438"/>
      <c r="BP64" s="1288"/>
      <c r="BQ64" s="1288"/>
      <c r="BR64" s="1288"/>
      <c r="BS64" s="1288"/>
      <c r="BT64" s="1288"/>
      <c r="BU64" s="1288"/>
      <c r="BV64" s="1288"/>
      <c r="BW64" s="1288"/>
      <c r="BX64" s="1288"/>
      <c r="BY64" s="1288"/>
      <c r="BZ64" s="1288"/>
      <c r="CA64" s="1288"/>
      <c r="CB64" s="1288"/>
      <c r="CC64" s="1288"/>
      <c r="CD64" s="1288"/>
      <c r="CE64" s="1288"/>
      <c r="CF64" s="1288"/>
      <c r="CG64" s="1288"/>
      <c r="CH64" s="1288"/>
      <c r="CI64" s="1288"/>
      <c r="CJ64" s="1288"/>
      <c r="CK64" s="1288"/>
      <c r="CL64" s="1288"/>
      <c r="CM64" s="1288"/>
      <c r="CN64" s="1288"/>
      <c r="CO64" s="1288"/>
      <c r="CP64" s="1288"/>
      <c r="CQ64" s="1288"/>
      <c r="CR64" s="1288"/>
      <c r="CS64" s="1288"/>
      <c r="CT64" s="1288"/>
      <c r="CU64" s="1288"/>
      <c r="CV64" s="5"/>
    </row>
    <row r="65" spans="1:103" ht="12" customHeight="1" x14ac:dyDescent="0.2">
      <c r="A65" s="5"/>
      <c r="B65" s="1434"/>
      <c r="C65" s="1420"/>
      <c r="D65" s="1420"/>
      <c r="E65" s="1420"/>
      <c r="F65" s="1419"/>
      <c r="G65" s="1419"/>
      <c r="H65" s="1419"/>
      <c r="I65" s="1419"/>
      <c r="J65" s="1419"/>
      <c r="K65" s="1419"/>
      <c r="L65" s="1419"/>
      <c r="M65" s="1419"/>
      <c r="N65" s="1419"/>
      <c r="O65" s="1419"/>
      <c r="P65" s="1419"/>
      <c r="Q65" s="1419"/>
      <c r="R65" s="1419"/>
      <c r="S65" s="1419"/>
      <c r="T65" s="1419"/>
      <c r="U65" s="1419"/>
      <c r="V65" s="1419"/>
      <c r="W65" s="1419"/>
      <c r="X65" s="1419"/>
      <c r="Y65" s="1419"/>
      <c r="Z65" s="1419"/>
      <c r="AA65" s="1419"/>
      <c r="AB65" s="1419"/>
      <c r="AC65" s="1419"/>
      <c r="AD65" s="1419"/>
      <c r="AE65" s="1419"/>
      <c r="AF65" s="1419"/>
      <c r="AG65" s="1435"/>
      <c r="AH65" s="1437"/>
      <c r="AI65" s="1289"/>
      <c r="AJ65" s="1289"/>
      <c r="AK65" s="1289"/>
      <c r="AL65" s="1289"/>
      <c r="AM65" s="1289"/>
      <c r="AN65" s="1289"/>
      <c r="AO65" s="1289"/>
      <c r="AP65" s="1289"/>
      <c r="AQ65" s="1289"/>
      <c r="AR65" s="1289"/>
      <c r="AS65" s="1289"/>
      <c r="AT65" s="1289"/>
      <c r="AU65" s="1289"/>
      <c r="AV65" s="1289"/>
      <c r="AW65" s="1289"/>
      <c r="AX65" s="1289"/>
      <c r="AY65" s="1289"/>
      <c r="AZ65" s="1289"/>
      <c r="BA65" s="1289"/>
      <c r="BB65" s="1289"/>
      <c r="BC65" s="1289"/>
      <c r="BD65" s="1289"/>
      <c r="BE65" s="1289"/>
      <c r="BF65" s="1289"/>
      <c r="BG65" s="1289"/>
      <c r="BH65" s="1289"/>
      <c r="BI65" s="1289"/>
      <c r="BJ65" s="1289"/>
      <c r="BK65" s="1289"/>
      <c r="BL65" s="1289"/>
      <c r="BM65" s="1289"/>
      <c r="BN65" s="1289"/>
      <c r="BO65" s="1438"/>
      <c r="BP65" s="1289"/>
      <c r="BQ65" s="1289"/>
      <c r="BR65" s="1289"/>
      <c r="BS65" s="1289"/>
      <c r="BT65" s="1289"/>
      <c r="BU65" s="1289"/>
      <c r="BV65" s="1289"/>
      <c r="BW65" s="1289"/>
      <c r="BX65" s="1289"/>
      <c r="BY65" s="1289"/>
      <c r="BZ65" s="1289"/>
      <c r="CA65" s="1289"/>
      <c r="CB65" s="1289"/>
      <c r="CC65" s="1289"/>
      <c r="CD65" s="1289"/>
      <c r="CE65" s="1289"/>
      <c r="CF65" s="1289"/>
      <c r="CG65" s="1289"/>
      <c r="CH65" s="1289"/>
      <c r="CI65" s="1289"/>
      <c r="CJ65" s="1289"/>
      <c r="CK65" s="1289"/>
      <c r="CL65" s="1289"/>
      <c r="CM65" s="1289"/>
      <c r="CN65" s="1289"/>
      <c r="CO65" s="1289"/>
      <c r="CP65" s="1289"/>
      <c r="CQ65" s="1289"/>
      <c r="CR65" s="1289"/>
      <c r="CS65" s="1289"/>
      <c r="CT65" s="1289"/>
      <c r="CU65" s="1289"/>
      <c r="CV65" s="5"/>
      <c r="CY65" s="6">
        <f>CY63+1</f>
        <v>18</v>
      </c>
    </row>
    <row r="66" spans="1:103" ht="12" customHeight="1" x14ac:dyDescent="0.2">
      <c r="A66" s="5"/>
      <c r="B66" s="1413" t="s">
        <v>2985</v>
      </c>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5"/>
      <c r="AH66" s="1437"/>
      <c r="AI66" s="1436"/>
      <c r="AJ66" s="1436"/>
      <c r="AK66" s="1436"/>
      <c r="AL66" s="1436"/>
      <c r="AM66" s="1436"/>
      <c r="AN66" s="1436"/>
      <c r="AO66" s="1436"/>
      <c r="AP66" s="1436"/>
      <c r="AQ66" s="1436"/>
      <c r="AR66" s="1436"/>
      <c r="AS66" s="1436"/>
      <c r="AT66" s="1436"/>
      <c r="AU66" s="1436"/>
      <c r="AV66" s="1436"/>
      <c r="AW66" s="1436"/>
      <c r="AX66" s="1436"/>
      <c r="AY66" s="1436"/>
      <c r="AZ66" s="1436"/>
      <c r="BA66" s="1436"/>
      <c r="BB66" s="1436"/>
      <c r="BC66" s="1436"/>
      <c r="BD66" s="1436"/>
      <c r="BE66" s="1436"/>
      <c r="BF66" s="1436"/>
      <c r="BG66" s="1436"/>
      <c r="BH66" s="1436"/>
      <c r="BI66" s="1436"/>
      <c r="BJ66" s="1436"/>
      <c r="BK66" s="1436"/>
      <c r="BL66" s="1436"/>
      <c r="BM66" s="1436"/>
      <c r="BN66" s="1436"/>
      <c r="BO66" s="1438"/>
      <c r="BP66" s="1288"/>
      <c r="BQ66" s="1288"/>
      <c r="BR66" s="1288"/>
      <c r="BS66" s="1288"/>
      <c r="BT66" s="1288"/>
      <c r="BU66" s="1288"/>
      <c r="BV66" s="1288"/>
      <c r="BW66" s="1288"/>
      <c r="BX66" s="1288"/>
      <c r="BY66" s="1288"/>
      <c r="BZ66" s="1288"/>
      <c r="CA66" s="1288"/>
      <c r="CB66" s="1288"/>
      <c r="CC66" s="1288"/>
      <c r="CD66" s="1288"/>
      <c r="CE66" s="1288"/>
      <c r="CF66" s="1288"/>
      <c r="CG66" s="1288"/>
      <c r="CH66" s="1288"/>
      <c r="CI66" s="1288"/>
      <c r="CJ66" s="1288"/>
      <c r="CK66" s="1288"/>
      <c r="CL66" s="1288"/>
      <c r="CM66" s="1288"/>
      <c r="CN66" s="1288"/>
      <c r="CO66" s="1288"/>
      <c r="CP66" s="1288"/>
      <c r="CQ66" s="1288"/>
      <c r="CR66" s="1288"/>
      <c r="CS66" s="1288"/>
      <c r="CT66" s="1288"/>
      <c r="CU66" s="1288"/>
      <c r="CV66" s="5"/>
    </row>
    <row r="67" spans="1:103" ht="12" customHeight="1" x14ac:dyDescent="0.2">
      <c r="A67" s="5"/>
      <c r="B67" s="1413"/>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5"/>
      <c r="AH67" s="1437"/>
      <c r="AI67" s="1289"/>
      <c r="AJ67" s="1289"/>
      <c r="AK67" s="1289"/>
      <c r="AL67" s="1289"/>
      <c r="AM67" s="1289"/>
      <c r="AN67" s="1289"/>
      <c r="AO67" s="1289"/>
      <c r="AP67" s="1289"/>
      <c r="AQ67" s="1289"/>
      <c r="AR67" s="1289"/>
      <c r="AS67" s="1289"/>
      <c r="AT67" s="1289"/>
      <c r="AU67" s="1289"/>
      <c r="AV67" s="1289"/>
      <c r="AW67" s="1289"/>
      <c r="AX67" s="1289"/>
      <c r="AY67" s="1289"/>
      <c r="AZ67" s="1289"/>
      <c r="BA67" s="1289"/>
      <c r="BB67" s="1289"/>
      <c r="BC67" s="1289"/>
      <c r="BD67" s="1289"/>
      <c r="BE67" s="1289"/>
      <c r="BF67" s="1289"/>
      <c r="BG67" s="1289"/>
      <c r="BH67" s="1289"/>
      <c r="BI67" s="1289"/>
      <c r="BJ67" s="1289"/>
      <c r="BK67" s="1289"/>
      <c r="BL67" s="1289"/>
      <c r="BM67" s="1289"/>
      <c r="BN67" s="1289"/>
      <c r="BO67" s="1438"/>
      <c r="BP67" s="1289"/>
      <c r="BQ67" s="1289"/>
      <c r="BR67" s="1289"/>
      <c r="BS67" s="1289"/>
      <c r="BT67" s="1289"/>
      <c r="BU67" s="1289"/>
      <c r="BV67" s="1289"/>
      <c r="BW67" s="1289"/>
      <c r="BX67" s="1289"/>
      <c r="BY67" s="1289"/>
      <c r="BZ67" s="1289"/>
      <c r="CA67" s="1289"/>
      <c r="CB67" s="1289"/>
      <c r="CC67" s="1289"/>
      <c r="CD67" s="1289"/>
      <c r="CE67" s="1289"/>
      <c r="CF67" s="1289"/>
      <c r="CG67" s="1289"/>
      <c r="CH67" s="1289"/>
      <c r="CI67" s="1289"/>
      <c r="CJ67" s="1289"/>
      <c r="CK67" s="1289"/>
      <c r="CL67" s="1289"/>
      <c r="CM67" s="1289"/>
      <c r="CN67" s="1289"/>
      <c r="CO67" s="1289"/>
      <c r="CP67" s="1289"/>
      <c r="CQ67" s="1289"/>
      <c r="CR67" s="1289"/>
      <c r="CS67" s="1289"/>
      <c r="CT67" s="1289"/>
      <c r="CU67" s="1289"/>
      <c r="CV67" s="5"/>
      <c r="CY67" s="6">
        <f>CY65+1</f>
        <v>19</v>
      </c>
    </row>
    <row r="68" spans="1:103" ht="12" customHeight="1" x14ac:dyDescent="0.2">
      <c r="A68" s="5"/>
      <c r="B68" s="1413"/>
      <c r="C68" s="1414"/>
      <c r="D68" s="1414"/>
      <c r="E68" s="1414"/>
      <c r="F68" s="1414"/>
      <c r="G68" s="1414"/>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4"/>
      <c r="AF68" s="1414"/>
      <c r="AG68" s="1415"/>
      <c r="AH68" s="1437"/>
      <c r="AI68" s="1436"/>
      <c r="AJ68" s="1436"/>
      <c r="AK68" s="1436"/>
      <c r="AL68" s="1436"/>
      <c r="AM68" s="1436"/>
      <c r="AN68" s="1436"/>
      <c r="AO68" s="1436"/>
      <c r="AP68" s="1436"/>
      <c r="AQ68" s="1436"/>
      <c r="AR68" s="1436"/>
      <c r="AS68" s="1436"/>
      <c r="AT68" s="1436"/>
      <c r="AU68" s="1436"/>
      <c r="AV68" s="1436"/>
      <c r="AW68" s="1436"/>
      <c r="AX68" s="1436"/>
      <c r="AY68" s="1436"/>
      <c r="AZ68" s="1436"/>
      <c r="BA68" s="1436"/>
      <c r="BB68" s="1436"/>
      <c r="BC68" s="1436"/>
      <c r="BD68" s="1436"/>
      <c r="BE68" s="1436"/>
      <c r="BF68" s="1436"/>
      <c r="BG68" s="1436"/>
      <c r="BH68" s="1436"/>
      <c r="BI68" s="1436"/>
      <c r="BJ68" s="1436"/>
      <c r="BK68" s="1436"/>
      <c r="BL68" s="1436"/>
      <c r="BM68" s="1436"/>
      <c r="BN68" s="1436"/>
      <c r="BO68" s="1438"/>
      <c r="BP68" s="1288"/>
      <c r="BQ68" s="1288"/>
      <c r="BR68" s="1288"/>
      <c r="BS68" s="1288"/>
      <c r="BT68" s="1288"/>
      <c r="BU68" s="1288"/>
      <c r="BV68" s="1288"/>
      <c r="BW68" s="1288"/>
      <c r="BX68" s="1288"/>
      <c r="BY68" s="1288"/>
      <c r="BZ68" s="1288"/>
      <c r="CA68" s="1288"/>
      <c r="CB68" s="1288"/>
      <c r="CC68" s="1288"/>
      <c r="CD68" s="1288"/>
      <c r="CE68" s="1288"/>
      <c r="CF68" s="1288"/>
      <c r="CG68" s="1288"/>
      <c r="CH68" s="1288"/>
      <c r="CI68" s="1288"/>
      <c r="CJ68" s="1288"/>
      <c r="CK68" s="1288"/>
      <c r="CL68" s="1288"/>
      <c r="CM68" s="1288"/>
      <c r="CN68" s="1288"/>
      <c r="CO68" s="1288"/>
      <c r="CP68" s="1288"/>
      <c r="CQ68" s="1288"/>
      <c r="CR68" s="1288"/>
      <c r="CS68" s="1288"/>
      <c r="CT68" s="1288"/>
      <c r="CU68" s="1288"/>
      <c r="CV68" s="5"/>
    </row>
    <row r="69" spans="1:103" ht="12" customHeight="1" x14ac:dyDescent="0.2">
      <c r="A69" s="5"/>
      <c r="B69" s="1416"/>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8"/>
      <c r="AH69" s="1437"/>
      <c r="AI69" s="1289"/>
      <c r="AJ69" s="1289"/>
      <c r="AK69" s="1289"/>
      <c r="AL69" s="1289"/>
      <c r="AM69" s="1289"/>
      <c r="AN69" s="1289"/>
      <c r="AO69" s="1289"/>
      <c r="AP69" s="1289"/>
      <c r="AQ69" s="1289"/>
      <c r="AR69" s="1289"/>
      <c r="AS69" s="1289"/>
      <c r="AT69" s="1289"/>
      <c r="AU69" s="1289"/>
      <c r="AV69" s="1289"/>
      <c r="AW69" s="1289"/>
      <c r="AX69" s="1289"/>
      <c r="AY69" s="1289"/>
      <c r="AZ69" s="1289"/>
      <c r="BA69" s="1289"/>
      <c r="BB69" s="1289"/>
      <c r="BC69" s="1289"/>
      <c r="BD69" s="1289"/>
      <c r="BE69" s="1289"/>
      <c r="BF69" s="1289"/>
      <c r="BG69" s="1289"/>
      <c r="BH69" s="1289"/>
      <c r="BI69" s="1289"/>
      <c r="BJ69" s="1289"/>
      <c r="BK69" s="1289"/>
      <c r="BL69" s="1289"/>
      <c r="BM69" s="1289"/>
      <c r="BN69" s="1289"/>
      <c r="BO69" s="1438"/>
      <c r="BP69" s="1289"/>
      <c r="BQ69" s="1289"/>
      <c r="BR69" s="1289"/>
      <c r="BS69" s="1289"/>
      <c r="BT69" s="1289"/>
      <c r="BU69" s="1289"/>
      <c r="BV69" s="1289"/>
      <c r="BW69" s="1289"/>
      <c r="BX69" s="1289"/>
      <c r="BY69" s="1289"/>
      <c r="BZ69" s="1289"/>
      <c r="CA69" s="1289"/>
      <c r="CB69" s="1289"/>
      <c r="CC69" s="1289"/>
      <c r="CD69" s="1289"/>
      <c r="CE69" s="1289"/>
      <c r="CF69" s="1289"/>
      <c r="CG69" s="1289"/>
      <c r="CH69" s="1289"/>
      <c r="CI69" s="1289"/>
      <c r="CJ69" s="1289"/>
      <c r="CK69" s="1289"/>
      <c r="CL69" s="1289"/>
      <c r="CM69" s="1289"/>
      <c r="CN69" s="1289"/>
      <c r="CO69" s="1289"/>
      <c r="CP69" s="1289"/>
      <c r="CQ69" s="1289"/>
      <c r="CR69" s="1289"/>
      <c r="CS69" s="1289"/>
      <c r="CT69" s="1289"/>
      <c r="CU69" s="1289"/>
      <c r="CV69" s="5"/>
      <c r="CY69" s="6">
        <f>CY67+1</f>
        <v>20</v>
      </c>
    </row>
    <row r="70" spans="1:103" ht="12" customHeight="1" x14ac:dyDescent="0.2">
      <c r="A70" s="5"/>
      <c r="AH70" s="1437"/>
      <c r="AI70" s="1288"/>
      <c r="AJ70" s="1288"/>
      <c r="AK70" s="1288"/>
      <c r="AL70" s="1288"/>
      <c r="AM70" s="1288"/>
      <c r="AN70" s="1288"/>
      <c r="AO70" s="1288"/>
      <c r="AP70" s="1288"/>
      <c r="AQ70" s="1288"/>
      <c r="AR70" s="1288"/>
      <c r="AS70" s="1288"/>
      <c r="AT70" s="1288"/>
      <c r="AU70" s="1288"/>
      <c r="AV70" s="1288"/>
      <c r="AW70" s="1288"/>
      <c r="AX70" s="1288"/>
      <c r="AY70" s="1288"/>
      <c r="AZ70" s="1288"/>
      <c r="BA70" s="1288"/>
      <c r="BB70" s="1288"/>
      <c r="BC70" s="1288"/>
      <c r="BD70" s="1288"/>
      <c r="BE70" s="1288"/>
      <c r="BF70" s="1288"/>
      <c r="BG70" s="1288"/>
      <c r="BH70" s="1288"/>
      <c r="BI70" s="1288"/>
      <c r="BJ70" s="1288"/>
      <c r="BK70" s="1288"/>
      <c r="BL70" s="1288"/>
      <c r="BM70" s="1288"/>
      <c r="BN70" s="1288"/>
      <c r="BO70" s="1438"/>
      <c r="BP70" s="1288"/>
      <c r="BQ70" s="1288"/>
      <c r="BR70" s="1288"/>
      <c r="BS70" s="1288"/>
      <c r="BT70" s="1288"/>
      <c r="BU70" s="1288"/>
      <c r="BV70" s="1288"/>
      <c r="BW70" s="1288"/>
      <c r="BX70" s="1288"/>
      <c r="BY70" s="1288"/>
      <c r="BZ70" s="1288"/>
      <c r="CA70" s="1288"/>
      <c r="CB70" s="1288"/>
      <c r="CC70" s="1288"/>
      <c r="CD70" s="1288"/>
      <c r="CE70" s="1288"/>
      <c r="CF70" s="1288"/>
      <c r="CG70" s="1288"/>
      <c r="CH70" s="1288"/>
      <c r="CI70" s="1288"/>
      <c r="CJ70" s="1288"/>
      <c r="CK70" s="1288"/>
      <c r="CL70" s="1288"/>
      <c r="CM70" s="1288"/>
      <c r="CN70" s="1288"/>
      <c r="CO70" s="1288"/>
      <c r="CP70" s="1288"/>
      <c r="CQ70" s="1288"/>
      <c r="CR70" s="1288"/>
      <c r="CS70" s="1288"/>
      <c r="CT70" s="1288"/>
      <c r="CU70" s="1288"/>
      <c r="CV70" s="5"/>
    </row>
    <row r="71" spans="1:103" ht="12" customHeight="1" x14ac:dyDescent="0.2">
      <c r="A71" s="5"/>
      <c r="B71" s="1274" t="s">
        <v>2977</v>
      </c>
      <c r="C71" s="1275"/>
      <c r="D71" s="1275"/>
      <c r="E71" s="1275"/>
      <c r="F71" s="1275"/>
      <c r="G71" s="1275"/>
      <c r="H71" s="1275"/>
      <c r="I71" s="1275"/>
      <c r="J71" s="1275"/>
      <c r="K71" s="1275"/>
      <c r="L71" s="1275"/>
      <c r="M71" s="1275"/>
      <c r="N71" s="1275"/>
      <c r="O71" s="1275"/>
      <c r="P71" s="1275"/>
      <c r="Q71" s="1275"/>
      <c r="R71" s="1275"/>
      <c r="S71" s="1275"/>
      <c r="T71" s="1275"/>
      <c r="U71" s="1275"/>
      <c r="V71" s="1275"/>
      <c r="W71" s="1275"/>
      <c r="X71" s="1275"/>
      <c r="Y71" s="1275"/>
      <c r="Z71" s="1275"/>
      <c r="AA71" s="1275"/>
      <c r="AB71" s="1275"/>
      <c r="AC71" s="1275"/>
      <c r="AD71" s="1275"/>
      <c r="AE71" s="1275"/>
      <c r="AF71" s="1275"/>
      <c r="AG71" s="1276"/>
      <c r="AH71" s="1437"/>
      <c r="AI71" s="1289"/>
      <c r="AJ71" s="1289"/>
      <c r="AK71" s="1289"/>
      <c r="AL71" s="1289"/>
      <c r="AM71" s="1289"/>
      <c r="AN71" s="1289"/>
      <c r="AO71" s="1289"/>
      <c r="AP71" s="1289"/>
      <c r="AQ71" s="1289"/>
      <c r="AR71" s="1289"/>
      <c r="AS71" s="1289"/>
      <c r="AT71" s="1289"/>
      <c r="AU71" s="1289"/>
      <c r="AV71" s="1289"/>
      <c r="AW71" s="1289"/>
      <c r="AX71" s="1289"/>
      <c r="AY71" s="1289"/>
      <c r="AZ71" s="1289"/>
      <c r="BA71" s="1289"/>
      <c r="BB71" s="1289"/>
      <c r="BC71" s="1289"/>
      <c r="BD71" s="1289"/>
      <c r="BE71" s="1289"/>
      <c r="BF71" s="1289"/>
      <c r="BG71" s="1289"/>
      <c r="BH71" s="1289"/>
      <c r="BI71" s="1289"/>
      <c r="BJ71" s="1289"/>
      <c r="BK71" s="1289"/>
      <c r="BL71" s="1289"/>
      <c r="BM71" s="1289"/>
      <c r="BN71" s="1289"/>
      <c r="BO71" s="1438"/>
      <c r="BP71" s="1289"/>
      <c r="BQ71" s="1289"/>
      <c r="BR71" s="1289"/>
      <c r="BS71" s="1289"/>
      <c r="BT71" s="1289"/>
      <c r="BU71" s="1289"/>
      <c r="BV71" s="1289"/>
      <c r="BW71" s="1289"/>
      <c r="BX71" s="1289"/>
      <c r="BY71" s="1289"/>
      <c r="BZ71" s="1289"/>
      <c r="CA71" s="1289"/>
      <c r="CB71" s="1289"/>
      <c r="CC71" s="1289"/>
      <c r="CD71" s="1289"/>
      <c r="CE71" s="1289"/>
      <c r="CF71" s="1289"/>
      <c r="CG71" s="1289"/>
      <c r="CH71" s="1289"/>
      <c r="CI71" s="1289"/>
      <c r="CJ71" s="1289"/>
      <c r="CK71" s="1289"/>
      <c r="CL71" s="1289"/>
      <c r="CM71" s="1289"/>
      <c r="CN71" s="1289"/>
      <c r="CO71" s="1289"/>
      <c r="CP71" s="1289"/>
      <c r="CQ71" s="1289"/>
      <c r="CR71" s="1289"/>
      <c r="CS71" s="1289"/>
      <c r="CT71" s="1289"/>
      <c r="CU71" s="1289"/>
      <c r="CV71" s="5"/>
      <c r="CY71" s="6">
        <f>CY69+1</f>
        <v>21</v>
      </c>
    </row>
    <row r="72" spans="1:103" ht="12" customHeight="1" x14ac:dyDescent="0.2">
      <c r="A72" s="5"/>
      <c r="B72" s="1430"/>
      <c r="C72" s="1431"/>
      <c r="D72" s="1431"/>
      <c r="E72" s="1431"/>
      <c r="F72" s="1431"/>
      <c r="G72" s="1431"/>
      <c r="H72" s="1431"/>
      <c r="I72" s="1431"/>
      <c r="J72" s="1431"/>
      <c r="K72" s="1431"/>
      <c r="L72" s="1431"/>
      <c r="M72" s="1431"/>
      <c r="N72" s="1431"/>
      <c r="O72" s="1431"/>
      <c r="P72" s="1431"/>
      <c r="Q72" s="1431"/>
      <c r="R72" s="1431"/>
      <c r="S72" s="1431"/>
      <c r="T72" s="1431"/>
      <c r="U72" s="1431"/>
      <c r="V72" s="1431"/>
      <c r="W72" s="1431"/>
      <c r="X72" s="1431"/>
      <c r="Y72" s="1431"/>
      <c r="Z72" s="1431"/>
      <c r="AA72" s="1431"/>
      <c r="AB72" s="1431"/>
      <c r="AC72" s="1431"/>
      <c r="AD72" s="1431"/>
      <c r="AE72" s="1431"/>
      <c r="AF72" s="1431"/>
      <c r="AG72" s="1432"/>
      <c r="AH72" s="1437"/>
      <c r="AI72" s="1288"/>
      <c r="AJ72" s="1288"/>
      <c r="AK72" s="1288"/>
      <c r="AL72" s="1288"/>
      <c r="AM72" s="1288"/>
      <c r="AN72" s="1288"/>
      <c r="AO72" s="1288"/>
      <c r="AP72" s="1288"/>
      <c r="AQ72" s="1288"/>
      <c r="AR72" s="1288"/>
      <c r="AS72" s="1288"/>
      <c r="AT72" s="1288"/>
      <c r="AU72" s="1288"/>
      <c r="AV72" s="1288"/>
      <c r="AW72" s="1288"/>
      <c r="AX72" s="1288"/>
      <c r="AY72" s="1288"/>
      <c r="AZ72" s="1288"/>
      <c r="BA72" s="1288"/>
      <c r="BB72" s="1288"/>
      <c r="BC72" s="1288"/>
      <c r="BD72" s="1288"/>
      <c r="BE72" s="1288"/>
      <c r="BF72" s="1288"/>
      <c r="BG72" s="1288"/>
      <c r="BH72" s="1288"/>
      <c r="BI72" s="1288"/>
      <c r="BJ72" s="1288"/>
      <c r="BK72" s="1288"/>
      <c r="BL72" s="1288"/>
      <c r="BM72" s="1288"/>
      <c r="BN72" s="1288"/>
      <c r="BO72" s="1438"/>
      <c r="BP72" s="1288"/>
      <c r="BQ72" s="1288"/>
      <c r="BR72" s="1288"/>
      <c r="BS72" s="1288"/>
      <c r="BT72" s="1288"/>
      <c r="BU72" s="1288"/>
      <c r="BV72" s="1288"/>
      <c r="BW72" s="1288"/>
      <c r="BX72" s="1288"/>
      <c r="BY72" s="1288"/>
      <c r="BZ72" s="1288"/>
      <c r="CA72" s="1288"/>
      <c r="CB72" s="1288"/>
      <c r="CC72" s="1288"/>
      <c r="CD72" s="1288"/>
      <c r="CE72" s="1288"/>
      <c r="CF72" s="1288"/>
      <c r="CG72" s="1288"/>
      <c r="CH72" s="1288"/>
      <c r="CI72" s="1288"/>
      <c r="CJ72" s="1288"/>
      <c r="CK72" s="1288"/>
      <c r="CL72" s="1288"/>
      <c r="CM72" s="1288"/>
      <c r="CN72" s="1288"/>
      <c r="CO72" s="1288"/>
      <c r="CP72" s="1288"/>
      <c r="CQ72" s="1288"/>
      <c r="CR72" s="1288"/>
      <c r="CS72" s="1288"/>
      <c r="CT72" s="1288"/>
      <c r="CU72" s="1288"/>
      <c r="CV72" s="5"/>
    </row>
    <row r="73" spans="1:103" ht="12" customHeight="1" x14ac:dyDescent="0.2">
      <c r="A73" s="5"/>
      <c r="B73" s="1440" t="s">
        <v>3504</v>
      </c>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2"/>
      <c r="AH73" s="1437"/>
      <c r="AI73" s="1289"/>
      <c r="AJ73" s="1289"/>
      <c r="AK73" s="1289"/>
      <c r="AL73" s="1289"/>
      <c r="AM73" s="1289"/>
      <c r="AN73" s="1289"/>
      <c r="AO73" s="1289"/>
      <c r="AP73" s="1289"/>
      <c r="AQ73" s="1289"/>
      <c r="AR73" s="1289"/>
      <c r="AS73" s="1289"/>
      <c r="AT73" s="1289"/>
      <c r="AU73" s="1289"/>
      <c r="AV73" s="1289"/>
      <c r="AW73" s="1289"/>
      <c r="AX73" s="1289"/>
      <c r="AY73" s="1289"/>
      <c r="AZ73" s="1289"/>
      <c r="BA73" s="1289"/>
      <c r="BB73" s="1289"/>
      <c r="BC73" s="1289"/>
      <c r="BD73" s="1289"/>
      <c r="BE73" s="1289"/>
      <c r="BF73" s="1289"/>
      <c r="BG73" s="1289"/>
      <c r="BH73" s="1289"/>
      <c r="BI73" s="1289"/>
      <c r="BJ73" s="1289"/>
      <c r="BK73" s="1289"/>
      <c r="BL73" s="1289"/>
      <c r="BM73" s="1289"/>
      <c r="BN73" s="1289"/>
      <c r="BO73" s="1438"/>
      <c r="BP73" s="1289"/>
      <c r="BQ73" s="1289"/>
      <c r="BR73" s="1289"/>
      <c r="BS73" s="1289"/>
      <c r="BT73" s="1289"/>
      <c r="BU73" s="1289"/>
      <c r="BV73" s="1289"/>
      <c r="BW73" s="1289"/>
      <c r="BX73" s="1289"/>
      <c r="BY73" s="1289"/>
      <c r="BZ73" s="1289"/>
      <c r="CA73" s="1289"/>
      <c r="CB73" s="1289"/>
      <c r="CC73" s="1289"/>
      <c r="CD73" s="1289"/>
      <c r="CE73" s="1289"/>
      <c r="CF73" s="1289"/>
      <c r="CG73" s="1289"/>
      <c r="CH73" s="1289"/>
      <c r="CI73" s="1289"/>
      <c r="CJ73" s="1289"/>
      <c r="CK73" s="1289"/>
      <c r="CL73" s="1289"/>
      <c r="CM73" s="1289"/>
      <c r="CN73" s="1289"/>
      <c r="CO73" s="1289"/>
      <c r="CP73" s="1289"/>
      <c r="CQ73" s="1289"/>
      <c r="CR73" s="1289"/>
      <c r="CS73" s="1289"/>
      <c r="CT73" s="1289"/>
      <c r="CU73" s="1289"/>
      <c r="CV73" s="5"/>
      <c r="CY73" s="6">
        <f>CY71+1</f>
        <v>22</v>
      </c>
    </row>
    <row r="74" spans="1:103" ht="12" customHeight="1" x14ac:dyDescent="0.2">
      <c r="A74" s="5"/>
      <c r="B74" s="1308"/>
      <c r="C74" s="1309"/>
      <c r="D74" s="1309"/>
      <c r="E74" s="1309"/>
      <c r="F74" s="1309"/>
      <c r="G74" s="1309"/>
      <c r="H74" s="1309"/>
      <c r="I74" s="1309"/>
      <c r="J74" s="1309"/>
      <c r="K74" s="1309"/>
      <c r="L74" s="1309"/>
      <c r="M74" s="1309"/>
      <c r="N74" s="1309"/>
      <c r="O74" s="1309"/>
      <c r="P74" s="1309"/>
      <c r="Q74" s="1309"/>
      <c r="R74" s="1309"/>
      <c r="S74" s="1309"/>
      <c r="T74" s="1309"/>
      <c r="U74" s="1309"/>
      <c r="V74" s="1309"/>
      <c r="W74" s="1309"/>
      <c r="X74" s="1309"/>
      <c r="Y74" s="1309"/>
      <c r="Z74" s="1309"/>
      <c r="AA74" s="1309"/>
      <c r="AB74" s="1309"/>
      <c r="AC74" s="1309"/>
      <c r="AD74" s="1309"/>
      <c r="AE74" s="1309"/>
      <c r="AF74" s="1309"/>
      <c r="AG74" s="1310"/>
      <c r="AH74" s="1437"/>
      <c r="AI74" s="1288"/>
      <c r="AJ74" s="1288"/>
      <c r="AK74" s="1288"/>
      <c r="AL74" s="1288"/>
      <c r="AM74" s="1288"/>
      <c r="AN74" s="1288"/>
      <c r="AO74" s="1288"/>
      <c r="AP74" s="1288"/>
      <c r="AQ74" s="1288"/>
      <c r="AR74" s="1288"/>
      <c r="AS74" s="1288"/>
      <c r="AT74" s="1288"/>
      <c r="AU74" s="1288"/>
      <c r="AV74" s="1288"/>
      <c r="AW74" s="1288"/>
      <c r="AX74" s="1288"/>
      <c r="AY74" s="1288"/>
      <c r="AZ74" s="1288"/>
      <c r="BA74" s="1288"/>
      <c r="BB74" s="1288"/>
      <c r="BC74" s="1288"/>
      <c r="BD74" s="1288"/>
      <c r="BE74" s="1288"/>
      <c r="BF74" s="1288"/>
      <c r="BG74" s="1288"/>
      <c r="BH74" s="1288"/>
      <c r="BI74" s="1288"/>
      <c r="BJ74" s="1288"/>
      <c r="BK74" s="1288"/>
      <c r="BL74" s="1288"/>
      <c r="BM74" s="1288"/>
      <c r="BN74" s="1288"/>
      <c r="BO74" s="1438"/>
      <c r="BP74" s="1288"/>
      <c r="BQ74" s="1288"/>
      <c r="BR74" s="1288"/>
      <c r="BS74" s="1288"/>
      <c r="BT74" s="1288"/>
      <c r="BU74" s="1288"/>
      <c r="BV74" s="1288"/>
      <c r="BW74" s="1288"/>
      <c r="BX74" s="1288"/>
      <c r="BY74" s="1288"/>
      <c r="BZ74" s="1288"/>
      <c r="CA74" s="1288"/>
      <c r="CB74" s="1288"/>
      <c r="CC74" s="1288"/>
      <c r="CD74" s="1288"/>
      <c r="CE74" s="1288"/>
      <c r="CF74" s="1288"/>
      <c r="CG74" s="1288"/>
      <c r="CH74" s="1288"/>
      <c r="CI74" s="1288"/>
      <c r="CJ74" s="1288"/>
      <c r="CK74" s="1288"/>
      <c r="CL74" s="1288"/>
      <c r="CM74" s="1288"/>
      <c r="CN74" s="1288"/>
      <c r="CO74" s="1288"/>
      <c r="CP74" s="1288"/>
      <c r="CQ74" s="1288"/>
      <c r="CR74" s="1288"/>
      <c r="CS74" s="1288"/>
      <c r="CT74" s="1288"/>
      <c r="CU74" s="1288"/>
      <c r="CV74" s="5"/>
    </row>
    <row r="75" spans="1:103" ht="12" customHeight="1" x14ac:dyDescent="0.2">
      <c r="A75" s="5"/>
      <c r="B75" s="1308"/>
      <c r="C75" s="1309"/>
      <c r="D75" s="1309"/>
      <c r="E75" s="1309"/>
      <c r="F75" s="1309"/>
      <c r="G75" s="1309"/>
      <c r="H75" s="1309"/>
      <c r="I75" s="1309"/>
      <c r="J75" s="1309"/>
      <c r="K75" s="1309"/>
      <c r="L75" s="1309"/>
      <c r="M75" s="1309"/>
      <c r="N75" s="1309"/>
      <c r="O75" s="1309"/>
      <c r="P75" s="1309"/>
      <c r="Q75" s="1309"/>
      <c r="R75" s="1309"/>
      <c r="S75" s="1309"/>
      <c r="T75" s="1309"/>
      <c r="U75" s="1309"/>
      <c r="V75" s="1309"/>
      <c r="W75" s="1309"/>
      <c r="X75" s="1309"/>
      <c r="Y75" s="1309"/>
      <c r="Z75" s="1309"/>
      <c r="AA75" s="1309"/>
      <c r="AB75" s="1309"/>
      <c r="AC75" s="1309"/>
      <c r="AD75" s="1309"/>
      <c r="AE75" s="1309"/>
      <c r="AF75" s="1309"/>
      <c r="AG75" s="1310"/>
      <c r="AH75" s="1437"/>
      <c r="AI75" s="1289"/>
      <c r="AJ75" s="1289"/>
      <c r="AK75" s="1289"/>
      <c r="AL75" s="1289"/>
      <c r="AM75" s="1289"/>
      <c r="AN75" s="1289"/>
      <c r="AO75" s="1289"/>
      <c r="AP75" s="1289"/>
      <c r="AQ75" s="1289"/>
      <c r="AR75" s="1289"/>
      <c r="AS75" s="1289"/>
      <c r="AT75" s="1289"/>
      <c r="AU75" s="1289"/>
      <c r="AV75" s="1289"/>
      <c r="AW75" s="1289"/>
      <c r="AX75" s="1289"/>
      <c r="AY75" s="1289"/>
      <c r="AZ75" s="1289"/>
      <c r="BA75" s="1289"/>
      <c r="BB75" s="1289"/>
      <c r="BC75" s="1289"/>
      <c r="BD75" s="1289"/>
      <c r="BE75" s="1289"/>
      <c r="BF75" s="1289"/>
      <c r="BG75" s="1289"/>
      <c r="BH75" s="1289"/>
      <c r="BI75" s="1289"/>
      <c r="BJ75" s="1289"/>
      <c r="BK75" s="1289"/>
      <c r="BL75" s="1289"/>
      <c r="BM75" s="1289"/>
      <c r="BN75" s="1289"/>
      <c r="BO75" s="1438"/>
      <c r="BP75" s="1289"/>
      <c r="BQ75" s="1289"/>
      <c r="BR75" s="1289"/>
      <c r="BS75" s="1289"/>
      <c r="BT75" s="1289"/>
      <c r="BU75" s="1289"/>
      <c r="BV75" s="1289"/>
      <c r="BW75" s="1289"/>
      <c r="BX75" s="1289"/>
      <c r="BY75" s="1289"/>
      <c r="BZ75" s="1289"/>
      <c r="CA75" s="1289"/>
      <c r="CB75" s="1289"/>
      <c r="CC75" s="1289"/>
      <c r="CD75" s="1289"/>
      <c r="CE75" s="1289"/>
      <c r="CF75" s="1289"/>
      <c r="CG75" s="1289"/>
      <c r="CH75" s="1289"/>
      <c r="CI75" s="1289"/>
      <c r="CJ75" s="1289"/>
      <c r="CK75" s="1289"/>
      <c r="CL75" s="1289"/>
      <c r="CM75" s="1289"/>
      <c r="CN75" s="1289"/>
      <c r="CO75" s="1289"/>
      <c r="CP75" s="1289"/>
      <c r="CQ75" s="1289"/>
      <c r="CR75" s="1289"/>
      <c r="CS75" s="1289"/>
      <c r="CT75" s="1289"/>
      <c r="CU75" s="1289"/>
      <c r="CV75" s="5"/>
      <c r="CY75" s="6">
        <f>CY73+1</f>
        <v>23</v>
      </c>
    </row>
    <row r="76" spans="1:103" ht="12" customHeight="1" x14ac:dyDescent="0.2">
      <c r="A76" s="5"/>
      <c r="B76" s="1308"/>
      <c r="C76" s="1309"/>
      <c r="D76" s="1309"/>
      <c r="E76" s="1309"/>
      <c r="F76" s="1309"/>
      <c r="G76" s="1309"/>
      <c r="H76" s="1309"/>
      <c r="I76" s="1309"/>
      <c r="J76" s="1309"/>
      <c r="K76" s="1309"/>
      <c r="L76" s="1309"/>
      <c r="M76" s="1309"/>
      <c r="N76" s="1309"/>
      <c r="O76" s="1309"/>
      <c r="P76" s="1309"/>
      <c r="Q76" s="1309"/>
      <c r="R76" s="1309"/>
      <c r="S76" s="1309"/>
      <c r="T76" s="1309"/>
      <c r="U76" s="1309"/>
      <c r="V76" s="1309"/>
      <c r="W76" s="1309"/>
      <c r="X76" s="1309"/>
      <c r="Y76" s="1309"/>
      <c r="Z76" s="1309"/>
      <c r="AA76" s="1309"/>
      <c r="AB76" s="1309"/>
      <c r="AC76" s="1309"/>
      <c r="AD76" s="1309"/>
      <c r="AE76" s="1309"/>
      <c r="AF76" s="1309"/>
      <c r="AG76" s="1310"/>
      <c r="AH76" s="1437"/>
      <c r="AI76" s="1288"/>
      <c r="AJ76" s="1288"/>
      <c r="AK76" s="1288"/>
      <c r="AL76" s="1288"/>
      <c r="AM76" s="1288"/>
      <c r="AN76" s="1288"/>
      <c r="AO76" s="1288"/>
      <c r="AP76" s="1288"/>
      <c r="AQ76" s="1288"/>
      <c r="AR76" s="1288"/>
      <c r="AS76" s="1288"/>
      <c r="AT76" s="1288"/>
      <c r="AU76" s="1288"/>
      <c r="AV76" s="1288"/>
      <c r="AW76" s="1288"/>
      <c r="AX76" s="1288"/>
      <c r="AY76" s="1288"/>
      <c r="AZ76" s="1288"/>
      <c r="BA76" s="1288"/>
      <c r="BB76" s="1288"/>
      <c r="BC76" s="1288"/>
      <c r="BD76" s="1288"/>
      <c r="BE76" s="1288"/>
      <c r="BF76" s="1288"/>
      <c r="BG76" s="1288"/>
      <c r="BH76" s="1288"/>
      <c r="BI76" s="1288"/>
      <c r="BJ76" s="1288"/>
      <c r="BK76" s="1288"/>
      <c r="BL76" s="1288"/>
      <c r="BM76" s="1288"/>
      <c r="BN76" s="1288"/>
      <c r="BO76" s="1438"/>
      <c r="BP76" s="1288"/>
      <c r="BQ76" s="1288"/>
      <c r="BR76" s="1288"/>
      <c r="BS76" s="1288"/>
      <c r="BT76" s="1288"/>
      <c r="BU76" s="1288"/>
      <c r="BV76" s="1288"/>
      <c r="BW76" s="1288"/>
      <c r="BX76" s="1288"/>
      <c r="BY76" s="1288"/>
      <c r="BZ76" s="1288"/>
      <c r="CA76" s="1288"/>
      <c r="CB76" s="1288"/>
      <c r="CC76" s="1288"/>
      <c r="CD76" s="1288"/>
      <c r="CE76" s="1288"/>
      <c r="CF76" s="1288"/>
      <c r="CG76" s="1288"/>
      <c r="CH76" s="1288"/>
      <c r="CI76" s="1288"/>
      <c r="CJ76" s="1288"/>
      <c r="CK76" s="1288"/>
      <c r="CL76" s="1288"/>
      <c r="CM76" s="1288"/>
      <c r="CN76" s="1288"/>
      <c r="CO76" s="1288"/>
      <c r="CP76" s="1288"/>
      <c r="CQ76" s="1288"/>
      <c r="CR76" s="1288"/>
      <c r="CS76" s="1288"/>
      <c r="CT76" s="1288"/>
      <c r="CU76" s="1288"/>
      <c r="CV76" s="5"/>
    </row>
    <row r="77" spans="1:103" ht="12" customHeight="1" x14ac:dyDescent="0.2">
      <c r="A77" s="5"/>
      <c r="B77" s="1308"/>
      <c r="C77" s="1309"/>
      <c r="D77" s="1309"/>
      <c r="E77" s="1309"/>
      <c r="F77" s="1309"/>
      <c r="G77" s="1309"/>
      <c r="H77" s="1309"/>
      <c r="I77" s="1309"/>
      <c r="J77" s="1309"/>
      <c r="K77" s="1309"/>
      <c r="L77" s="1309"/>
      <c r="M77" s="1309"/>
      <c r="N77" s="1309"/>
      <c r="O77" s="1309"/>
      <c r="P77" s="1309"/>
      <c r="Q77" s="1309"/>
      <c r="R77" s="1309"/>
      <c r="S77" s="1309"/>
      <c r="T77" s="1309"/>
      <c r="U77" s="1309"/>
      <c r="V77" s="1309"/>
      <c r="W77" s="1309"/>
      <c r="X77" s="1309"/>
      <c r="Y77" s="1309"/>
      <c r="Z77" s="1309"/>
      <c r="AA77" s="1309"/>
      <c r="AB77" s="1309"/>
      <c r="AC77" s="1309"/>
      <c r="AD77" s="1309"/>
      <c r="AE77" s="1309"/>
      <c r="AF77" s="1309"/>
      <c r="AG77" s="1310"/>
      <c r="AH77" s="1437"/>
      <c r="AI77" s="1289"/>
      <c r="AJ77" s="1289"/>
      <c r="AK77" s="1289"/>
      <c r="AL77" s="1289"/>
      <c r="AM77" s="1289"/>
      <c r="AN77" s="1289"/>
      <c r="AO77" s="1289"/>
      <c r="AP77" s="1289"/>
      <c r="AQ77" s="1289"/>
      <c r="AR77" s="1289"/>
      <c r="AS77" s="1289"/>
      <c r="AT77" s="1289"/>
      <c r="AU77" s="1289"/>
      <c r="AV77" s="1289"/>
      <c r="AW77" s="1289"/>
      <c r="AX77" s="1289"/>
      <c r="AY77" s="1289"/>
      <c r="AZ77" s="1289"/>
      <c r="BA77" s="1289"/>
      <c r="BB77" s="1289"/>
      <c r="BC77" s="1289"/>
      <c r="BD77" s="1289"/>
      <c r="BE77" s="1289"/>
      <c r="BF77" s="1289"/>
      <c r="BG77" s="1289"/>
      <c r="BH77" s="1289"/>
      <c r="BI77" s="1289"/>
      <c r="BJ77" s="1289"/>
      <c r="BK77" s="1289"/>
      <c r="BL77" s="1289"/>
      <c r="BM77" s="1289"/>
      <c r="BN77" s="1289"/>
      <c r="BO77" s="1438"/>
      <c r="BP77" s="1289"/>
      <c r="BQ77" s="1289"/>
      <c r="BR77" s="1289"/>
      <c r="BS77" s="1289"/>
      <c r="BT77" s="1289"/>
      <c r="BU77" s="1289"/>
      <c r="BV77" s="1289"/>
      <c r="BW77" s="1289"/>
      <c r="BX77" s="1289"/>
      <c r="BY77" s="1289"/>
      <c r="BZ77" s="1289"/>
      <c r="CA77" s="1289"/>
      <c r="CB77" s="1289"/>
      <c r="CC77" s="1289"/>
      <c r="CD77" s="1289"/>
      <c r="CE77" s="1289"/>
      <c r="CF77" s="1289"/>
      <c r="CG77" s="1289"/>
      <c r="CH77" s="1289"/>
      <c r="CI77" s="1289"/>
      <c r="CJ77" s="1289"/>
      <c r="CK77" s="1289"/>
      <c r="CL77" s="1289"/>
      <c r="CM77" s="1289"/>
      <c r="CN77" s="1289"/>
      <c r="CO77" s="1289"/>
      <c r="CP77" s="1289"/>
      <c r="CQ77" s="1289"/>
      <c r="CR77" s="1289"/>
      <c r="CS77" s="1289"/>
      <c r="CT77" s="1289"/>
      <c r="CU77" s="1289"/>
      <c r="CV77" s="5"/>
      <c r="CY77" s="6">
        <f>CY75+1</f>
        <v>24</v>
      </c>
    </row>
    <row r="78" spans="1:103" ht="12" customHeight="1" x14ac:dyDescent="0.2">
      <c r="A78" s="5"/>
      <c r="B78" s="1308"/>
      <c r="C78" s="1309"/>
      <c r="D78" s="1309"/>
      <c r="E78" s="1309"/>
      <c r="F78" s="1309"/>
      <c r="G78" s="1309"/>
      <c r="H78" s="1309"/>
      <c r="I78" s="1309"/>
      <c r="J78" s="1309"/>
      <c r="K78" s="1309"/>
      <c r="L78" s="1309"/>
      <c r="M78" s="1309"/>
      <c r="N78" s="1309"/>
      <c r="O78" s="1309"/>
      <c r="P78" s="1309"/>
      <c r="Q78" s="1309"/>
      <c r="R78" s="1309"/>
      <c r="S78" s="1309"/>
      <c r="T78" s="1309"/>
      <c r="U78" s="1309"/>
      <c r="V78" s="1309"/>
      <c r="W78" s="1309"/>
      <c r="X78" s="1309"/>
      <c r="Y78" s="1309"/>
      <c r="Z78" s="1309"/>
      <c r="AA78" s="1309"/>
      <c r="AB78" s="1309"/>
      <c r="AC78" s="1309"/>
      <c r="AD78" s="1309"/>
      <c r="AE78" s="1309"/>
      <c r="AF78" s="1309"/>
      <c r="AG78" s="1310"/>
      <c r="AH78" s="1437"/>
      <c r="AI78" s="1288"/>
      <c r="AJ78" s="1288"/>
      <c r="AK78" s="1288"/>
      <c r="AL78" s="1288"/>
      <c r="AM78" s="1288"/>
      <c r="AN78" s="1288"/>
      <c r="AO78" s="1288"/>
      <c r="AP78" s="1288"/>
      <c r="AQ78" s="1288"/>
      <c r="AR78" s="1288"/>
      <c r="AS78" s="1288"/>
      <c r="AT78" s="1288"/>
      <c r="AU78" s="1288"/>
      <c r="AV78" s="1288"/>
      <c r="AW78" s="1288"/>
      <c r="AX78" s="1288"/>
      <c r="AY78" s="1288"/>
      <c r="AZ78" s="1288"/>
      <c r="BA78" s="1288"/>
      <c r="BB78" s="1288"/>
      <c r="BC78" s="1288"/>
      <c r="BD78" s="1288"/>
      <c r="BE78" s="1288"/>
      <c r="BF78" s="1288"/>
      <c r="BG78" s="1288"/>
      <c r="BH78" s="1288"/>
      <c r="BI78" s="1288"/>
      <c r="BJ78" s="1288"/>
      <c r="BK78" s="1288"/>
      <c r="BL78" s="1288"/>
      <c r="BM78" s="1288"/>
      <c r="BN78" s="1288"/>
      <c r="BO78" s="1438"/>
      <c r="BP78" s="1288"/>
      <c r="BQ78" s="1288"/>
      <c r="BR78" s="1288"/>
      <c r="BS78" s="1288"/>
      <c r="BT78" s="1288"/>
      <c r="BU78" s="1288"/>
      <c r="BV78" s="1288"/>
      <c r="BW78" s="1288"/>
      <c r="BX78" s="1288"/>
      <c r="BY78" s="1288"/>
      <c r="BZ78" s="1288"/>
      <c r="CA78" s="1288"/>
      <c r="CB78" s="1288"/>
      <c r="CC78" s="1288"/>
      <c r="CD78" s="1288"/>
      <c r="CE78" s="1288"/>
      <c r="CF78" s="1288"/>
      <c r="CG78" s="1288"/>
      <c r="CH78" s="1288"/>
      <c r="CI78" s="1288"/>
      <c r="CJ78" s="1288"/>
      <c r="CK78" s="1288"/>
      <c r="CL78" s="1288"/>
      <c r="CM78" s="1288"/>
      <c r="CN78" s="1288"/>
      <c r="CO78" s="1288"/>
      <c r="CP78" s="1288"/>
      <c r="CQ78" s="1288"/>
      <c r="CR78" s="1288"/>
      <c r="CS78" s="1288"/>
      <c r="CT78" s="1288"/>
      <c r="CU78" s="1288"/>
      <c r="CV78" s="5"/>
    </row>
    <row r="79" spans="1:103" ht="12" customHeight="1" x14ac:dyDescent="0.2">
      <c r="A79" s="5"/>
      <c r="B79" s="1308"/>
      <c r="C79" s="1309"/>
      <c r="D79" s="1309"/>
      <c r="E79" s="1309"/>
      <c r="F79" s="1309"/>
      <c r="G79" s="1309"/>
      <c r="H79" s="1309"/>
      <c r="I79" s="1309"/>
      <c r="J79" s="1309"/>
      <c r="K79" s="1309"/>
      <c r="L79" s="1309"/>
      <c r="M79" s="1309"/>
      <c r="N79" s="1309"/>
      <c r="O79" s="1309"/>
      <c r="P79" s="1309"/>
      <c r="Q79" s="1309"/>
      <c r="R79" s="1309"/>
      <c r="S79" s="1309"/>
      <c r="T79" s="1309"/>
      <c r="U79" s="1309"/>
      <c r="V79" s="1309"/>
      <c r="W79" s="1309"/>
      <c r="X79" s="1309"/>
      <c r="Y79" s="1309"/>
      <c r="Z79" s="1309"/>
      <c r="AA79" s="1309"/>
      <c r="AB79" s="1309"/>
      <c r="AC79" s="1309"/>
      <c r="AD79" s="1309"/>
      <c r="AE79" s="1309"/>
      <c r="AF79" s="1309"/>
      <c r="AG79" s="1310"/>
      <c r="AH79" s="1437"/>
      <c r="AI79" s="1289"/>
      <c r="AJ79" s="1289"/>
      <c r="AK79" s="1289"/>
      <c r="AL79" s="1289"/>
      <c r="AM79" s="1289"/>
      <c r="AN79" s="1289"/>
      <c r="AO79" s="1289"/>
      <c r="AP79" s="1289"/>
      <c r="AQ79" s="1289"/>
      <c r="AR79" s="1289"/>
      <c r="AS79" s="1289"/>
      <c r="AT79" s="1289"/>
      <c r="AU79" s="1289"/>
      <c r="AV79" s="1289"/>
      <c r="AW79" s="1289"/>
      <c r="AX79" s="1289"/>
      <c r="AY79" s="1289"/>
      <c r="AZ79" s="1289"/>
      <c r="BA79" s="1289"/>
      <c r="BB79" s="1289"/>
      <c r="BC79" s="1289"/>
      <c r="BD79" s="1289"/>
      <c r="BE79" s="1289"/>
      <c r="BF79" s="1289"/>
      <c r="BG79" s="1289"/>
      <c r="BH79" s="1289"/>
      <c r="BI79" s="1289"/>
      <c r="BJ79" s="1289"/>
      <c r="BK79" s="1289"/>
      <c r="BL79" s="1289"/>
      <c r="BM79" s="1289"/>
      <c r="BN79" s="1289"/>
      <c r="BO79" s="1438"/>
      <c r="BP79" s="1289"/>
      <c r="BQ79" s="1289"/>
      <c r="BR79" s="1289"/>
      <c r="BS79" s="1289"/>
      <c r="BT79" s="1289"/>
      <c r="BU79" s="1289"/>
      <c r="BV79" s="1289"/>
      <c r="BW79" s="1289"/>
      <c r="BX79" s="1289"/>
      <c r="BY79" s="1289"/>
      <c r="BZ79" s="1289"/>
      <c r="CA79" s="1289"/>
      <c r="CB79" s="1289"/>
      <c r="CC79" s="1289"/>
      <c r="CD79" s="1289"/>
      <c r="CE79" s="1289"/>
      <c r="CF79" s="1289"/>
      <c r="CG79" s="1289"/>
      <c r="CH79" s="1289"/>
      <c r="CI79" s="1289"/>
      <c r="CJ79" s="1289"/>
      <c r="CK79" s="1289"/>
      <c r="CL79" s="1289"/>
      <c r="CM79" s="1289"/>
      <c r="CN79" s="1289"/>
      <c r="CO79" s="1289"/>
      <c r="CP79" s="1289"/>
      <c r="CQ79" s="1289"/>
      <c r="CR79" s="1289"/>
      <c r="CS79" s="1289"/>
      <c r="CT79" s="1289"/>
      <c r="CU79" s="1289"/>
      <c r="CV79" s="5"/>
      <c r="CY79" s="6">
        <f>CY77+1</f>
        <v>25</v>
      </c>
    </row>
    <row r="80" spans="1:103" ht="12" customHeight="1" x14ac:dyDescent="0.2">
      <c r="A80" s="5"/>
      <c r="B80" s="1308"/>
      <c r="C80" s="1309"/>
      <c r="D80" s="1309"/>
      <c r="E80" s="1309"/>
      <c r="F80" s="1309"/>
      <c r="G80" s="1309"/>
      <c r="H80" s="1309"/>
      <c r="I80" s="1309"/>
      <c r="J80" s="1309"/>
      <c r="K80" s="1309"/>
      <c r="L80" s="1309"/>
      <c r="M80" s="1309"/>
      <c r="N80" s="1309"/>
      <c r="O80" s="1309"/>
      <c r="P80" s="1309"/>
      <c r="Q80" s="1309"/>
      <c r="R80" s="1309"/>
      <c r="S80" s="1309"/>
      <c r="T80" s="1309"/>
      <c r="U80" s="1309"/>
      <c r="V80" s="1309"/>
      <c r="W80" s="1309"/>
      <c r="X80" s="1309"/>
      <c r="Y80" s="1309"/>
      <c r="Z80" s="1309"/>
      <c r="AA80" s="1309"/>
      <c r="AB80" s="1309"/>
      <c r="AC80" s="1309"/>
      <c r="AD80" s="1309"/>
      <c r="AE80" s="1309"/>
      <c r="AF80" s="1309"/>
      <c r="AG80" s="1310"/>
      <c r="AH80" s="1437"/>
      <c r="AI80" s="1288"/>
      <c r="AJ80" s="1288"/>
      <c r="AK80" s="1288"/>
      <c r="AL80" s="1288"/>
      <c r="AM80" s="1288"/>
      <c r="AN80" s="1288"/>
      <c r="AO80" s="1288"/>
      <c r="AP80" s="1288"/>
      <c r="AQ80" s="1288"/>
      <c r="AR80" s="1288"/>
      <c r="AS80" s="1288"/>
      <c r="AT80" s="1288"/>
      <c r="AU80" s="1288"/>
      <c r="AV80" s="1288"/>
      <c r="AW80" s="1288"/>
      <c r="AX80" s="1288"/>
      <c r="AY80" s="1288"/>
      <c r="AZ80" s="1288"/>
      <c r="BA80" s="1288"/>
      <c r="BB80" s="1288"/>
      <c r="BC80" s="1288"/>
      <c r="BD80" s="1288"/>
      <c r="BE80" s="1288"/>
      <c r="BF80" s="1288"/>
      <c r="BG80" s="1288"/>
      <c r="BH80" s="1288"/>
      <c r="BI80" s="1288"/>
      <c r="BJ80" s="1288"/>
      <c r="BK80" s="1288"/>
      <c r="BL80" s="1288"/>
      <c r="BM80" s="1288"/>
      <c r="BN80" s="1288"/>
      <c r="BO80" s="1438"/>
      <c r="BP80" s="1288"/>
      <c r="BQ80" s="1288"/>
      <c r="BR80" s="1288"/>
      <c r="BS80" s="1288"/>
      <c r="BT80" s="1288"/>
      <c r="BU80" s="1288"/>
      <c r="BV80" s="1288"/>
      <c r="BW80" s="1288"/>
      <c r="BX80" s="1288"/>
      <c r="BY80" s="1288"/>
      <c r="BZ80" s="1288"/>
      <c r="CA80" s="1288"/>
      <c r="CB80" s="1288"/>
      <c r="CC80" s="1288"/>
      <c r="CD80" s="1288"/>
      <c r="CE80" s="1288"/>
      <c r="CF80" s="1288"/>
      <c r="CG80" s="1288"/>
      <c r="CH80" s="1288"/>
      <c r="CI80" s="1288"/>
      <c r="CJ80" s="1288"/>
      <c r="CK80" s="1288"/>
      <c r="CL80" s="1288"/>
      <c r="CM80" s="1288"/>
      <c r="CN80" s="1288"/>
      <c r="CO80" s="1288"/>
      <c r="CP80" s="1288"/>
      <c r="CQ80" s="1288"/>
      <c r="CR80" s="1288"/>
      <c r="CS80" s="1288"/>
      <c r="CT80" s="1288"/>
      <c r="CU80" s="1288"/>
      <c r="CV80" s="5"/>
    </row>
    <row r="81" spans="1:103" ht="12" customHeight="1" x14ac:dyDescent="0.2">
      <c r="A81" s="5"/>
      <c r="B81" s="1308"/>
      <c r="C81" s="1309"/>
      <c r="D81" s="1309"/>
      <c r="E81" s="1309"/>
      <c r="F81" s="1309"/>
      <c r="G81" s="1309"/>
      <c r="H81" s="1309"/>
      <c r="I81" s="1309"/>
      <c r="J81" s="1309"/>
      <c r="K81" s="1309"/>
      <c r="L81" s="1309"/>
      <c r="M81" s="1309"/>
      <c r="N81" s="1309"/>
      <c r="O81" s="1309"/>
      <c r="P81" s="1309"/>
      <c r="Q81" s="1309"/>
      <c r="R81" s="1309"/>
      <c r="S81" s="1309"/>
      <c r="T81" s="1309"/>
      <c r="U81" s="1309"/>
      <c r="V81" s="1309"/>
      <c r="W81" s="1309"/>
      <c r="X81" s="1309"/>
      <c r="Y81" s="1309"/>
      <c r="Z81" s="1309"/>
      <c r="AA81" s="1309"/>
      <c r="AB81" s="1309"/>
      <c r="AC81" s="1309"/>
      <c r="AD81" s="1309"/>
      <c r="AE81" s="1309"/>
      <c r="AF81" s="1309"/>
      <c r="AG81" s="1310"/>
      <c r="AH81" s="1437"/>
      <c r="AI81" s="1289"/>
      <c r="AJ81" s="1289"/>
      <c r="AK81" s="1289"/>
      <c r="AL81" s="1289"/>
      <c r="AM81" s="1289"/>
      <c r="AN81" s="1289"/>
      <c r="AO81" s="1289"/>
      <c r="AP81" s="1289"/>
      <c r="AQ81" s="1289"/>
      <c r="AR81" s="1289"/>
      <c r="AS81" s="1289"/>
      <c r="AT81" s="1289"/>
      <c r="AU81" s="1289"/>
      <c r="AV81" s="1289"/>
      <c r="AW81" s="1289"/>
      <c r="AX81" s="1289"/>
      <c r="AY81" s="1289"/>
      <c r="AZ81" s="1289"/>
      <c r="BA81" s="1289"/>
      <c r="BB81" s="1289"/>
      <c r="BC81" s="1289"/>
      <c r="BD81" s="1289"/>
      <c r="BE81" s="1289"/>
      <c r="BF81" s="1289"/>
      <c r="BG81" s="1289"/>
      <c r="BH81" s="1289"/>
      <c r="BI81" s="1289"/>
      <c r="BJ81" s="1289"/>
      <c r="BK81" s="1289"/>
      <c r="BL81" s="1289"/>
      <c r="BM81" s="1289"/>
      <c r="BN81" s="1289"/>
      <c r="BO81" s="1438"/>
      <c r="BP81" s="1289"/>
      <c r="BQ81" s="1289"/>
      <c r="BR81" s="1289"/>
      <c r="BS81" s="1289"/>
      <c r="BT81" s="1289"/>
      <c r="BU81" s="1289"/>
      <c r="BV81" s="1289"/>
      <c r="BW81" s="1289"/>
      <c r="BX81" s="1289"/>
      <c r="BY81" s="1289"/>
      <c r="BZ81" s="1289"/>
      <c r="CA81" s="1289"/>
      <c r="CB81" s="1289"/>
      <c r="CC81" s="1289"/>
      <c r="CD81" s="1289"/>
      <c r="CE81" s="1289"/>
      <c r="CF81" s="1289"/>
      <c r="CG81" s="1289"/>
      <c r="CH81" s="1289"/>
      <c r="CI81" s="1289"/>
      <c r="CJ81" s="1289"/>
      <c r="CK81" s="1289"/>
      <c r="CL81" s="1289"/>
      <c r="CM81" s="1289"/>
      <c r="CN81" s="1289"/>
      <c r="CO81" s="1289"/>
      <c r="CP81" s="1289"/>
      <c r="CQ81" s="1289"/>
      <c r="CR81" s="1289"/>
      <c r="CS81" s="1289"/>
      <c r="CT81" s="1289"/>
      <c r="CU81" s="1289"/>
      <c r="CV81" s="5"/>
      <c r="CY81" s="6">
        <f>CY79+1</f>
        <v>26</v>
      </c>
    </row>
    <row r="82" spans="1:103" ht="12" customHeight="1" x14ac:dyDescent="0.2">
      <c r="A82" s="5"/>
      <c r="B82" s="1308"/>
      <c r="C82" s="1309"/>
      <c r="D82" s="1309"/>
      <c r="E82" s="1309"/>
      <c r="F82" s="1309"/>
      <c r="G82" s="1309"/>
      <c r="H82" s="1309"/>
      <c r="I82" s="1309"/>
      <c r="J82" s="1309"/>
      <c r="K82" s="1309"/>
      <c r="L82" s="1309"/>
      <c r="M82" s="1309"/>
      <c r="N82" s="1309"/>
      <c r="O82" s="1309"/>
      <c r="P82" s="1309"/>
      <c r="Q82" s="1309"/>
      <c r="R82" s="1309"/>
      <c r="S82" s="1309"/>
      <c r="T82" s="1309"/>
      <c r="U82" s="1309"/>
      <c r="V82" s="1309"/>
      <c r="W82" s="1309"/>
      <c r="X82" s="1309"/>
      <c r="Y82" s="1309"/>
      <c r="Z82" s="1309"/>
      <c r="AA82" s="1309"/>
      <c r="AB82" s="1309"/>
      <c r="AC82" s="1309"/>
      <c r="AD82" s="1309"/>
      <c r="AE82" s="1309"/>
      <c r="AF82" s="1309"/>
      <c r="AG82" s="1310"/>
      <c r="AH82" s="1437"/>
      <c r="AI82" s="1288"/>
      <c r="AJ82" s="1288"/>
      <c r="AK82" s="1288"/>
      <c r="AL82" s="1288"/>
      <c r="AM82" s="1288"/>
      <c r="AN82" s="1288"/>
      <c r="AO82" s="1288"/>
      <c r="AP82" s="1288"/>
      <c r="AQ82" s="1288"/>
      <c r="AR82" s="1288"/>
      <c r="AS82" s="1288"/>
      <c r="AT82" s="1288"/>
      <c r="AU82" s="1288"/>
      <c r="AV82" s="1288"/>
      <c r="AW82" s="1288"/>
      <c r="AX82" s="1288"/>
      <c r="AY82" s="1288"/>
      <c r="AZ82" s="1288"/>
      <c r="BA82" s="1288"/>
      <c r="BB82" s="1288"/>
      <c r="BC82" s="1288"/>
      <c r="BD82" s="1288"/>
      <c r="BE82" s="1288"/>
      <c r="BF82" s="1288"/>
      <c r="BG82" s="1288"/>
      <c r="BH82" s="1288"/>
      <c r="BI82" s="1288"/>
      <c r="BJ82" s="1288"/>
      <c r="BK82" s="1288"/>
      <c r="BL82" s="1288"/>
      <c r="BM82" s="1288"/>
      <c r="BN82" s="1288"/>
      <c r="BO82" s="1438"/>
      <c r="BP82" s="1288"/>
      <c r="BQ82" s="1288"/>
      <c r="BR82" s="1288"/>
      <c r="BS82" s="1288"/>
      <c r="BT82" s="1288"/>
      <c r="BU82" s="1288"/>
      <c r="BV82" s="1288"/>
      <c r="BW82" s="1288"/>
      <c r="BX82" s="1288"/>
      <c r="BY82" s="1288"/>
      <c r="BZ82" s="1288"/>
      <c r="CA82" s="1288"/>
      <c r="CB82" s="1288"/>
      <c r="CC82" s="1288"/>
      <c r="CD82" s="1288"/>
      <c r="CE82" s="1288"/>
      <c r="CF82" s="1288"/>
      <c r="CG82" s="1288"/>
      <c r="CH82" s="1288"/>
      <c r="CI82" s="1288"/>
      <c r="CJ82" s="1288"/>
      <c r="CK82" s="1288"/>
      <c r="CL82" s="1288"/>
      <c r="CM82" s="1288"/>
      <c r="CN82" s="1288"/>
      <c r="CO82" s="1288"/>
      <c r="CP82" s="1288"/>
      <c r="CQ82" s="1288"/>
      <c r="CR82" s="1288"/>
      <c r="CS82" s="1288"/>
      <c r="CT82" s="1288"/>
      <c r="CU82" s="1288"/>
      <c r="CV82" s="5"/>
    </row>
    <row r="83" spans="1:103" ht="12" customHeight="1" x14ac:dyDescent="0.2">
      <c r="A83" s="5"/>
      <c r="B83" s="1308"/>
      <c r="C83" s="1309"/>
      <c r="D83" s="1309"/>
      <c r="E83" s="1309"/>
      <c r="F83" s="1309"/>
      <c r="G83" s="1309"/>
      <c r="H83" s="1309"/>
      <c r="I83" s="1309"/>
      <c r="J83" s="1309"/>
      <c r="K83" s="1309"/>
      <c r="L83" s="1309"/>
      <c r="M83" s="1309"/>
      <c r="N83" s="1309"/>
      <c r="O83" s="1309"/>
      <c r="P83" s="1309"/>
      <c r="Q83" s="1309"/>
      <c r="R83" s="1309"/>
      <c r="S83" s="1309"/>
      <c r="T83" s="1309"/>
      <c r="U83" s="1309"/>
      <c r="V83" s="1309"/>
      <c r="W83" s="1309"/>
      <c r="X83" s="1309"/>
      <c r="Y83" s="1309"/>
      <c r="Z83" s="1309"/>
      <c r="AA83" s="1309"/>
      <c r="AB83" s="1309"/>
      <c r="AC83" s="1309"/>
      <c r="AD83" s="1309"/>
      <c r="AE83" s="1309"/>
      <c r="AF83" s="1309"/>
      <c r="AG83" s="1310"/>
      <c r="AH83" s="1437"/>
      <c r="AI83" s="1289"/>
      <c r="AJ83" s="1289"/>
      <c r="AK83" s="1289"/>
      <c r="AL83" s="1289"/>
      <c r="AM83" s="1289"/>
      <c r="AN83" s="1289"/>
      <c r="AO83" s="1289"/>
      <c r="AP83" s="1289"/>
      <c r="AQ83" s="1289"/>
      <c r="AR83" s="1289"/>
      <c r="AS83" s="1289"/>
      <c r="AT83" s="1289"/>
      <c r="AU83" s="1289"/>
      <c r="AV83" s="1289"/>
      <c r="AW83" s="1289"/>
      <c r="AX83" s="1289"/>
      <c r="AY83" s="1289"/>
      <c r="AZ83" s="1289"/>
      <c r="BA83" s="1289"/>
      <c r="BB83" s="1289"/>
      <c r="BC83" s="1289"/>
      <c r="BD83" s="1289"/>
      <c r="BE83" s="1289"/>
      <c r="BF83" s="1289"/>
      <c r="BG83" s="1289"/>
      <c r="BH83" s="1289"/>
      <c r="BI83" s="1289"/>
      <c r="BJ83" s="1289"/>
      <c r="BK83" s="1289"/>
      <c r="BL83" s="1289"/>
      <c r="BM83" s="1289"/>
      <c r="BN83" s="1289"/>
      <c r="BO83" s="1438"/>
      <c r="BP83" s="1289"/>
      <c r="BQ83" s="1289"/>
      <c r="BR83" s="1289"/>
      <c r="BS83" s="1289"/>
      <c r="BT83" s="1289"/>
      <c r="BU83" s="1289"/>
      <c r="BV83" s="1289"/>
      <c r="BW83" s="1289"/>
      <c r="BX83" s="1289"/>
      <c r="BY83" s="1289"/>
      <c r="BZ83" s="1289"/>
      <c r="CA83" s="1289"/>
      <c r="CB83" s="1289"/>
      <c r="CC83" s="1289"/>
      <c r="CD83" s="1289"/>
      <c r="CE83" s="1289"/>
      <c r="CF83" s="1289"/>
      <c r="CG83" s="1289"/>
      <c r="CH83" s="1289"/>
      <c r="CI83" s="1289"/>
      <c r="CJ83" s="1289"/>
      <c r="CK83" s="1289"/>
      <c r="CL83" s="1289"/>
      <c r="CM83" s="1289"/>
      <c r="CN83" s="1289"/>
      <c r="CO83" s="1289"/>
      <c r="CP83" s="1289"/>
      <c r="CQ83" s="1289"/>
      <c r="CR83" s="1289"/>
      <c r="CS83" s="1289"/>
      <c r="CT83" s="1289"/>
      <c r="CU83" s="1289"/>
      <c r="CV83" s="5"/>
      <c r="CY83" s="6">
        <f>CY81+1</f>
        <v>27</v>
      </c>
    </row>
    <row r="84" spans="1:103" ht="12" customHeight="1" x14ac:dyDescent="0.2">
      <c r="A84" s="5"/>
      <c r="B84" s="1308"/>
      <c r="C84" s="1309"/>
      <c r="D84" s="1309"/>
      <c r="E84" s="1309"/>
      <c r="F84" s="1309"/>
      <c r="G84" s="1309"/>
      <c r="H84" s="1309"/>
      <c r="I84" s="1309"/>
      <c r="J84" s="1309"/>
      <c r="K84" s="1309"/>
      <c r="L84" s="1309"/>
      <c r="M84" s="1309"/>
      <c r="N84" s="1309"/>
      <c r="O84" s="1309"/>
      <c r="P84" s="1309"/>
      <c r="Q84" s="1309"/>
      <c r="R84" s="1309"/>
      <c r="S84" s="1309"/>
      <c r="T84" s="1309"/>
      <c r="U84" s="1309"/>
      <c r="V84" s="1309"/>
      <c r="W84" s="1309"/>
      <c r="X84" s="1309"/>
      <c r="Y84" s="1309"/>
      <c r="Z84" s="1309"/>
      <c r="AA84" s="1309"/>
      <c r="AB84" s="1309"/>
      <c r="AC84" s="1309"/>
      <c r="AD84" s="1309"/>
      <c r="AE84" s="1309"/>
      <c r="AF84" s="1309"/>
      <c r="AG84" s="1310"/>
      <c r="AH84" s="1437"/>
      <c r="AI84" s="1288"/>
      <c r="AJ84" s="1288"/>
      <c r="AK84" s="1288"/>
      <c r="AL84" s="1288"/>
      <c r="AM84" s="1288"/>
      <c r="AN84" s="1288"/>
      <c r="AO84" s="1288"/>
      <c r="AP84" s="1288"/>
      <c r="AQ84" s="1288"/>
      <c r="AR84" s="1288"/>
      <c r="AS84" s="1288"/>
      <c r="AT84" s="1288"/>
      <c r="AU84" s="1288"/>
      <c r="AV84" s="1288"/>
      <c r="AW84" s="1288"/>
      <c r="AX84" s="1288"/>
      <c r="AY84" s="1288"/>
      <c r="AZ84" s="1288"/>
      <c r="BA84" s="1288"/>
      <c r="BB84" s="1288"/>
      <c r="BC84" s="1288"/>
      <c r="BD84" s="1288"/>
      <c r="BE84" s="1288"/>
      <c r="BF84" s="1288"/>
      <c r="BG84" s="1288"/>
      <c r="BH84" s="1288"/>
      <c r="BI84" s="1288"/>
      <c r="BJ84" s="1288"/>
      <c r="BK84" s="1288"/>
      <c r="BL84" s="1288"/>
      <c r="BM84" s="1288"/>
      <c r="BN84" s="1288"/>
      <c r="BO84" s="1438"/>
      <c r="BP84" s="1288"/>
      <c r="BQ84" s="1288"/>
      <c r="BR84" s="1288"/>
      <c r="BS84" s="1288"/>
      <c r="BT84" s="1288"/>
      <c r="BU84" s="1288"/>
      <c r="BV84" s="1288"/>
      <c r="BW84" s="1288"/>
      <c r="BX84" s="1288"/>
      <c r="BY84" s="1288"/>
      <c r="BZ84" s="1288"/>
      <c r="CA84" s="1288"/>
      <c r="CB84" s="1288"/>
      <c r="CC84" s="1288"/>
      <c r="CD84" s="1288"/>
      <c r="CE84" s="1288"/>
      <c r="CF84" s="1288"/>
      <c r="CG84" s="1288"/>
      <c r="CH84" s="1288"/>
      <c r="CI84" s="1288"/>
      <c r="CJ84" s="1288"/>
      <c r="CK84" s="1288"/>
      <c r="CL84" s="1288"/>
      <c r="CM84" s="1288"/>
      <c r="CN84" s="1288"/>
      <c r="CO84" s="1288"/>
      <c r="CP84" s="1288"/>
      <c r="CQ84" s="1288"/>
      <c r="CR84" s="1288"/>
      <c r="CS84" s="1288"/>
      <c r="CT84" s="1288"/>
      <c r="CU84" s="1288"/>
      <c r="CV84" s="5"/>
    </row>
    <row r="85" spans="1:103" ht="12" customHeight="1" x14ac:dyDescent="0.2">
      <c r="A85" s="5"/>
      <c r="B85" s="1308"/>
      <c r="C85" s="1309"/>
      <c r="D85" s="1309"/>
      <c r="E85" s="1309"/>
      <c r="F85" s="1309"/>
      <c r="G85" s="1309"/>
      <c r="H85" s="1309"/>
      <c r="I85" s="1309"/>
      <c r="J85" s="1309"/>
      <c r="K85" s="1309"/>
      <c r="L85" s="1309"/>
      <c r="M85" s="1309"/>
      <c r="N85" s="1309"/>
      <c r="O85" s="1309"/>
      <c r="P85" s="1309"/>
      <c r="Q85" s="1309"/>
      <c r="R85" s="1309"/>
      <c r="S85" s="1309"/>
      <c r="T85" s="1309"/>
      <c r="U85" s="1309"/>
      <c r="V85" s="1309"/>
      <c r="W85" s="1309"/>
      <c r="X85" s="1309"/>
      <c r="Y85" s="1309"/>
      <c r="Z85" s="1309"/>
      <c r="AA85" s="1309"/>
      <c r="AB85" s="1309"/>
      <c r="AC85" s="1309"/>
      <c r="AD85" s="1309"/>
      <c r="AE85" s="1309"/>
      <c r="AF85" s="1309"/>
      <c r="AG85" s="1310"/>
      <c r="AH85" s="1437"/>
      <c r="AI85" s="1289"/>
      <c r="AJ85" s="1289"/>
      <c r="AK85" s="1289"/>
      <c r="AL85" s="1289"/>
      <c r="AM85" s="1289"/>
      <c r="AN85" s="1289"/>
      <c r="AO85" s="1289"/>
      <c r="AP85" s="1289"/>
      <c r="AQ85" s="1289"/>
      <c r="AR85" s="1289"/>
      <c r="AS85" s="1289"/>
      <c r="AT85" s="1289"/>
      <c r="AU85" s="1289"/>
      <c r="AV85" s="1289"/>
      <c r="AW85" s="1289"/>
      <c r="AX85" s="1289"/>
      <c r="AY85" s="1289"/>
      <c r="AZ85" s="1289"/>
      <c r="BA85" s="1289"/>
      <c r="BB85" s="1289"/>
      <c r="BC85" s="1289"/>
      <c r="BD85" s="1289"/>
      <c r="BE85" s="1289"/>
      <c r="BF85" s="1289"/>
      <c r="BG85" s="1289"/>
      <c r="BH85" s="1289"/>
      <c r="BI85" s="1289"/>
      <c r="BJ85" s="1289"/>
      <c r="BK85" s="1289"/>
      <c r="BL85" s="1289"/>
      <c r="BM85" s="1289"/>
      <c r="BN85" s="1289"/>
      <c r="BO85" s="1438"/>
      <c r="BP85" s="1289"/>
      <c r="BQ85" s="1289"/>
      <c r="BR85" s="1289"/>
      <c r="BS85" s="1289"/>
      <c r="BT85" s="1289"/>
      <c r="BU85" s="1289"/>
      <c r="BV85" s="1289"/>
      <c r="BW85" s="1289"/>
      <c r="BX85" s="1289"/>
      <c r="BY85" s="1289"/>
      <c r="BZ85" s="1289"/>
      <c r="CA85" s="1289"/>
      <c r="CB85" s="1289"/>
      <c r="CC85" s="1289"/>
      <c r="CD85" s="1289"/>
      <c r="CE85" s="1289"/>
      <c r="CF85" s="1289"/>
      <c r="CG85" s="1289"/>
      <c r="CH85" s="1289"/>
      <c r="CI85" s="1289"/>
      <c r="CJ85" s="1289"/>
      <c r="CK85" s="1289"/>
      <c r="CL85" s="1289"/>
      <c r="CM85" s="1289"/>
      <c r="CN85" s="1289"/>
      <c r="CO85" s="1289"/>
      <c r="CP85" s="1289"/>
      <c r="CQ85" s="1289"/>
      <c r="CR85" s="1289"/>
      <c r="CS85" s="1289"/>
      <c r="CT85" s="1289"/>
      <c r="CU85" s="1289"/>
      <c r="CV85" s="5"/>
      <c r="CY85" s="6">
        <f>CY83+1</f>
        <v>28</v>
      </c>
    </row>
    <row r="86" spans="1:103" ht="12" customHeight="1" x14ac:dyDescent="0.2">
      <c r="A86" s="5"/>
      <c r="B86" s="1308"/>
      <c r="C86" s="1309"/>
      <c r="D86" s="1309"/>
      <c r="E86" s="1309"/>
      <c r="F86" s="1309"/>
      <c r="G86" s="1309"/>
      <c r="H86" s="1309"/>
      <c r="I86" s="1309"/>
      <c r="J86" s="1309"/>
      <c r="K86" s="1309"/>
      <c r="L86" s="1309"/>
      <c r="M86" s="1309"/>
      <c r="N86" s="1309"/>
      <c r="O86" s="1309"/>
      <c r="P86" s="1309"/>
      <c r="Q86" s="1309"/>
      <c r="R86" s="1309"/>
      <c r="S86" s="1309"/>
      <c r="T86" s="1309"/>
      <c r="U86" s="1309"/>
      <c r="V86" s="1309"/>
      <c r="W86" s="1309"/>
      <c r="X86" s="1309"/>
      <c r="Y86" s="1309"/>
      <c r="Z86" s="1309"/>
      <c r="AA86" s="1309"/>
      <c r="AB86" s="1309"/>
      <c r="AC86" s="1309"/>
      <c r="AD86" s="1309"/>
      <c r="AE86" s="1309"/>
      <c r="AF86" s="1309"/>
      <c r="AG86" s="1310"/>
      <c r="AH86" s="1437"/>
      <c r="AI86" s="1288"/>
      <c r="AJ86" s="1288"/>
      <c r="AK86" s="1288"/>
      <c r="AL86" s="1288"/>
      <c r="AM86" s="1288"/>
      <c r="AN86" s="1288"/>
      <c r="AO86" s="1288"/>
      <c r="AP86" s="1288"/>
      <c r="AQ86" s="1288"/>
      <c r="AR86" s="1288"/>
      <c r="AS86" s="1288"/>
      <c r="AT86" s="1288"/>
      <c r="AU86" s="1288"/>
      <c r="AV86" s="1288"/>
      <c r="AW86" s="1288"/>
      <c r="AX86" s="1288"/>
      <c r="AY86" s="1288"/>
      <c r="AZ86" s="1288"/>
      <c r="BA86" s="1288"/>
      <c r="BB86" s="1288"/>
      <c r="BC86" s="1288"/>
      <c r="BD86" s="1288"/>
      <c r="BE86" s="1288"/>
      <c r="BF86" s="1288"/>
      <c r="BG86" s="1288"/>
      <c r="BH86" s="1288"/>
      <c r="BI86" s="1288"/>
      <c r="BJ86" s="1288"/>
      <c r="BK86" s="1288"/>
      <c r="BL86" s="1288"/>
      <c r="BM86" s="1288"/>
      <c r="BN86" s="1288"/>
      <c r="BO86" s="1438"/>
      <c r="BP86" s="1288"/>
      <c r="BQ86" s="1288"/>
      <c r="BR86" s="1288"/>
      <c r="BS86" s="1288"/>
      <c r="BT86" s="1288"/>
      <c r="BU86" s="1288"/>
      <c r="BV86" s="1288"/>
      <c r="BW86" s="1288"/>
      <c r="BX86" s="1288"/>
      <c r="BY86" s="1288"/>
      <c r="BZ86" s="1288"/>
      <c r="CA86" s="1288"/>
      <c r="CB86" s="1288"/>
      <c r="CC86" s="1288"/>
      <c r="CD86" s="1288"/>
      <c r="CE86" s="1288"/>
      <c r="CF86" s="1288"/>
      <c r="CG86" s="1288"/>
      <c r="CH86" s="1288"/>
      <c r="CI86" s="1288"/>
      <c r="CJ86" s="1288"/>
      <c r="CK86" s="1288"/>
      <c r="CL86" s="1288"/>
      <c r="CM86" s="1288"/>
      <c r="CN86" s="1288"/>
      <c r="CO86" s="1288"/>
      <c r="CP86" s="1288"/>
      <c r="CQ86" s="1288"/>
      <c r="CR86" s="1288"/>
      <c r="CS86" s="1288"/>
      <c r="CT86" s="1288"/>
      <c r="CU86" s="1288"/>
      <c r="CV86" s="5"/>
    </row>
    <row r="87" spans="1:103" ht="12" customHeight="1" x14ac:dyDescent="0.2">
      <c r="A87" s="5"/>
      <c r="B87" s="1308"/>
      <c r="C87" s="1309"/>
      <c r="D87" s="1309"/>
      <c r="E87" s="1309"/>
      <c r="F87" s="1309"/>
      <c r="G87" s="1309"/>
      <c r="H87" s="1309"/>
      <c r="I87" s="1309"/>
      <c r="J87" s="1309"/>
      <c r="K87" s="1309"/>
      <c r="L87" s="1309"/>
      <c r="M87" s="1309"/>
      <c r="N87" s="1309"/>
      <c r="O87" s="1309"/>
      <c r="P87" s="1309"/>
      <c r="Q87" s="1309"/>
      <c r="R87" s="1309"/>
      <c r="S87" s="1309"/>
      <c r="T87" s="1309"/>
      <c r="U87" s="1309"/>
      <c r="V87" s="1309"/>
      <c r="W87" s="1309"/>
      <c r="X87" s="1309"/>
      <c r="Y87" s="1309"/>
      <c r="Z87" s="1309"/>
      <c r="AA87" s="1309"/>
      <c r="AB87" s="1309"/>
      <c r="AC87" s="1309"/>
      <c r="AD87" s="1309"/>
      <c r="AE87" s="1309"/>
      <c r="AF87" s="1309"/>
      <c r="AG87" s="1310"/>
      <c r="AH87" s="1437"/>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89"/>
      <c r="BF87" s="1289"/>
      <c r="BG87" s="1289"/>
      <c r="BH87" s="1289"/>
      <c r="BI87" s="1289"/>
      <c r="BJ87" s="1289"/>
      <c r="BK87" s="1289"/>
      <c r="BL87" s="1289"/>
      <c r="BM87" s="1289"/>
      <c r="BN87" s="1289"/>
      <c r="BO87" s="1438"/>
      <c r="BP87" s="1289"/>
      <c r="BQ87" s="1289"/>
      <c r="BR87" s="1289"/>
      <c r="BS87" s="1289"/>
      <c r="BT87" s="1289"/>
      <c r="BU87" s="1289"/>
      <c r="BV87" s="1289"/>
      <c r="BW87" s="1289"/>
      <c r="BX87" s="1289"/>
      <c r="BY87" s="1289"/>
      <c r="BZ87" s="1289"/>
      <c r="CA87" s="1289"/>
      <c r="CB87" s="1289"/>
      <c r="CC87" s="1289"/>
      <c r="CD87" s="1289"/>
      <c r="CE87" s="1289"/>
      <c r="CF87" s="1289"/>
      <c r="CG87" s="1289"/>
      <c r="CH87" s="1289"/>
      <c r="CI87" s="1289"/>
      <c r="CJ87" s="1289"/>
      <c r="CK87" s="1289"/>
      <c r="CL87" s="1289"/>
      <c r="CM87" s="1289"/>
      <c r="CN87" s="1289"/>
      <c r="CO87" s="1289"/>
      <c r="CP87" s="1289"/>
      <c r="CQ87" s="1289"/>
      <c r="CR87" s="1289"/>
      <c r="CS87" s="1289"/>
      <c r="CT87" s="1289"/>
      <c r="CU87" s="1289"/>
      <c r="CV87" s="5"/>
      <c r="CY87" s="6">
        <f>CY85+1</f>
        <v>29</v>
      </c>
    </row>
    <row r="88" spans="1:103" ht="12" customHeight="1" x14ac:dyDescent="0.2">
      <c r="A88" s="5"/>
      <c r="B88" s="1308"/>
      <c r="C88" s="1309"/>
      <c r="D88" s="1309"/>
      <c r="E88" s="1309"/>
      <c r="F88" s="1309"/>
      <c r="G88" s="1309"/>
      <c r="H88" s="1309"/>
      <c r="I88" s="1309"/>
      <c r="J88" s="1309"/>
      <c r="K88" s="1309"/>
      <c r="L88" s="1309"/>
      <c r="M88" s="1309"/>
      <c r="N88" s="1309"/>
      <c r="O88" s="1309"/>
      <c r="P88" s="1309"/>
      <c r="Q88" s="1309"/>
      <c r="R88" s="1309"/>
      <c r="S88" s="1309"/>
      <c r="T88" s="1309"/>
      <c r="U88" s="1309"/>
      <c r="V88" s="1309"/>
      <c r="W88" s="1309"/>
      <c r="X88" s="1309"/>
      <c r="Y88" s="1309"/>
      <c r="Z88" s="1309"/>
      <c r="AA88" s="1309"/>
      <c r="AB88" s="1309"/>
      <c r="AC88" s="1309"/>
      <c r="AD88" s="1309"/>
      <c r="AE88" s="1309"/>
      <c r="AF88" s="1309"/>
      <c r="AG88" s="1310"/>
      <c r="AH88" s="1437"/>
      <c r="AI88" s="1288"/>
      <c r="AJ88" s="1288"/>
      <c r="AK88" s="1288"/>
      <c r="AL88" s="1288"/>
      <c r="AM88" s="1288"/>
      <c r="AN88" s="1288"/>
      <c r="AO88" s="1288"/>
      <c r="AP88" s="1288"/>
      <c r="AQ88" s="1288"/>
      <c r="AR88" s="1288"/>
      <c r="AS88" s="1288"/>
      <c r="AT88" s="1288"/>
      <c r="AU88" s="1288"/>
      <c r="AV88" s="1288"/>
      <c r="AW88" s="1288"/>
      <c r="AX88" s="1288"/>
      <c r="AY88" s="1288"/>
      <c r="AZ88" s="1288"/>
      <c r="BA88" s="1288"/>
      <c r="BB88" s="1288"/>
      <c r="BC88" s="1288"/>
      <c r="BD88" s="1288"/>
      <c r="BE88" s="1288"/>
      <c r="BF88" s="1288"/>
      <c r="BG88" s="1288"/>
      <c r="BH88" s="1288"/>
      <c r="BI88" s="1288"/>
      <c r="BJ88" s="1288"/>
      <c r="BK88" s="1288"/>
      <c r="BL88" s="1288"/>
      <c r="BM88" s="1288"/>
      <c r="BN88" s="1288"/>
      <c r="BO88" s="1438"/>
      <c r="BP88" s="1288"/>
      <c r="BQ88" s="1288"/>
      <c r="BR88" s="1288"/>
      <c r="BS88" s="1288"/>
      <c r="BT88" s="1288"/>
      <c r="BU88" s="1288"/>
      <c r="BV88" s="1288"/>
      <c r="BW88" s="1288"/>
      <c r="BX88" s="1288"/>
      <c r="BY88" s="1288"/>
      <c r="BZ88" s="1288"/>
      <c r="CA88" s="1288"/>
      <c r="CB88" s="1288"/>
      <c r="CC88" s="1288"/>
      <c r="CD88" s="1288"/>
      <c r="CE88" s="1288"/>
      <c r="CF88" s="1288"/>
      <c r="CG88" s="1288"/>
      <c r="CH88" s="1288"/>
      <c r="CI88" s="1288"/>
      <c r="CJ88" s="1288"/>
      <c r="CK88" s="1288"/>
      <c r="CL88" s="1288"/>
      <c r="CM88" s="1288"/>
      <c r="CN88" s="1288"/>
      <c r="CO88" s="1288"/>
      <c r="CP88" s="1288"/>
      <c r="CQ88" s="1288"/>
      <c r="CR88" s="1288"/>
      <c r="CS88" s="1288"/>
      <c r="CT88" s="1288"/>
      <c r="CU88" s="1288"/>
      <c r="CV88" s="5"/>
    </row>
    <row r="89" spans="1:103" ht="12" customHeight="1" x14ac:dyDescent="0.2">
      <c r="A89" s="5"/>
      <c r="B89" s="1308"/>
      <c r="C89" s="1309"/>
      <c r="D89" s="1309"/>
      <c r="E89" s="1309"/>
      <c r="F89" s="1309"/>
      <c r="G89" s="1309"/>
      <c r="H89" s="1309"/>
      <c r="I89" s="1309"/>
      <c r="J89" s="1309"/>
      <c r="K89" s="1309"/>
      <c r="L89" s="1309"/>
      <c r="M89" s="1309"/>
      <c r="N89" s="1309"/>
      <c r="O89" s="1309"/>
      <c r="P89" s="1309"/>
      <c r="Q89" s="1309"/>
      <c r="R89" s="1309"/>
      <c r="S89" s="1309"/>
      <c r="T89" s="1309"/>
      <c r="U89" s="1309"/>
      <c r="V89" s="1309"/>
      <c r="W89" s="1309"/>
      <c r="X89" s="1309"/>
      <c r="Y89" s="1309"/>
      <c r="Z89" s="1309"/>
      <c r="AA89" s="1309"/>
      <c r="AB89" s="1309"/>
      <c r="AC89" s="1309"/>
      <c r="AD89" s="1309"/>
      <c r="AE89" s="1309"/>
      <c r="AF89" s="1309"/>
      <c r="AG89" s="1310"/>
      <c r="AH89" s="1437"/>
      <c r="AI89" s="1289"/>
      <c r="AJ89" s="1289"/>
      <c r="AK89" s="1289"/>
      <c r="AL89" s="1289"/>
      <c r="AM89" s="1289"/>
      <c r="AN89" s="1289"/>
      <c r="AO89" s="1289"/>
      <c r="AP89" s="1289"/>
      <c r="AQ89" s="1289"/>
      <c r="AR89" s="1289"/>
      <c r="AS89" s="1289"/>
      <c r="AT89" s="1289"/>
      <c r="AU89" s="1289"/>
      <c r="AV89" s="1289"/>
      <c r="AW89" s="1289"/>
      <c r="AX89" s="1289"/>
      <c r="AY89" s="1289"/>
      <c r="AZ89" s="1289"/>
      <c r="BA89" s="1289"/>
      <c r="BB89" s="1289"/>
      <c r="BC89" s="1289"/>
      <c r="BD89" s="1289"/>
      <c r="BE89" s="1289"/>
      <c r="BF89" s="1289"/>
      <c r="BG89" s="1289"/>
      <c r="BH89" s="1289"/>
      <c r="BI89" s="1289"/>
      <c r="BJ89" s="1289"/>
      <c r="BK89" s="1289"/>
      <c r="BL89" s="1289"/>
      <c r="BM89" s="1289"/>
      <c r="BN89" s="1289"/>
      <c r="BO89" s="1438"/>
      <c r="BP89" s="1289"/>
      <c r="BQ89" s="1289"/>
      <c r="BR89" s="1289"/>
      <c r="BS89" s="1289"/>
      <c r="BT89" s="1289"/>
      <c r="BU89" s="1289"/>
      <c r="BV89" s="1289"/>
      <c r="BW89" s="1289"/>
      <c r="BX89" s="1289"/>
      <c r="BY89" s="1289"/>
      <c r="BZ89" s="1289"/>
      <c r="CA89" s="1289"/>
      <c r="CB89" s="1289"/>
      <c r="CC89" s="1289"/>
      <c r="CD89" s="1289"/>
      <c r="CE89" s="1289"/>
      <c r="CF89" s="1289"/>
      <c r="CG89" s="1289"/>
      <c r="CH89" s="1289"/>
      <c r="CI89" s="1289"/>
      <c r="CJ89" s="1289"/>
      <c r="CK89" s="1289"/>
      <c r="CL89" s="1289"/>
      <c r="CM89" s="1289"/>
      <c r="CN89" s="1289"/>
      <c r="CO89" s="1289"/>
      <c r="CP89" s="1289"/>
      <c r="CQ89" s="1289"/>
      <c r="CR89" s="1289"/>
      <c r="CS89" s="1289"/>
      <c r="CT89" s="1289"/>
      <c r="CU89" s="1289"/>
      <c r="CV89" s="5"/>
      <c r="CY89" s="6">
        <f>CY87+1</f>
        <v>30</v>
      </c>
    </row>
    <row r="90" spans="1:103" ht="12" customHeight="1" x14ac:dyDescent="0.2">
      <c r="A90" s="5"/>
      <c r="B90" s="1308"/>
      <c r="C90" s="1309"/>
      <c r="D90" s="1309"/>
      <c r="E90" s="1309"/>
      <c r="F90" s="1309"/>
      <c r="G90" s="1309"/>
      <c r="H90" s="1309"/>
      <c r="I90" s="1309"/>
      <c r="J90" s="1309"/>
      <c r="K90" s="1309"/>
      <c r="L90" s="1309"/>
      <c r="M90" s="1309"/>
      <c r="N90" s="1309"/>
      <c r="O90" s="1309"/>
      <c r="P90" s="1309"/>
      <c r="Q90" s="1309"/>
      <c r="R90" s="1309"/>
      <c r="S90" s="1309"/>
      <c r="T90" s="1309"/>
      <c r="U90" s="1309"/>
      <c r="V90" s="1309"/>
      <c r="W90" s="1309"/>
      <c r="X90" s="1309"/>
      <c r="Y90" s="1309"/>
      <c r="Z90" s="1309"/>
      <c r="AA90" s="1309"/>
      <c r="AB90" s="1309"/>
      <c r="AC90" s="1309"/>
      <c r="AD90" s="1309"/>
      <c r="AE90" s="1309"/>
      <c r="AF90" s="1309"/>
      <c r="AG90" s="1310"/>
      <c r="AH90" s="1437"/>
      <c r="AI90" s="1288"/>
      <c r="AJ90" s="1288"/>
      <c r="AK90" s="1288"/>
      <c r="AL90" s="1288"/>
      <c r="AM90" s="1288"/>
      <c r="AN90" s="1288"/>
      <c r="AO90" s="1288"/>
      <c r="AP90" s="1288"/>
      <c r="AQ90" s="1288"/>
      <c r="AR90" s="1288"/>
      <c r="AS90" s="1288"/>
      <c r="AT90" s="1288"/>
      <c r="AU90" s="1288"/>
      <c r="AV90" s="1288"/>
      <c r="AW90" s="1288"/>
      <c r="AX90" s="1288"/>
      <c r="AY90" s="1288"/>
      <c r="AZ90" s="1288"/>
      <c r="BA90" s="1288"/>
      <c r="BB90" s="1288"/>
      <c r="BC90" s="1288"/>
      <c r="BD90" s="1288"/>
      <c r="BE90" s="1288"/>
      <c r="BF90" s="1288"/>
      <c r="BG90" s="1288"/>
      <c r="BH90" s="1288"/>
      <c r="BI90" s="1288"/>
      <c r="BJ90" s="1288"/>
      <c r="BK90" s="1288"/>
      <c r="BL90" s="1288"/>
      <c r="BM90" s="1288"/>
      <c r="BN90" s="1288"/>
      <c r="BO90" s="1438"/>
      <c r="BP90" s="1288"/>
      <c r="BQ90" s="1288"/>
      <c r="BR90" s="1288"/>
      <c r="BS90" s="1288"/>
      <c r="BT90" s="1288"/>
      <c r="BU90" s="1288"/>
      <c r="BV90" s="1288"/>
      <c r="BW90" s="1288"/>
      <c r="BX90" s="1288"/>
      <c r="BY90" s="1288"/>
      <c r="BZ90" s="1288"/>
      <c r="CA90" s="1288"/>
      <c r="CB90" s="1288"/>
      <c r="CC90" s="1288"/>
      <c r="CD90" s="1288"/>
      <c r="CE90" s="1288"/>
      <c r="CF90" s="1288"/>
      <c r="CG90" s="1288"/>
      <c r="CH90" s="1288"/>
      <c r="CI90" s="1288"/>
      <c r="CJ90" s="1288"/>
      <c r="CK90" s="1288"/>
      <c r="CL90" s="1288"/>
      <c r="CM90" s="1288"/>
      <c r="CN90" s="1288"/>
      <c r="CO90" s="1288"/>
      <c r="CP90" s="1288"/>
      <c r="CQ90" s="1288"/>
      <c r="CR90" s="1288"/>
      <c r="CS90" s="1288"/>
      <c r="CT90" s="1288"/>
      <c r="CU90" s="1288"/>
      <c r="CV90" s="5"/>
    </row>
    <row r="91" spans="1:103" ht="12" customHeight="1" x14ac:dyDescent="0.2">
      <c r="A91" s="5"/>
      <c r="B91" s="1308"/>
      <c r="C91" s="1309"/>
      <c r="D91" s="1309"/>
      <c r="E91" s="1309"/>
      <c r="F91" s="1309"/>
      <c r="G91" s="1309"/>
      <c r="H91" s="1309"/>
      <c r="I91" s="1309"/>
      <c r="J91" s="1309"/>
      <c r="K91" s="1309"/>
      <c r="L91" s="1309"/>
      <c r="M91" s="1309"/>
      <c r="N91" s="1309"/>
      <c r="O91" s="1309"/>
      <c r="P91" s="1309"/>
      <c r="Q91" s="1309"/>
      <c r="R91" s="1309"/>
      <c r="S91" s="1309"/>
      <c r="T91" s="1309"/>
      <c r="U91" s="1309"/>
      <c r="V91" s="1309"/>
      <c r="W91" s="1309"/>
      <c r="X91" s="1309"/>
      <c r="Y91" s="1309"/>
      <c r="Z91" s="1309"/>
      <c r="AA91" s="1309"/>
      <c r="AB91" s="1309"/>
      <c r="AC91" s="1309"/>
      <c r="AD91" s="1309"/>
      <c r="AE91" s="1309"/>
      <c r="AF91" s="1309"/>
      <c r="AG91" s="1310"/>
      <c r="AH91" s="1437"/>
      <c r="AI91" s="1289"/>
      <c r="AJ91" s="1289"/>
      <c r="AK91" s="1289"/>
      <c r="AL91" s="1289"/>
      <c r="AM91" s="1289"/>
      <c r="AN91" s="1289"/>
      <c r="AO91" s="1289"/>
      <c r="AP91" s="1289"/>
      <c r="AQ91" s="1289"/>
      <c r="AR91" s="1289"/>
      <c r="AS91" s="1289"/>
      <c r="AT91" s="1289"/>
      <c r="AU91" s="1289"/>
      <c r="AV91" s="1289"/>
      <c r="AW91" s="1289"/>
      <c r="AX91" s="1289"/>
      <c r="AY91" s="1289"/>
      <c r="AZ91" s="1289"/>
      <c r="BA91" s="1289"/>
      <c r="BB91" s="1289"/>
      <c r="BC91" s="1289"/>
      <c r="BD91" s="1289"/>
      <c r="BE91" s="1289"/>
      <c r="BF91" s="1289"/>
      <c r="BG91" s="1289"/>
      <c r="BH91" s="1289"/>
      <c r="BI91" s="1289"/>
      <c r="BJ91" s="1289"/>
      <c r="BK91" s="1289"/>
      <c r="BL91" s="1289"/>
      <c r="BM91" s="1289"/>
      <c r="BN91" s="1289"/>
      <c r="BO91" s="1438"/>
      <c r="BP91" s="1289"/>
      <c r="BQ91" s="1289"/>
      <c r="BR91" s="1289"/>
      <c r="BS91" s="1289"/>
      <c r="BT91" s="1289"/>
      <c r="BU91" s="1289"/>
      <c r="BV91" s="1289"/>
      <c r="BW91" s="1289"/>
      <c r="BX91" s="1289"/>
      <c r="BY91" s="1289"/>
      <c r="BZ91" s="1289"/>
      <c r="CA91" s="1289"/>
      <c r="CB91" s="1289"/>
      <c r="CC91" s="1289"/>
      <c r="CD91" s="1289"/>
      <c r="CE91" s="1289"/>
      <c r="CF91" s="1289"/>
      <c r="CG91" s="1289"/>
      <c r="CH91" s="1289"/>
      <c r="CI91" s="1289"/>
      <c r="CJ91" s="1289"/>
      <c r="CK91" s="1289"/>
      <c r="CL91" s="1289"/>
      <c r="CM91" s="1289"/>
      <c r="CN91" s="1289"/>
      <c r="CO91" s="1289"/>
      <c r="CP91" s="1289"/>
      <c r="CQ91" s="1289"/>
      <c r="CR91" s="1289"/>
      <c r="CS91" s="1289"/>
      <c r="CT91" s="1289"/>
      <c r="CU91" s="1289"/>
      <c r="CV91" s="5"/>
      <c r="CY91" s="6">
        <f>CY89+1</f>
        <v>31</v>
      </c>
    </row>
    <row r="92" spans="1:103" ht="12" customHeight="1" x14ac:dyDescent="0.2">
      <c r="A92" s="5"/>
      <c r="B92" s="1308"/>
      <c r="C92" s="1309"/>
      <c r="D92" s="1309"/>
      <c r="E92" s="1309"/>
      <c r="F92" s="1309"/>
      <c r="G92" s="1309"/>
      <c r="H92" s="1309"/>
      <c r="I92" s="1309"/>
      <c r="J92" s="1309"/>
      <c r="K92" s="1309"/>
      <c r="L92" s="1309"/>
      <c r="M92" s="1309"/>
      <c r="N92" s="1309"/>
      <c r="O92" s="1309"/>
      <c r="P92" s="1309"/>
      <c r="Q92" s="1309"/>
      <c r="R92" s="1309"/>
      <c r="S92" s="1309"/>
      <c r="T92" s="1309"/>
      <c r="U92" s="1309"/>
      <c r="V92" s="1309"/>
      <c r="W92" s="1309"/>
      <c r="X92" s="1309"/>
      <c r="Y92" s="1309"/>
      <c r="Z92" s="1309"/>
      <c r="AA92" s="1309"/>
      <c r="AB92" s="1309"/>
      <c r="AC92" s="1309"/>
      <c r="AD92" s="1309"/>
      <c r="AE92" s="1309"/>
      <c r="AF92" s="1309"/>
      <c r="AG92" s="1310"/>
      <c r="AH92" s="1437"/>
      <c r="AI92" s="1288"/>
      <c r="AJ92" s="1288"/>
      <c r="AK92" s="1288"/>
      <c r="AL92" s="1288"/>
      <c r="AM92" s="1288"/>
      <c r="AN92" s="1288"/>
      <c r="AO92" s="1288"/>
      <c r="AP92" s="1288"/>
      <c r="AQ92" s="1288"/>
      <c r="AR92" s="1288"/>
      <c r="AS92" s="1288"/>
      <c r="AT92" s="1288"/>
      <c r="AU92" s="1288"/>
      <c r="AV92" s="1288"/>
      <c r="AW92" s="1288"/>
      <c r="AX92" s="1288"/>
      <c r="AY92" s="1288"/>
      <c r="AZ92" s="1288"/>
      <c r="BA92" s="1288"/>
      <c r="BB92" s="1288"/>
      <c r="BC92" s="1288"/>
      <c r="BD92" s="1288"/>
      <c r="BE92" s="1288"/>
      <c r="BF92" s="1288"/>
      <c r="BG92" s="1288"/>
      <c r="BH92" s="1288"/>
      <c r="BI92" s="1288"/>
      <c r="BJ92" s="1288"/>
      <c r="BK92" s="1288"/>
      <c r="BL92" s="1288"/>
      <c r="BM92" s="1288"/>
      <c r="BN92" s="1288"/>
      <c r="BO92" s="1438"/>
      <c r="BP92" s="1288"/>
      <c r="BQ92" s="1288"/>
      <c r="BR92" s="1288"/>
      <c r="BS92" s="1288"/>
      <c r="BT92" s="1288"/>
      <c r="BU92" s="1288"/>
      <c r="BV92" s="1288"/>
      <c r="BW92" s="1288"/>
      <c r="BX92" s="1288"/>
      <c r="BY92" s="1288"/>
      <c r="BZ92" s="1288"/>
      <c r="CA92" s="1288"/>
      <c r="CB92" s="1288"/>
      <c r="CC92" s="1288"/>
      <c r="CD92" s="1288"/>
      <c r="CE92" s="1288"/>
      <c r="CF92" s="1288"/>
      <c r="CG92" s="1288"/>
      <c r="CH92" s="1288"/>
      <c r="CI92" s="1288"/>
      <c r="CJ92" s="1288"/>
      <c r="CK92" s="1288"/>
      <c r="CL92" s="1288"/>
      <c r="CM92" s="1288"/>
      <c r="CN92" s="1288"/>
      <c r="CO92" s="1288"/>
      <c r="CP92" s="1288"/>
      <c r="CQ92" s="1288"/>
      <c r="CR92" s="1288"/>
      <c r="CS92" s="1288"/>
      <c r="CT92" s="1288"/>
      <c r="CU92" s="1288"/>
      <c r="CV92" s="5"/>
    </row>
    <row r="93" spans="1:103" ht="12" customHeight="1" x14ac:dyDescent="0.2">
      <c r="A93" s="5"/>
      <c r="B93" s="1308"/>
      <c r="C93" s="1309"/>
      <c r="D93" s="1309"/>
      <c r="E93" s="1309"/>
      <c r="F93" s="1309"/>
      <c r="G93" s="1309"/>
      <c r="H93" s="1309"/>
      <c r="I93" s="1309"/>
      <c r="J93" s="1309"/>
      <c r="K93" s="1309"/>
      <c r="L93" s="1309"/>
      <c r="M93" s="1309"/>
      <c r="N93" s="1309"/>
      <c r="O93" s="1309"/>
      <c r="P93" s="1309"/>
      <c r="Q93" s="1309"/>
      <c r="R93" s="1309"/>
      <c r="S93" s="1309"/>
      <c r="T93" s="1309"/>
      <c r="U93" s="1309"/>
      <c r="V93" s="1309"/>
      <c r="W93" s="1309"/>
      <c r="X93" s="1309"/>
      <c r="Y93" s="1309"/>
      <c r="Z93" s="1309"/>
      <c r="AA93" s="1309"/>
      <c r="AB93" s="1309"/>
      <c r="AC93" s="1309"/>
      <c r="AD93" s="1309"/>
      <c r="AE93" s="1309"/>
      <c r="AF93" s="1309"/>
      <c r="AG93" s="1310"/>
      <c r="AH93" s="1437"/>
      <c r="AI93" s="1289"/>
      <c r="AJ93" s="1289"/>
      <c r="AK93" s="1289"/>
      <c r="AL93" s="1289"/>
      <c r="AM93" s="1289"/>
      <c r="AN93" s="1289"/>
      <c r="AO93" s="1289"/>
      <c r="AP93" s="1289"/>
      <c r="AQ93" s="1289"/>
      <c r="AR93" s="1289"/>
      <c r="AS93" s="1289"/>
      <c r="AT93" s="1289"/>
      <c r="AU93" s="1289"/>
      <c r="AV93" s="1289"/>
      <c r="AW93" s="1289"/>
      <c r="AX93" s="1289"/>
      <c r="AY93" s="1289"/>
      <c r="AZ93" s="1289"/>
      <c r="BA93" s="1289"/>
      <c r="BB93" s="1289"/>
      <c r="BC93" s="1289"/>
      <c r="BD93" s="1289"/>
      <c r="BE93" s="1289"/>
      <c r="BF93" s="1289"/>
      <c r="BG93" s="1289"/>
      <c r="BH93" s="1289"/>
      <c r="BI93" s="1289"/>
      <c r="BJ93" s="1289"/>
      <c r="BK93" s="1289"/>
      <c r="BL93" s="1289"/>
      <c r="BM93" s="1289"/>
      <c r="BN93" s="1289"/>
      <c r="BO93" s="1438"/>
      <c r="BP93" s="1289"/>
      <c r="BQ93" s="1289"/>
      <c r="BR93" s="1289"/>
      <c r="BS93" s="1289"/>
      <c r="BT93" s="1289"/>
      <c r="BU93" s="1289"/>
      <c r="BV93" s="1289"/>
      <c r="BW93" s="1289"/>
      <c r="BX93" s="1289"/>
      <c r="BY93" s="1289"/>
      <c r="BZ93" s="1289"/>
      <c r="CA93" s="1289"/>
      <c r="CB93" s="1289"/>
      <c r="CC93" s="1289"/>
      <c r="CD93" s="1289"/>
      <c r="CE93" s="1289"/>
      <c r="CF93" s="1289"/>
      <c r="CG93" s="1289"/>
      <c r="CH93" s="1289"/>
      <c r="CI93" s="1289"/>
      <c r="CJ93" s="1289"/>
      <c r="CK93" s="1289"/>
      <c r="CL93" s="1289"/>
      <c r="CM93" s="1289"/>
      <c r="CN93" s="1289"/>
      <c r="CO93" s="1289"/>
      <c r="CP93" s="1289"/>
      <c r="CQ93" s="1289"/>
      <c r="CR93" s="1289"/>
      <c r="CS93" s="1289"/>
      <c r="CT93" s="1289"/>
      <c r="CU93" s="1289"/>
      <c r="CV93" s="5"/>
      <c r="CY93" s="6">
        <f>CY91+1</f>
        <v>32</v>
      </c>
    </row>
    <row r="94" spans="1:103" ht="12" customHeight="1" x14ac:dyDescent="0.2">
      <c r="A94" s="5"/>
      <c r="B94" s="1308"/>
      <c r="C94" s="1309"/>
      <c r="D94" s="1309"/>
      <c r="E94" s="1309"/>
      <c r="F94" s="1309"/>
      <c r="G94" s="1309"/>
      <c r="H94" s="1309"/>
      <c r="I94" s="1309"/>
      <c r="J94" s="1309"/>
      <c r="K94" s="1309"/>
      <c r="L94" s="1309"/>
      <c r="M94" s="1309"/>
      <c r="N94" s="1309"/>
      <c r="O94" s="1309"/>
      <c r="P94" s="1309"/>
      <c r="Q94" s="1309"/>
      <c r="R94" s="1309"/>
      <c r="S94" s="1309"/>
      <c r="T94" s="1309"/>
      <c r="U94" s="1309"/>
      <c r="V94" s="1309"/>
      <c r="W94" s="1309"/>
      <c r="X94" s="1309"/>
      <c r="Y94" s="1309"/>
      <c r="Z94" s="1309"/>
      <c r="AA94" s="1309"/>
      <c r="AB94" s="1309"/>
      <c r="AC94" s="1309"/>
      <c r="AD94" s="1309"/>
      <c r="AE94" s="1309"/>
      <c r="AF94" s="1309"/>
      <c r="AG94" s="1310"/>
      <c r="AH94" s="1437"/>
      <c r="AI94" s="1288"/>
      <c r="AJ94" s="1288"/>
      <c r="AK94" s="1288"/>
      <c r="AL94" s="1288"/>
      <c r="AM94" s="1288"/>
      <c r="AN94" s="1288"/>
      <c r="AO94" s="1288"/>
      <c r="AP94" s="1288"/>
      <c r="AQ94" s="1288"/>
      <c r="AR94" s="1288"/>
      <c r="AS94" s="1288"/>
      <c r="AT94" s="1288"/>
      <c r="AU94" s="1288"/>
      <c r="AV94" s="1288"/>
      <c r="AW94" s="1288"/>
      <c r="AX94" s="1288"/>
      <c r="AY94" s="1288"/>
      <c r="AZ94" s="1288"/>
      <c r="BA94" s="1288"/>
      <c r="BB94" s="1288"/>
      <c r="BC94" s="1288"/>
      <c r="BD94" s="1288"/>
      <c r="BE94" s="1288"/>
      <c r="BF94" s="1288"/>
      <c r="BG94" s="1288"/>
      <c r="BH94" s="1288"/>
      <c r="BI94" s="1288"/>
      <c r="BJ94" s="1288"/>
      <c r="BK94" s="1288"/>
      <c r="BL94" s="1288"/>
      <c r="BM94" s="1288"/>
      <c r="BN94" s="1288"/>
      <c r="BO94" s="1438"/>
      <c r="BP94" s="1288"/>
      <c r="BQ94" s="1288"/>
      <c r="BR94" s="1288"/>
      <c r="BS94" s="1288"/>
      <c r="BT94" s="1288"/>
      <c r="BU94" s="1288"/>
      <c r="BV94" s="1288"/>
      <c r="BW94" s="1288"/>
      <c r="BX94" s="1288"/>
      <c r="BY94" s="1288"/>
      <c r="BZ94" s="1288"/>
      <c r="CA94" s="1288"/>
      <c r="CB94" s="1288"/>
      <c r="CC94" s="1288"/>
      <c r="CD94" s="1288"/>
      <c r="CE94" s="1288"/>
      <c r="CF94" s="1288"/>
      <c r="CG94" s="1288"/>
      <c r="CH94" s="1288"/>
      <c r="CI94" s="1288"/>
      <c r="CJ94" s="1288"/>
      <c r="CK94" s="1288"/>
      <c r="CL94" s="1288"/>
      <c r="CM94" s="1288"/>
      <c r="CN94" s="1288"/>
      <c r="CO94" s="1288"/>
      <c r="CP94" s="1288"/>
      <c r="CQ94" s="1288"/>
      <c r="CR94" s="1288"/>
      <c r="CS94" s="1288"/>
      <c r="CT94" s="1288"/>
      <c r="CU94" s="1288"/>
      <c r="CV94" s="5"/>
    </row>
    <row r="95" spans="1:103" ht="12" customHeight="1" x14ac:dyDescent="0.2">
      <c r="A95" s="5"/>
      <c r="B95" s="1308"/>
      <c r="C95" s="1309"/>
      <c r="D95" s="1309"/>
      <c r="E95" s="1309"/>
      <c r="F95" s="1309"/>
      <c r="G95" s="1309"/>
      <c r="H95" s="1309"/>
      <c r="I95" s="1309"/>
      <c r="J95" s="1309"/>
      <c r="K95" s="1309"/>
      <c r="L95" s="1309"/>
      <c r="M95" s="1309"/>
      <c r="N95" s="1309"/>
      <c r="O95" s="1309"/>
      <c r="P95" s="1309"/>
      <c r="Q95" s="1309"/>
      <c r="R95" s="1309"/>
      <c r="S95" s="1309"/>
      <c r="T95" s="1309"/>
      <c r="U95" s="1309"/>
      <c r="V95" s="1309"/>
      <c r="W95" s="1309"/>
      <c r="X95" s="1309"/>
      <c r="Y95" s="1309"/>
      <c r="Z95" s="1309"/>
      <c r="AA95" s="1309"/>
      <c r="AB95" s="1309"/>
      <c r="AC95" s="1309"/>
      <c r="AD95" s="1309"/>
      <c r="AE95" s="1309"/>
      <c r="AF95" s="1309"/>
      <c r="AG95" s="1310"/>
      <c r="AH95" s="1437"/>
      <c r="AI95" s="1289"/>
      <c r="AJ95" s="1289"/>
      <c r="AK95" s="1289"/>
      <c r="AL95" s="1289"/>
      <c r="AM95" s="1289"/>
      <c r="AN95" s="1289"/>
      <c r="AO95" s="1289"/>
      <c r="AP95" s="1289"/>
      <c r="AQ95" s="1289"/>
      <c r="AR95" s="1289"/>
      <c r="AS95" s="1289"/>
      <c r="AT95" s="1289"/>
      <c r="AU95" s="1289"/>
      <c r="AV95" s="1289"/>
      <c r="AW95" s="1289"/>
      <c r="AX95" s="1289"/>
      <c r="AY95" s="1289"/>
      <c r="AZ95" s="1289"/>
      <c r="BA95" s="1289"/>
      <c r="BB95" s="1289"/>
      <c r="BC95" s="1289"/>
      <c r="BD95" s="1289"/>
      <c r="BE95" s="1289"/>
      <c r="BF95" s="1289"/>
      <c r="BG95" s="1289"/>
      <c r="BH95" s="1289"/>
      <c r="BI95" s="1289"/>
      <c r="BJ95" s="1289"/>
      <c r="BK95" s="1289"/>
      <c r="BL95" s="1289"/>
      <c r="BM95" s="1289"/>
      <c r="BN95" s="1289"/>
      <c r="BO95" s="1438"/>
      <c r="BP95" s="1289"/>
      <c r="BQ95" s="1289"/>
      <c r="BR95" s="1289"/>
      <c r="BS95" s="1289"/>
      <c r="BT95" s="1289"/>
      <c r="BU95" s="1289"/>
      <c r="BV95" s="1289"/>
      <c r="BW95" s="1289"/>
      <c r="BX95" s="1289"/>
      <c r="BY95" s="1289"/>
      <c r="BZ95" s="1289"/>
      <c r="CA95" s="1289"/>
      <c r="CB95" s="1289"/>
      <c r="CC95" s="1289"/>
      <c r="CD95" s="1289"/>
      <c r="CE95" s="1289"/>
      <c r="CF95" s="1289"/>
      <c r="CG95" s="1289"/>
      <c r="CH95" s="1289"/>
      <c r="CI95" s="1289"/>
      <c r="CJ95" s="1289"/>
      <c r="CK95" s="1289"/>
      <c r="CL95" s="1289"/>
      <c r="CM95" s="1289"/>
      <c r="CN95" s="1289"/>
      <c r="CO95" s="1289"/>
      <c r="CP95" s="1289"/>
      <c r="CQ95" s="1289"/>
      <c r="CR95" s="1289"/>
      <c r="CS95" s="1289"/>
      <c r="CT95" s="1289"/>
      <c r="CU95" s="1289"/>
      <c r="CV95" s="5"/>
      <c r="CY95" s="6">
        <f>CY93+1</f>
        <v>33</v>
      </c>
    </row>
    <row r="96" spans="1:103" ht="12" customHeight="1" x14ac:dyDescent="0.2">
      <c r="A96" s="5"/>
      <c r="B96" s="1308"/>
      <c r="C96" s="1309"/>
      <c r="D96" s="1309"/>
      <c r="E96" s="1309"/>
      <c r="F96" s="1309"/>
      <c r="G96" s="1309"/>
      <c r="H96" s="1309"/>
      <c r="I96" s="1309"/>
      <c r="J96" s="1309"/>
      <c r="K96" s="1309"/>
      <c r="L96" s="1309"/>
      <c r="M96" s="1309"/>
      <c r="N96" s="1309"/>
      <c r="O96" s="1309"/>
      <c r="P96" s="1309"/>
      <c r="Q96" s="1309"/>
      <c r="R96" s="1309"/>
      <c r="S96" s="1309"/>
      <c r="T96" s="1309"/>
      <c r="U96" s="1309"/>
      <c r="V96" s="1309"/>
      <c r="W96" s="1309"/>
      <c r="X96" s="1309"/>
      <c r="Y96" s="1309"/>
      <c r="Z96" s="1309"/>
      <c r="AA96" s="1309"/>
      <c r="AB96" s="1309"/>
      <c r="AC96" s="1309"/>
      <c r="AD96" s="1309"/>
      <c r="AE96" s="1309"/>
      <c r="AF96" s="1309"/>
      <c r="AG96" s="1310"/>
      <c r="AH96" s="1437"/>
      <c r="AI96" s="1288"/>
      <c r="AJ96" s="1288"/>
      <c r="AK96" s="1288"/>
      <c r="AL96" s="1288"/>
      <c r="AM96" s="1288"/>
      <c r="AN96" s="1288"/>
      <c r="AO96" s="1288"/>
      <c r="AP96" s="1288"/>
      <c r="AQ96" s="1288"/>
      <c r="AR96" s="1288"/>
      <c r="AS96" s="1288"/>
      <c r="AT96" s="1288"/>
      <c r="AU96" s="1288"/>
      <c r="AV96" s="1288"/>
      <c r="AW96" s="1288"/>
      <c r="AX96" s="1288"/>
      <c r="AY96" s="1288"/>
      <c r="AZ96" s="1288"/>
      <c r="BA96" s="1288"/>
      <c r="BB96" s="1288"/>
      <c r="BC96" s="1288"/>
      <c r="BD96" s="1288"/>
      <c r="BE96" s="1288"/>
      <c r="BF96" s="1288"/>
      <c r="BG96" s="1288"/>
      <c r="BH96" s="1288"/>
      <c r="BI96" s="1288"/>
      <c r="BJ96" s="1288"/>
      <c r="BK96" s="1288"/>
      <c r="BL96" s="1288"/>
      <c r="BM96" s="1288"/>
      <c r="BN96" s="1288"/>
      <c r="BO96" s="1438"/>
      <c r="BP96" s="1288"/>
      <c r="BQ96" s="1288"/>
      <c r="BR96" s="1288"/>
      <c r="BS96" s="1288"/>
      <c r="BT96" s="1288"/>
      <c r="BU96" s="1288"/>
      <c r="BV96" s="1288"/>
      <c r="BW96" s="1288"/>
      <c r="BX96" s="1288"/>
      <c r="BY96" s="1288"/>
      <c r="BZ96" s="1288"/>
      <c r="CA96" s="1288"/>
      <c r="CB96" s="1288"/>
      <c r="CC96" s="1288"/>
      <c r="CD96" s="1288"/>
      <c r="CE96" s="1288"/>
      <c r="CF96" s="1288"/>
      <c r="CG96" s="1288"/>
      <c r="CH96" s="1288"/>
      <c r="CI96" s="1288"/>
      <c r="CJ96" s="1288"/>
      <c r="CK96" s="1288"/>
      <c r="CL96" s="1288"/>
      <c r="CM96" s="1288"/>
      <c r="CN96" s="1288"/>
      <c r="CO96" s="1288"/>
      <c r="CP96" s="1288"/>
      <c r="CQ96" s="1288"/>
      <c r="CR96" s="1288"/>
      <c r="CS96" s="1288"/>
      <c r="CT96" s="1288"/>
      <c r="CU96" s="1288"/>
      <c r="CV96" s="5"/>
    </row>
    <row r="97" spans="1:103" ht="12" customHeight="1" x14ac:dyDescent="0.2">
      <c r="A97" s="5"/>
      <c r="B97" s="1308"/>
      <c r="C97" s="1309"/>
      <c r="D97" s="1309"/>
      <c r="E97" s="1309"/>
      <c r="F97" s="1309"/>
      <c r="G97" s="1309"/>
      <c r="H97" s="1309"/>
      <c r="I97" s="1309"/>
      <c r="J97" s="1309"/>
      <c r="K97" s="1309"/>
      <c r="L97" s="1309"/>
      <c r="M97" s="1309"/>
      <c r="N97" s="1309"/>
      <c r="O97" s="1309"/>
      <c r="P97" s="1309"/>
      <c r="Q97" s="1309"/>
      <c r="R97" s="1309"/>
      <c r="S97" s="1309"/>
      <c r="T97" s="1309"/>
      <c r="U97" s="1309"/>
      <c r="V97" s="1309"/>
      <c r="W97" s="1309"/>
      <c r="X97" s="1309"/>
      <c r="Y97" s="1309"/>
      <c r="Z97" s="1309"/>
      <c r="AA97" s="1309"/>
      <c r="AB97" s="1309"/>
      <c r="AC97" s="1309"/>
      <c r="AD97" s="1309"/>
      <c r="AE97" s="1309"/>
      <c r="AF97" s="1309"/>
      <c r="AG97" s="1310"/>
      <c r="AH97" s="1437"/>
      <c r="AI97" s="1289"/>
      <c r="AJ97" s="1289"/>
      <c r="AK97" s="1289"/>
      <c r="AL97" s="1289"/>
      <c r="AM97" s="1289"/>
      <c r="AN97" s="1289"/>
      <c r="AO97" s="1289"/>
      <c r="AP97" s="1289"/>
      <c r="AQ97" s="1289"/>
      <c r="AR97" s="1289"/>
      <c r="AS97" s="1289"/>
      <c r="AT97" s="1289"/>
      <c r="AU97" s="1289"/>
      <c r="AV97" s="1289"/>
      <c r="AW97" s="1289"/>
      <c r="AX97" s="1289"/>
      <c r="AY97" s="1289"/>
      <c r="AZ97" s="1289"/>
      <c r="BA97" s="1289"/>
      <c r="BB97" s="1289"/>
      <c r="BC97" s="1289"/>
      <c r="BD97" s="1289"/>
      <c r="BE97" s="1289"/>
      <c r="BF97" s="1289"/>
      <c r="BG97" s="1289"/>
      <c r="BH97" s="1289"/>
      <c r="BI97" s="1289"/>
      <c r="BJ97" s="1289"/>
      <c r="BK97" s="1289"/>
      <c r="BL97" s="1289"/>
      <c r="BM97" s="1289"/>
      <c r="BN97" s="1289"/>
      <c r="BO97" s="1438"/>
      <c r="BP97" s="1289"/>
      <c r="BQ97" s="1289"/>
      <c r="BR97" s="1289"/>
      <c r="BS97" s="1289"/>
      <c r="BT97" s="1289"/>
      <c r="BU97" s="1289"/>
      <c r="BV97" s="1289"/>
      <c r="BW97" s="1289"/>
      <c r="BX97" s="1289"/>
      <c r="BY97" s="1289"/>
      <c r="BZ97" s="1289"/>
      <c r="CA97" s="1289"/>
      <c r="CB97" s="1289"/>
      <c r="CC97" s="1289"/>
      <c r="CD97" s="1289"/>
      <c r="CE97" s="1289"/>
      <c r="CF97" s="1289"/>
      <c r="CG97" s="1289"/>
      <c r="CH97" s="1289"/>
      <c r="CI97" s="1289"/>
      <c r="CJ97" s="1289"/>
      <c r="CK97" s="1289"/>
      <c r="CL97" s="1289"/>
      <c r="CM97" s="1289"/>
      <c r="CN97" s="1289"/>
      <c r="CO97" s="1289"/>
      <c r="CP97" s="1289"/>
      <c r="CQ97" s="1289"/>
      <c r="CR97" s="1289"/>
      <c r="CS97" s="1289"/>
      <c r="CT97" s="1289"/>
      <c r="CU97" s="1289"/>
      <c r="CV97" s="5"/>
      <c r="CY97" s="6">
        <f>CY95+1</f>
        <v>34</v>
      </c>
    </row>
    <row r="98" spans="1:103" ht="12" customHeight="1" x14ac:dyDescent="0.2">
      <c r="A98" s="5"/>
      <c r="B98" s="1308"/>
      <c r="C98" s="1309"/>
      <c r="D98" s="1309"/>
      <c r="E98" s="1309"/>
      <c r="F98" s="1309"/>
      <c r="G98" s="1309"/>
      <c r="H98" s="1309"/>
      <c r="I98" s="1309"/>
      <c r="J98" s="1309"/>
      <c r="K98" s="1309"/>
      <c r="L98" s="1309"/>
      <c r="M98" s="1309"/>
      <c r="N98" s="1309"/>
      <c r="O98" s="1309"/>
      <c r="P98" s="1309"/>
      <c r="Q98" s="1309"/>
      <c r="R98" s="1309"/>
      <c r="S98" s="1309"/>
      <c r="T98" s="1309"/>
      <c r="U98" s="1309"/>
      <c r="V98" s="1309"/>
      <c r="W98" s="1309"/>
      <c r="X98" s="1309"/>
      <c r="Y98" s="1309"/>
      <c r="Z98" s="1309"/>
      <c r="AA98" s="1309"/>
      <c r="AB98" s="1309"/>
      <c r="AC98" s="1309"/>
      <c r="AD98" s="1309"/>
      <c r="AE98" s="1309"/>
      <c r="AF98" s="1309"/>
      <c r="AG98" s="1310"/>
      <c r="AH98" s="1437"/>
      <c r="AI98" s="1288"/>
      <c r="AJ98" s="1288"/>
      <c r="AK98" s="1288"/>
      <c r="AL98" s="1288"/>
      <c r="AM98" s="1288"/>
      <c r="AN98" s="1288"/>
      <c r="AO98" s="1288"/>
      <c r="AP98" s="1288"/>
      <c r="AQ98" s="1288"/>
      <c r="AR98" s="1288"/>
      <c r="AS98" s="1288"/>
      <c r="AT98" s="1288"/>
      <c r="AU98" s="1288"/>
      <c r="AV98" s="1288"/>
      <c r="AW98" s="1288"/>
      <c r="AX98" s="1288"/>
      <c r="AY98" s="1288"/>
      <c r="AZ98" s="1288"/>
      <c r="BA98" s="1288"/>
      <c r="BB98" s="1288"/>
      <c r="BC98" s="1288"/>
      <c r="BD98" s="1288"/>
      <c r="BE98" s="1288"/>
      <c r="BF98" s="1288"/>
      <c r="BG98" s="1288"/>
      <c r="BH98" s="1288"/>
      <c r="BI98" s="1288"/>
      <c r="BJ98" s="1288"/>
      <c r="BK98" s="1288"/>
      <c r="BL98" s="1288"/>
      <c r="BM98" s="1288"/>
      <c r="BN98" s="1288"/>
      <c r="BO98" s="1438"/>
      <c r="BP98" s="1288"/>
      <c r="BQ98" s="1288"/>
      <c r="BR98" s="1288"/>
      <c r="BS98" s="1288"/>
      <c r="BT98" s="1288"/>
      <c r="BU98" s="1288"/>
      <c r="BV98" s="1288"/>
      <c r="BW98" s="1288"/>
      <c r="BX98" s="1288"/>
      <c r="BY98" s="1288"/>
      <c r="BZ98" s="1288"/>
      <c r="CA98" s="1288"/>
      <c r="CB98" s="1288"/>
      <c r="CC98" s="1288"/>
      <c r="CD98" s="1288"/>
      <c r="CE98" s="1288"/>
      <c r="CF98" s="1288"/>
      <c r="CG98" s="1288"/>
      <c r="CH98" s="1288"/>
      <c r="CI98" s="1288"/>
      <c r="CJ98" s="1288"/>
      <c r="CK98" s="1288"/>
      <c r="CL98" s="1288"/>
      <c r="CM98" s="1288"/>
      <c r="CN98" s="1288"/>
      <c r="CO98" s="1288"/>
      <c r="CP98" s="1288"/>
      <c r="CQ98" s="1288"/>
      <c r="CR98" s="1288"/>
      <c r="CS98" s="1288"/>
      <c r="CT98" s="1288"/>
      <c r="CU98" s="1288"/>
      <c r="CV98" s="5"/>
    </row>
    <row r="99" spans="1:103" ht="12" customHeight="1" x14ac:dyDescent="0.2">
      <c r="A99" s="5"/>
      <c r="B99" s="1308"/>
      <c r="C99" s="1309"/>
      <c r="D99" s="1309"/>
      <c r="E99" s="1309"/>
      <c r="F99" s="1309"/>
      <c r="G99" s="1309"/>
      <c r="H99" s="1309"/>
      <c r="I99" s="1309"/>
      <c r="J99" s="1309"/>
      <c r="K99" s="1309"/>
      <c r="L99" s="1309"/>
      <c r="M99" s="1309"/>
      <c r="N99" s="1309"/>
      <c r="O99" s="1309"/>
      <c r="P99" s="1309"/>
      <c r="Q99" s="1309"/>
      <c r="R99" s="1309"/>
      <c r="S99" s="1309"/>
      <c r="T99" s="1309"/>
      <c r="U99" s="1309"/>
      <c r="V99" s="1309"/>
      <c r="W99" s="1309"/>
      <c r="X99" s="1309"/>
      <c r="Y99" s="1309"/>
      <c r="Z99" s="1309"/>
      <c r="AA99" s="1309"/>
      <c r="AB99" s="1309"/>
      <c r="AC99" s="1309"/>
      <c r="AD99" s="1309"/>
      <c r="AE99" s="1309"/>
      <c r="AF99" s="1309"/>
      <c r="AG99" s="1310"/>
      <c r="AH99" s="1437"/>
      <c r="AI99" s="1289"/>
      <c r="AJ99" s="1289"/>
      <c r="AK99" s="1289"/>
      <c r="AL99" s="1289"/>
      <c r="AM99" s="1289"/>
      <c r="AN99" s="1289"/>
      <c r="AO99" s="1289"/>
      <c r="AP99" s="1289"/>
      <c r="AQ99" s="1289"/>
      <c r="AR99" s="1289"/>
      <c r="AS99" s="1289"/>
      <c r="AT99" s="1289"/>
      <c r="AU99" s="1289"/>
      <c r="AV99" s="1289"/>
      <c r="AW99" s="1289"/>
      <c r="AX99" s="1289"/>
      <c r="AY99" s="1289"/>
      <c r="AZ99" s="1289"/>
      <c r="BA99" s="1289"/>
      <c r="BB99" s="1289"/>
      <c r="BC99" s="1289"/>
      <c r="BD99" s="1289"/>
      <c r="BE99" s="1289"/>
      <c r="BF99" s="1289"/>
      <c r="BG99" s="1289"/>
      <c r="BH99" s="1289"/>
      <c r="BI99" s="1289"/>
      <c r="BJ99" s="1289"/>
      <c r="BK99" s="1289"/>
      <c r="BL99" s="1289"/>
      <c r="BM99" s="1289"/>
      <c r="BN99" s="1289"/>
      <c r="BO99" s="1438"/>
      <c r="BP99" s="1289"/>
      <c r="BQ99" s="1289"/>
      <c r="BR99" s="1289"/>
      <c r="BS99" s="1289"/>
      <c r="BT99" s="1289"/>
      <c r="BU99" s="1289"/>
      <c r="BV99" s="1289"/>
      <c r="BW99" s="1289"/>
      <c r="BX99" s="1289"/>
      <c r="BY99" s="1289"/>
      <c r="BZ99" s="1289"/>
      <c r="CA99" s="1289"/>
      <c r="CB99" s="1289"/>
      <c r="CC99" s="1289"/>
      <c r="CD99" s="1289"/>
      <c r="CE99" s="1289"/>
      <c r="CF99" s="1289"/>
      <c r="CG99" s="1289"/>
      <c r="CH99" s="1289"/>
      <c r="CI99" s="1289"/>
      <c r="CJ99" s="1289"/>
      <c r="CK99" s="1289"/>
      <c r="CL99" s="1289"/>
      <c r="CM99" s="1289"/>
      <c r="CN99" s="1289"/>
      <c r="CO99" s="1289"/>
      <c r="CP99" s="1289"/>
      <c r="CQ99" s="1289"/>
      <c r="CR99" s="1289"/>
      <c r="CS99" s="1289"/>
      <c r="CT99" s="1289"/>
      <c r="CU99" s="1289"/>
      <c r="CV99" s="5"/>
      <c r="CY99" s="6">
        <f>CY97+1</f>
        <v>35</v>
      </c>
    </row>
    <row r="100" spans="1:103" ht="12" customHeight="1" x14ac:dyDescent="0.2">
      <c r="A100" s="5"/>
      <c r="B100" s="1308"/>
      <c r="C100" s="1309"/>
      <c r="D100" s="1309"/>
      <c r="E100" s="1309"/>
      <c r="F100" s="1309"/>
      <c r="G100" s="1309"/>
      <c r="H100" s="1309"/>
      <c r="I100" s="1309"/>
      <c r="J100" s="1309"/>
      <c r="K100" s="1309"/>
      <c r="L100" s="1309"/>
      <c r="M100" s="1309"/>
      <c r="N100" s="1309"/>
      <c r="O100" s="1309"/>
      <c r="P100" s="1309"/>
      <c r="Q100" s="1309"/>
      <c r="R100" s="1309"/>
      <c r="S100" s="1309"/>
      <c r="T100" s="1309"/>
      <c r="U100" s="1309"/>
      <c r="V100" s="1309"/>
      <c r="W100" s="1309"/>
      <c r="X100" s="1309"/>
      <c r="Y100" s="1309"/>
      <c r="Z100" s="1309"/>
      <c r="AA100" s="1309"/>
      <c r="AB100" s="1309"/>
      <c r="AC100" s="1309"/>
      <c r="AD100" s="1309"/>
      <c r="AE100" s="1309"/>
      <c r="AF100" s="1309"/>
      <c r="AG100" s="1310"/>
      <c r="AH100" s="1437"/>
      <c r="AI100" s="1288"/>
      <c r="AJ100" s="1288"/>
      <c r="AK100" s="1288"/>
      <c r="AL100" s="1288"/>
      <c r="AM100" s="1288"/>
      <c r="AN100" s="1288"/>
      <c r="AO100" s="1288"/>
      <c r="AP100" s="1288"/>
      <c r="AQ100" s="1288"/>
      <c r="AR100" s="1288"/>
      <c r="AS100" s="1288"/>
      <c r="AT100" s="1288"/>
      <c r="AU100" s="1288"/>
      <c r="AV100" s="1288"/>
      <c r="AW100" s="1288"/>
      <c r="AX100" s="1288"/>
      <c r="AY100" s="1288"/>
      <c r="AZ100" s="1288"/>
      <c r="BA100" s="1288"/>
      <c r="BB100" s="1288"/>
      <c r="BC100" s="1288"/>
      <c r="BD100" s="1288"/>
      <c r="BE100" s="1288"/>
      <c r="BF100" s="1288"/>
      <c r="BG100" s="1288"/>
      <c r="BH100" s="1288"/>
      <c r="BI100" s="1288"/>
      <c r="BJ100" s="1288"/>
      <c r="BK100" s="1288"/>
      <c r="BL100" s="1288"/>
      <c r="BM100" s="1288"/>
      <c r="BN100" s="1288"/>
      <c r="BO100" s="1438"/>
      <c r="BP100" s="1288"/>
      <c r="BQ100" s="1288"/>
      <c r="BR100" s="1288"/>
      <c r="BS100" s="1288"/>
      <c r="BT100" s="1288"/>
      <c r="BU100" s="1288"/>
      <c r="BV100" s="1288"/>
      <c r="BW100" s="1288"/>
      <c r="BX100" s="1288"/>
      <c r="BY100" s="1288"/>
      <c r="BZ100" s="1288"/>
      <c r="CA100" s="1288"/>
      <c r="CB100" s="1288"/>
      <c r="CC100" s="1288"/>
      <c r="CD100" s="1288"/>
      <c r="CE100" s="1288"/>
      <c r="CF100" s="1288"/>
      <c r="CG100" s="1288"/>
      <c r="CH100" s="1288"/>
      <c r="CI100" s="1288"/>
      <c r="CJ100" s="1288"/>
      <c r="CK100" s="1288"/>
      <c r="CL100" s="1288"/>
      <c r="CM100" s="1288"/>
      <c r="CN100" s="1288"/>
      <c r="CO100" s="1288"/>
      <c r="CP100" s="1288"/>
      <c r="CQ100" s="1288"/>
      <c r="CR100" s="1288"/>
      <c r="CS100" s="1288"/>
      <c r="CT100" s="1288"/>
      <c r="CU100" s="1288"/>
      <c r="CV100" s="5"/>
    </row>
    <row r="101" spans="1:103" ht="12" customHeight="1" x14ac:dyDescent="0.2">
      <c r="A101" s="5"/>
      <c r="B101" s="1308"/>
      <c r="C101" s="1309"/>
      <c r="D101" s="1309"/>
      <c r="E101" s="1309"/>
      <c r="F101" s="1309"/>
      <c r="G101" s="1309"/>
      <c r="H101" s="1309"/>
      <c r="I101" s="1309"/>
      <c r="J101" s="1309"/>
      <c r="K101" s="1309"/>
      <c r="L101" s="1309"/>
      <c r="M101" s="1309"/>
      <c r="N101" s="1309"/>
      <c r="O101" s="1309"/>
      <c r="P101" s="1309"/>
      <c r="Q101" s="1309"/>
      <c r="R101" s="1309"/>
      <c r="S101" s="1309"/>
      <c r="T101" s="1309"/>
      <c r="U101" s="1309"/>
      <c r="V101" s="1309"/>
      <c r="W101" s="1309"/>
      <c r="X101" s="1309"/>
      <c r="Y101" s="1309"/>
      <c r="Z101" s="1309"/>
      <c r="AA101" s="1309"/>
      <c r="AB101" s="1309"/>
      <c r="AC101" s="1309"/>
      <c r="AD101" s="1309"/>
      <c r="AE101" s="1309"/>
      <c r="AF101" s="1309"/>
      <c r="AG101" s="1310"/>
      <c r="AH101" s="1437"/>
      <c r="AI101" s="1289"/>
      <c r="AJ101" s="1289"/>
      <c r="AK101" s="1289"/>
      <c r="AL101" s="1289"/>
      <c r="AM101" s="1289"/>
      <c r="AN101" s="1289"/>
      <c r="AO101" s="1289"/>
      <c r="AP101" s="1289"/>
      <c r="AQ101" s="1289"/>
      <c r="AR101" s="1289"/>
      <c r="AS101" s="1289"/>
      <c r="AT101" s="1289"/>
      <c r="AU101" s="1289"/>
      <c r="AV101" s="1289"/>
      <c r="AW101" s="1289"/>
      <c r="AX101" s="1289"/>
      <c r="AY101" s="1289"/>
      <c r="AZ101" s="1289"/>
      <c r="BA101" s="1289"/>
      <c r="BB101" s="1289"/>
      <c r="BC101" s="1289"/>
      <c r="BD101" s="1289"/>
      <c r="BE101" s="1289"/>
      <c r="BF101" s="1289"/>
      <c r="BG101" s="1289"/>
      <c r="BH101" s="1289"/>
      <c r="BI101" s="1289"/>
      <c r="BJ101" s="1289"/>
      <c r="BK101" s="1289"/>
      <c r="BL101" s="1289"/>
      <c r="BM101" s="1289"/>
      <c r="BN101" s="1289"/>
      <c r="BO101" s="1438"/>
      <c r="BP101" s="1289"/>
      <c r="BQ101" s="1289"/>
      <c r="BR101" s="1289"/>
      <c r="BS101" s="1289"/>
      <c r="BT101" s="1289"/>
      <c r="BU101" s="1289"/>
      <c r="BV101" s="1289"/>
      <c r="BW101" s="1289"/>
      <c r="BX101" s="1289"/>
      <c r="BY101" s="1289"/>
      <c r="BZ101" s="1289"/>
      <c r="CA101" s="1289"/>
      <c r="CB101" s="1289"/>
      <c r="CC101" s="1289"/>
      <c r="CD101" s="1289"/>
      <c r="CE101" s="1289"/>
      <c r="CF101" s="1289"/>
      <c r="CG101" s="1289"/>
      <c r="CH101" s="1289"/>
      <c r="CI101" s="1289"/>
      <c r="CJ101" s="1289"/>
      <c r="CK101" s="1289"/>
      <c r="CL101" s="1289"/>
      <c r="CM101" s="1289"/>
      <c r="CN101" s="1289"/>
      <c r="CO101" s="1289"/>
      <c r="CP101" s="1289"/>
      <c r="CQ101" s="1289"/>
      <c r="CR101" s="1289"/>
      <c r="CS101" s="1289"/>
      <c r="CT101" s="1289"/>
      <c r="CU101" s="1289"/>
      <c r="CV101" s="5"/>
      <c r="CY101" s="6">
        <f>CY99+1</f>
        <v>36</v>
      </c>
    </row>
    <row r="102" spans="1:103" ht="12" customHeight="1" x14ac:dyDescent="0.2">
      <c r="A102" s="5"/>
      <c r="B102" s="1308"/>
      <c r="C102" s="1309"/>
      <c r="D102" s="1309"/>
      <c r="E102" s="1309"/>
      <c r="F102" s="1309"/>
      <c r="G102" s="1309"/>
      <c r="H102" s="1309"/>
      <c r="I102" s="1309"/>
      <c r="J102" s="1309"/>
      <c r="K102" s="1309"/>
      <c r="L102" s="1309"/>
      <c r="M102" s="1309"/>
      <c r="N102" s="1309"/>
      <c r="O102" s="1309"/>
      <c r="P102" s="1309"/>
      <c r="Q102" s="1309"/>
      <c r="R102" s="1309"/>
      <c r="S102" s="1309"/>
      <c r="T102" s="1309"/>
      <c r="U102" s="1309"/>
      <c r="V102" s="1309"/>
      <c r="W102" s="1309"/>
      <c r="X102" s="1309"/>
      <c r="Y102" s="1309"/>
      <c r="Z102" s="1309"/>
      <c r="AA102" s="1309"/>
      <c r="AB102" s="1309"/>
      <c r="AC102" s="1309"/>
      <c r="AD102" s="1309"/>
      <c r="AE102" s="1309"/>
      <c r="AF102" s="1309"/>
      <c r="AG102" s="1310"/>
      <c r="AH102" s="1437"/>
      <c r="AI102" s="1288"/>
      <c r="AJ102" s="1288"/>
      <c r="AK102" s="1288"/>
      <c r="AL102" s="1288"/>
      <c r="AM102" s="1288"/>
      <c r="AN102" s="1288"/>
      <c r="AO102" s="1288"/>
      <c r="AP102" s="1288"/>
      <c r="AQ102" s="1288"/>
      <c r="AR102" s="1288"/>
      <c r="AS102" s="1288"/>
      <c r="AT102" s="1288"/>
      <c r="AU102" s="1288"/>
      <c r="AV102" s="1288"/>
      <c r="AW102" s="1288"/>
      <c r="AX102" s="1288"/>
      <c r="AY102" s="1288"/>
      <c r="AZ102" s="1288"/>
      <c r="BA102" s="1288"/>
      <c r="BB102" s="1288"/>
      <c r="BC102" s="1288"/>
      <c r="BD102" s="1288"/>
      <c r="BE102" s="1288"/>
      <c r="BF102" s="1288"/>
      <c r="BG102" s="1288"/>
      <c r="BH102" s="1288"/>
      <c r="BI102" s="1288"/>
      <c r="BJ102" s="1288"/>
      <c r="BK102" s="1288"/>
      <c r="BL102" s="1288"/>
      <c r="BM102" s="1288"/>
      <c r="BN102" s="1288"/>
      <c r="BO102" s="1438"/>
      <c r="BP102" s="1288"/>
      <c r="BQ102" s="1288"/>
      <c r="BR102" s="1288"/>
      <c r="BS102" s="1288"/>
      <c r="BT102" s="1288"/>
      <c r="BU102" s="1288"/>
      <c r="BV102" s="1288"/>
      <c r="BW102" s="1288"/>
      <c r="BX102" s="1288"/>
      <c r="BY102" s="1288"/>
      <c r="BZ102" s="1288"/>
      <c r="CA102" s="1288"/>
      <c r="CB102" s="1288"/>
      <c r="CC102" s="1288"/>
      <c r="CD102" s="1288"/>
      <c r="CE102" s="1288"/>
      <c r="CF102" s="1288"/>
      <c r="CG102" s="1288"/>
      <c r="CH102" s="1288"/>
      <c r="CI102" s="1288"/>
      <c r="CJ102" s="1288"/>
      <c r="CK102" s="1288"/>
      <c r="CL102" s="1288"/>
      <c r="CM102" s="1288"/>
      <c r="CN102" s="1288"/>
      <c r="CO102" s="1288"/>
      <c r="CP102" s="1288"/>
      <c r="CQ102" s="1288"/>
      <c r="CR102" s="1288"/>
      <c r="CS102" s="1288"/>
      <c r="CT102" s="1288"/>
      <c r="CU102" s="1288"/>
      <c r="CV102" s="5"/>
    </row>
    <row r="103" spans="1:103" ht="12" customHeight="1" x14ac:dyDescent="0.2">
      <c r="A103" s="5"/>
      <c r="B103" s="1308"/>
      <c r="C103" s="1309"/>
      <c r="D103" s="1309"/>
      <c r="E103" s="1309"/>
      <c r="F103" s="1309"/>
      <c r="G103" s="1309"/>
      <c r="H103" s="1309"/>
      <c r="I103" s="1309"/>
      <c r="J103" s="1309"/>
      <c r="K103" s="1309"/>
      <c r="L103" s="1309"/>
      <c r="M103" s="1309"/>
      <c r="N103" s="1309"/>
      <c r="O103" s="1309"/>
      <c r="P103" s="1309"/>
      <c r="Q103" s="1309"/>
      <c r="R103" s="1309"/>
      <c r="S103" s="1309"/>
      <c r="T103" s="1309"/>
      <c r="U103" s="1309"/>
      <c r="V103" s="1309"/>
      <c r="W103" s="1309"/>
      <c r="X103" s="1309"/>
      <c r="Y103" s="1309"/>
      <c r="Z103" s="1309"/>
      <c r="AA103" s="1309"/>
      <c r="AB103" s="1309"/>
      <c r="AC103" s="1309"/>
      <c r="AD103" s="1309"/>
      <c r="AE103" s="1309"/>
      <c r="AF103" s="1309"/>
      <c r="AG103" s="1310"/>
      <c r="AH103" s="1437"/>
      <c r="AI103" s="1289"/>
      <c r="AJ103" s="1289"/>
      <c r="AK103" s="1289"/>
      <c r="AL103" s="1289"/>
      <c r="AM103" s="1289"/>
      <c r="AN103" s="1289"/>
      <c r="AO103" s="1289"/>
      <c r="AP103" s="1289"/>
      <c r="AQ103" s="1289"/>
      <c r="AR103" s="1289"/>
      <c r="AS103" s="1289"/>
      <c r="AT103" s="1289"/>
      <c r="AU103" s="1289"/>
      <c r="AV103" s="1289"/>
      <c r="AW103" s="1289"/>
      <c r="AX103" s="1289"/>
      <c r="AY103" s="1289"/>
      <c r="AZ103" s="1289"/>
      <c r="BA103" s="1289"/>
      <c r="BB103" s="1289"/>
      <c r="BC103" s="1289"/>
      <c r="BD103" s="1289"/>
      <c r="BE103" s="1289"/>
      <c r="BF103" s="1289"/>
      <c r="BG103" s="1289"/>
      <c r="BH103" s="1289"/>
      <c r="BI103" s="1289"/>
      <c r="BJ103" s="1289"/>
      <c r="BK103" s="1289"/>
      <c r="BL103" s="1289"/>
      <c r="BM103" s="1289"/>
      <c r="BN103" s="1289"/>
      <c r="BO103" s="1438"/>
      <c r="BP103" s="1289"/>
      <c r="BQ103" s="1289"/>
      <c r="BR103" s="1289"/>
      <c r="BS103" s="1289"/>
      <c r="BT103" s="1289"/>
      <c r="BU103" s="1289"/>
      <c r="BV103" s="1289"/>
      <c r="BW103" s="1289"/>
      <c r="BX103" s="1289"/>
      <c r="BY103" s="1289"/>
      <c r="BZ103" s="1289"/>
      <c r="CA103" s="1289"/>
      <c r="CB103" s="1289"/>
      <c r="CC103" s="1289"/>
      <c r="CD103" s="1289"/>
      <c r="CE103" s="1289"/>
      <c r="CF103" s="1289"/>
      <c r="CG103" s="1289"/>
      <c r="CH103" s="1289"/>
      <c r="CI103" s="1289"/>
      <c r="CJ103" s="1289"/>
      <c r="CK103" s="1289"/>
      <c r="CL103" s="1289"/>
      <c r="CM103" s="1289"/>
      <c r="CN103" s="1289"/>
      <c r="CO103" s="1289"/>
      <c r="CP103" s="1289"/>
      <c r="CQ103" s="1289"/>
      <c r="CR103" s="1289"/>
      <c r="CS103" s="1289"/>
      <c r="CT103" s="1289"/>
      <c r="CU103" s="1289"/>
      <c r="CV103" s="5"/>
      <c r="CY103" s="6">
        <f>CY101+1</f>
        <v>37</v>
      </c>
    </row>
    <row r="104" spans="1:103" ht="12" customHeight="1" x14ac:dyDescent="0.2">
      <c r="A104" s="5"/>
      <c r="B104" s="1308"/>
      <c r="C104" s="1309"/>
      <c r="D104" s="1309"/>
      <c r="E104" s="1309"/>
      <c r="F104" s="1309"/>
      <c r="G104" s="1309"/>
      <c r="H104" s="1309"/>
      <c r="I104" s="1309"/>
      <c r="J104" s="1309"/>
      <c r="K104" s="1309"/>
      <c r="L104" s="1309"/>
      <c r="M104" s="1309"/>
      <c r="N104" s="1309"/>
      <c r="O104" s="1309"/>
      <c r="P104" s="1309"/>
      <c r="Q104" s="1309"/>
      <c r="R104" s="1309"/>
      <c r="S104" s="1309"/>
      <c r="T104" s="1309"/>
      <c r="U104" s="1309"/>
      <c r="V104" s="1309"/>
      <c r="W104" s="1309"/>
      <c r="X104" s="1309"/>
      <c r="Y104" s="1309"/>
      <c r="Z104" s="1309"/>
      <c r="AA104" s="1309"/>
      <c r="AB104" s="1309"/>
      <c r="AC104" s="1309"/>
      <c r="AD104" s="1309"/>
      <c r="AE104" s="1309"/>
      <c r="AF104" s="1309"/>
      <c r="AG104" s="1310"/>
      <c r="AH104" s="1437"/>
      <c r="AI104" s="1288"/>
      <c r="AJ104" s="1288"/>
      <c r="AK104" s="1288"/>
      <c r="AL104" s="1288"/>
      <c r="AM104" s="1288"/>
      <c r="AN104" s="1288"/>
      <c r="AO104" s="1288"/>
      <c r="AP104" s="1288"/>
      <c r="AQ104" s="1288"/>
      <c r="AR104" s="1288"/>
      <c r="AS104" s="1288"/>
      <c r="AT104" s="1288"/>
      <c r="AU104" s="1288"/>
      <c r="AV104" s="1288"/>
      <c r="AW104" s="1288"/>
      <c r="AX104" s="1288"/>
      <c r="AY104" s="1288"/>
      <c r="AZ104" s="1288"/>
      <c r="BA104" s="1288"/>
      <c r="BB104" s="1288"/>
      <c r="BC104" s="1288"/>
      <c r="BD104" s="1288"/>
      <c r="BE104" s="1288"/>
      <c r="BF104" s="1288"/>
      <c r="BG104" s="1288"/>
      <c r="BH104" s="1288"/>
      <c r="BI104" s="1288"/>
      <c r="BJ104" s="1288"/>
      <c r="BK104" s="1288"/>
      <c r="BL104" s="1288"/>
      <c r="BM104" s="1288"/>
      <c r="BN104" s="1288"/>
      <c r="BO104" s="1438"/>
      <c r="BP104" s="1288"/>
      <c r="BQ104" s="1288"/>
      <c r="BR104" s="1288"/>
      <c r="BS104" s="1288"/>
      <c r="BT104" s="1288"/>
      <c r="BU104" s="1288"/>
      <c r="BV104" s="1288"/>
      <c r="BW104" s="1288"/>
      <c r="BX104" s="1288"/>
      <c r="BY104" s="1288"/>
      <c r="BZ104" s="1288"/>
      <c r="CA104" s="1288"/>
      <c r="CB104" s="1288"/>
      <c r="CC104" s="1288"/>
      <c r="CD104" s="1288"/>
      <c r="CE104" s="1288"/>
      <c r="CF104" s="1288"/>
      <c r="CG104" s="1288"/>
      <c r="CH104" s="1288"/>
      <c r="CI104" s="1288"/>
      <c r="CJ104" s="1288"/>
      <c r="CK104" s="1288"/>
      <c r="CL104" s="1288"/>
      <c r="CM104" s="1288"/>
      <c r="CN104" s="1288"/>
      <c r="CO104" s="1288"/>
      <c r="CP104" s="1288"/>
      <c r="CQ104" s="1288"/>
      <c r="CR104" s="1288"/>
      <c r="CS104" s="1288"/>
      <c r="CT104" s="1288"/>
      <c r="CU104" s="1288"/>
      <c r="CV104" s="5"/>
    </row>
    <row r="105" spans="1:103" ht="12" customHeight="1" x14ac:dyDescent="0.2">
      <c r="A105" s="5"/>
      <c r="B105" s="1308"/>
      <c r="C105" s="1309"/>
      <c r="D105" s="1309"/>
      <c r="E105" s="1309"/>
      <c r="F105" s="1309"/>
      <c r="G105" s="1309"/>
      <c r="H105" s="1309"/>
      <c r="I105" s="1309"/>
      <c r="J105" s="1309"/>
      <c r="K105" s="1309"/>
      <c r="L105" s="1309"/>
      <c r="M105" s="1309"/>
      <c r="N105" s="1309"/>
      <c r="O105" s="1309"/>
      <c r="P105" s="1309"/>
      <c r="Q105" s="1309"/>
      <c r="R105" s="1309"/>
      <c r="S105" s="1309"/>
      <c r="T105" s="1309"/>
      <c r="U105" s="1309"/>
      <c r="V105" s="1309"/>
      <c r="W105" s="1309"/>
      <c r="X105" s="1309"/>
      <c r="Y105" s="1309"/>
      <c r="Z105" s="1309"/>
      <c r="AA105" s="1309"/>
      <c r="AB105" s="1309"/>
      <c r="AC105" s="1309"/>
      <c r="AD105" s="1309"/>
      <c r="AE105" s="1309"/>
      <c r="AF105" s="1309"/>
      <c r="AG105" s="1310"/>
      <c r="AH105" s="1437"/>
      <c r="AI105" s="1289"/>
      <c r="AJ105" s="1289"/>
      <c r="AK105" s="1289"/>
      <c r="AL105" s="1289"/>
      <c r="AM105" s="1289"/>
      <c r="AN105" s="1289"/>
      <c r="AO105" s="1289"/>
      <c r="AP105" s="1289"/>
      <c r="AQ105" s="1289"/>
      <c r="AR105" s="1289"/>
      <c r="AS105" s="1289"/>
      <c r="AT105" s="1289"/>
      <c r="AU105" s="1289"/>
      <c r="AV105" s="1289"/>
      <c r="AW105" s="1289"/>
      <c r="AX105" s="1289"/>
      <c r="AY105" s="1289"/>
      <c r="AZ105" s="1289"/>
      <c r="BA105" s="1289"/>
      <c r="BB105" s="1289"/>
      <c r="BC105" s="1289"/>
      <c r="BD105" s="1289"/>
      <c r="BE105" s="1289"/>
      <c r="BF105" s="1289"/>
      <c r="BG105" s="1289"/>
      <c r="BH105" s="1289"/>
      <c r="BI105" s="1289"/>
      <c r="BJ105" s="1289"/>
      <c r="BK105" s="1289"/>
      <c r="BL105" s="1289"/>
      <c r="BM105" s="1289"/>
      <c r="BN105" s="1289"/>
      <c r="BO105" s="1438"/>
      <c r="BP105" s="1289"/>
      <c r="BQ105" s="1289"/>
      <c r="BR105" s="1289"/>
      <c r="BS105" s="1289"/>
      <c r="BT105" s="1289"/>
      <c r="BU105" s="1289"/>
      <c r="BV105" s="1289"/>
      <c r="BW105" s="1289"/>
      <c r="BX105" s="1289"/>
      <c r="BY105" s="1289"/>
      <c r="BZ105" s="1289"/>
      <c r="CA105" s="1289"/>
      <c r="CB105" s="1289"/>
      <c r="CC105" s="1289"/>
      <c r="CD105" s="1289"/>
      <c r="CE105" s="1289"/>
      <c r="CF105" s="1289"/>
      <c r="CG105" s="1289"/>
      <c r="CH105" s="1289"/>
      <c r="CI105" s="1289"/>
      <c r="CJ105" s="1289"/>
      <c r="CK105" s="1289"/>
      <c r="CL105" s="1289"/>
      <c r="CM105" s="1289"/>
      <c r="CN105" s="1289"/>
      <c r="CO105" s="1289"/>
      <c r="CP105" s="1289"/>
      <c r="CQ105" s="1289"/>
      <c r="CR105" s="1289"/>
      <c r="CS105" s="1289"/>
      <c r="CT105" s="1289"/>
      <c r="CU105" s="1289"/>
      <c r="CV105" s="5"/>
      <c r="CY105" s="6">
        <f>CY103+1</f>
        <v>38</v>
      </c>
    </row>
    <row r="106" spans="1:103" ht="12" customHeight="1" x14ac:dyDescent="0.2">
      <c r="A106" s="5"/>
      <c r="B106" s="1308"/>
      <c r="C106" s="1309"/>
      <c r="D106" s="1309"/>
      <c r="E106" s="1309"/>
      <c r="F106" s="1309"/>
      <c r="G106" s="1309"/>
      <c r="H106" s="1309"/>
      <c r="I106" s="1309"/>
      <c r="J106" s="1309"/>
      <c r="K106" s="1309"/>
      <c r="L106" s="1309"/>
      <c r="M106" s="1309"/>
      <c r="N106" s="1309"/>
      <c r="O106" s="1309"/>
      <c r="P106" s="1309"/>
      <c r="Q106" s="1309"/>
      <c r="R106" s="1309"/>
      <c r="S106" s="1309"/>
      <c r="T106" s="1309"/>
      <c r="U106" s="1309"/>
      <c r="V106" s="1309"/>
      <c r="W106" s="1309"/>
      <c r="X106" s="1309"/>
      <c r="Y106" s="1309"/>
      <c r="Z106" s="1309"/>
      <c r="AA106" s="1309"/>
      <c r="AB106" s="1309"/>
      <c r="AC106" s="1309"/>
      <c r="AD106" s="1309"/>
      <c r="AE106" s="1309"/>
      <c r="AF106" s="1309"/>
      <c r="AG106" s="1310"/>
      <c r="AH106" s="1437"/>
      <c r="AI106" s="1288"/>
      <c r="AJ106" s="1288"/>
      <c r="AK106" s="1288"/>
      <c r="AL106" s="1288"/>
      <c r="AM106" s="1288"/>
      <c r="AN106" s="1288"/>
      <c r="AO106" s="1288"/>
      <c r="AP106" s="1288"/>
      <c r="AQ106" s="1288"/>
      <c r="AR106" s="1288"/>
      <c r="AS106" s="1288"/>
      <c r="AT106" s="1288"/>
      <c r="AU106" s="1288"/>
      <c r="AV106" s="1288"/>
      <c r="AW106" s="1288"/>
      <c r="AX106" s="1288"/>
      <c r="AY106" s="1288"/>
      <c r="AZ106" s="1288"/>
      <c r="BA106" s="1288"/>
      <c r="BB106" s="1288"/>
      <c r="BC106" s="1288"/>
      <c r="BD106" s="1288"/>
      <c r="BE106" s="1288"/>
      <c r="BF106" s="1288"/>
      <c r="BG106" s="1288"/>
      <c r="BH106" s="1288"/>
      <c r="BI106" s="1288"/>
      <c r="BJ106" s="1288"/>
      <c r="BK106" s="1288"/>
      <c r="BL106" s="1288"/>
      <c r="BM106" s="1288"/>
      <c r="BN106" s="1288"/>
      <c r="BO106" s="1438"/>
      <c r="BP106" s="1288"/>
      <c r="BQ106" s="1288"/>
      <c r="BR106" s="1288"/>
      <c r="BS106" s="1288"/>
      <c r="BT106" s="1288"/>
      <c r="BU106" s="1288"/>
      <c r="BV106" s="1288"/>
      <c r="BW106" s="1288"/>
      <c r="BX106" s="1288"/>
      <c r="BY106" s="1288"/>
      <c r="BZ106" s="1288"/>
      <c r="CA106" s="1288"/>
      <c r="CB106" s="1288"/>
      <c r="CC106" s="1288"/>
      <c r="CD106" s="1288"/>
      <c r="CE106" s="1288"/>
      <c r="CF106" s="1288"/>
      <c r="CG106" s="1288"/>
      <c r="CH106" s="1288"/>
      <c r="CI106" s="1288"/>
      <c r="CJ106" s="1288"/>
      <c r="CK106" s="1288"/>
      <c r="CL106" s="1288"/>
      <c r="CM106" s="1288"/>
      <c r="CN106" s="1288"/>
      <c r="CO106" s="1288"/>
      <c r="CP106" s="1288"/>
      <c r="CQ106" s="1288"/>
      <c r="CR106" s="1288"/>
      <c r="CS106" s="1288"/>
      <c r="CT106" s="1288"/>
      <c r="CU106" s="1288"/>
      <c r="CV106" s="5"/>
    </row>
    <row r="107" spans="1:103" ht="12" customHeight="1" x14ac:dyDescent="0.2">
      <c r="A107" s="5"/>
      <c r="B107" s="1308"/>
      <c r="C107" s="1309"/>
      <c r="D107" s="1309"/>
      <c r="E107" s="1309"/>
      <c r="F107" s="1309"/>
      <c r="G107" s="1309"/>
      <c r="H107" s="1309"/>
      <c r="I107" s="1309"/>
      <c r="J107" s="1309"/>
      <c r="K107" s="1309"/>
      <c r="L107" s="1309"/>
      <c r="M107" s="1309"/>
      <c r="N107" s="1309"/>
      <c r="O107" s="1309"/>
      <c r="P107" s="1309"/>
      <c r="Q107" s="1309"/>
      <c r="R107" s="1309"/>
      <c r="S107" s="1309"/>
      <c r="T107" s="1309"/>
      <c r="U107" s="1309"/>
      <c r="V107" s="1309"/>
      <c r="W107" s="1309"/>
      <c r="X107" s="1309"/>
      <c r="Y107" s="1309"/>
      <c r="Z107" s="1309"/>
      <c r="AA107" s="1309"/>
      <c r="AB107" s="1309"/>
      <c r="AC107" s="1309"/>
      <c r="AD107" s="1309"/>
      <c r="AE107" s="1309"/>
      <c r="AF107" s="1309"/>
      <c r="AG107" s="1310"/>
      <c r="AH107" s="1437"/>
      <c r="AI107" s="1289"/>
      <c r="AJ107" s="1289"/>
      <c r="AK107" s="1289"/>
      <c r="AL107" s="1289"/>
      <c r="AM107" s="1289"/>
      <c r="AN107" s="1289"/>
      <c r="AO107" s="1289"/>
      <c r="AP107" s="1289"/>
      <c r="AQ107" s="1289"/>
      <c r="AR107" s="1289"/>
      <c r="AS107" s="1289"/>
      <c r="AT107" s="1289"/>
      <c r="AU107" s="1289"/>
      <c r="AV107" s="1289"/>
      <c r="AW107" s="1289"/>
      <c r="AX107" s="1289"/>
      <c r="AY107" s="1289"/>
      <c r="AZ107" s="1289"/>
      <c r="BA107" s="1289"/>
      <c r="BB107" s="1289"/>
      <c r="BC107" s="1289"/>
      <c r="BD107" s="1289"/>
      <c r="BE107" s="1289"/>
      <c r="BF107" s="1289"/>
      <c r="BG107" s="1289"/>
      <c r="BH107" s="1289"/>
      <c r="BI107" s="1289"/>
      <c r="BJ107" s="1289"/>
      <c r="BK107" s="1289"/>
      <c r="BL107" s="1289"/>
      <c r="BM107" s="1289"/>
      <c r="BN107" s="1289"/>
      <c r="BO107" s="1438"/>
      <c r="BP107" s="1289"/>
      <c r="BQ107" s="1289"/>
      <c r="BR107" s="1289"/>
      <c r="BS107" s="1289"/>
      <c r="BT107" s="1289"/>
      <c r="BU107" s="1289"/>
      <c r="BV107" s="1289"/>
      <c r="BW107" s="1289"/>
      <c r="BX107" s="1289"/>
      <c r="BY107" s="1289"/>
      <c r="BZ107" s="1289"/>
      <c r="CA107" s="1289"/>
      <c r="CB107" s="1289"/>
      <c r="CC107" s="1289"/>
      <c r="CD107" s="1289"/>
      <c r="CE107" s="1289"/>
      <c r="CF107" s="1289"/>
      <c r="CG107" s="1289"/>
      <c r="CH107" s="1289"/>
      <c r="CI107" s="1289"/>
      <c r="CJ107" s="1289"/>
      <c r="CK107" s="1289"/>
      <c r="CL107" s="1289"/>
      <c r="CM107" s="1289"/>
      <c r="CN107" s="1289"/>
      <c r="CO107" s="1289"/>
      <c r="CP107" s="1289"/>
      <c r="CQ107" s="1289"/>
      <c r="CR107" s="1289"/>
      <c r="CS107" s="1289"/>
      <c r="CT107" s="1289"/>
      <c r="CU107" s="1289"/>
      <c r="CV107" s="5"/>
      <c r="CY107" s="6">
        <f>CY105+1</f>
        <v>39</v>
      </c>
    </row>
    <row r="108" spans="1:103" ht="12" customHeight="1" x14ac:dyDescent="0.2">
      <c r="A108" s="5"/>
      <c r="B108" s="1308"/>
      <c r="C108" s="1309"/>
      <c r="D108" s="1309"/>
      <c r="E108" s="1309"/>
      <c r="F108" s="1309"/>
      <c r="G108" s="1309"/>
      <c r="H108" s="1309"/>
      <c r="I108" s="1309"/>
      <c r="J108" s="1309"/>
      <c r="K108" s="1309"/>
      <c r="L108" s="1309"/>
      <c r="M108" s="1309"/>
      <c r="N108" s="1309"/>
      <c r="O108" s="1309"/>
      <c r="P108" s="1309"/>
      <c r="Q108" s="1309"/>
      <c r="R108" s="1309"/>
      <c r="S108" s="1309"/>
      <c r="T108" s="1309"/>
      <c r="U108" s="1309"/>
      <c r="V108" s="1309"/>
      <c r="W108" s="1309"/>
      <c r="X108" s="1309"/>
      <c r="Y108" s="1309"/>
      <c r="Z108" s="1309"/>
      <c r="AA108" s="1309"/>
      <c r="AB108" s="1309"/>
      <c r="AC108" s="1309"/>
      <c r="AD108" s="1309"/>
      <c r="AE108" s="1309"/>
      <c r="AF108" s="1309"/>
      <c r="AG108" s="1310"/>
      <c r="AH108" s="1437"/>
      <c r="AI108" s="1288"/>
      <c r="AJ108" s="1288"/>
      <c r="AK108" s="1288"/>
      <c r="AL108" s="1288"/>
      <c r="AM108" s="1288"/>
      <c r="AN108" s="1288"/>
      <c r="AO108" s="1288"/>
      <c r="AP108" s="1288"/>
      <c r="AQ108" s="1288"/>
      <c r="AR108" s="1288"/>
      <c r="AS108" s="1288"/>
      <c r="AT108" s="1288"/>
      <c r="AU108" s="1288"/>
      <c r="AV108" s="1288"/>
      <c r="AW108" s="1288"/>
      <c r="AX108" s="1288"/>
      <c r="AY108" s="1288"/>
      <c r="AZ108" s="1288"/>
      <c r="BA108" s="1288"/>
      <c r="BB108" s="1288"/>
      <c r="BC108" s="1288"/>
      <c r="BD108" s="1288"/>
      <c r="BE108" s="1288"/>
      <c r="BF108" s="1288"/>
      <c r="BG108" s="1288"/>
      <c r="BH108" s="1288"/>
      <c r="BI108" s="1288"/>
      <c r="BJ108" s="1288"/>
      <c r="BK108" s="1288"/>
      <c r="BL108" s="1288"/>
      <c r="BM108" s="1288"/>
      <c r="BN108" s="1288"/>
      <c r="BO108" s="1438"/>
      <c r="BP108" s="1288"/>
      <c r="BQ108" s="1288"/>
      <c r="BR108" s="1288"/>
      <c r="BS108" s="1288"/>
      <c r="BT108" s="1288"/>
      <c r="BU108" s="1288"/>
      <c r="BV108" s="1288"/>
      <c r="BW108" s="1288"/>
      <c r="BX108" s="1288"/>
      <c r="BY108" s="1288"/>
      <c r="BZ108" s="1288"/>
      <c r="CA108" s="1288"/>
      <c r="CB108" s="1288"/>
      <c r="CC108" s="1288"/>
      <c r="CD108" s="1288"/>
      <c r="CE108" s="1288"/>
      <c r="CF108" s="1288"/>
      <c r="CG108" s="1288"/>
      <c r="CH108" s="1288"/>
      <c r="CI108" s="1288"/>
      <c r="CJ108" s="1288"/>
      <c r="CK108" s="1288"/>
      <c r="CL108" s="1288"/>
      <c r="CM108" s="1288"/>
      <c r="CN108" s="1288"/>
      <c r="CO108" s="1288"/>
      <c r="CP108" s="1288"/>
      <c r="CQ108" s="1288"/>
      <c r="CR108" s="1288"/>
      <c r="CS108" s="1288"/>
      <c r="CT108" s="1288"/>
      <c r="CU108" s="1288"/>
      <c r="CV108" s="5"/>
    </row>
    <row r="109" spans="1:103" ht="12" customHeight="1" x14ac:dyDescent="0.2">
      <c r="A109" s="5"/>
      <c r="B109" s="1308"/>
      <c r="C109" s="1309"/>
      <c r="D109" s="1309"/>
      <c r="E109" s="1309"/>
      <c r="F109" s="1309"/>
      <c r="G109" s="1309"/>
      <c r="H109" s="1309"/>
      <c r="I109" s="1309"/>
      <c r="J109" s="1309"/>
      <c r="K109" s="1309"/>
      <c r="L109" s="1309"/>
      <c r="M109" s="1309"/>
      <c r="N109" s="1309"/>
      <c r="O109" s="1309"/>
      <c r="P109" s="1309"/>
      <c r="Q109" s="1309"/>
      <c r="R109" s="1309"/>
      <c r="S109" s="1309"/>
      <c r="T109" s="1309"/>
      <c r="U109" s="1309"/>
      <c r="V109" s="1309"/>
      <c r="W109" s="1309"/>
      <c r="X109" s="1309"/>
      <c r="Y109" s="1309"/>
      <c r="Z109" s="1309"/>
      <c r="AA109" s="1309"/>
      <c r="AB109" s="1309"/>
      <c r="AC109" s="1309"/>
      <c r="AD109" s="1309"/>
      <c r="AE109" s="1309"/>
      <c r="AF109" s="1309"/>
      <c r="AG109" s="1310"/>
      <c r="AH109" s="1437"/>
      <c r="AI109" s="1289"/>
      <c r="AJ109" s="1289"/>
      <c r="AK109" s="1289"/>
      <c r="AL109" s="1289"/>
      <c r="AM109" s="1289"/>
      <c r="AN109" s="1289"/>
      <c r="AO109" s="1289"/>
      <c r="AP109" s="1289"/>
      <c r="AQ109" s="1289"/>
      <c r="AR109" s="1289"/>
      <c r="AS109" s="1289"/>
      <c r="AT109" s="1289"/>
      <c r="AU109" s="1289"/>
      <c r="AV109" s="1289"/>
      <c r="AW109" s="1289"/>
      <c r="AX109" s="1289"/>
      <c r="AY109" s="1289"/>
      <c r="AZ109" s="1289"/>
      <c r="BA109" s="1289"/>
      <c r="BB109" s="1289"/>
      <c r="BC109" s="1289"/>
      <c r="BD109" s="1289"/>
      <c r="BE109" s="1289"/>
      <c r="BF109" s="1289"/>
      <c r="BG109" s="1289"/>
      <c r="BH109" s="1289"/>
      <c r="BI109" s="1289"/>
      <c r="BJ109" s="1289"/>
      <c r="BK109" s="1289"/>
      <c r="BL109" s="1289"/>
      <c r="BM109" s="1289"/>
      <c r="BN109" s="1289"/>
      <c r="BO109" s="1438"/>
      <c r="BP109" s="1289"/>
      <c r="BQ109" s="1289"/>
      <c r="BR109" s="1289"/>
      <c r="BS109" s="1289"/>
      <c r="BT109" s="1289"/>
      <c r="BU109" s="1289"/>
      <c r="BV109" s="1289"/>
      <c r="BW109" s="1289"/>
      <c r="BX109" s="1289"/>
      <c r="BY109" s="1289"/>
      <c r="BZ109" s="1289"/>
      <c r="CA109" s="1289"/>
      <c r="CB109" s="1289"/>
      <c r="CC109" s="1289"/>
      <c r="CD109" s="1289"/>
      <c r="CE109" s="1289"/>
      <c r="CF109" s="1289"/>
      <c r="CG109" s="1289"/>
      <c r="CH109" s="1289"/>
      <c r="CI109" s="1289"/>
      <c r="CJ109" s="1289"/>
      <c r="CK109" s="1289"/>
      <c r="CL109" s="1289"/>
      <c r="CM109" s="1289"/>
      <c r="CN109" s="1289"/>
      <c r="CO109" s="1289"/>
      <c r="CP109" s="1289"/>
      <c r="CQ109" s="1289"/>
      <c r="CR109" s="1289"/>
      <c r="CS109" s="1289"/>
      <c r="CT109" s="1289"/>
      <c r="CU109" s="1289"/>
      <c r="CV109" s="5"/>
      <c r="CY109" s="6">
        <f>CY107+1</f>
        <v>40</v>
      </c>
    </row>
    <row r="110" spans="1:103" ht="12" customHeight="1" x14ac:dyDescent="0.2">
      <c r="A110" s="5"/>
      <c r="B110" s="1308"/>
      <c r="C110" s="1309"/>
      <c r="D110" s="1309"/>
      <c r="E110" s="1309"/>
      <c r="F110" s="1309"/>
      <c r="G110" s="1309"/>
      <c r="H110" s="1309"/>
      <c r="I110" s="1309"/>
      <c r="J110" s="1309"/>
      <c r="K110" s="1309"/>
      <c r="L110" s="1309"/>
      <c r="M110" s="1309"/>
      <c r="N110" s="1309"/>
      <c r="O110" s="1309"/>
      <c r="P110" s="1309"/>
      <c r="Q110" s="1309"/>
      <c r="R110" s="1309"/>
      <c r="S110" s="1309"/>
      <c r="T110" s="1309"/>
      <c r="U110" s="1309"/>
      <c r="V110" s="1309"/>
      <c r="W110" s="1309"/>
      <c r="X110" s="1309"/>
      <c r="Y110" s="1309"/>
      <c r="Z110" s="1309"/>
      <c r="AA110" s="1309"/>
      <c r="AB110" s="1309"/>
      <c r="AC110" s="1309"/>
      <c r="AD110" s="1309"/>
      <c r="AE110" s="1309"/>
      <c r="AF110" s="1309"/>
      <c r="AG110" s="1310"/>
      <c r="AH110" s="1437"/>
      <c r="AI110" s="1288"/>
      <c r="AJ110" s="1288"/>
      <c r="AK110" s="1288"/>
      <c r="AL110" s="1288"/>
      <c r="AM110" s="1288"/>
      <c r="AN110" s="1288"/>
      <c r="AO110" s="1288"/>
      <c r="AP110" s="1288"/>
      <c r="AQ110" s="1288"/>
      <c r="AR110" s="1288"/>
      <c r="AS110" s="1288"/>
      <c r="AT110" s="1288"/>
      <c r="AU110" s="1288"/>
      <c r="AV110" s="1288"/>
      <c r="AW110" s="1288"/>
      <c r="AX110" s="1288"/>
      <c r="AY110" s="1288"/>
      <c r="AZ110" s="1288"/>
      <c r="BA110" s="1288"/>
      <c r="BB110" s="1288"/>
      <c r="BC110" s="1288"/>
      <c r="BD110" s="1288"/>
      <c r="BE110" s="1288"/>
      <c r="BF110" s="1288"/>
      <c r="BG110" s="1288"/>
      <c r="BH110" s="1288"/>
      <c r="BI110" s="1288"/>
      <c r="BJ110" s="1288"/>
      <c r="BK110" s="1288"/>
      <c r="BL110" s="1288"/>
      <c r="BM110" s="1288"/>
      <c r="BN110" s="1288"/>
      <c r="BO110" s="1438"/>
      <c r="BP110" s="1288"/>
      <c r="BQ110" s="1288"/>
      <c r="BR110" s="1288"/>
      <c r="BS110" s="1288"/>
      <c r="BT110" s="1288"/>
      <c r="BU110" s="1288"/>
      <c r="BV110" s="1288"/>
      <c r="BW110" s="1288"/>
      <c r="BX110" s="1288"/>
      <c r="BY110" s="1288"/>
      <c r="BZ110" s="1288"/>
      <c r="CA110" s="1288"/>
      <c r="CB110" s="1288"/>
      <c r="CC110" s="1288"/>
      <c r="CD110" s="1288"/>
      <c r="CE110" s="1288"/>
      <c r="CF110" s="1288"/>
      <c r="CG110" s="1288"/>
      <c r="CH110" s="1288"/>
      <c r="CI110" s="1288"/>
      <c r="CJ110" s="1288"/>
      <c r="CK110" s="1288"/>
      <c r="CL110" s="1288"/>
      <c r="CM110" s="1288"/>
      <c r="CN110" s="1288"/>
      <c r="CO110" s="1288"/>
      <c r="CP110" s="1288"/>
      <c r="CQ110" s="1288"/>
      <c r="CR110" s="1288"/>
      <c r="CS110" s="1288"/>
      <c r="CT110" s="1288"/>
      <c r="CU110" s="1288"/>
      <c r="CV110" s="5"/>
    </row>
    <row r="111" spans="1:103" ht="12" customHeight="1" x14ac:dyDescent="0.2">
      <c r="A111" s="5"/>
      <c r="B111" s="1308"/>
      <c r="C111" s="1309"/>
      <c r="D111" s="1309"/>
      <c r="E111" s="1309"/>
      <c r="F111" s="1309"/>
      <c r="G111" s="1309"/>
      <c r="H111" s="1309"/>
      <c r="I111" s="1309"/>
      <c r="J111" s="1309"/>
      <c r="K111" s="1309"/>
      <c r="L111" s="1309"/>
      <c r="M111" s="1309"/>
      <c r="N111" s="1309"/>
      <c r="O111" s="1309"/>
      <c r="P111" s="1309"/>
      <c r="Q111" s="1309"/>
      <c r="R111" s="1309"/>
      <c r="S111" s="1309"/>
      <c r="T111" s="1309"/>
      <c r="U111" s="1309"/>
      <c r="V111" s="1309"/>
      <c r="W111" s="1309"/>
      <c r="X111" s="1309"/>
      <c r="Y111" s="1309"/>
      <c r="Z111" s="1309"/>
      <c r="AA111" s="1309"/>
      <c r="AB111" s="1309"/>
      <c r="AC111" s="1309"/>
      <c r="AD111" s="1309"/>
      <c r="AE111" s="1309"/>
      <c r="AF111" s="1309"/>
      <c r="AG111" s="1310"/>
      <c r="AH111" s="1437"/>
      <c r="AI111" s="1289"/>
      <c r="AJ111" s="1289"/>
      <c r="AK111" s="1289"/>
      <c r="AL111" s="1289"/>
      <c r="AM111" s="1289"/>
      <c r="AN111" s="1289"/>
      <c r="AO111" s="1289"/>
      <c r="AP111" s="1289"/>
      <c r="AQ111" s="1289"/>
      <c r="AR111" s="1289"/>
      <c r="AS111" s="1289"/>
      <c r="AT111" s="1289"/>
      <c r="AU111" s="1289"/>
      <c r="AV111" s="1289"/>
      <c r="AW111" s="1289"/>
      <c r="AX111" s="1289"/>
      <c r="AY111" s="1289"/>
      <c r="AZ111" s="1289"/>
      <c r="BA111" s="1289"/>
      <c r="BB111" s="1289"/>
      <c r="BC111" s="1289"/>
      <c r="BD111" s="1289"/>
      <c r="BE111" s="1289"/>
      <c r="BF111" s="1289"/>
      <c r="BG111" s="1289"/>
      <c r="BH111" s="1289"/>
      <c r="BI111" s="1289"/>
      <c r="BJ111" s="1289"/>
      <c r="BK111" s="1289"/>
      <c r="BL111" s="1289"/>
      <c r="BM111" s="1289"/>
      <c r="BN111" s="1289"/>
      <c r="BO111" s="1438"/>
      <c r="BP111" s="1289"/>
      <c r="BQ111" s="1289"/>
      <c r="BR111" s="1289"/>
      <c r="BS111" s="1289"/>
      <c r="BT111" s="1289"/>
      <c r="BU111" s="1289"/>
      <c r="BV111" s="1289"/>
      <c r="BW111" s="1289"/>
      <c r="BX111" s="1289"/>
      <c r="BY111" s="1289"/>
      <c r="BZ111" s="1289"/>
      <c r="CA111" s="1289"/>
      <c r="CB111" s="1289"/>
      <c r="CC111" s="1289"/>
      <c r="CD111" s="1289"/>
      <c r="CE111" s="1289"/>
      <c r="CF111" s="1289"/>
      <c r="CG111" s="1289"/>
      <c r="CH111" s="1289"/>
      <c r="CI111" s="1289"/>
      <c r="CJ111" s="1289"/>
      <c r="CK111" s="1289"/>
      <c r="CL111" s="1289"/>
      <c r="CM111" s="1289"/>
      <c r="CN111" s="1289"/>
      <c r="CO111" s="1289"/>
      <c r="CP111" s="1289"/>
      <c r="CQ111" s="1289"/>
      <c r="CR111" s="1289"/>
      <c r="CS111" s="1289"/>
      <c r="CT111" s="1289"/>
      <c r="CU111" s="1289"/>
      <c r="CV111" s="5"/>
      <c r="CY111" s="6">
        <f>CY109+1</f>
        <v>41</v>
      </c>
    </row>
    <row r="112" spans="1:103" ht="12" customHeight="1" x14ac:dyDescent="0.2">
      <c r="A112" s="5"/>
      <c r="B112" s="1308"/>
      <c r="C112" s="1309"/>
      <c r="D112" s="1309"/>
      <c r="E112" s="1309"/>
      <c r="F112" s="1309"/>
      <c r="G112" s="1309"/>
      <c r="H112" s="1309"/>
      <c r="I112" s="1309"/>
      <c r="J112" s="1309"/>
      <c r="K112" s="1309"/>
      <c r="L112" s="1309"/>
      <c r="M112" s="1309"/>
      <c r="N112" s="1309"/>
      <c r="O112" s="1309"/>
      <c r="P112" s="1309"/>
      <c r="Q112" s="1309"/>
      <c r="R112" s="1309"/>
      <c r="S112" s="1309"/>
      <c r="T112" s="1309"/>
      <c r="U112" s="1309"/>
      <c r="V112" s="1309"/>
      <c r="W112" s="1309"/>
      <c r="X112" s="1309"/>
      <c r="Y112" s="1309"/>
      <c r="Z112" s="1309"/>
      <c r="AA112" s="1309"/>
      <c r="AB112" s="1309"/>
      <c r="AC112" s="1309"/>
      <c r="AD112" s="1309"/>
      <c r="AE112" s="1309"/>
      <c r="AF112" s="1309"/>
      <c r="AG112" s="1310"/>
      <c r="AH112" s="1437"/>
      <c r="AI112" s="1288"/>
      <c r="AJ112" s="1288"/>
      <c r="AK112" s="1288"/>
      <c r="AL112" s="1288"/>
      <c r="AM112" s="1288"/>
      <c r="AN112" s="1288"/>
      <c r="AO112" s="1288"/>
      <c r="AP112" s="1288"/>
      <c r="AQ112" s="1288"/>
      <c r="AR112" s="1288"/>
      <c r="AS112" s="1288"/>
      <c r="AT112" s="1288"/>
      <c r="AU112" s="1288"/>
      <c r="AV112" s="1288"/>
      <c r="AW112" s="1288"/>
      <c r="AX112" s="1288"/>
      <c r="AY112" s="1288"/>
      <c r="AZ112" s="1288"/>
      <c r="BA112" s="1288"/>
      <c r="BB112" s="1288"/>
      <c r="BC112" s="1288"/>
      <c r="BD112" s="1288"/>
      <c r="BE112" s="1288"/>
      <c r="BF112" s="1288"/>
      <c r="BG112" s="1288"/>
      <c r="BH112" s="1288"/>
      <c r="BI112" s="1288"/>
      <c r="BJ112" s="1288"/>
      <c r="BK112" s="1288"/>
      <c r="BL112" s="1288"/>
      <c r="BM112" s="1288"/>
      <c r="BN112" s="1288"/>
      <c r="BO112" s="1438"/>
      <c r="BP112" s="1288"/>
      <c r="BQ112" s="1288"/>
      <c r="BR112" s="1288"/>
      <c r="BS112" s="1288"/>
      <c r="BT112" s="1288"/>
      <c r="BU112" s="1288"/>
      <c r="BV112" s="1288"/>
      <c r="BW112" s="1288"/>
      <c r="BX112" s="1288"/>
      <c r="BY112" s="1288"/>
      <c r="BZ112" s="1288"/>
      <c r="CA112" s="1288"/>
      <c r="CB112" s="1288"/>
      <c r="CC112" s="1288"/>
      <c r="CD112" s="1288"/>
      <c r="CE112" s="1288"/>
      <c r="CF112" s="1288"/>
      <c r="CG112" s="1288"/>
      <c r="CH112" s="1288"/>
      <c r="CI112" s="1288"/>
      <c r="CJ112" s="1288"/>
      <c r="CK112" s="1288"/>
      <c r="CL112" s="1288"/>
      <c r="CM112" s="1288"/>
      <c r="CN112" s="1288"/>
      <c r="CO112" s="1288"/>
      <c r="CP112" s="1288"/>
      <c r="CQ112" s="1288"/>
      <c r="CR112" s="1288"/>
      <c r="CS112" s="1288"/>
      <c r="CT112" s="1288"/>
      <c r="CU112" s="1288"/>
      <c r="CV112" s="5"/>
    </row>
    <row r="113" spans="1:105" ht="12" customHeight="1" x14ac:dyDescent="0.2">
      <c r="A113" s="5"/>
      <c r="B113" s="1308"/>
      <c r="C113" s="1309"/>
      <c r="D113" s="1309"/>
      <c r="E113" s="1309"/>
      <c r="F113" s="1309"/>
      <c r="G113" s="1309"/>
      <c r="H113" s="1309"/>
      <c r="I113" s="1309"/>
      <c r="J113" s="1309"/>
      <c r="K113" s="1309"/>
      <c r="L113" s="1309"/>
      <c r="M113" s="1309"/>
      <c r="N113" s="1309"/>
      <c r="O113" s="1309"/>
      <c r="P113" s="1309"/>
      <c r="Q113" s="1309"/>
      <c r="R113" s="1309"/>
      <c r="S113" s="1309"/>
      <c r="T113" s="1309"/>
      <c r="U113" s="1309"/>
      <c r="V113" s="1309"/>
      <c r="W113" s="1309"/>
      <c r="X113" s="1309"/>
      <c r="Y113" s="1309"/>
      <c r="Z113" s="1309"/>
      <c r="AA113" s="1309"/>
      <c r="AB113" s="1309"/>
      <c r="AC113" s="1309"/>
      <c r="AD113" s="1309"/>
      <c r="AE113" s="1309"/>
      <c r="AF113" s="1309"/>
      <c r="AG113" s="1310"/>
      <c r="AH113" s="1437"/>
      <c r="AI113" s="1289"/>
      <c r="AJ113" s="1289"/>
      <c r="AK113" s="1289"/>
      <c r="AL113" s="1289"/>
      <c r="AM113" s="1289"/>
      <c r="AN113" s="1289"/>
      <c r="AO113" s="1289"/>
      <c r="AP113" s="1289"/>
      <c r="AQ113" s="1289"/>
      <c r="AR113" s="1289"/>
      <c r="AS113" s="1289"/>
      <c r="AT113" s="1289"/>
      <c r="AU113" s="1289"/>
      <c r="AV113" s="1289"/>
      <c r="AW113" s="1289"/>
      <c r="AX113" s="1289"/>
      <c r="AY113" s="1289"/>
      <c r="AZ113" s="1289"/>
      <c r="BA113" s="1289"/>
      <c r="BB113" s="1289"/>
      <c r="BC113" s="1289"/>
      <c r="BD113" s="1289"/>
      <c r="BE113" s="1289"/>
      <c r="BF113" s="1289"/>
      <c r="BG113" s="1289"/>
      <c r="BH113" s="1289"/>
      <c r="BI113" s="1289"/>
      <c r="BJ113" s="1289"/>
      <c r="BK113" s="1289"/>
      <c r="BL113" s="1289"/>
      <c r="BM113" s="1289"/>
      <c r="BN113" s="1289"/>
      <c r="BO113" s="1438"/>
      <c r="BP113" s="1289"/>
      <c r="BQ113" s="1289"/>
      <c r="BR113" s="1289"/>
      <c r="BS113" s="1289"/>
      <c r="BT113" s="1289"/>
      <c r="BU113" s="1289"/>
      <c r="BV113" s="1289"/>
      <c r="BW113" s="1289"/>
      <c r="BX113" s="1289"/>
      <c r="BY113" s="1289"/>
      <c r="BZ113" s="1289"/>
      <c r="CA113" s="1289"/>
      <c r="CB113" s="1289"/>
      <c r="CC113" s="1289"/>
      <c r="CD113" s="1289"/>
      <c r="CE113" s="1289"/>
      <c r="CF113" s="1289"/>
      <c r="CG113" s="1289"/>
      <c r="CH113" s="1289"/>
      <c r="CI113" s="1289"/>
      <c r="CJ113" s="1289"/>
      <c r="CK113" s="1289"/>
      <c r="CL113" s="1289"/>
      <c r="CM113" s="1289"/>
      <c r="CN113" s="1289"/>
      <c r="CO113" s="1289"/>
      <c r="CP113" s="1289"/>
      <c r="CQ113" s="1289"/>
      <c r="CR113" s="1289"/>
      <c r="CS113" s="1289"/>
      <c r="CT113" s="1289"/>
      <c r="CU113" s="1289"/>
      <c r="CV113" s="5"/>
      <c r="CY113" s="6">
        <f>CY111+1</f>
        <v>42</v>
      </c>
    </row>
    <row r="114" spans="1:105" ht="12" customHeight="1" x14ac:dyDescent="0.2">
      <c r="A114" s="5"/>
      <c r="B114" s="1308"/>
      <c r="C114" s="1309"/>
      <c r="D114" s="1309"/>
      <c r="E114" s="1309"/>
      <c r="F114" s="1309"/>
      <c r="G114" s="1309"/>
      <c r="H114" s="1309"/>
      <c r="I114" s="1309"/>
      <c r="J114" s="1309"/>
      <c r="K114" s="1309"/>
      <c r="L114" s="1309"/>
      <c r="M114" s="1309"/>
      <c r="N114" s="1309"/>
      <c r="O114" s="1309"/>
      <c r="P114" s="1309"/>
      <c r="Q114" s="1309"/>
      <c r="R114" s="1309"/>
      <c r="S114" s="1309"/>
      <c r="T114" s="1309"/>
      <c r="U114" s="1309"/>
      <c r="V114" s="1309"/>
      <c r="W114" s="1309"/>
      <c r="X114" s="1309"/>
      <c r="Y114" s="1309"/>
      <c r="Z114" s="1309"/>
      <c r="AA114" s="1309"/>
      <c r="AB114" s="1309"/>
      <c r="AC114" s="1309"/>
      <c r="AD114" s="1309"/>
      <c r="AE114" s="1309"/>
      <c r="AF114" s="1309"/>
      <c r="AG114" s="1310"/>
      <c r="AH114" s="1437"/>
      <c r="AI114" s="1288"/>
      <c r="AJ114" s="1288"/>
      <c r="AK114" s="1288"/>
      <c r="AL114" s="1288"/>
      <c r="AM114" s="1288"/>
      <c r="AN114" s="1288"/>
      <c r="AO114" s="1288"/>
      <c r="AP114" s="1288"/>
      <c r="AQ114" s="1288"/>
      <c r="AR114" s="1288"/>
      <c r="AS114" s="1288"/>
      <c r="AT114" s="1288"/>
      <c r="AU114" s="1288"/>
      <c r="AV114" s="1288"/>
      <c r="AW114" s="1288"/>
      <c r="AX114" s="1288"/>
      <c r="AY114" s="1288"/>
      <c r="AZ114" s="1288"/>
      <c r="BA114" s="1288"/>
      <c r="BB114" s="1288"/>
      <c r="BC114" s="1288"/>
      <c r="BD114" s="1288"/>
      <c r="BE114" s="1288"/>
      <c r="BF114" s="1288"/>
      <c r="BG114" s="1288"/>
      <c r="BH114" s="1288"/>
      <c r="BI114" s="1288"/>
      <c r="BJ114" s="1288"/>
      <c r="BK114" s="1288"/>
      <c r="BL114" s="1288"/>
      <c r="BM114" s="1288"/>
      <c r="BN114" s="1288"/>
      <c r="BO114" s="1438"/>
      <c r="BP114" s="1288"/>
      <c r="BQ114" s="1288"/>
      <c r="BR114" s="1288"/>
      <c r="BS114" s="1288"/>
      <c r="BT114" s="1288"/>
      <c r="BU114" s="1288"/>
      <c r="BV114" s="1288"/>
      <c r="BW114" s="1288"/>
      <c r="BX114" s="1288"/>
      <c r="BY114" s="1288"/>
      <c r="BZ114" s="1288"/>
      <c r="CA114" s="1288"/>
      <c r="CB114" s="1288"/>
      <c r="CC114" s="1288"/>
      <c r="CD114" s="1288"/>
      <c r="CE114" s="1288"/>
      <c r="CF114" s="1288"/>
      <c r="CG114" s="1288"/>
      <c r="CH114" s="1288"/>
      <c r="CI114" s="1288"/>
      <c r="CJ114" s="1288"/>
      <c r="CK114" s="1288"/>
      <c r="CL114" s="1288"/>
      <c r="CM114" s="1288"/>
      <c r="CN114" s="1288"/>
      <c r="CO114" s="1288"/>
      <c r="CP114" s="1288"/>
      <c r="CQ114" s="1288"/>
      <c r="CR114" s="1288"/>
      <c r="CS114" s="1288"/>
      <c r="CT114" s="1288"/>
      <c r="CU114" s="1288"/>
      <c r="CV114" s="5"/>
    </row>
    <row r="115" spans="1:105" ht="12" customHeight="1" x14ac:dyDescent="0.2">
      <c r="A115" s="5"/>
      <c r="B115" s="1308"/>
      <c r="C115" s="1309"/>
      <c r="D115" s="1309"/>
      <c r="E115" s="1309"/>
      <c r="F115" s="1309"/>
      <c r="G115" s="1309"/>
      <c r="H115" s="1309"/>
      <c r="I115" s="1309"/>
      <c r="J115" s="1309"/>
      <c r="K115" s="1309"/>
      <c r="L115" s="1309"/>
      <c r="M115" s="1309"/>
      <c r="N115" s="1309"/>
      <c r="O115" s="1309"/>
      <c r="P115" s="1309"/>
      <c r="Q115" s="1309"/>
      <c r="R115" s="1309"/>
      <c r="S115" s="1309"/>
      <c r="T115" s="1309"/>
      <c r="U115" s="1309"/>
      <c r="V115" s="1309"/>
      <c r="W115" s="1309"/>
      <c r="X115" s="1309"/>
      <c r="Y115" s="1309"/>
      <c r="Z115" s="1309"/>
      <c r="AA115" s="1309"/>
      <c r="AB115" s="1309"/>
      <c r="AC115" s="1309"/>
      <c r="AD115" s="1309"/>
      <c r="AE115" s="1309"/>
      <c r="AF115" s="1309"/>
      <c r="AG115" s="1310"/>
      <c r="AH115" s="1437"/>
      <c r="AI115" s="1289"/>
      <c r="AJ115" s="1289"/>
      <c r="AK115" s="1289"/>
      <c r="AL115" s="1289"/>
      <c r="AM115" s="1289"/>
      <c r="AN115" s="1289"/>
      <c r="AO115" s="1289"/>
      <c r="AP115" s="1289"/>
      <c r="AQ115" s="1289"/>
      <c r="AR115" s="1289"/>
      <c r="AS115" s="1289"/>
      <c r="AT115" s="1289"/>
      <c r="AU115" s="1289"/>
      <c r="AV115" s="1289"/>
      <c r="AW115" s="1289"/>
      <c r="AX115" s="1289"/>
      <c r="AY115" s="1289"/>
      <c r="AZ115" s="1289"/>
      <c r="BA115" s="1289"/>
      <c r="BB115" s="1289"/>
      <c r="BC115" s="1289"/>
      <c r="BD115" s="1289"/>
      <c r="BE115" s="1289"/>
      <c r="BF115" s="1289"/>
      <c r="BG115" s="1289"/>
      <c r="BH115" s="1289"/>
      <c r="BI115" s="1289"/>
      <c r="BJ115" s="1289"/>
      <c r="BK115" s="1289"/>
      <c r="BL115" s="1289"/>
      <c r="BM115" s="1289"/>
      <c r="BN115" s="1289"/>
      <c r="BO115" s="1438"/>
      <c r="BP115" s="1289"/>
      <c r="BQ115" s="1289"/>
      <c r="BR115" s="1289"/>
      <c r="BS115" s="1289"/>
      <c r="BT115" s="1289"/>
      <c r="BU115" s="1289"/>
      <c r="BV115" s="1289"/>
      <c r="BW115" s="1289"/>
      <c r="BX115" s="1289"/>
      <c r="BY115" s="1289"/>
      <c r="BZ115" s="1289"/>
      <c r="CA115" s="1289"/>
      <c r="CB115" s="1289"/>
      <c r="CC115" s="1289"/>
      <c r="CD115" s="1289"/>
      <c r="CE115" s="1289"/>
      <c r="CF115" s="1289"/>
      <c r="CG115" s="1289"/>
      <c r="CH115" s="1289"/>
      <c r="CI115" s="1289"/>
      <c r="CJ115" s="1289"/>
      <c r="CK115" s="1289"/>
      <c r="CL115" s="1289"/>
      <c r="CM115" s="1289"/>
      <c r="CN115" s="1289"/>
      <c r="CO115" s="1289"/>
      <c r="CP115" s="1289"/>
      <c r="CQ115" s="1289"/>
      <c r="CR115" s="1289"/>
      <c r="CS115" s="1289"/>
      <c r="CT115" s="1289"/>
      <c r="CU115" s="1289"/>
      <c r="CV115" s="5"/>
      <c r="CY115" s="6">
        <f>CY113+1</f>
        <v>43</v>
      </c>
    </row>
    <row r="116" spans="1:105" ht="12" customHeight="1" x14ac:dyDescent="0.2">
      <c r="A116" s="5"/>
      <c r="B116" s="1308"/>
      <c r="C116" s="1309"/>
      <c r="D116" s="1309"/>
      <c r="E116" s="1309"/>
      <c r="F116" s="1309"/>
      <c r="G116" s="1309"/>
      <c r="H116" s="1309"/>
      <c r="I116" s="1309"/>
      <c r="J116" s="1309"/>
      <c r="K116" s="1309"/>
      <c r="L116" s="1309"/>
      <c r="M116" s="1309"/>
      <c r="N116" s="1309"/>
      <c r="O116" s="1309"/>
      <c r="P116" s="1309"/>
      <c r="Q116" s="1309"/>
      <c r="R116" s="1309"/>
      <c r="S116" s="1309"/>
      <c r="T116" s="1309"/>
      <c r="U116" s="1309"/>
      <c r="V116" s="1309"/>
      <c r="W116" s="1309"/>
      <c r="X116" s="1309"/>
      <c r="Y116" s="1309"/>
      <c r="Z116" s="1309"/>
      <c r="AA116" s="1309"/>
      <c r="AB116" s="1309"/>
      <c r="AC116" s="1309"/>
      <c r="AD116" s="1309"/>
      <c r="AE116" s="1309"/>
      <c r="AF116" s="1309"/>
      <c r="AG116" s="1310"/>
      <c r="AH116" s="1437"/>
      <c r="AI116" s="1288"/>
      <c r="AJ116" s="1288"/>
      <c r="AK116" s="1288"/>
      <c r="AL116" s="1288"/>
      <c r="AM116" s="1288"/>
      <c r="AN116" s="1288"/>
      <c r="AO116" s="1288"/>
      <c r="AP116" s="1288"/>
      <c r="AQ116" s="1288"/>
      <c r="AR116" s="1288"/>
      <c r="AS116" s="1288"/>
      <c r="AT116" s="1288"/>
      <c r="AU116" s="1288"/>
      <c r="AV116" s="1288"/>
      <c r="AW116" s="1288"/>
      <c r="AX116" s="1288"/>
      <c r="AY116" s="1288"/>
      <c r="AZ116" s="1288"/>
      <c r="BA116" s="1288"/>
      <c r="BB116" s="1288"/>
      <c r="BC116" s="1288"/>
      <c r="BD116" s="1288"/>
      <c r="BE116" s="1288"/>
      <c r="BF116" s="1288"/>
      <c r="BG116" s="1288"/>
      <c r="BH116" s="1288"/>
      <c r="BI116" s="1288"/>
      <c r="BJ116" s="1288"/>
      <c r="BK116" s="1288"/>
      <c r="BL116" s="1288"/>
      <c r="BM116" s="1288"/>
      <c r="BN116" s="1288"/>
      <c r="BO116" s="1438"/>
      <c r="BP116" s="1288"/>
      <c r="BQ116" s="1288"/>
      <c r="BR116" s="1288"/>
      <c r="BS116" s="1288"/>
      <c r="BT116" s="1288"/>
      <c r="BU116" s="1288"/>
      <c r="BV116" s="1288"/>
      <c r="BW116" s="1288"/>
      <c r="BX116" s="1288"/>
      <c r="BY116" s="1288"/>
      <c r="BZ116" s="1288"/>
      <c r="CA116" s="1288"/>
      <c r="CB116" s="1288"/>
      <c r="CC116" s="1288"/>
      <c r="CD116" s="1288"/>
      <c r="CE116" s="1288"/>
      <c r="CF116" s="1288"/>
      <c r="CG116" s="1288"/>
      <c r="CH116" s="1288"/>
      <c r="CI116" s="1288"/>
      <c r="CJ116" s="1288"/>
      <c r="CK116" s="1288"/>
      <c r="CL116" s="1288"/>
      <c r="CM116" s="1288"/>
      <c r="CN116" s="1288"/>
      <c r="CO116" s="1288"/>
      <c r="CP116" s="1288"/>
      <c r="CQ116" s="1288"/>
      <c r="CR116" s="1288"/>
      <c r="CS116" s="1288"/>
      <c r="CT116" s="1288"/>
      <c r="CU116" s="1288"/>
      <c r="CV116" s="5"/>
    </row>
    <row r="117" spans="1:105" ht="12" customHeight="1" x14ac:dyDescent="0.2">
      <c r="A117" s="5"/>
      <c r="B117" s="1308"/>
      <c r="C117" s="1309"/>
      <c r="D117" s="1309"/>
      <c r="E117" s="1309"/>
      <c r="F117" s="1309"/>
      <c r="G117" s="1309"/>
      <c r="H117" s="1309"/>
      <c r="I117" s="1309"/>
      <c r="J117" s="1309"/>
      <c r="K117" s="1309"/>
      <c r="L117" s="1309"/>
      <c r="M117" s="1309"/>
      <c r="N117" s="1309"/>
      <c r="O117" s="1309"/>
      <c r="P117" s="1309"/>
      <c r="Q117" s="1309"/>
      <c r="R117" s="1309"/>
      <c r="S117" s="1309"/>
      <c r="T117" s="1309"/>
      <c r="U117" s="1309"/>
      <c r="V117" s="1309"/>
      <c r="W117" s="1309"/>
      <c r="X117" s="1309"/>
      <c r="Y117" s="1309"/>
      <c r="Z117" s="1309"/>
      <c r="AA117" s="1309"/>
      <c r="AB117" s="1309"/>
      <c r="AC117" s="1309"/>
      <c r="AD117" s="1309"/>
      <c r="AE117" s="1309"/>
      <c r="AF117" s="1309"/>
      <c r="AG117" s="1310"/>
      <c r="AH117" s="1437"/>
      <c r="AI117" s="1289"/>
      <c r="AJ117" s="1289"/>
      <c r="AK117" s="1289"/>
      <c r="AL117" s="1289"/>
      <c r="AM117" s="1289"/>
      <c r="AN117" s="1289"/>
      <c r="AO117" s="1289"/>
      <c r="AP117" s="1289"/>
      <c r="AQ117" s="1289"/>
      <c r="AR117" s="1289"/>
      <c r="AS117" s="1289"/>
      <c r="AT117" s="1289"/>
      <c r="AU117" s="1289"/>
      <c r="AV117" s="1289"/>
      <c r="AW117" s="1289"/>
      <c r="AX117" s="1289"/>
      <c r="AY117" s="1289"/>
      <c r="AZ117" s="1289"/>
      <c r="BA117" s="1289"/>
      <c r="BB117" s="1289"/>
      <c r="BC117" s="1289"/>
      <c r="BD117" s="1289"/>
      <c r="BE117" s="1289"/>
      <c r="BF117" s="1289"/>
      <c r="BG117" s="1289"/>
      <c r="BH117" s="1289"/>
      <c r="BI117" s="1289"/>
      <c r="BJ117" s="1289"/>
      <c r="BK117" s="1289"/>
      <c r="BL117" s="1289"/>
      <c r="BM117" s="1289"/>
      <c r="BN117" s="1289"/>
      <c r="BO117" s="1438"/>
      <c r="BP117" s="1289"/>
      <c r="BQ117" s="1289"/>
      <c r="BR117" s="1289"/>
      <c r="BS117" s="1289"/>
      <c r="BT117" s="1289"/>
      <c r="BU117" s="1289"/>
      <c r="BV117" s="1289"/>
      <c r="BW117" s="1289"/>
      <c r="BX117" s="1289"/>
      <c r="BY117" s="1289"/>
      <c r="BZ117" s="1289"/>
      <c r="CA117" s="1289"/>
      <c r="CB117" s="1289"/>
      <c r="CC117" s="1289"/>
      <c r="CD117" s="1289"/>
      <c r="CE117" s="1289"/>
      <c r="CF117" s="1289"/>
      <c r="CG117" s="1289"/>
      <c r="CH117" s="1289"/>
      <c r="CI117" s="1289"/>
      <c r="CJ117" s="1289"/>
      <c r="CK117" s="1289"/>
      <c r="CL117" s="1289"/>
      <c r="CM117" s="1289"/>
      <c r="CN117" s="1289"/>
      <c r="CO117" s="1289"/>
      <c r="CP117" s="1289"/>
      <c r="CQ117" s="1289"/>
      <c r="CR117" s="1289"/>
      <c r="CS117" s="1289"/>
      <c r="CT117" s="1289"/>
      <c r="CU117" s="1289"/>
      <c r="CV117" s="5"/>
      <c r="CY117" s="6">
        <f>CY115+1</f>
        <v>44</v>
      </c>
    </row>
    <row r="118" spans="1:105" ht="12" customHeight="1" x14ac:dyDescent="0.2">
      <c r="A118" s="5"/>
      <c r="B118" s="1308"/>
      <c r="C118" s="1309"/>
      <c r="D118" s="1309"/>
      <c r="E118" s="1309"/>
      <c r="F118" s="1309"/>
      <c r="G118" s="1309"/>
      <c r="H118" s="1309"/>
      <c r="I118" s="1309"/>
      <c r="J118" s="1309"/>
      <c r="K118" s="1309"/>
      <c r="L118" s="1309"/>
      <c r="M118" s="1309"/>
      <c r="N118" s="1309"/>
      <c r="O118" s="1309"/>
      <c r="P118" s="1309"/>
      <c r="Q118" s="1309"/>
      <c r="R118" s="1309"/>
      <c r="S118" s="1309"/>
      <c r="T118" s="1309"/>
      <c r="U118" s="1309"/>
      <c r="V118" s="1309"/>
      <c r="W118" s="1309"/>
      <c r="X118" s="1309"/>
      <c r="Y118" s="1309"/>
      <c r="Z118" s="1309"/>
      <c r="AA118" s="1309"/>
      <c r="AB118" s="1309"/>
      <c r="AC118" s="1309"/>
      <c r="AD118" s="1309"/>
      <c r="AE118" s="1309"/>
      <c r="AF118" s="1309"/>
      <c r="AG118" s="1310"/>
      <c r="AH118" s="1437"/>
      <c r="AI118" s="1288"/>
      <c r="AJ118" s="1288"/>
      <c r="AK118" s="1288"/>
      <c r="AL118" s="1288"/>
      <c r="AM118" s="1288"/>
      <c r="AN118" s="1288"/>
      <c r="AO118" s="1288"/>
      <c r="AP118" s="1288"/>
      <c r="AQ118" s="1288"/>
      <c r="AR118" s="1288"/>
      <c r="AS118" s="1288"/>
      <c r="AT118" s="1288"/>
      <c r="AU118" s="1288"/>
      <c r="AV118" s="1288"/>
      <c r="AW118" s="1288"/>
      <c r="AX118" s="1288"/>
      <c r="AY118" s="1288"/>
      <c r="AZ118" s="1288"/>
      <c r="BA118" s="1288"/>
      <c r="BB118" s="1288"/>
      <c r="BC118" s="1288"/>
      <c r="BD118" s="1288"/>
      <c r="BE118" s="1288"/>
      <c r="BF118" s="1288"/>
      <c r="BG118" s="1288"/>
      <c r="BH118" s="1288"/>
      <c r="BI118" s="1288"/>
      <c r="BJ118" s="1288"/>
      <c r="BK118" s="1288"/>
      <c r="BL118" s="1288"/>
      <c r="BM118" s="1288"/>
      <c r="BN118" s="1288"/>
      <c r="BO118" s="1438"/>
      <c r="BP118" s="1288"/>
      <c r="BQ118" s="1288"/>
      <c r="BR118" s="1288"/>
      <c r="BS118" s="1288"/>
      <c r="BT118" s="1288"/>
      <c r="BU118" s="1288"/>
      <c r="BV118" s="1288"/>
      <c r="BW118" s="1288"/>
      <c r="BX118" s="1288"/>
      <c r="BY118" s="1288"/>
      <c r="BZ118" s="1288"/>
      <c r="CA118" s="1288"/>
      <c r="CB118" s="1288"/>
      <c r="CC118" s="1288"/>
      <c r="CD118" s="1288"/>
      <c r="CE118" s="1288"/>
      <c r="CF118" s="1288"/>
      <c r="CG118" s="1288"/>
      <c r="CH118" s="1288"/>
      <c r="CI118" s="1288"/>
      <c r="CJ118" s="1288"/>
      <c r="CK118" s="1288"/>
      <c r="CL118" s="1288"/>
      <c r="CM118" s="1288"/>
      <c r="CN118" s="1288"/>
      <c r="CO118" s="1288"/>
      <c r="CP118" s="1288"/>
      <c r="CQ118" s="1288"/>
      <c r="CR118" s="1288"/>
      <c r="CS118" s="1288"/>
      <c r="CT118" s="1288"/>
      <c r="CU118" s="1288"/>
      <c r="CV118" s="5"/>
    </row>
    <row r="119" spans="1:105" ht="12" customHeight="1" x14ac:dyDescent="0.2">
      <c r="A119" s="5"/>
      <c r="B119" s="1308"/>
      <c r="C119" s="1309"/>
      <c r="D119" s="1309"/>
      <c r="E119" s="1309"/>
      <c r="F119" s="1309"/>
      <c r="G119" s="1309"/>
      <c r="H119" s="1309"/>
      <c r="I119" s="1309"/>
      <c r="J119" s="1309"/>
      <c r="K119" s="1309"/>
      <c r="L119" s="1309"/>
      <c r="M119" s="1309"/>
      <c r="N119" s="1309"/>
      <c r="O119" s="1309"/>
      <c r="P119" s="1309"/>
      <c r="Q119" s="1309"/>
      <c r="R119" s="1309"/>
      <c r="S119" s="1309"/>
      <c r="T119" s="1309"/>
      <c r="U119" s="1309"/>
      <c r="V119" s="1309"/>
      <c r="W119" s="1309"/>
      <c r="X119" s="1309"/>
      <c r="Y119" s="1309"/>
      <c r="Z119" s="1309"/>
      <c r="AA119" s="1309"/>
      <c r="AB119" s="1309"/>
      <c r="AC119" s="1309"/>
      <c r="AD119" s="1309"/>
      <c r="AE119" s="1309"/>
      <c r="AF119" s="1309"/>
      <c r="AG119" s="1310"/>
      <c r="AH119" s="1437"/>
      <c r="AI119" s="1289"/>
      <c r="AJ119" s="1289"/>
      <c r="AK119" s="1289"/>
      <c r="AL119" s="1289"/>
      <c r="AM119" s="1289"/>
      <c r="AN119" s="1289"/>
      <c r="AO119" s="1289"/>
      <c r="AP119" s="1289"/>
      <c r="AQ119" s="1289"/>
      <c r="AR119" s="1289"/>
      <c r="AS119" s="1289"/>
      <c r="AT119" s="1289"/>
      <c r="AU119" s="1289"/>
      <c r="AV119" s="1289"/>
      <c r="AW119" s="1289"/>
      <c r="AX119" s="1289"/>
      <c r="AY119" s="1289"/>
      <c r="AZ119" s="1289"/>
      <c r="BA119" s="1289"/>
      <c r="BB119" s="1289"/>
      <c r="BC119" s="1289"/>
      <c r="BD119" s="1289"/>
      <c r="BE119" s="1289"/>
      <c r="BF119" s="1289"/>
      <c r="BG119" s="1289"/>
      <c r="BH119" s="1289"/>
      <c r="BI119" s="1289"/>
      <c r="BJ119" s="1289"/>
      <c r="BK119" s="1289"/>
      <c r="BL119" s="1289"/>
      <c r="BM119" s="1289"/>
      <c r="BN119" s="1289"/>
      <c r="BO119" s="1438"/>
      <c r="BP119" s="1289"/>
      <c r="BQ119" s="1289"/>
      <c r="BR119" s="1289"/>
      <c r="BS119" s="1289"/>
      <c r="BT119" s="1289"/>
      <c r="BU119" s="1289"/>
      <c r="BV119" s="1289"/>
      <c r="BW119" s="1289"/>
      <c r="BX119" s="1289"/>
      <c r="BY119" s="1289"/>
      <c r="BZ119" s="1289"/>
      <c r="CA119" s="1289"/>
      <c r="CB119" s="1289"/>
      <c r="CC119" s="1289"/>
      <c r="CD119" s="1289"/>
      <c r="CE119" s="1289"/>
      <c r="CF119" s="1289"/>
      <c r="CG119" s="1289"/>
      <c r="CH119" s="1289"/>
      <c r="CI119" s="1289"/>
      <c r="CJ119" s="1289"/>
      <c r="CK119" s="1289"/>
      <c r="CL119" s="1289"/>
      <c r="CM119" s="1289"/>
      <c r="CN119" s="1289"/>
      <c r="CO119" s="1289"/>
      <c r="CP119" s="1289"/>
      <c r="CQ119" s="1289"/>
      <c r="CR119" s="1289"/>
      <c r="CS119" s="1289"/>
      <c r="CT119" s="1289"/>
      <c r="CU119" s="1289"/>
      <c r="CV119" s="5"/>
      <c r="CY119" s="6">
        <f>CY117+1</f>
        <v>45</v>
      </c>
    </row>
    <row r="120" spans="1:105" ht="12" customHeight="1" x14ac:dyDescent="0.2">
      <c r="A120" s="5"/>
      <c r="B120" s="1308"/>
      <c r="C120" s="1309"/>
      <c r="D120" s="1309"/>
      <c r="E120" s="1309"/>
      <c r="F120" s="1309"/>
      <c r="G120" s="1309"/>
      <c r="H120" s="1309"/>
      <c r="I120" s="1309"/>
      <c r="J120" s="1309"/>
      <c r="K120" s="1309"/>
      <c r="L120" s="1309"/>
      <c r="M120" s="1309"/>
      <c r="N120" s="1309"/>
      <c r="O120" s="1309"/>
      <c r="P120" s="1309"/>
      <c r="Q120" s="1309"/>
      <c r="R120" s="1309"/>
      <c r="S120" s="1309"/>
      <c r="T120" s="1309"/>
      <c r="U120" s="1309"/>
      <c r="V120" s="1309"/>
      <c r="W120" s="1309"/>
      <c r="X120" s="1309"/>
      <c r="Y120" s="1309"/>
      <c r="Z120" s="1309"/>
      <c r="AA120" s="1309"/>
      <c r="AB120" s="1309"/>
      <c r="AC120" s="1309"/>
      <c r="AD120" s="1309"/>
      <c r="AE120" s="1309"/>
      <c r="AF120" s="1309"/>
      <c r="AG120" s="1310"/>
      <c r="AH120" s="1437"/>
      <c r="AI120" s="1288"/>
      <c r="AJ120" s="1288"/>
      <c r="AK120" s="1288"/>
      <c r="AL120" s="1288"/>
      <c r="AM120" s="1288"/>
      <c r="AN120" s="1288"/>
      <c r="AO120" s="1288"/>
      <c r="AP120" s="1288"/>
      <c r="AQ120" s="1288"/>
      <c r="AR120" s="1288"/>
      <c r="AS120" s="1288"/>
      <c r="AT120" s="1288"/>
      <c r="AU120" s="1288"/>
      <c r="AV120" s="1288"/>
      <c r="AW120" s="1288"/>
      <c r="AX120" s="1288"/>
      <c r="AY120" s="1288"/>
      <c r="AZ120" s="1288"/>
      <c r="BA120" s="1288"/>
      <c r="BB120" s="1288"/>
      <c r="BC120" s="1288"/>
      <c r="BD120" s="1288"/>
      <c r="BE120" s="1288"/>
      <c r="BF120" s="1288"/>
      <c r="BG120" s="1288"/>
      <c r="BH120" s="1288"/>
      <c r="BI120" s="1288"/>
      <c r="BJ120" s="1288"/>
      <c r="BK120" s="1288"/>
      <c r="BL120" s="1288"/>
      <c r="BM120" s="1288"/>
      <c r="BN120" s="1288"/>
      <c r="BO120" s="1438"/>
      <c r="BP120" s="1288"/>
      <c r="BQ120" s="1288"/>
      <c r="BR120" s="1288"/>
      <c r="BS120" s="1288"/>
      <c r="BT120" s="1288"/>
      <c r="BU120" s="1288"/>
      <c r="BV120" s="1288"/>
      <c r="BW120" s="1288"/>
      <c r="BX120" s="1288"/>
      <c r="BY120" s="1288"/>
      <c r="BZ120" s="1288"/>
      <c r="CA120" s="1288"/>
      <c r="CB120" s="1288"/>
      <c r="CC120" s="1288"/>
      <c r="CD120" s="1288"/>
      <c r="CE120" s="1288"/>
      <c r="CF120" s="1288"/>
      <c r="CG120" s="1288"/>
      <c r="CH120" s="1288"/>
      <c r="CI120" s="1288"/>
      <c r="CJ120" s="1288"/>
      <c r="CK120" s="1288"/>
      <c r="CL120" s="1288"/>
      <c r="CM120" s="1288"/>
      <c r="CN120" s="1288"/>
      <c r="CO120" s="1288"/>
      <c r="CP120" s="1288"/>
      <c r="CQ120" s="1288"/>
      <c r="CR120" s="1288"/>
      <c r="CS120" s="1288"/>
      <c r="CT120" s="1288"/>
      <c r="CU120" s="1288"/>
      <c r="CV120" s="5"/>
    </row>
    <row r="121" spans="1:105" ht="12" customHeight="1" x14ac:dyDescent="0.2">
      <c r="A121" s="5"/>
      <c r="B121" s="1308"/>
      <c r="C121" s="1309"/>
      <c r="D121" s="1309"/>
      <c r="E121" s="1309"/>
      <c r="F121" s="1309"/>
      <c r="G121" s="1309"/>
      <c r="H121" s="1309"/>
      <c r="I121" s="1309"/>
      <c r="J121" s="1309"/>
      <c r="K121" s="1309"/>
      <c r="L121" s="1309"/>
      <c r="M121" s="1309"/>
      <c r="N121" s="1309"/>
      <c r="O121" s="1309"/>
      <c r="P121" s="1309"/>
      <c r="Q121" s="1309"/>
      <c r="R121" s="1309"/>
      <c r="S121" s="1309"/>
      <c r="T121" s="1309"/>
      <c r="U121" s="1309"/>
      <c r="V121" s="1309"/>
      <c r="W121" s="1309"/>
      <c r="X121" s="1309"/>
      <c r="Y121" s="1309"/>
      <c r="Z121" s="1309"/>
      <c r="AA121" s="1309"/>
      <c r="AB121" s="1309"/>
      <c r="AC121" s="1309"/>
      <c r="AD121" s="1309"/>
      <c r="AE121" s="1309"/>
      <c r="AF121" s="1309"/>
      <c r="AG121" s="1310"/>
      <c r="AH121" s="1437"/>
      <c r="AI121" s="1289"/>
      <c r="AJ121" s="1289"/>
      <c r="AK121" s="1289"/>
      <c r="AL121" s="1289"/>
      <c r="AM121" s="1289"/>
      <c r="AN121" s="1289"/>
      <c r="AO121" s="1289"/>
      <c r="AP121" s="1289"/>
      <c r="AQ121" s="1289"/>
      <c r="AR121" s="1289"/>
      <c r="AS121" s="1289"/>
      <c r="AT121" s="1289"/>
      <c r="AU121" s="1289"/>
      <c r="AV121" s="1289"/>
      <c r="AW121" s="1289"/>
      <c r="AX121" s="1289"/>
      <c r="AY121" s="1289"/>
      <c r="AZ121" s="1289"/>
      <c r="BA121" s="1289"/>
      <c r="BB121" s="1289"/>
      <c r="BC121" s="1289"/>
      <c r="BD121" s="1289"/>
      <c r="BE121" s="1289"/>
      <c r="BF121" s="1289"/>
      <c r="BG121" s="1289"/>
      <c r="BH121" s="1289"/>
      <c r="BI121" s="1289"/>
      <c r="BJ121" s="1289"/>
      <c r="BK121" s="1289"/>
      <c r="BL121" s="1289"/>
      <c r="BM121" s="1289"/>
      <c r="BN121" s="1289"/>
      <c r="BO121" s="1438"/>
      <c r="BP121" s="1289"/>
      <c r="BQ121" s="1289"/>
      <c r="BR121" s="1289"/>
      <c r="BS121" s="1289"/>
      <c r="BT121" s="1289"/>
      <c r="BU121" s="1289"/>
      <c r="BV121" s="1289"/>
      <c r="BW121" s="1289"/>
      <c r="BX121" s="1289"/>
      <c r="BY121" s="1289"/>
      <c r="BZ121" s="1289"/>
      <c r="CA121" s="1289"/>
      <c r="CB121" s="1289"/>
      <c r="CC121" s="1289"/>
      <c r="CD121" s="1289"/>
      <c r="CE121" s="1289"/>
      <c r="CF121" s="1289"/>
      <c r="CG121" s="1289"/>
      <c r="CH121" s="1289"/>
      <c r="CI121" s="1289"/>
      <c r="CJ121" s="1289"/>
      <c r="CK121" s="1289"/>
      <c r="CL121" s="1289"/>
      <c r="CM121" s="1289"/>
      <c r="CN121" s="1289"/>
      <c r="CO121" s="1289"/>
      <c r="CP121" s="1289"/>
      <c r="CQ121" s="1289"/>
      <c r="CR121" s="1289"/>
      <c r="CS121" s="1289"/>
      <c r="CT121" s="1289"/>
      <c r="CU121" s="1289"/>
      <c r="CV121" s="5"/>
      <c r="CY121" s="6">
        <f>CY119+1</f>
        <v>46</v>
      </c>
    </row>
    <row r="122" spans="1:105" ht="12" customHeight="1" x14ac:dyDescent="0.2">
      <c r="A122" s="5"/>
      <c r="B122" s="1308"/>
      <c r="C122" s="1309"/>
      <c r="D122" s="1309"/>
      <c r="E122" s="1309"/>
      <c r="F122" s="1309"/>
      <c r="G122" s="1309"/>
      <c r="H122" s="1309"/>
      <c r="I122" s="1309"/>
      <c r="J122" s="1309"/>
      <c r="K122" s="1309"/>
      <c r="L122" s="1309"/>
      <c r="M122" s="1309"/>
      <c r="N122" s="1309"/>
      <c r="O122" s="1309"/>
      <c r="P122" s="1309"/>
      <c r="Q122" s="1309"/>
      <c r="R122" s="1309"/>
      <c r="S122" s="1309"/>
      <c r="T122" s="1309"/>
      <c r="U122" s="1309"/>
      <c r="V122" s="1309"/>
      <c r="W122" s="1309"/>
      <c r="X122" s="1309"/>
      <c r="Y122" s="1309"/>
      <c r="Z122" s="1309"/>
      <c r="AA122" s="1309"/>
      <c r="AB122" s="1309"/>
      <c r="AC122" s="1309"/>
      <c r="AD122" s="1309"/>
      <c r="AE122" s="1309"/>
      <c r="AF122" s="1309"/>
      <c r="AG122" s="1310"/>
      <c r="AH122" s="1437"/>
      <c r="AI122" s="1288"/>
      <c r="AJ122" s="1288"/>
      <c r="AK122" s="1288"/>
      <c r="AL122" s="1288"/>
      <c r="AM122" s="1288"/>
      <c r="AN122" s="1288"/>
      <c r="AO122" s="1288"/>
      <c r="AP122" s="1288"/>
      <c r="AQ122" s="1288"/>
      <c r="AR122" s="1288"/>
      <c r="AS122" s="1288"/>
      <c r="AT122" s="1288"/>
      <c r="AU122" s="1288"/>
      <c r="AV122" s="1288"/>
      <c r="AW122" s="1288"/>
      <c r="AX122" s="1288"/>
      <c r="AY122" s="1288"/>
      <c r="AZ122" s="1288"/>
      <c r="BA122" s="1288"/>
      <c r="BB122" s="1288"/>
      <c r="BC122" s="1288"/>
      <c r="BD122" s="1288"/>
      <c r="BE122" s="1288"/>
      <c r="BF122" s="1288"/>
      <c r="BG122" s="1288"/>
      <c r="BH122" s="1288"/>
      <c r="BI122" s="1288"/>
      <c r="BJ122" s="1288"/>
      <c r="BK122" s="1288"/>
      <c r="BL122" s="1288"/>
      <c r="BM122" s="1288"/>
      <c r="BN122" s="1288"/>
      <c r="BO122" s="1438"/>
      <c r="BP122" s="1288"/>
      <c r="BQ122" s="1288"/>
      <c r="BR122" s="1288"/>
      <c r="BS122" s="1288"/>
      <c r="BT122" s="1288"/>
      <c r="BU122" s="1288"/>
      <c r="BV122" s="1288"/>
      <c r="BW122" s="1288"/>
      <c r="BX122" s="1288"/>
      <c r="BY122" s="1288"/>
      <c r="BZ122" s="1288"/>
      <c r="CA122" s="1288"/>
      <c r="CB122" s="1288"/>
      <c r="CC122" s="1288"/>
      <c r="CD122" s="1288"/>
      <c r="CE122" s="1288"/>
      <c r="CF122" s="1288"/>
      <c r="CG122" s="1288"/>
      <c r="CH122" s="1288"/>
      <c r="CI122" s="1288"/>
      <c r="CJ122" s="1288"/>
      <c r="CK122" s="1288"/>
      <c r="CL122" s="1288"/>
      <c r="CM122" s="1288"/>
      <c r="CN122" s="1288"/>
      <c r="CO122" s="1288"/>
      <c r="CP122" s="1288"/>
      <c r="CQ122" s="1288"/>
      <c r="CR122" s="1288"/>
      <c r="CS122" s="1288"/>
      <c r="CT122" s="1288"/>
      <c r="CU122" s="1288"/>
      <c r="CV122" s="5"/>
    </row>
    <row r="123" spans="1:105" ht="12" customHeight="1" x14ac:dyDescent="0.2">
      <c r="A123" s="5"/>
      <c r="B123" s="1308"/>
      <c r="C123" s="1309"/>
      <c r="D123" s="1309"/>
      <c r="E123" s="1309"/>
      <c r="F123" s="1309"/>
      <c r="G123" s="1309"/>
      <c r="H123" s="1309"/>
      <c r="I123" s="1309"/>
      <c r="J123" s="1309"/>
      <c r="K123" s="1309"/>
      <c r="L123" s="1309"/>
      <c r="M123" s="1309"/>
      <c r="N123" s="1309"/>
      <c r="O123" s="1309"/>
      <c r="P123" s="1309"/>
      <c r="Q123" s="1309"/>
      <c r="R123" s="1309"/>
      <c r="S123" s="1309"/>
      <c r="T123" s="1309"/>
      <c r="U123" s="1309"/>
      <c r="V123" s="1309"/>
      <c r="W123" s="1309"/>
      <c r="X123" s="1309"/>
      <c r="Y123" s="1309"/>
      <c r="Z123" s="1309"/>
      <c r="AA123" s="1309"/>
      <c r="AB123" s="1309"/>
      <c r="AC123" s="1309"/>
      <c r="AD123" s="1309"/>
      <c r="AE123" s="1309"/>
      <c r="AF123" s="1309"/>
      <c r="AG123" s="1310"/>
      <c r="AH123" s="1437"/>
      <c r="AI123" s="1289"/>
      <c r="AJ123" s="1289"/>
      <c r="AK123" s="1289"/>
      <c r="AL123" s="1289"/>
      <c r="AM123" s="1289"/>
      <c r="AN123" s="1289"/>
      <c r="AO123" s="1289"/>
      <c r="AP123" s="1289"/>
      <c r="AQ123" s="1289"/>
      <c r="AR123" s="1289"/>
      <c r="AS123" s="1289"/>
      <c r="AT123" s="1289"/>
      <c r="AU123" s="1289"/>
      <c r="AV123" s="1289"/>
      <c r="AW123" s="1289"/>
      <c r="AX123" s="1289"/>
      <c r="AY123" s="1289"/>
      <c r="AZ123" s="1289"/>
      <c r="BA123" s="1289"/>
      <c r="BB123" s="1289"/>
      <c r="BC123" s="1289"/>
      <c r="BD123" s="1289"/>
      <c r="BE123" s="1289"/>
      <c r="BF123" s="1289"/>
      <c r="BG123" s="1289"/>
      <c r="BH123" s="1289"/>
      <c r="BI123" s="1289"/>
      <c r="BJ123" s="1289"/>
      <c r="BK123" s="1289"/>
      <c r="BL123" s="1289"/>
      <c r="BM123" s="1289"/>
      <c r="BN123" s="1289"/>
      <c r="BO123" s="1438"/>
      <c r="BP123" s="1289"/>
      <c r="BQ123" s="1289"/>
      <c r="BR123" s="1289"/>
      <c r="BS123" s="1289"/>
      <c r="BT123" s="1289"/>
      <c r="BU123" s="1289"/>
      <c r="BV123" s="1289"/>
      <c r="BW123" s="1289"/>
      <c r="BX123" s="1289"/>
      <c r="BY123" s="1289"/>
      <c r="BZ123" s="1289"/>
      <c r="CA123" s="1289"/>
      <c r="CB123" s="1289"/>
      <c r="CC123" s="1289"/>
      <c r="CD123" s="1289"/>
      <c r="CE123" s="1289"/>
      <c r="CF123" s="1289"/>
      <c r="CG123" s="1289"/>
      <c r="CH123" s="1289"/>
      <c r="CI123" s="1289"/>
      <c r="CJ123" s="1289"/>
      <c r="CK123" s="1289"/>
      <c r="CL123" s="1289"/>
      <c r="CM123" s="1289"/>
      <c r="CN123" s="1289"/>
      <c r="CO123" s="1289"/>
      <c r="CP123" s="1289"/>
      <c r="CQ123" s="1289"/>
      <c r="CR123" s="1289"/>
      <c r="CS123" s="1289"/>
      <c r="CT123" s="1289"/>
      <c r="CU123" s="1289"/>
      <c r="CV123" s="5"/>
      <c r="CY123" s="6">
        <f>CY121+1</f>
        <v>47</v>
      </c>
    </row>
    <row r="124" spans="1:105" ht="12" customHeight="1" x14ac:dyDescent="0.2">
      <c r="A124" s="5"/>
      <c r="B124" s="1308"/>
      <c r="C124" s="1309"/>
      <c r="D124" s="1309"/>
      <c r="E124" s="1309"/>
      <c r="F124" s="1309"/>
      <c r="G124" s="1309"/>
      <c r="H124" s="1309"/>
      <c r="I124" s="1309"/>
      <c r="J124" s="1309"/>
      <c r="K124" s="1309"/>
      <c r="L124" s="1309"/>
      <c r="M124" s="1309"/>
      <c r="N124" s="1309"/>
      <c r="O124" s="1309"/>
      <c r="P124" s="1309"/>
      <c r="Q124" s="1309"/>
      <c r="R124" s="1309"/>
      <c r="S124" s="1309"/>
      <c r="T124" s="1309"/>
      <c r="U124" s="1309"/>
      <c r="V124" s="1309"/>
      <c r="W124" s="1309"/>
      <c r="X124" s="1309"/>
      <c r="Y124" s="1309"/>
      <c r="Z124" s="1309"/>
      <c r="AA124" s="1309"/>
      <c r="AB124" s="1309"/>
      <c r="AC124" s="1309"/>
      <c r="AD124" s="1309"/>
      <c r="AE124" s="1309"/>
      <c r="AF124" s="1309"/>
      <c r="AG124" s="1310"/>
      <c r="AH124" s="1437"/>
      <c r="AI124" s="1288"/>
      <c r="AJ124" s="1288"/>
      <c r="AK124" s="1288"/>
      <c r="AL124" s="1288"/>
      <c r="AM124" s="1288"/>
      <c r="AN124" s="1288"/>
      <c r="AO124" s="1288"/>
      <c r="AP124" s="1288"/>
      <c r="AQ124" s="1288"/>
      <c r="AR124" s="1288"/>
      <c r="AS124" s="1288"/>
      <c r="AT124" s="1288"/>
      <c r="AU124" s="1288"/>
      <c r="AV124" s="1288"/>
      <c r="AW124" s="1288"/>
      <c r="AX124" s="1288"/>
      <c r="AY124" s="1288"/>
      <c r="AZ124" s="1288"/>
      <c r="BA124" s="1288"/>
      <c r="BB124" s="1288"/>
      <c r="BC124" s="1288"/>
      <c r="BD124" s="1288"/>
      <c r="BE124" s="1288"/>
      <c r="BF124" s="1288"/>
      <c r="BG124" s="1288"/>
      <c r="BH124" s="1288"/>
      <c r="BI124" s="1288"/>
      <c r="BJ124" s="1288"/>
      <c r="BK124" s="1288"/>
      <c r="BL124" s="1288"/>
      <c r="BM124" s="1288"/>
      <c r="BN124" s="1288"/>
      <c r="BO124" s="1438"/>
      <c r="BP124" s="1288"/>
      <c r="BQ124" s="1288"/>
      <c r="BR124" s="1288"/>
      <c r="BS124" s="1288"/>
      <c r="BT124" s="1288"/>
      <c r="BU124" s="1288"/>
      <c r="BV124" s="1288"/>
      <c r="BW124" s="1288"/>
      <c r="BX124" s="1288"/>
      <c r="BY124" s="1288"/>
      <c r="BZ124" s="1288"/>
      <c r="CA124" s="1288"/>
      <c r="CB124" s="1288"/>
      <c r="CC124" s="1288"/>
      <c r="CD124" s="1288"/>
      <c r="CE124" s="1288"/>
      <c r="CF124" s="1288"/>
      <c r="CG124" s="1288"/>
      <c r="CH124" s="1288"/>
      <c r="CI124" s="1288"/>
      <c r="CJ124" s="1288"/>
      <c r="CK124" s="1288"/>
      <c r="CL124" s="1288"/>
      <c r="CM124" s="1288"/>
      <c r="CN124" s="1288"/>
      <c r="CO124" s="1288"/>
      <c r="CP124" s="1288"/>
      <c r="CQ124" s="1288"/>
      <c r="CR124" s="1288"/>
      <c r="CS124" s="1288"/>
      <c r="CT124" s="1288"/>
      <c r="CU124" s="1288"/>
      <c r="CV124" s="5"/>
    </row>
    <row r="125" spans="1:105" ht="12" customHeight="1" x14ac:dyDescent="0.2">
      <c r="A125" s="5"/>
      <c r="B125" s="1308"/>
      <c r="C125" s="1309"/>
      <c r="D125" s="1309"/>
      <c r="E125" s="1309"/>
      <c r="F125" s="1309"/>
      <c r="G125" s="1309"/>
      <c r="H125" s="1309"/>
      <c r="I125" s="1309"/>
      <c r="J125" s="1309"/>
      <c r="K125" s="1309"/>
      <c r="L125" s="1309"/>
      <c r="M125" s="1309"/>
      <c r="N125" s="1309"/>
      <c r="O125" s="1309"/>
      <c r="P125" s="1309"/>
      <c r="Q125" s="1309"/>
      <c r="R125" s="1309"/>
      <c r="S125" s="1309"/>
      <c r="T125" s="1309"/>
      <c r="U125" s="1309"/>
      <c r="V125" s="1309"/>
      <c r="W125" s="1309"/>
      <c r="X125" s="1309"/>
      <c r="Y125" s="1309"/>
      <c r="Z125" s="1309"/>
      <c r="AA125" s="1309"/>
      <c r="AB125" s="1309"/>
      <c r="AC125" s="1309"/>
      <c r="AD125" s="1309"/>
      <c r="AE125" s="1309"/>
      <c r="AF125" s="1309"/>
      <c r="AG125" s="1310"/>
      <c r="AH125" s="1437"/>
      <c r="AI125" s="1289"/>
      <c r="AJ125" s="1289"/>
      <c r="AK125" s="1289"/>
      <c r="AL125" s="1289"/>
      <c r="AM125" s="1289"/>
      <c r="AN125" s="1289"/>
      <c r="AO125" s="1289"/>
      <c r="AP125" s="1289"/>
      <c r="AQ125" s="1289"/>
      <c r="AR125" s="1289"/>
      <c r="AS125" s="1289"/>
      <c r="AT125" s="1289"/>
      <c r="AU125" s="1289"/>
      <c r="AV125" s="1289"/>
      <c r="AW125" s="1289"/>
      <c r="AX125" s="1289"/>
      <c r="AY125" s="1289"/>
      <c r="AZ125" s="1289"/>
      <c r="BA125" s="1289"/>
      <c r="BB125" s="1289"/>
      <c r="BC125" s="1289"/>
      <c r="BD125" s="1289"/>
      <c r="BE125" s="1289"/>
      <c r="BF125" s="1289"/>
      <c r="BG125" s="1289"/>
      <c r="BH125" s="1289"/>
      <c r="BI125" s="1289"/>
      <c r="BJ125" s="1289"/>
      <c r="BK125" s="1289"/>
      <c r="BL125" s="1289"/>
      <c r="BM125" s="1289"/>
      <c r="BN125" s="1289"/>
      <c r="BO125" s="1438"/>
      <c r="BP125" s="1289"/>
      <c r="BQ125" s="1289"/>
      <c r="BR125" s="1289"/>
      <c r="BS125" s="1289"/>
      <c r="BT125" s="1289"/>
      <c r="BU125" s="1289"/>
      <c r="BV125" s="1289"/>
      <c r="BW125" s="1289"/>
      <c r="BX125" s="1289"/>
      <c r="BY125" s="1289"/>
      <c r="BZ125" s="1289"/>
      <c r="CA125" s="1289"/>
      <c r="CB125" s="1289"/>
      <c r="CC125" s="1289"/>
      <c r="CD125" s="1289"/>
      <c r="CE125" s="1289"/>
      <c r="CF125" s="1289"/>
      <c r="CG125" s="1289"/>
      <c r="CH125" s="1289"/>
      <c r="CI125" s="1289"/>
      <c r="CJ125" s="1289"/>
      <c r="CK125" s="1289"/>
      <c r="CL125" s="1289"/>
      <c r="CM125" s="1289"/>
      <c r="CN125" s="1289"/>
      <c r="CO125" s="1289"/>
      <c r="CP125" s="1289"/>
      <c r="CQ125" s="1289"/>
      <c r="CR125" s="1289"/>
      <c r="CS125" s="1289"/>
      <c r="CT125" s="1289"/>
      <c r="CU125" s="1289"/>
      <c r="CV125" s="5"/>
      <c r="CY125" s="6">
        <f>CY123+1</f>
        <v>48</v>
      </c>
    </row>
    <row r="126" spans="1:105" ht="12" customHeight="1" x14ac:dyDescent="0.2">
      <c r="A126" s="5"/>
      <c r="B126" s="1308"/>
      <c r="C126" s="1309"/>
      <c r="D126" s="1309"/>
      <c r="E126" s="1309"/>
      <c r="F126" s="1309"/>
      <c r="G126" s="1309"/>
      <c r="H126" s="1309"/>
      <c r="I126" s="1309"/>
      <c r="J126" s="1309"/>
      <c r="K126" s="1309"/>
      <c r="L126" s="1309"/>
      <c r="M126" s="1309"/>
      <c r="N126" s="1309"/>
      <c r="O126" s="1309"/>
      <c r="P126" s="1309"/>
      <c r="Q126" s="1309"/>
      <c r="R126" s="1309"/>
      <c r="S126" s="1309"/>
      <c r="T126" s="1309"/>
      <c r="U126" s="1309"/>
      <c r="V126" s="1309"/>
      <c r="W126" s="1309"/>
      <c r="X126" s="1309"/>
      <c r="Y126" s="1309"/>
      <c r="Z126" s="1309"/>
      <c r="AA126" s="1309"/>
      <c r="AB126" s="1309"/>
      <c r="AC126" s="1309"/>
      <c r="AD126" s="1309"/>
      <c r="AE126" s="1309"/>
      <c r="AF126" s="1309"/>
      <c r="AG126" s="1310"/>
      <c r="AH126" s="1437"/>
      <c r="AI126" s="1288"/>
      <c r="AJ126" s="1288"/>
      <c r="AK126" s="1288"/>
      <c r="AL126" s="1288"/>
      <c r="AM126" s="1288"/>
      <c r="AN126" s="1288"/>
      <c r="AO126" s="1288"/>
      <c r="AP126" s="1288"/>
      <c r="AQ126" s="1288"/>
      <c r="AR126" s="1288"/>
      <c r="AS126" s="1288"/>
      <c r="AT126" s="1288"/>
      <c r="AU126" s="1288"/>
      <c r="AV126" s="1288"/>
      <c r="AW126" s="1288"/>
      <c r="AX126" s="1288"/>
      <c r="AY126" s="1288"/>
      <c r="AZ126" s="1288"/>
      <c r="BA126" s="1288"/>
      <c r="BB126" s="1288"/>
      <c r="BC126" s="1288"/>
      <c r="BD126" s="1288"/>
      <c r="BE126" s="1288"/>
      <c r="BF126" s="1288"/>
      <c r="BG126" s="1288"/>
      <c r="BH126" s="1288"/>
      <c r="BI126" s="1288"/>
      <c r="BJ126" s="1288"/>
      <c r="BK126" s="1288"/>
      <c r="BL126" s="1288"/>
      <c r="BM126" s="1288"/>
      <c r="BN126" s="1288"/>
      <c r="BO126" s="1438"/>
      <c r="BP126" s="1288"/>
      <c r="BQ126" s="1288"/>
      <c r="BR126" s="1288"/>
      <c r="BS126" s="1288"/>
      <c r="BT126" s="1288"/>
      <c r="BU126" s="1288"/>
      <c r="BV126" s="1288"/>
      <c r="BW126" s="1288"/>
      <c r="BX126" s="1288"/>
      <c r="BY126" s="1288"/>
      <c r="BZ126" s="1288"/>
      <c r="CA126" s="1288"/>
      <c r="CB126" s="1288"/>
      <c r="CC126" s="1288"/>
      <c r="CD126" s="1288"/>
      <c r="CE126" s="1288"/>
      <c r="CF126" s="1288"/>
      <c r="CG126" s="1288"/>
      <c r="CH126" s="1288"/>
      <c r="CI126" s="1288"/>
      <c r="CJ126" s="1288"/>
      <c r="CK126" s="1288"/>
      <c r="CL126" s="1288"/>
      <c r="CM126" s="1288"/>
      <c r="CN126" s="1288"/>
      <c r="CO126" s="1288"/>
      <c r="CP126" s="1288"/>
      <c r="CQ126" s="1288"/>
      <c r="CR126" s="1288"/>
      <c r="CS126" s="1288"/>
      <c r="CT126" s="1288"/>
      <c r="CU126" s="1288"/>
      <c r="CV126" s="5"/>
    </row>
    <row r="127" spans="1:105" ht="12" customHeight="1" x14ac:dyDescent="0.2">
      <c r="A127" s="5"/>
      <c r="B127" s="1308"/>
      <c r="C127" s="1309"/>
      <c r="D127" s="1309"/>
      <c r="E127" s="1309"/>
      <c r="F127" s="1309"/>
      <c r="G127" s="1309"/>
      <c r="H127" s="1309"/>
      <c r="I127" s="1309"/>
      <c r="J127" s="1309"/>
      <c r="K127" s="1309"/>
      <c r="L127" s="1309"/>
      <c r="M127" s="1309"/>
      <c r="N127" s="1309"/>
      <c r="O127" s="1309"/>
      <c r="P127" s="1309"/>
      <c r="Q127" s="1309"/>
      <c r="R127" s="1309"/>
      <c r="S127" s="1309"/>
      <c r="T127" s="1309"/>
      <c r="U127" s="1309"/>
      <c r="V127" s="1309"/>
      <c r="W127" s="1309"/>
      <c r="X127" s="1309"/>
      <c r="Y127" s="1309"/>
      <c r="Z127" s="1309"/>
      <c r="AA127" s="1309"/>
      <c r="AB127" s="1309"/>
      <c r="AC127" s="1309"/>
      <c r="AD127" s="1309"/>
      <c r="AE127" s="1309"/>
      <c r="AF127" s="1309"/>
      <c r="AG127" s="1310"/>
      <c r="AH127" s="1437"/>
      <c r="AI127" s="1289"/>
      <c r="AJ127" s="1289"/>
      <c r="AK127" s="1289"/>
      <c r="AL127" s="1289"/>
      <c r="AM127" s="1289"/>
      <c r="AN127" s="1289"/>
      <c r="AO127" s="1289"/>
      <c r="AP127" s="1289"/>
      <c r="AQ127" s="1289"/>
      <c r="AR127" s="1289"/>
      <c r="AS127" s="1289"/>
      <c r="AT127" s="1289"/>
      <c r="AU127" s="1289"/>
      <c r="AV127" s="1289"/>
      <c r="AW127" s="1289"/>
      <c r="AX127" s="1289"/>
      <c r="AY127" s="1289"/>
      <c r="AZ127" s="1289"/>
      <c r="BA127" s="1289"/>
      <c r="BB127" s="1289"/>
      <c r="BC127" s="1289"/>
      <c r="BD127" s="1289"/>
      <c r="BE127" s="1289"/>
      <c r="BF127" s="1289"/>
      <c r="BG127" s="1289"/>
      <c r="BH127" s="1289"/>
      <c r="BI127" s="1289"/>
      <c r="BJ127" s="1289"/>
      <c r="BK127" s="1289"/>
      <c r="BL127" s="1289"/>
      <c r="BM127" s="1289"/>
      <c r="BN127" s="1289"/>
      <c r="BO127" s="1438"/>
      <c r="BP127" s="1289"/>
      <c r="BQ127" s="1289"/>
      <c r="BR127" s="1289"/>
      <c r="BS127" s="1289"/>
      <c r="BT127" s="1289"/>
      <c r="BU127" s="1289"/>
      <c r="BV127" s="1289"/>
      <c r="BW127" s="1289"/>
      <c r="BX127" s="1289"/>
      <c r="BY127" s="1289"/>
      <c r="BZ127" s="1289"/>
      <c r="CA127" s="1289"/>
      <c r="CB127" s="1289"/>
      <c r="CC127" s="1289"/>
      <c r="CD127" s="1289"/>
      <c r="CE127" s="1289"/>
      <c r="CF127" s="1289"/>
      <c r="CG127" s="1289"/>
      <c r="CH127" s="1289"/>
      <c r="CI127" s="1289"/>
      <c r="CJ127" s="1289"/>
      <c r="CK127" s="1289"/>
      <c r="CL127" s="1289"/>
      <c r="CM127" s="1289"/>
      <c r="CN127" s="1289"/>
      <c r="CO127" s="1289"/>
      <c r="CP127" s="1289"/>
      <c r="CQ127" s="1289"/>
      <c r="CR127" s="1289"/>
      <c r="CS127" s="1289"/>
      <c r="CT127" s="1289"/>
      <c r="CU127" s="1289"/>
      <c r="CV127" s="5"/>
      <c r="CY127" s="6">
        <f>CY125+1</f>
        <v>49</v>
      </c>
      <c r="CZ127" s="53"/>
      <c r="DA127" s="53"/>
    </row>
    <row r="128" spans="1:105" ht="12" customHeight="1" x14ac:dyDescent="0.2">
      <c r="A128" s="5"/>
      <c r="B128" s="1308"/>
      <c r="C128" s="1309"/>
      <c r="D128" s="1309"/>
      <c r="E128" s="1309"/>
      <c r="F128" s="1309"/>
      <c r="G128" s="1309"/>
      <c r="H128" s="1309"/>
      <c r="I128" s="1309"/>
      <c r="J128" s="1309"/>
      <c r="K128" s="1309"/>
      <c r="L128" s="1309"/>
      <c r="M128" s="1309"/>
      <c r="N128" s="1309"/>
      <c r="O128" s="1309"/>
      <c r="P128" s="1309"/>
      <c r="Q128" s="1309"/>
      <c r="R128" s="1309"/>
      <c r="S128" s="1309"/>
      <c r="T128" s="1309"/>
      <c r="U128" s="1309"/>
      <c r="V128" s="1309"/>
      <c r="W128" s="1309"/>
      <c r="X128" s="1309"/>
      <c r="Y128" s="1309"/>
      <c r="Z128" s="1309"/>
      <c r="AA128" s="1309"/>
      <c r="AB128" s="1309"/>
      <c r="AC128" s="1309"/>
      <c r="AD128" s="1309"/>
      <c r="AE128" s="1309"/>
      <c r="AF128" s="1309"/>
      <c r="AG128" s="1310"/>
      <c r="AH128" s="1437"/>
      <c r="AI128" s="1288"/>
      <c r="AJ128" s="1288"/>
      <c r="AK128" s="1288"/>
      <c r="AL128" s="1288"/>
      <c r="AM128" s="1288"/>
      <c r="AN128" s="1288"/>
      <c r="AO128" s="1288"/>
      <c r="AP128" s="1288"/>
      <c r="AQ128" s="1288"/>
      <c r="AR128" s="1288"/>
      <c r="AS128" s="1288"/>
      <c r="AT128" s="1288"/>
      <c r="AU128" s="1288"/>
      <c r="AV128" s="1288"/>
      <c r="AW128" s="1288"/>
      <c r="AX128" s="1288"/>
      <c r="AY128" s="1288"/>
      <c r="AZ128" s="1288"/>
      <c r="BA128" s="1288"/>
      <c r="BB128" s="1288"/>
      <c r="BC128" s="1288"/>
      <c r="BD128" s="1288"/>
      <c r="BE128" s="1288"/>
      <c r="BF128" s="1288"/>
      <c r="BG128" s="1288"/>
      <c r="BH128" s="1288"/>
      <c r="BI128" s="1288"/>
      <c r="BJ128" s="1288"/>
      <c r="BK128" s="1288"/>
      <c r="BL128" s="1288"/>
      <c r="BM128" s="1288"/>
      <c r="BN128" s="1288"/>
      <c r="BO128" s="1438"/>
      <c r="BP128" s="1288"/>
      <c r="BQ128" s="1288"/>
      <c r="BR128" s="1288"/>
      <c r="BS128" s="1288"/>
      <c r="BT128" s="1288"/>
      <c r="BU128" s="1288"/>
      <c r="BV128" s="1288"/>
      <c r="BW128" s="1288"/>
      <c r="BX128" s="1288"/>
      <c r="BY128" s="1288"/>
      <c r="BZ128" s="1288"/>
      <c r="CA128" s="1288"/>
      <c r="CB128" s="1288"/>
      <c r="CC128" s="1288"/>
      <c r="CD128" s="1288"/>
      <c r="CE128" s="1288"/>
      <c r="CF128" s="1288"/>
      <c r="CG128" s="1288"/>
      <c r="CH128" s="1288"/>
      <c r="CI128" s="1288"/>
      <c r="CJ128" s="1288"/>
      <c r="CK128" s="1288"/>
      <c r="CL128" s="1288"/>
      <c r="CM128" s="1288"/>
      <c r="CN128" s="1288"/>
      <c r="CO128" s="1288"/>
      <c r="CP128" s="1288"/>
      <c r="CQ128" s="1288"/>
      <c r="CR128" s="1288"/>
      <c r="CS128" s="1288"/>
      <c r="CT128" s="1288"/>
      <c r="CU128" s="1288"/>
      <c r="CV128" s="5"/>
      <c r="CZ128" s="53"/>
      <c r="DA128" s="53"/>
    </row>
    <row r="129" spans="1:106" ht="12" customHeight="1" x14ac:dyDescent="0.2">
      <c r="A129" s="5"/>
      <c r="B129" s="1308"/>
      <c r="C129" s="1309"/>
      <c r="D129" s="1309"/>
      <c r="E129" s="1309"/>
      <c r="F129" s="1309"/>
      <c r="G129" s="1309"/>
      <c r="H129" s="1309"/>
      <c r="I129" s="1309"/>
      <c r="J129" s="1309"/>
      <c r="K129" s="1309"/>
      <c r="L129" s="1309"/>
      <c r="M129" s="1309"/>
      <c r="N129" s="1309"/>
      <c r="O129" s="1309"/>
      <c r="P129" s="1309"/>
      <c r="Q129" s="1309"/>
      <c r="R129" s="1309"/>
      <c r="S129" s="1309"/>
      <c r="T129" s="1309"/>
      <c r="U129" s="1309"/>
      <c r="V129" s="1309"/>
      <c r="W129" s="1309"/>
      <c r="X129" s="1309"/>
      <c r="Y129" s="1309"/>
      <c r="Z129" s="1309"/>
      <c r="AA129" s="1309"/>
      <c r="AB129" s="1309"/>
      <c r="AC129" s="1309"/>
      <c r="AD129" s="1309"/>
      <c r="AE129" s="1309"/>
      <c r="AF129" s="1309"/>
      <c r="AG129" s="1310"/>
      <c r="AH129" s="1437"/>
      <c r="AI129" s="1289"/>
      <c r="AJ129" s="1289"/>
      <c r="AK129" s="1289"/>
      <c r="AL129" s="1289"/>
      <c r="AM129" s="1289"/>
      <c r="AN129" s="1289"/>
      <c r="AO129" s="1289"/>
      <c r="AP129" s="1289"/>
      <c r="AQ129" s="1289"/>
      <c r="AR129" s="1289"/>
      <c r="AS129" s="1289"/>
      <c r="AT129" s="1289"/>
      <c r="AU129" s="1289"/>
      <c r="AV129" s="1289"/>
      <c r="AW129" s="1289"/>
      <c r="AX129" s="1289"/>
      <c r="AY129" s="1289"/>
      <c r="AZ129" s="1289"/>
      <c r="BA129" s="1289"/>
      <c r="BB129" s="1289"/>
      <c r="BC129" s="1289"/>
      <c r="BD129" s="1289"/>
      <c r="BE129" s="1289"/>
      <c r="BF129" s="1289"/>
      <c r="BG129" s="1289"/>
      <c r="BH129" s="1289"/>
      <c r="BI129" s="1289"/>
      <c r="BJ129" s="1289"/>
      <c r="BK129" s="1289"/>
      <c r="BL129" s="1289"/>
      <c r="BM129" s="1289"/>
      <c r="BN129" s="1289"/>
      <c r="BO129" s="1438"/>
      <c r="BP129" s="1289"/>
      <c r="BQ129" s="1289"/>
      <c r="BR129" s="1289"/>
      <c r="BS129" s="1289"/>
      <c r="BT129" s="1289"/>
      <c r="BU129" s="1289"/>
      <c r="BV129" s="1289"/>
      <c r="BW129" s="1289"/>
      <c r="BX129" s="1289"/>
      <c r="BY129" s="1289"/>
      <c r="BZ129" s="1289"/>
      <c r="CA129" s="1289"/>
      <c r="CB129" s="1289"/>
      <c r="CC129" s="1289"/>
      <c r="CD129" s="1289"/>
      <c r="CE129" s="1289"/>
      <c r="CF129" s="1289"/>
      <c r="CG129" s="1289"/>
      <c r="CH129" s="1289"/>
      <c r="CI129" s="1289"/>
      <c r="CJ129" s="1289"/>
      <c r="CK129" s="1289"/>
      <c r="CL129" s="1289"/>
      <c r="CM129" s="1289"/>
      <c r="CN129" s="1289"/>
      <c r="CO129" s="1289"/>
      <c r="CP129" s="1289"/>
      <c r="CQ129" s="1289"/>
      <c r="CR129" s="1289"/>
      <c r="CS129" s="1289"/>
      <c r="CT129" s="1289"/>
      <c r="CU129" s="1289"/>
      <c r="CV129" s="5"/>
      <c r="CY129" s="6">
        <f>CY127+1</f>
        <v>50</v>
      </c>
      <c r="CZ129" s="53"/>
      <c r="DA129" s="53"/>
    </row>
    <row r="130" spans="1:106" ht="12" customHeight="1" x14ac:dyDescent="0.2">
      <c r="A130" s="5"/>
      <c r="B130" s="1308"/>
      <c r="C130" s="1309"/>
      <c r="D130" s="1309"/>
      <c r="E130" s="1309"/>
      <c r="F130" s="1309"/>
      <c r="G130" s="1309"/>
      <c r="H130" s="1309"/>
      <c r="I130" s="1309"/>
      <c r="J130" s="1309"/>
      <c r="K130" s="1309"/>
      <c r="L130" s="1309"/>
      <c r="M130" s="1309"/>
      <c r="N130" s="1309"/>
      <c r="O130" s="1309"/>
      <c r="P130" s="1309"/>
      <c r="Q130" s="1309"/>
      <c r="R130" s="1309"/>
      <c r="S130" s="1309"/>
      <c r="T130" s="1309"/>
      <c r="U130" s="1309"/>
      <c r="V130" s="1309"/>
      <c r="W130" s="1309"/>
      <c r="X130" s="1309"/>
      <c r="Y130" s="1309"/>
      <c r="Z130" s="1309"/>
      <c r="AA130" s="1309"/>
      <c r="AB130" s="1309"/>
      <c r="AC130" s="1309"/>
      <c r="AD130" s="1309"/>
      <c r="AE130" s="1309"/>
      <c r="AF130" s="1309"/>
      <c r="AG130" s="1310"/>
      <c r="AH130" s="1437"/>
      <c r="AI130" s="1288"/>
      <c r="AJ130" s="1288"/>
      <c r="AK130" s="1288"/>
      <c r="AL130" s="1288"/>
      <c r="AM130" s="1288"/>
      <c r="AN130" s="1288"/>
      <c r="AO130" s="1288"/>
      <c r="AP130" s="1288"/>
      <c r="AQ130" s="1288"/>
      <c r="AR130" s="1288"/>
      <c r="AS130" s="1288"/>
      <c r="AT130" s="1288"/>
      <c r="AU130" s="1288"/>
      <c r="AV130" s="1288"/>
      <c r="AW130" s="1288"/>
      <c r="AX130" s="1288"/>
      <c r="AY130" s="1288"/>
      <c r="AZ130" s="1288"/>
      <c r="BA130" s="1288"/>
      <c r="BB130" s="1288"/>
      <c r="BC130" s="1288"/>
      <c r="BD130" s="1288"/>
      <c r="BE130" s="1288"/>
      <c r="BF130" s="1288"/>
      <c r="BG130" s="1288"/>
      <c r="BH130" s="1288"/>
      <c r="BI130" s="1288"/>
      <c r="BJ130" s="1288"/>
      <c r="BK130" s="1288"/>
      <c r="BL130" s="1288"/>
      <c r="BM130" s="1288"/>
      <c r="BN130" s="1288"/>
      <c r="BO130" s="1438"/>
      <c r="BP130" s="1288"/>
      <c r="BQ130" s="1288"/>
      <c r="BR130" s="1288"/>
      <c r="BS130" s="1288"/>
      <c r="BT130" s="1288"/>
      <c r="BU130" s="1288"/>
      <c r="BV130" s="1288"/>
      <c r="BW130" s="1288"/>
      <c r="BX130" s="1288"/>
      <c r="BY130" s="1288"/>
      <c r="BZ130" s="1288"/>
      <c r="CA130" s="1288"/>
      <c r="CB130" s="1288"/>
      <c r="CC130" s="1288"/>
      <c r="CD130" s="1288"/>
      <c r="CE130" s="1288"/>
      <c r="CF130" s="1288"/>
      <c r="CG130" s="1288"/>
      <c r="CH130" s="1288"/>
      <c r="CI130" s="1288"/>
      <c r="CJ130" s="1288"/>
      <c r="CK130" s="1288"/>
      <c r="CL130" s="1288"/>
      <c r="CM130" s="1288"/>
      <c r="CN130" s="1288"/>
      <c r="CO130" s="1288"/>
      <c r="CP130" s="1288"/>
      <c r="CQ130" s="1288"/>
      <c r="CR130" s="1288"/>
      <c r="CS130" s="1288"/>
      <c r="CT130" s="1288"/>
      <c r="CU130" s="1288"/>
      <c r="CV130" s="5"/>
      <c r="CZ130" s="53"/>
      <c r="DA130" s="53"/>
    </row>
    <row r="131" spans="1:106" ht="12" customHeight="1" x14ac:dyDescent="0.2">
      <c r="A131" s="5"/>
      <c r="B131" s="1308"/>
      <c r="C131" s="1309"/>
      <c r="D131" s="1309"/>
      <c r="E131" s="1309"/>
      <c r="F131" s="1309"/>
      <c r="G131" s="1309"/>
      <c r="H131" s="1309"/>
      <c r="I131" s="1309"/>
      <c r="J131" s="1309"/>
      <c r="K131" s="1309"/>
      <c r="L131" s="1309"/>
      <c r="M131" s="1309"/>
      <c r="N131" s="1309"/>
      <c r="O131" s="1309"/>
      <c r="P131" s="1309"/>
      <c r="Q131" s="1309"/>
      <c r="R131" s="1309"/>
      <c r="S131" s="1309"/>
      <c r="T131" s="1309"/>
      <c r="U131" s="1309"/>
      <c r="V131" s="1309"/>
      <c r="W131" s="1309"/>
      <c r="X131" s="1309"/>
      <c r="Y131" s="1309"/>
      <c r="Z131" s="1309"/>
      <c r="AA131" s="1309"/>
      <c r="AB131" s="1309"/>
      <c r="AC131" s="1309"/>
      <c r="AD131" s="1309"/>
      <c r="AE131" s="1309"/>
      <c r="AF131" s="1309"/>
      <c r="AG131" s="1310"/>
      <c r="AH131" s="1437"/>
      <c r="AI131" s="1289"/>
      <c r="AJ131" s="1289"/>
      <c r="AK131" s="1289"/>
      <c r="AL131" s="1289"/>
      <c r="AM131" s="1289"/>
      <c r="AN131" s="1289"/>
      <c r="AO131" s="1289"/>
      <c r="AP131" s="1289"/>
      <c r="AQ131" s="1289"/>
      <c r="AR131" s="1289"/>
      <c r="AS131" s="1289"/>
      <c r="AT131" s="1289"/>
      <c r="AU131" s="1289"/>
      <c r="AV131" s="1289"/>
      <c r="AW131" s="1289"/>
      <c r="AX131" s="1289"/>
      <c r="AY131" s="1289"/>
      <c r="AZ131" s="1289"/>
      <c r="BA131" s="1289"/>
      <c r="BB131" s="1289"/>
      <c r="BC131" s="1289"/>
      <c r="BD131" s="1289"/>
      <c r="BE131" s="1289"/>
      <c r="BF131" s="1289"/>
      <c r="BG131" s="1289"/>
      <c r="BH131" s="1289"/>
      <c r="BI131" s="1289"/>
      <c r="BJ131" s="1289"/>
      <c r="BK131" s="1289"/>
      <c r="BL131" s="1289"/>
      <c r="BM131" s="1289"/>
      <c r="BN131" s="1289"/>
      <c r="BO131" s="1438"/>
      <c r="BP131" s="1289"/>
      <c r="BQ131" s="1289"/>
      <c r="BR131" s="1289"/>
      <c r="BS131" s="1289"/>
      <c r="BT131" s="1289"/>
      <c r="BU131" s="1289"/>
      <c r="BV131" s="1289"/>
      <c r="BW131" s="1289"/>
      <c r="BX131" s="1289"/>
      <c r="BY131" s="1289"/>
      <c r="BZ131" s="1289"/>
      <c r="CA131" s="1289"/>
      <c r="CB131" s="1289"/>
      <c r="CC131" s="1289"/>
      <c r="CD131" s="1289"/>
      <c r="CE131" s="1289"/>
      <c r="CF131" s="1289"/>
      <c r="CG131" s="1289"/>
      <c r="CH131" s="1289"/>
      <c r="CI131" s="1289"/>
      <c r="CJ131" s="1289"/>
      <c r="CK131" s="1289"/>
      <c r="CL131" s="1289"/>
      <c r="CM131" s="1289"/>
      <c r="CN131" s="1289"/>
      <c r="CO131" s="1289"/>
      <c r="CP131" s="1289"/>
      <c r="CQ131" s="1289"/>
      <c r="CR131" s="1289"/>
      <c r="CS131" s="1289"/>
      <c r="CT131" s="1289"/>
      <c r="CU131" s="1289"/>
      <c r="CV131" s="5"/>
      <c r="CY131" s="6">
        <f>CY129+1</f>
        <v>51</v>
      </c>
      <c r="CZ131" s="53"/>
      <c r="DA131" s="53"/>
    </row>
    <row r="132" spans="1:106" ht="12" customHeight="1" x14ac:dyDescent="0.2">
      <c r="A132" s="5"/>
      <c r="B132" s="1308"/>
      <c r="C132" s="1309"/>
      <c r="D132" s="1309"/>
      <c r="E132" s="1309"/>
      <c r="F132" s="1309"/>
      <c r="G132" s="1309"/>
      <c r="H132" s="1309"/>
      <c r="I132" s="1309"/>
      <c r="J132" s="1309"/>
      <c r="K132" s="1309"/>
      <c r="L132" s="1309"/>
      <c r="M132" s="1309"/>
      <c r="N132" s="1309"/>
      <c r="O132" s="1309"/>
      <c r="P132" s="1309"/>
      <c r="Q132" s="1309"/>
      <c r="R132" s="1309"/>
      <c r="S132" s="1309"/>
      <c r="T132" s="1309"/>
      <c r="U132" s="1309"/>
      <c r="V132" s="1309"/>
      <c r="W132" s="1309"/>
      <c r="X132" s="1309"/>
      <c r="Y132" s="1309"/>
      <c r="Z132" s="1309"/>
      <c r="AA132" s="1309"/>
      <c r="AB132" s="1309"/>
      <c r="AC132" s="1309"/>
      <c r="AD132" s="1309"/>
      <c r="AE132" s="1309"/>
      <c r="AF132" s="1309"/>
      <c r="AG132" s="1310"/>
      <c r="AH132" s="1437"/>
      <c r="AI132" s="1288"/>
      <c r="AJ132" s="1288"/>
      <c r="AK132" s="1288"/>
      <c r="AL132" s="1288"/>
      <c r="AM132" s="1288"/>
      <c r="AN132" s="1288"/>
      <c r="AO132" s="1288"/>
      <c r="AP132" s="1288"/>
      <c r="AQ132" s="1288"/>
      <c r="AR132" s="1288"/>
      <c r="AS132" s="1288"/>
      <c r="AT132" s="1288"/>
      <c r="AU132" s="1288"/>
      <c r="AV132" s="1288"/>
      <c r="AW132" s="1288"/>
      <c r="AX132" s="1288"/>
      <c r="AY132" s="1288"/>
      <c r="AZ132" s="1288"/>
      <c r="BA132" s="1288"/>
      <c r="BB132" s="1288"/>
      <c r="BC132" s="1288"/>
      <c r="BD132" s="1288"/>
      <c r="BE132" s="1288"/>
      <c r="BF132" s="1288"/>
      <c r="BG132" s="1288"/>
      <c r="BH132" s="1288"/>
      <c r="BI132" s="1288"/>
      <c r="BJ132" s="1288"/>
      <c r="BK132" s="1288"/>
      <c r="BL132" s="1288"/>
      <c r="BM132" s="1288"/>
      <c r="BN132" s="1288"/>
      <c r="BO132" s="1438"/>
      <c r="BP132" s="1288"/>
      <c r="BQ132" s="1288"/>
      <c r="BR132" s="1288"/>
      <c r="BS132" s="1288"/>
      <c r="BT132" s="1288"/>
      <c r="BU132" s="1288"/>
      <c r="BV132" s="1288"/>
      <c r="BW132" s="1288"/>
      <c r="BX132" s="1288"/>
      <c r="BY132" s="1288"/>
      <c r="BZ132" s="1288"/>
      <c r="CA132" s="1288"/>
      <c r="CB132" s="1288"/>
      <c r="CC132" s="1288"/>
      <c r="CD132" s="1288"/>
      <c r="CE132" s="1288"/>
      <c r="CF132" s="1288"/>
      <c r="CG132" s="1288"/>
      <c r="CH132" s="1288"/>
      <c r="CI132" s="1288"/>
      <c r="CJ132" s="1288"/>
      <c r="CK132" s="1288"/>
      <c r="CL132" s="1288"/>
      <c r="CM132" s="1288"/>
      <c r="CN132" s="1288"/>
      <c r="CO132" s="1288"/>
      <c r="CP132" s="1288"/>
      <c r="CQ132" s="1288"/>
      <c r="CR132" s="1288"/>
      <c r="CS132" s="1288"/>
      <c r="CT132" s="1288"/>
      <c r="CU132" s="1288"/>
      <c r="CV132" s="5"/>
      <c r="CZ132" s="53"/>
      <c r="DA132" s="53"/>
    </row>
    <row r="133" spans="1:106" ht="12" customHeight="1" x14ac:dyDescent="0.2">
      <c r="A133" s="5"/>
      <c r="B133" s="1308"/>
      <c r="C133" s="1309"/>
      <c r="D133" s="1309"/>
      <c r="E133" s="1309"/>
      <c r="F133" s="1309"/>
      <c r="G133" s="1309"/>
      <c r="H133" s="1309"/>
      <c r="I133" s="1309"/>
      <c r="J133" s="1309"/>
      <c r="K133" s="1309"/>
      <c r="L133" s="1309"/>
      <c r="M133" s="1309"/>
      <c r="N133" s="1309"/>
      <c r="O133" s="1309"/>
      <c r="P133" s="1309"/>
      <c r="Q133" s="1309"/>
      <c r="R133" s="1309"/>
      <c r="S133" s="1309"/>
      <c r="T133" s="1309"/>
      <c r="U133" s="1309"/>
      <c r="V133" s="1309"/>
      <c r="W133" s="1309"/>
      <c r="X133" s="1309"/>
      <c r="Y133" s="1309"/>
      <c r="Z133" s="1309"/>
      <c r="AA133" s="1309"/>
      <c r="AB133" s="1309"/>
      <c r="AC133" s="1309"/>
      <c r="AD133" s="1309"/>
      <c r="AE133" s="1309"/>
      <c r="AF133" s="1309"/>
      <c r="AG133" s="1310"/>
      <c r="AH133" s="1437"/>
      <c r="AI133" s="1289"/>
      <c r="AJ133" s="1289"/>
      <c r="AK133" s="1289"/>
      <c r="AL133" s="1289"/>
      <c r="AM133" s="1289"/>
      <c r="AN133" s="1289"/>
      <c r="AO133" s="1289"/>
      <c r="AP133" s="1289"/>
      <c r="AQ133" s="1289"/>
      <c r="AR133" s="1289"/>
      <c r="AS133" s="1289"/>
      <c r="AT133" s="1289"/>
      <c r="AU133" s="1289"/>
      <c r="AV133" s="1289"/>
      <c r="AW133" s="1289"/>
      <c r="AX133" s="1289"/>
      <c r="AY133" s="1289"/>
      <c r="AZ133" s="1289"/>
      <c r="BA133" s="1289"/>
      <c r="BB133" s="1289"/>
      <c r="BC133" s="1289"/>
      <c r="BD133" s="1289"/>
      <c r="BE133" s="1289"/>
      <c r="BF133" s="1289"/>
      <c r="BG133" s="1289"/>
      <c r="BH133" s="1289"/>
      <c r="BI133" s="1289"/>
      <c r="BJ133" s="1289"/>
      <c r="BK133" s="1289"/>
      <c r="BL133" s="1289"/>
      <c r="BM133" s="1289"/>
      <c r="BN133" s="1289"/>
      <c r="BO133" s="1438"/>
      <c r="BP133" s="1289"/>
      <c r="BQ133" s="1289"/>
      <c r="BR133" s="1289"/>
      <c r="BS133" s="1289"/>
      <c r="BT133" s="1289"/>
      <c r="BU133" s="1289"/>
      <c r="BV133" s="1289"/>
      <c r="BW133" s="1289"/>
      <c r="BX133" s="1289"/>
      <c r="BY133" s="1289"/>
      <c r="BZ133" s="1289"/>
      <c r="CA133" s="1289"/>
      <c r="CB133" s="1289"/>
      <c r="CC133" s="1289"/>
      <c r="CD133" s="1289"/>
      <c r="CE133" s="1289"/>
      <c r="CF133" s="1289"/>
      <c r="CG133" s="1289"/>
      <c r="CH133" s="1289"/>
      <c r="CI133" s="1289"/>
      <c r="CJ133" s="1289"/>
      <c r="CK133" s="1289"/>
      <c r="CL133" s="1289"/>
      <c r="CM133" s="1289"/>
      <c r="CN133" s="1289"/>
      <c r="CO133" s="1289"/>
      <c r="CP133" s="1289"/>
      <c r="CQ133" s="1289"/>
      <c r="CR133" s="1289"/>
      <c r="CS133" s="1289"/>
      <c r="CT133" s="1289"/>
      <c r="CU133" s="1289"/>
      <c r="CV133" s="5"/>
      <c r="CY133" s="6">
        <f>CY131+1</f>
        <v>52</v>
      </c>
      <c r="CZ133" s="53"/>
      <c r="DA133" s="53"/>
    </row>
    <row r="134" spans="1:106" ht="12" customHeight="1" x14ac:dyDescent="0.2">
      <c r="A134" s="5"/>
      <c r="B134" s="1308"/>
      <c r="C134" s="1309"/>
      <c r="D134" s="1309"/>
      <c r="E134" s="1309"/>
      <c r="F134" s="1309"/>
      <c r="G134" s="1309"/>
      <c r="H134" s="1309"/>
      <c r="I134" s="1309"/>
      <c r="J134" s="1309"/>
      <c r="K134" s="1309"/>
      <c r="L134" s="1309"/>
      <c r="M134" s="1309"/>
      <c r="N134" s="1309"/>
      <c r="O134" s="1309"/>
      <c r="P134" s="1309"/>
      <c r="Q134" s="1309"/>
      <c r="R134" s="1309"/>
      <c r="S134" s="1309"/>
      <c r="T134" s="1309"/>
      <c r="U134" s="1309"/>
      <c r="V134" s="1309"/>
      <c r="W134" s="1309"/>
      <c r="X134" s="1309"/>
      <c r="Y134" s="1309"/>
      <c r="Z134" s="1309"/>
      <c r="AA134" s="1309"/>
      <c r="AB134" s="1309"/>
      <c r="AC134" s="1309"/>
      <c r="AD134" s="1309"/>
      <c r="AE134" s="1309"/>
      <c r="AF134" s="1309"/>
      <c r="AG134" s="1310"/>
      <c r="AH134" s="1437"/>
      <c r="AI134" s="1288"/>
      <c r="AJ134" s="1288"/>
      <c r="AK134" s="1288"/>
      <c r="AL134" s="1288"/>
      <c r="AM134" s="1288"/>
      <c r="AN134" s="1288"/>
      <c r="AO134" s="1288"/>
      <c r="AP134" s="1288"/>
      <c r="AQ134" s="1288"/>
      <c r="AR134" s="1288"/>
      <c r="AS134" s="1288"/>
      <c r="AT134" s="1288"/>
      <c r="AU134" s="1288"/>
      <c r="AV134" s="1288"/>
      <c r="AW134" s="1288"/>
      <c r="AX134" s="1288"/>
      <c r="AY134" s="1288"/>
      <c r="AZ134" s="1288"/>
      <c r="BA134" s="1288"/>
      <c r="BB134" s="1288"/>
      <c r="BC134" s="1288"/>
      <c r="BD134" s="1288"/>
      <c r="BE134" s="1288"/>
      <c r="BF134" s="1288"/>
      <c r="BG134" s="1288"/>
      <c r="BH134" s="1288"/>
      <c r="BI134" s="1288"/>
      <c r="BJ134" s="1288"/>
      <c r="BK134" s="1288"/>
      <c r="BL134" s="1288"/>
      <c r="BM134" s="1288"/>
      <c r="BN134" s="1288"/>
      <c r="BO134" s="1438"/>
      <c r="BP134" s="1288"/>
      <c r="BQ134" s="1288"/>
      <c r="BR134" s="1288"/>
      <c r="BS134" s="1288"/>
      <c r="BT134" s="1288"/>
      <c r="BU134" s="1288"/>
      <c r="BV134" s="1288"/>
      <c r="BW134" s="1288"/>
      <c r="BX134" s="1288"/>
      <c r="BY134" s="1288"/>
      <c r="BZ134" s="1288"/>
      <c r="CA134" s="1288"/>
      <c r="CB134" s="1288"/>
      <c r="CC134" s="1288"/>
      <c r="CD134" s="1288"/>
      <c r="CE134" s="1288"/>
      <c r="CF134" s="1288"/>
      <c r="CG134" s="1288"/>
      <c r="CH134" s="1288"/>
      <c r="CI134" s="1288"/>
      <c r="CJ134" s="1288"/>
      <c r="CK134" s="1288"/>
      <c r="CL134" s="1288"/>
      <c r="CM134" s="1288"/>
      <c r="CN134" s="1288"/>
      <c r="CO134" s="1288"/>
      <c r="CP134" s="1288"/>
      <c r="CQ134" s="1288"/>
      <c r="CR134" s="1288"/>
      <c r="CS134" s="1288"/>
      <c r="CT134" s="1288"/>
      <c r="CU134" s="1288"/>
      <c r="CV134" s="5"/>
      <c r="CZ134" s="53"/>
      <c r="DA134" s="53"/>
    </row>
    <row r="135" spans="1:106" ht="12" customHeight="1" x14ac:dyDescent="0.2">
      <c r="A135" s="5"/>
      <c r="B135" s="1308"/>
      <c r="C135" s="1309"/>
      <c r="D135" s="1309"/>
      <c r="E135" s="1309"/>
      <c r="F135" s="1309"/>
      <c r="G135" s="1309"/>
      <c r="H135" s="1309"/>
      <c r="I135" s="1309"/>
      <c r="J135" s="1309"/>
      <c r="K135" s="1309"/>
      <c r="L135" s="1309"/>
      <c r="M135" s="1309"/>
      <c r="N135" s="1309"/>
      <c r="O135" s="1309"/>
      <c r="P135" s="1309"/>
      <c r="Q135" s="1309"/>
      <c r="R135" s="1309"/>
      <c r="S135" s="1309"/>
      <c r="T135" s="1309"/>
      <c r="U135" s="1309"/>
      <c r="V135" s="1309"/>
      <c r="W135" s="1309"/>
      <c r="X135" s="1309"/>
      <c r="Y135" s="1309"/>
      <c r="Z135" s="1309"/>
      <c r="AA135" s="1309"/>
      <c r="AB135" s="1309"/>
      <c r="AC135" s="1309"/>
      <c r="AD135" s="1309"/>
      <c r="AE135" s="1309"/>
      <c r="AF135" s="1309"/>
      <c r="AG135" s="1310"/>
      <c r="AH135" s="1437"/>
      <c r="AI135" s="1289"/>
      <c r="AJ135" s="1289"/>
      <c r="AK135" s="1289"/>
      <c r="AL135" s="1289"/>
      <c r="AM135" s="1289"/>
      <c r="AN135" s="1289"/>
      <c r="AO135" s="1289"/>
      <c r="AP135" s="1289"/>
      <c r="AQ135" s="1289"/>
      <c r="AR135" s="1289"/>
      <c r="AS135" s="1289"/>
      <c r="AT135" s="1289"/>
      <c r="AU135" s="1289"/>
      <c r="AV135" s="1289"/>
      <c r="AW135" s="1289"/>
      <c r="AX135" s="1289"/>
      <c r="AY135" s="1289"/>
      <c r="AZ135" s="1289"/>
      <c r="BA135" s="1289"/>
      <c r="BB135" s="1289"/>
      <c r="BC135" s="1289"/>
      <c r="BD135" s="1289"/>
      <c r="BE135" s="1289"/>
      <c r="BF135" s="1289"/>
      <c r="BG135" s="1289"/>
      <c r="BH135" s="1289"/>
      <c r="BI135" s="1289"/>
      <c r="BJ135" s="1289"/>
      <c r="BK135" s="1289"/>
      <c r="BL135" s="1289"/>
      <c r="BM135" s="1289"/>
      <c r="BN135" s="1289"/>
      <c r="BO135" s="1438"/>
      <c r="BP135" s="1289"/>
      <c r="BQ135" s="1289"/>
      <c r="BR135" s="1289"/>
      <c r="BS135" s="1289"/>
      <c r="BT135" s="1289"/>
      <c r="BU135" s="1289"/>
      <c r="BV135" s="1289"/>
      <c r="BW135" s="1289"/>
      <c r="BX135" s="1289"/>
      <c r="BY135" s="1289"/>
      <c r="BZ135" s="1289"/>
      <c r="CA135" s="1289"/>
      <c r="CB135" s="1289"/>
      <c r="CC135" s="1289"/>
      <c r="CD135" s="1289"/>
      <c r="CE135" s="1289"/>
      <c r="CF135" s="1289"/>
      <c r="CG135" s="1289"/>
      <c r="CH135" s="1289"/>
      <c r="CI135" s="1289"/>
      <c r="CJ135" s="1289"/>
      <c r="CK135" s="1289"/>
      <c r="CL135" s="1289"/>
      <c r="CM135" s="1289"/>
      <c r="CN135" s="1289"/>
      <c r="CO135" s="1289"/>
      <c r="CP135" s="1289"/>
      <c r="CQ135" s="1289"/>
      <c r="CR135" s="1289"/>
      <c r="CS135" s="1289"/>
      <c r="CT135" s="1289"/>
      <c r="CU135" s="1289"/>
      <c r="CV135" s="5"/>
      <c r="CY135" s="6">
        <f>CY133+1</f>
        <v>53</v>
      </c>
      <c r="CZ135" s="53"/>
      <c r="DA135" s="53"/>
    </row>
    <row r="136" spans="1:106" ht="12" customHeight="1" x14ac:dyDescent="0.2">
      <c r="A136" s="5"/>
      <c r="B136" s="1308"/>
      <c r="C136" s="1309"/>
      <c r="D136" s="1309"/>
      <c r="E136" s="1309"/>
      <c r="F136" s="1309"/>
      <c r="G136" s="1309"/>
      <c r="H136" s="1309"/>
      <c r="I136" s="1309"/>
      <c r="J136" s="1309"/>
      <c r="K136" s="1309"/>
      <c r="L136" s="1309"/>
      <c r="M136" s="1309"/>
      <c r="N136" s="1309"/>
      <c r="O136" s="1309"/>
      <c r="P136" s="1309"/>
      <c r="Q136" s="1309"/>
      <c r="R136" s="1309"/>
      <c r="S136" s="1309"/>
      <c r="T136" s="1309"/>
      <c r="U136" s="1309"/>
      <c r="V136" s="1309"/>
      <c r="W136" s="1309"/>
      <c r="X136" s="1309"/>
      <c r="Y136" s="1309"/>
      <c r="Z136" s="1309"/>
      <c r="AA136" s="1309"/>
      <c r="AB136" s="1309"/>
      <c r="AC136" s="1309"/>
      <c r="AD136" s="1309"/>
      <c r="AE136" s="1309"/>
      <c r="AF136" s="1309"/>
      <c r="AG136" s="1310"/>
      <c r="AH136" s="1437"/>
      <c r="AI136" s="1288"/>
      <c r="AJ136" s="1288"/>
      <c r="AK136" s="1288"/>
      <c r="AL136" s="1288"/>
      <c r="AM136" s="1288"/>
      <c r="AN136" s="1288"/>
      <c r="AO136" s="1288"/>
      <c r="AP136" s="1288"/>
      <c r="AQ136" s="1288"/>
      <c r="AR136" s="1288"/>
      <c r="AS136" s="1288"/>
      <c r="AT136" s="1288"/>
      <c r="AU136" s="1288"/>
      <c r="AV136" s="1288"/>
      <c r="AW136" s="1288"/>
      <c r="AX136" s="1288"/>
      <c r="AY136" s="1288"/>
      <c r="AZ136" s="1288"/>
      <c r="BA136" s="1288"/>
      <c r="BB136" s="1288"/>
      <c r="BC136" s="1288"/>
      <c r="BD136" s="1288"/>
      <c r="BE136" s="1288"/>
      <c r="BF136" s="1288"/>
      <c r="BG136" s="1288"/>
      <c r="BH136" s="1288"/>
      <c r="BI136" s="1288"/>
      <c r="BJ136" s="1288"/>
      <c r="BK136" s="1288"/>
      <c r="BL136" s="1288"/>
      <c r="BM136" s="1288"/>
      <c r="BN136" s="1288"/>
      <c r="BO136" s="1438"/>
      <c r="BP136" s="1288"/>
      <c r="BQ136" s="1288"/>
      <c r="BR136" s="1288"/>
      <c r="BS136" s="1288"/>
      <c r="BT136" s="1288"/>
      <c r="BU136" s="1288"/>
      <c r="BV136" s="1288"/>
      <c r="BW136" s="1288"/>
      <c r="BX136" s="1288"/>
      <c r="BY136" s="1288"/>
      <c r="BZ136" s="1288"/>
      <c r="CA136" s="1288"/>
      <c r="CB136" s="1288"/>
      <c r="CC136" s="1288"/>
      <c r="CD136" s="1288"/>
      <c r="CE136" s="1288"/>
      <c r="CF136" s="1288"/>
      <c r="CG136" s="1288"/>
      <c r="CH136" s="1288"/>
      <c r="CI136" s="1288"/>
      <c r="CJ136" s="1288"/>
      <c r="CK136" s="1288"/>
      <c r="CL136" s="1288"/>
      <c r="CM136" s="1288"/>
      <c r="CN136" s="1288"/>
      <c r="CO136" s="1288"/>
      <c r="CP136" s="1288"/>
      <c r="CQ136" s="1288"/>
      <c r="CR136" s="1288"/>
      <c r="CS136" s="1288"/>
      <c r="CT136" s="1288"/>
      <c r="CU136" s="1288"/>
      <c r="CV136" s="5"/>
      <c r="CZ136" s="53"/>
      <c r="DA136" s="53"/>
    </row>
    <row r="137" spans="1:106" ht="12" customHeight="1" x14ac:dyDescent="0.2">
      <c r="A137" s="5"/>
      <c r="B137" s="1308"/>
      <c r="C137" s="1309"/>
      <c r="D137" s="1309"/>
      <c r="E137" s="1309"/>
      <c r="F137" s="1309"/>
      <c r="G137" s="1309"/>
      <c r="H137" s="1309"/>
      <c r="I137" s="1309"/>
      <c r="J137" s="1309"/>
      <c r="K137" s="1309"/>
      <c r="L137" s="1309"/>
      <c r="M137" s="1309"/>
      <c r="N137" s="1309"/>
      <c r="O137" s="1309"/>
      <c r="P137" s="1309"/>
      <c r="Q137" s="1309"/>
      <c r="R137" s="1309"/>
      <c r="S137" s="1309"/>
      <c r="T137" s="1309"/>
      <c r="U137" s="1309"/>
      <c r="V137" s="1309"/>
      <c r="W137" s="1309"/>
      <c r="X137" s="1309"/>
      <c r="Y137" s="1309"/>
      <c r="Z137" s="1309"/>
      <c r="AA137" s="1309"/>
      <c r="AB137" s="1309"/>
      <c r="AC137" s="1309"/>
      <c r="AD137" s="1309"/>
      <c r="AE137" s="1309"/>
      <c r="AF137" s="1309"/>
      <c r="AG137" s="1310"/>
      <c r="AH137" s="1437"/>
      <c r="AI137" s="1289"/>
      <c r="AJ137" s="1289"/>
      <c r="AK137" s="1289"/>
      <c r="AL137" s="1289"/>
      <c r="AM137" s="1289"/>
      <c r="AN137" s="1289"/>
      <c r="AO137" s="1289"/>
      <c r="AP137" s="1289"/>
      <c r="AQ137" s="1289"/>
      <c r="AR137" s="1289"/>
      <c r="AS137" s="1289"/>
      <c r="AT137" s="1289"/>
      <c r="AU137" s="1289"/>
      <c r="AV137" s="1289"/>
      <c r="AW137" s="1289"/>
      <c r="AX137" s="1289"/>
      <c r="AY137" s="1289"/>
      <c r="AZ137" s="1289"/>
      <c r="BA137" s="1289"/>
      <c r="BB137" s="1289"/>
      <c r="BC137" s="1289"/>
      <c r="BD137" s="1289"/>
      <c r="BE137" s="1289"/>
      <c r="BF137" s="1289"/>
      <c r="BG137" s="1289"/>
      <c r="BH137" s="1289"/>
      <c r="BI137" s="1289"/>
      <c r="BJ137" s="1289"/>
      <c r="BK137" s="1289"/>
      <c r="BL137" s="1289"/>
      <c r="BM137" s="1289"/>
      <c r="BN137" s="1289"/>
      <c r="BO137" s="1438"/>
      <c r="BP137" s="1289"/>
      <c r="BQ137" s="1289"/>
      <c r="BR137" s="1289"/>
      <c r="BS137" s="1289"/>
      <c r="BT137" s="1289"/>
      <c r="BU137" s="1289"/>
      <c r="BV137" s="1289"/>
      <c r="BW137" s="1289"/>
      <c r="BX137" s="1289"/>
      <c r="BY137" s="1289"/>
      <c r="BZ137" s="1289"/>
      <c r="CA137" s="1289"/>
      <c r="CB137" s="1289"/>
      <c r="CC137" s="1289"/>
      <c r="CD137" s="1289"/>
      <c r="CE137" s="1289"/>
      <c r="CF137" s="1289"/>
      <c r="CG137" s="1289"/>
      <c r="CH137" s="1289"/>
      <c r="CI137" s="1289"/>
      <c r="CJ137" s="1289"/>
      <c r="CK137" s="1289"/>
      <c r="CL137" s="1289"/>
      <c r="CM137" s="1289"/>
      <c r="CN137" s="1289"/>
      <c r="CO137" s="1289"/>
      <c r="CP137" s="1289"/>
      <c r="CQ137" s="1289"/>
      <c r="CR137" s="1289"/>
      <c r="CS137" s="1289"/>
      <c r="CT137" s="1289"/>
      <c r="CU137" s="1289"/>
      <c r="CV137" s="5"/>
      <c r="CY137" s="6">
        <f>CY135+1</f>
        <v>54</v>
      </c>
      <c r="CZ137" s="53"/>
      <c r="DA137" s="53"/>
    </row>
    <row r="138" spans="1:106" ht="12" customHeight="1" x14ac:dyDescent="0.2">
      <c r="A138" s="5"/>
      <c r="B138" s="1308"/>
      <c r="C138" s="1309"/>
      <c r="D138" s="1309"/>
      <c r="E138" s="1309"/>
      <c r="F138" s="1309"/>
      <c r="G138" s="1309"/>
      <c r="H138" s="1309"/>
      <c r="I138" s="1309"/>
      <c r="J138" s="1309"/>
      <c r="K138" s="1309"/>
      <c r="L138" s="1309"/>
      <c r="M138" s="1309"/>
      <c r="N138" s="1309"/>
      <c r="O138" s="1309"/>
      <c r="P138" s="1309"/>
      <c r="Q138" s="1309"/>
      <c r="R138" s="1309"/>
      <c r="S138" s="1309"/>
      <c r="T138" s="1309"/>
      <c r="U138" s="1309"/>
      <c r="V138" s="1309"/>
      <c r="W138" s="1309"/>
      <c r="X138" s="1309"/>
      <c r="Y138" s="1309"/>
      <c r="Z138" s="1309"/>
      <c r="AA138" s="1309"/>
      <c r="AB138" s="1309"/>
      <c r="AC138" s="1309"/>
      <c r="AD138" s="1309"/>
      <c r="AE138" s="1309"/>
      <c r="AF138" s="1309"/>
      <c r="AG138" s="1310"/>
      <c r="AH138" s="1437"/>
      <c r="AI138" s="1288"/>
      <c r="AJ138" s="1288"/>
      <c r="AK138" s="1288"/>
      <c r="AL138" s="1288"/>
      <c r="AM138" s="1288"/>
      <c r="AN138" s="1288"/>
      <c r="AO138" s="1288"/>
      <c r="AP138" s="1288"/>
      <c r="AQ138" s="1288"/>
      <c r="AR138" s="1288"/>
      <c r="AS138" s="1288"/>
      <c r="AT138" s="1288"/>
      <c r="AU138" s="1288"/>
      <c r="AV138" s="1288"/>
      <c r="AW138" s="1288"/>
      <c r="AX138" s="1288"/>
      <c r="AY138" s="1288"/>
      <c r="AZ138" s="1288"/>
      <c r="BA138" s="1288"/>
      <c r="BB138" s="1288"/>
      <c r="BC138" s="1288"/>
      <c r="BD138" s="1288"/>
      <c r="BE138" s="1288"/>
      <c r="BF138" s="1288"/>
      <c r="BG138" s="1288"/>
      <c r="BH138" s="1288"/>
      <c r="BI138" s="1288"/>
      <c r="BJ138" s="1288"/>
      <c r="BK138" s="1288"/>
      <c r="BL138" s="1288"/>
      <c r="BM138" s="1288"/>
      <c r="BN138" s="1288"/>
      <c r="BO138" s="1438"/>
      <c r="BP138" s="1288"/>
      <c r="BQ138" s="1288"/>
      <c r="BR138" s="1288"/>
      <c r="BS138" s="1288"/>
      <c r="BT138" s="1288"/>
      <c r="BU138" s="1288"/>
      <c r="BV138" s="1288"/>
      <c r="BW138" s="1288"/>
      <c r="BX138" s="1288"/>
      <c r="BY138" s="1288"/>
      <c r="BZ138" s="1288"/>
      <c r="CA138" s="1288"/>
      <c r="CB138" s="1288"/>
      <c r="CC138" s="1288"/>
      <c r="CD138" s="1288"/>
      <c r="CE138" s="1288"/>
      <c r="CF138" s="1288"/>
      <c r="CG138" s="1288"/>
      <c r="CH138" s="1288"/>
      <c r="CI138" s="1288"/>
      <c r="CJ138" s="1288"/>
      <c r="CK138" s="1288"/>
      <c r="CL138" s="1288"/>
      <c r="CM138" s="1288"/>
      <c r="CN138" s="1288"/>
      <c r="CO138" s="1288"/>
      <c r="CP138" s="1288"/>
      <c r="CQ138" s="1288"/>
      <c r="CR138" s="1288"/>
      <c r="CS138" s="1288"/>
      <c r="CT138" s="1288"/>
      <c r="CU138" s="1288"/>
      <c r="CV138" s="5"/>
      <c r="CZ138" s="53"/>
      <c r="DA138" s="53"/>
    </row>
    <row r="139" spans="1:106" ht="12" customHeight="1" x14ac:dyDescent="0.2">
      <c r="A139" s="5"/>
      <c r="B139" s="1308"/>
      <c r="C139" s="1309"/>
      <c r="D139" s="1309"/>
      <c r="E139" s="1309"/>
      <c r="F139" s="1309"/>
      <c r="G139" s="1309"/>
      <c r="H139" s="1309"/>
      <c r="I139" s="1309"/>
      <c r="J139" s="1309"/>
      <c r="K139" s="1309"/>
      <c r="L139" s="1309"/>
      <c r="M139" s="1309"/>
      <c r="N139" s="1309"/>
      <c r="O139" s="1309"/>
      <c r="P139" s="1309"/>
      <c r="Q139" s="1309"/>
      <c r="R139" s="1309"/>
      <c r="S139" s="1309"/>
      <c r="T139" s="1309"/>
      <c r="U139" s="1309"/>
      <c r="V139" s="1309"/>
      <c r="W139" s="1309"/>
      <c r="X139" s="1309"/>
      <c r="Y139" s="1309"/>
      <c r="Z139" s="1309"/>
      <c r="AA139" s="1309"/>
      <c r="AB139" s="1309"/>
      <c r="AC139" s="1309"/>
      <c r="AD139" s="1309"/>
      <c r="AE139" s="1309"/>
      <c r="AF139" s="1309"/>
      <c r="AG139" s="1310"/>
      <c r="AH139" s="1437"/>
      <c r="AI139" s="1289"/>
      <c r="AJ139" s="1289"/>
      <c r="AK139" s="1289"/>
      <c r="AL139" s="1289"/>
      <c r="AM139" s="1289"/>
      <c r="AN139" s="1289"/>
      <c r="AO139" s="1289"/>
      <c r="AP139" s="1289"/>
      <c r="AQ139" s="1289"/>
      <c r="AR139" s="1289"/>
      <c r="AS139" s="1289"/>
      <c r="AT139" s="1289"/>
      <c r="AU139" s="1289"/>
      <c r="AV139" s="1289"/>
      <c r="AW139" s="1289"/>
      <c r="AX139" s="1289"/>
      <c r="AY139" s="1289"/>
      <c r="AZ139" s="1289"/>
      <c r="BA139" s="1289"/>
      <c r="BB139" s="1289"/>
      <c r="BC139" s="1289"/>
      <c r="BD139" s="1289"/>
      <c r="BE139" s="1289"/>
      <c r="BF139" s="1289"/>
      <c r="BG139" s="1289"/>
      <c r="BH139" s="1289"/>
      <c r="BI139" s="1289"/>
      <c r="BJ139" s="1289"/>
      <c r="BK139" s="1289"/>
      <c r="BL139" s="1289"/>
      <c r="BM139" s="1289"/>
      <c r="BN139" s="1289"/>
      <c r="BO139" s="1438"/>
      <c r="BP139" s="1289"/>
      <c r="BQ139" s="1289"/>
      <c r="BR139" s="1289"/>
      <c r="BS139" s="1289"/>
      <c r="BT139" s="1289"/>
      <c r="BU139" s="1289"/>
      <c r="BV139" s="1289"/>
      <c r="BW139" s="1289"/>
      <c r="BX139" s="1289"/>
      <c r="BY139" s="1289"/>
      <c r="BZ139" s="1289"/>
      <c r="CA139" s="1289"/>
      <c r="CB139" s="1289"/>
      <c r="CC139" s="1289"/>
      <c r="CD139" s="1289"/>
      <c r="CE139" s="1289"/>
      <c r="CF139" s="1289"/>
      <c r="CG139" s="1289"/>
      <c r="CH139" s="1289"/>
      <c r="CI139" s="1289"/>
      <c r="CJ139" s="1289"/>
      <c r="CK139" s="1289"/>
      <c r="CL139" s="1289"/>
      <c r="CM139" s="1289"/>
      <c r="CN139" s="1289"/>
      <c r="CO139" s="1289"/>
      <c r="CP139" s="1289"/>
      <c r="CQ139" s="1289"/>
      <c r="CR139" s="1289"/>
      <c r="CS139" s="1289"/>
      <c r="CT139" s="1289"/>
      <c r="CU139" s="1289"/>
      <c r="CV139" s="5"/>
      <c r="CY139" s="6">
        <f>CY137+1</f>
        <v>55</v>
      </c>
      <c r="CZ139" s="53"/>
      <c r="DA139" s="53"/>
    </row>
    <row r="140" spans="1:106" ht="12" customHeight="1" x14ac:dyDescent="0.2">
      <c r="A140" s="5"/>
      <c r="B140" s="1308"/>
      <c r="C140" s="1309"/>
      <c r="D140" s="1309"/>
      <c r="E140" s="1309"/>
      <c r="F140" s="1309"/>
      <c r="G140" s="1309"/>
      <c r="H140" s="1309"/>
      <c r="I140" s="1309"/>
      <c r="J140" s="1309"/>
      <c r="K140" s="1309"/>
      <c r="L140" s="1309"/>
      <c r="M140" s="1309"/>
      <c r="N140" s="1309"/>
      <c r="O140" s="1309"/>
      <c r="P140" s="1309"/>
      <c r="Q140" s="1309"/>
      <c r="R140" s="1309"/>
      <c r="S140" s="1309"/>
      <c r="T140" s="1309"/>
      <c r="U140" s="1309"/>
      <c r="V140" s="1309"/>
      <c r="W140" s="1309"/>
      <c r="X140" s="1309"/>
      <c r="Y140" s="1309"/>
      <c r="Z140" s="1309"/>
      <c r="AA140" s="1309"/>
      <c r="AB140" s="1309"/>
      <c r="AC140" s="1309"/>
      <c r="AD140" s="1309"/>
      <c r="AE140" s="1309"/>
      <c r="AF140" s="1309"/>
      <c r="AG140" s="1310"/>
      <c r="AH140" s="1437"/>
      <c r="AI140" s="1288"/>
      <c r="AJ140" s="1288"/>
      <c r="AK140" s="1288"/>
      <c r="AL140" s="1288"/>
      <c r="AM140" s="1288"/>
      <c r="AN140" s="1288"/>
      <c r="AO140" s="1288"/>
      <c r="AP140" s="1288"/>
      <c r="AQ140" s="1288"/>
      <c r="AR140" s="1288"/>
      <c r="AS140" s="1288"/>
      <c r="AT140" s="1288"/>
      <c r="AU140" s="1288"/>
      <c r="AV140" s="1288"/>
      <c r="AW140" s="1288"/>
      <c r="AX140" s="1288"/>
      <c r="AY140" s="1288"/>
      <c r="AZ140" s="1288"/>
      <c r="BA140" s="1288"/>
      <c r="BB140" s="1288"/>
      <c r="BC140" s="1288"/>
      <c r="BD140" s="1288"/>
      <c r="BE140" s="1288"/>
      <c r="BF140" s="1288"/>
      <c r="BG140" s="1288"/>
      <c r="BH140" s="1288"/>
      <c r="BI140" s="1288"/>
      <c r="BJ140" s="1288"/>
      <c r="BK140" s="1288"/>
      <c r="BL140" s="1288"/>
      <c r="BM140" s="1288"/>
      <c r="BN140" s="1288"/>
      <c r="BO140" s="1438"/>
      <c r="BP140" s="1288"/>
      <c r="BQ140" s="1288"/>
      <c r="BR140" s="1288"/>
      <c r="BS140" s="1288"/>
      <c r="BT140" s="1288"/>
      <c r="BU140" s="1288"/>
      <c r="BV140" s="1288"/>
      <c r="BW140" s="1288"/>
      <c r="BX140" s="1288"/>
      <c r="BY140" s="1288"/>
      <c r="BZ140" s="1288"/>
      <c r="CA140" s="1288"/>
      <c r="CB140" s="1288"/>
      <c r="CC140" s="1288"/>
      <c r="CD140" s="1288"/>
      <c r="CE140" s="1288"/>
      <c r="CF140" s="1288"/>
      <c r="CG140" s="1288"/>
      <c r="CH140" s="1288"/>
      <c r="CI140" s="1288"/>
      <c r="CJ140" s="1288"/>
      <c r="CK140" s="1288"/>
      <c r="CL140" s="1288"/>
      <c r="CM140" s="1288"/>
      <c r="CN140" s="1288"/>
      <c r="CO140" s="1288"/>
      <c r="CP140" s="1288"/>
      <c r="CQ140" s="1288"/>
      <c r="CR140" s="1288"/>
      <c r="CS140" s="1288"/>
      <c r="CT140" s="1288"/>
      <c r="CU140" s="1288"/>
      <c r="CV140" s="54"/>
      <c r="CZ140" s="53"/>
      <c r="DA140" s="53"/>
      <c r="DB140" s="53"/>
    </row>
    <row r="141" spans="1:106" ht="12" customHeight="1" x14ac:dyDescent="0.2">
      <c r="A141" s="5"/>
      <c r="B141" s="1308"/>
      <c r="C141" s="1309"/>
      <c r="D141" s="1309"/>
      <c r="E141" s="1309"/>
      <c r="F141" s="1309"/>
      <c r="G141" s="1309"/>
      <c r="H141" s="1309"/>
      <c r="I141" s="1309"/>
      <c r="J141" s="1309"/>
      <c r="K141" s="1309"/>
      <c r="L141" s="1309"/>
      <c r="M141" s="1309"/>
      <c r="N141" s="1309"/>
      <c r="O141" s="1309"/>
      <c r="P141" s="1309"/>
      <c r="Q141" s="1309"/>
      <c r="R141" s="1309"/>
      <c r="S141" s="1309"/>
      <c r="T141" s="1309"/>
      <c r="U141" s="1309"/>
      <c r="V141" s="1309"/>
      <c r="W141" s="1309"/>
      <c r="X141" s="1309"/>
      <c r="Y141" s="1309"/>
      <c r="Z141" s="1309"/>
      <c r="AA141" s="1309"/>
      <c r="AB141" s="1309"/>
      <c r="AC141" s="1309"/>
      <c r="AD141" s="1309"/>
      <c r="AE141" s="1309"/>
      <c r="AF141" s="1309"/>
      <c r="AG141" s="1310"/>
      <c r="AH141" s="1437"/>
      <c r="AI141" s="1289"/>
      <c r="AJ141" s="1289"/>
      <c r="AK141" s="1289"/>
      <c r="AL141" s="1289"/>
      <c r="AM141" s="1289"/>
      <c r="AN141" s="1289"/>
      <c r="AO141" s="1289"/>
      <c r="AP141" s="1289"/>
      <c r="AQ141" s="1289"/>
      <c r="AR141" s="1289"/>
      <c r="AS141" s="1289"/>
      <c r="AT141" s="1289"/>
      <c r="AU141" s="1289"/>
      <c r="AV141" s="1289"/>
      <c r="AW141" s="1289"/>
      <c r="AX141" s="1289"/>
      <c r="AY141" s="1289"/>
      <c r="AZ141" s="1289"/>
      <c r="BA141" s="1289"/>
      <c r="BB141" s="1289"/>
      <c r="BC141" s="1289"/>
      <c r="BD141" s="1289"/>
      <c r="BE141" s="1289"/>
      <c r="BF141" s="1289"/>
      <c r="BG141" s="1289"/>
      <c r="BH141" s="1289"/>
      <c r="BI141" s="1289"/>
      <c r="BJ141" s="1289"/>
      <c r="BK141" s="1289"/>
      <c r="BL141" s="1289"/>
      <c r="BM141" s="1289"/>
      <c r="BN141" s="1289"/>
      <c r="BO141" s="1438"/>
      <c r="BP141" s="1289"/>
      <c r="BQ141" s="1289"/>
      <c r="BR141" s="1289"/>
      <c r="BS141" s="1289"/>
      <c r="BT141" s="1289"/>
      <c r="BU141" s="1289"/>
      <c r="BV141" s="1289"/>
      <c r="BW141" s="1289"/>
      <c r="BX141" s="1289"/>
      <c r="BY141" s="1289"/>
      <c r="BZ141" s="1289"/>
      <c r="CA141" s="1289"/>
      <c r="CB141" s="1289"/>
      <c r="CC141" s="1289"/>
      <c r="CD141" s="1289"/>
      <c r="CE141" s="1289"/>
      <c r="CF141" s="1289"/>
      <c r="CG141" s="1289"/>
      <c r="CH141" s="1289"/>
      <c r="CI141" s="1289"/>
      <c r="CJ141" s="1289"/>
      <c r="CK141" s="1289"/>
      <c r="CL141" s="1289"/>
      <c r="CM141" s="1289"/>
      <c r="CN141" s="1289"/>
      <c r="CO141" s="1289"/>
      <c r="CP141" s="1289"/>
      <c r="CQ141" s="1289"/>
      <c r="CR141" s="1289"/>
      <c r="CS141" s="1289"/>
      <c r="CT141" s="1289"/>
      <c r="CU141" s="1289"/>
      <c r="CV141" s="54"/>
      <c r="CY141" s="6">
        <f>CY139+1</f>
        <v>56</v>
      </c>
      <c r="CZ141" s="53"/>
      <c r="DA141" s="53"/>
      <c r="DB141" s="53"/>
    </row>
    <row r="142" spans="1:106" ht="12" customHeight="1" x14ac:dyDescent="0.2">
      <c r="A142" s="5"/>
      <c r="B142" s="1308"/>
      <c r="C142" s="1309"/>
      <c r="D142" s="1309"/>
      <c r="E142" s="1309"/>
      <c r="F142" s="1309"/>
      <c r="G142" s="1309"/>
      <c r="H142" s="1309"/>
      <c r="I142" s="1309"/>
      <c r="J142" s="1309"/>
      <c r="K142" s="1309"/>
      <c r="L142" s="1309"/>
      <c r="M142" s="1309"/>
      <c r="N142" s="1309"/>
      <c r="O142" s="1309"/>
      <c r="P142" s="1309"/>
      <c r="Q142" s="1309"/>
      <c r="R142" s="1309"/>
      <c r="S142" s="1309"/>
      <c r="T142" s="1309"/>
      <c r="U142" s="1309"/>
      <c r="V142" s="1309"/>
      <c r="W142" s="1309"/>
      <c r="X142" s="1309"/>
      <c r="Y142" s="1309"/>
      <c r="Z142" s="1309"/>
      <c r="AA142" s="1309"/>
      <c r="AB142" s="1309"/>
      <c r="AC142" s="1309"/>
      <c r="AD142" s="1309"/>
      <c r="AE142" s="1309"/>
      <c r="AF142" s="1309"/>
      <c r="AG142" s="1310"/>
      <c r="AH142" s="1437"/>
      <c r="AI142" s="1288"/>
      <c r="AJ142" s="1288"/>
      <c r="AK142" s="1288"/>
      <c r="AL142" s="1288"/>
      <c r="AM142" s="1288"/>
      <c r="AN142" s="1288"/>
      <c r="AO142" s="1288"/>
      <c r="AP142" s="1288"/>
      <c r="AQ142" s="1288"/>
      <c r="AR142" s="1288"/>
      <c r="AS142" s="1288"/>
      <c r="AT142" s="1288"/>
      <c r="AU142" s="1288"/>
      <c r="AV142" s="1288"/>
      <c r="AW142" s="1288"/>
      <c r="AX142" s="1288"/>
      <c r="AY142" s="1288"/>
      <c r="AZ142" s="1288"/>
      <c r="BA142" s="1288"/>
      <c r="BB142" s="1288"/>
      <c r="BC142" s="1288"/>
      <c r="BD142" s="1288"/>
      <c r="BE142" s="1288"/>
      <c r="BF142" s="1288"/>
      <c r="BG142" s="1288"/>
      <c r="BH142" s="1288"/>
      <c r="BI142" s="1288"/>
      <c r="BJ142" s="1288"/>
      <c r="BK142" s="1288"/>
      <c r="BL142" s="1288"/>
      <c r="BM142" s="1288"/>
      <c r="BN142" s="1288"/>
      <c r="BO142" s="1438"/>
      <c r="BP142" s="1288"/>
      <c r="BQ142" s="1288"/>
      <c r="BR142" s="1288"/>
      <c r="BS142" s="1288"/>
      <c r="BT142" s="1288"/>
      <c r="BU142" s="1288"/>
      <c r="BV142" s="1288"/>
      <c r="BW142" s="1288"/>
      <c r="BX142" s="1288"/>
      <c r="BY142" s="1288"/>
      <c r="BZ142" s="1288"/>
      <c r="CA142" s="1288"/>
      <c r="CB142" s="1288"/>
      <c r="CC142" s="1288"/>
      <c r="CD142" s="1288"/>
      <c r="CE142" s="1288"/>
      <c r="CF142" s="1288"/>
      <c r="CG142" s="1288"/>
      <c r="CH142" s="1288"/>
      <c r="CI142" s="1288"/>
      <c r="CJ142" s="1288"/>
      <c r="CK142" s="1288"/>
      <c r="CL142" s="1288"/>
      <c r="CM142" s="1288"/>
      <c r="CN142" s="1288"/>
      <c r="CO142" s="1288"/>
      <c r="CP142" s="1288"/>
      <c r="CQ142" s="1288"/>
      <c r="CR142" s="1288"/>
      <c r="CS142" s="1288"/>
      <c r="CT142" s="1288"/>
      <c r="CU142" s="1288"/>
      <c r="CV142" s="54"/>
      <c r="CZ142" s="53"/>
      <c r="DA142" s="53"/>
      <c r="DB142" s="53"/>
    </row>
    <row r="143" spans="1:106" ht="12" customHeight="1" x14ac:dyDescent="0.2">
      <c r="A143" s="5"/>
      <c r="B143" s="1308"/>
      <c r="C143" s="1309"/>
      <c r="D143" s="1309"/>
      <c r="E143" s="1309"/>
      <c r="F143" s="1309"/>
      <c r="G143" s="1309"/>
      <c r="H143" s="1309"/>
      <c r="I143" s="1309"/>
      <c r="J143" s="1309"/>
      <c r="K143" s="1309"/>
      <c r="L143" s="1309"/>
      <c r="M143" s="1309"/>
      <c r="N143" s="1309"/>
      <c r="O143" s="1309"/>
      <c r="P143" s="1309"/>
      <c r="Q143" s="1309"/>
      <c r="R143" s="1309"/>
      <c r="S143" s="1309"/>
      <c r="T143" s="1309"/>
      <c r="U143" s="1309"/>
      <c r="V143" s="1309"/>
      <c r="W143" s="1309"/>
      <c r="X143" s="1309"/>
      <c r="Y143" s="1309"/>
      <c r="Z143" s="1309"/>
      <c r="AA143" s="1309"/>
      <c r="AB143" s="1309"/>
      <c r="AC143" s="1309"/>
      <c r="AD143" s="1309"/>
      <c r="AE143" s="1309"/>
      <c r="AF143" s="1309"/>
      <c r="AG143" s="1310"/>
      <c r="AH143" s="1437"/>
      <c r="AI143" s="1289"/>
      <c r="AJ143" s="1289"/>
      <c r="AK143" s="1289"/>
      <c r="AL143" s="1289"/>
      <c r="AM143" s="1289"/>
      <c r="AN143" s="1289"/>
      <c r="AO143" s="1289"/>
      <c r="AP143" s="1289"/>
      <c r="AQ143" s="1289"/>
      <c r="AR143" s="1289"/>
      <c r="AS143" s="1289"/>
      <c r="AT143" s="1289"/>
      <c r="AU143" s="1289"/>
      <c r="AV143" s="1289"/>
      <c r="AW143" s="1289"/>
      <c r="AX143" s="1289"/>
      <c r="AY143" s="1289"/>
      <c r="AZ143" s="1289"/>
      <c r="BA143" s="1289"/>
      <c r="BB143" s="1289"/>
      <c r="BC143" s="1289"/>
      <c r="BD143" s="1289"/>
      <c r="BE143" s="1289"/>
      <c r="BF143" s="1289"/>
      <c r="BG143" s="1289"/>
      <c r="BH143" s="1289"/>
      <c r="BI143" s="1289"/>
      <c r="BJ143" s="1289"/>
      <c r="BK143" s="1289"/>
      <c r="BL143" s="1289"/>
      <c r="BM143" s="1289"/>
      <c r="BN143" s="1289"/>
      <c r="BO143" s="1438"/>
      <c r="BP143" s="1289"/>
      <c r="BQ143" s="1289"/>
      <c r="BR143" s="1289"/>
      <c r="BS143" s="1289"/>
      <c r="BT143" s="1289"/>
      <c r="BU143" s="1289"/>
      <c r="BV143" s="1289"/>
      <c r="BW143" s="1289"/>
      <c r="BX143" s="1289"/>
      <c r="BY143" s="1289"/>
      <c r="BZ143" s="1289"/>
      <c r="CA143" s="1289"/>
      <c r="CB143" s="1289"/>
      <c r="CC143" s="1289"/>
      <c r="CD143" s="1289"/>
      <c r="CE143" s="1289"/>
      <c r="CF143" s="1289"/>
      <c r="CG143" s="1289"/>
      <c r="CH143" s="1289"/>
      <c r="CI143" s="1289"/>
      <c r="CJ143" s="1289"/>
      <c r="CK143" s="1289"/>
      <c r="CL143" s="1289"/>
      <c r="CM143" s="1289"/>
      <c r="CN143" s="1289"/>
      <c r="CO143" s="1289"/>
      <c r="CP143" s="1289"/>
      <c r="CQ143" s="1289"/>
      <c r="CR143" s="1289"/>
      <c r="CS143" s="1289"/>
      <c r="CT143" s="1289"/>
      <c r="CU143" s="1289"/>
      <c r="CV143" s="5"/>
      <c r="CY143" s="6">
        <f>CY141+1</f>
        <v>57</v>
      </c>
      <c r="CZ143" s="53"/>
      <c r="DA143" s="53"/>
      <c r="DB143" s="53"/>
    </row>
    <row r="144" spans="1:106" ht="12" customHeight="1" x14ac:dyDescent="0.2">
      <c r="A144" s="5"/>
      <c r="B144" s="1308"/>
      <c r="C144" s="1309"/>
      <c r="D144" s="1309"/>
      <c r="E144" s="1309"/>
      <c r="F144" s="1309"/>
      <c r="G144" s="1309"/>
      <c r="H144" s="1309"/>
      <c r="I144" s="1309"/>
      <c r="J144" s="1309"/>
      <c r="K144" s="1309"/>
      <c r="L144" s="1309"/>
      <c r="M144" s="1309"/>
      <c r="N144" s="1309"/>
      <c r="O144" s="1309"/>
      <c r="P144" s="1309"/>
      <c r="Q144" s="1309"/>
      <c r="R144" s="1309"/>
      <c r="S144" s="1309"/>
      <c r="T144" s="1309"/>
      <c r="U144" s="1309"/>
      <c r="V144" s="1309"/>
      <c r="W144" s="1309"/>
      <c r="X144" s="1309"/>
      <c r="Y144" s="1309"/>
      <c r="Z144" s="1309"/>
      <c r="AA144" s="1309"/>
      <c r="AB144" s="1309"/>
      <c r="AC144" s="1309"/>
      <c r="AD144" s="1309"/>
      <c r="AE144" s="1309"/>
      <c r="AF144" s="1309"/>
      <c r="AG144" s="1310"/>
      <c r="AH144" s="1437"/>
      <c r="AI144" s="1288"/>
      <c r="AJ144" s="1288"/>
      <c r="AK144" s="1288"/>
      <c r="AL144" s="1288"/>
      <c r="AM144" s="1288"/>
      <c r="AN144" s="1288"/>
      <c r="AO144" s="1288"/>
      <c r="AP144" s="1288"/>
      <c r="AQ144" s="1288"/>
      <c r="AR144" s="1288"/>
      <c r="AS144" s="1288"/>
      <c r="AT144" s="1288"/>
      <c r="AU144" s="1288"/>
      <c r="AV144" s="1288"/>
      <c r="AW144" s="1288"/>
      <c r="AX144" s="1288"/>
      <c r="AY144" s="1288"/>
      <c r="AZ144" s="1288"/>
      <c r="BA144" s="1288"/>
      <c r="BB144" s="1288"/>
      <c r="BC144" s="1288"/>
      <c r="BD144" s="1288"/>
      <c r="BE144" s="1288"/>
      <c r="BF144" s="1288"/>
      <c r="BG144" s="1288"/>
      <c r="BH144" s="1288"/>
      <c r="BI144" s="1288"/>
      <c r="BJ144" s="1288"/>
      <c r="BK144" s="1288"/>
      <c r="BL144" s="1288"/>
      <c r="BM144" s="1288"/>
      <c r="BN144" s="1288"/>
      <c r="BO144" s="1438"/>
      <c r="BP144" s="1288"/>
      <c r="BQ144" s="1288"/>
      <c r="BR144" s="1288"/>
      <c r="BS144" s="1288"/>
      <c r="BT144" s="1288"/>
      <c r="BU144" s="1288"/>
      <c r="BV144" s="1288"/>
      <c r="BW144" s="1288"/>
      <c r="BX144" s="1288"/>
      <c r="BY144" s="1288"/>
      <c r="BZ144" s="1288"/>
      <c r="CA144" s="1288"/>
      <c r="CB144" s="1288"/>
      <c r="CC144" s="1288"/>
      <c r="CD144" s="1288"/>
      <c r="CE144" s="1288"/>
      <c r="CF144" s="1288"/>
      <c r="CG144" s="1288"/>
      <c r="CH144" s="1288"/>
      <c r="CI144" s="1288"/>
      <c r="CJ144" s="1288"/>
      <c r="CK144" s="1288"/>
      <c r="CL144" s="1288"/>
      <c r="CM144" s="1288"/>
      <c r="CN144" s="1288"/>
      <c r="CO144" s="1288"/>
      <c r="CP144" s="1288"/>
      <c r="CQ144" s="1288"/>
      <c r="CR144" s="1288"/>
      <c r="CS144" s="1288"/>
      <c r="CT144" s="1288"/>
      <c r="CU144" s="1288"/>
      <c r="CV144" s="5"/>
      <c r="CY144" s="53"/>
      <c r="CZ144" s="53"/>
      <c r="DA144" s="53"/>
      <c r="DB144" s="53"/>
    </row>
    <row r="145" spans="1:106" ht="12" customHeight="1" x14ac:dyDescent="0.2">
      <c r="A145" s="5"/>
      <c r="B145" s="1308"/>
      <c r="C145" s="1309"/>
      <c r="D145" s="1309"/>
      <c r="E145" s="1309"/>
      <c r="F145" s="1309"/>
      <c r="G145" s="1309"/>
      <c r="H145" s="1309"/>
      <c r="I145" s="1309"/>
      <c r="J145" s="1309"/>
      <c r="K145" s="1309"/>
      <c r="L145" s="1309"/>
      <c r="M145" s="1309"/>
      <c r="N145" s="1309"/>
      <c r="O145" s="1309"/>
      <c r="P145" s="1309"/>
      <c r="Q145" s="1309"/>
      <c r="R145" s="1309"/>
      <c r="S145" s="1309"/>
      <c r="T145" s="1309"/>
      <c r="U145" s="1309"/>
      <c r="V145" s="1309"/>
      <c r="W145" s="1309"/>
      <c r="X145" s="1309"/>
      <c r="Y145" s="1309"/>
      <c r="Z145" s="1309"/>
      <c r="AA145" s="1309"/>
      <c r="AB145" s="1309"/>
      <c r="AC145" s="1309"/>
      <c r="AD145" s="1309"/>
      <c r="AE145" s="1309"/>
      <c r="AF145" s="1309"/>
      <c r="AG145" s="1310"/>
      <c r="AH145" s="1437"/>
      <c r="AI145" s="1289"/>
      <c r="AJ145" s="1289"/>
      <c r="AK145" s="1289"/>
      <c r="AL145" s="1289"/>
      <c r="AM145" s="1289"/>
      <c r="AN145" s="1289"/>
      <c r="AO145" s="1289"/>
      <c r="AP145" s="1289"/>
      <c r="AQ145" s="1289"/>
      <c r="AR145" s="1289"/>
      <c r="AS145" s="1289"/>
      <c r="AT145" s="1289"/>
      <c r="AU145" s="1289"/>
      <c r="AV145" s="1289"/>
      <c r="AW145" s="1289"/>
      <c r="AX145" s="1289"/>
      <c r="AY145" s="1289"/>
      <c r="AZ145" s="1289"/>
      <c r="BA145" s="1289"/>
      <c r="BB145" s="1289"/>
      <c r="BC145" s="1289"/>
      <c r="BD145" s="1289"/>
      <c r="BE145" s="1289"/>
      <c r="BF145" s="1289"/>
      <c r="BG145" s="1289"/>
      <c r="BH145" s="1289"/>
      <c r="BI145" s="1289"/>
      <c r="BJ145" s="1289"/>
      <c r="BK145" s="1289"/>
      <c r="BL145" s="1289"/>
      <c r="BM145" s="1289"/>
      <c r="BN145" s="1289"/>
      <c r="BO145" s="1438"/>
      <c r="BP145" s="1289"/>
      <c r="BQ145" s="1289"/>
      <c r="BR145" s="1289"/>
      <c r="BS145" s="1289"/>
      <c r="BT145" s="1289"/>
      <c r="BU145" s="1289"/>
      <c r="BV145" s="1289"/>
      <c r="BW145" s="1289"/>
      <c r="BX145" s="1289"/>
      <c r="BY145" s="1289"/>
      <c r="BZ145" s="1289"/>
      <c r="CA145" s="1289"/>
      <c r="CB145" s="1289"/>
      <c r="CC145" s="1289"/>
      <c r="CD145" s="1289"/>
      <c r="CE145" s="1289"/>
      <c r="CF145" s="1289"/>
      <c r="CG145" s="1289"/>
      <c r="CH145" s="1289"/>
      <c r="CI145" s="1289"/>
      <c r="CJ145" s="1289"/>
      <c r="CK145" s="1289"/>
      <c r="CL145" s="1289"/>
      <c r="CM145" s="1289"/>
      <c r="CN145" s="1289"/>
      <c r="CO145" s="1289"/>
      <c r="CP145" s="1289"/>
      <c r="CQ145" s="1289"/>
      <c r="CR145" s="1289"/>
      <c r="CS145" s="1289"/>
      <c r="CT145" s="1289"/>
      <c r="CU145" s="1289"/>
      <c r="CV145" s="5"/>
      <c r="CY145" s="53"/>
      <c r="CZ145" s="53"/>
      <c r="DA145" s="53"/>
      <c r="DB145" s="53"/>
    </row>
    <row r="146" spans="1:106" ht="12" customHeight="1" x14ac:dyDescent="0.2">
      <c r="A146" s="5"/>
      <c r="B146" s="1308"/>
      <c r="C146" s="1309"/>
      <c r="D146" s="1309"/>
      <c r="E146" s="1309"/>
      <c r="F146" s="1309"/>
      <c r="G146" s="1309"/>
      <c r="H146" s="1309"/>
      <c r="I146" s="1309"/>
      <c r="J146" s="1309"/>
      <c r="K146" s="1309"/>
      <c r="L146" s="1309"/>
      <c r="M146" s="1309"/>
      <c r="N146" s="1309"/>
      <c r="O146" s="1309"/>
      <c r="P146" s="1309"/>
      <c r="Q146" s="1309"/>
      <c r="R146" s="1309"/>
      <c r="S146" s="1309"/>
      <c r="T146" s="1309"/>
      <c r="U146" s="1309"/>
      <c r="V146" s="1309"/>
      <c r="W146" s="1309"/>
      <c r="X146" s="1309"/>
      <c r="Y146" s="1309"/>
      <c r="Z146" s="1309"/>
      <c r="AA146" s="1309"/>
      <c r="AB146" s="1309"/>
      <c r="AC146" s="1309"/>
      <c r="AD146" s="1309"/>
      <c r="AE146" s="1309"/>
      <c r="AF146" s="1309"/>
      <c r="AG146" s="1310"/>
      <c r="AH146" s="1437"/>
      <c r="AI146" s="1288"/>
      <c r="AJ146" s="1288"/>
      <c r="AK146" s="1288"/>
      <c r="AL146" s="1288"/>
      <c r="AM146" s="1288"/>
      <c r="AN146" s="1288"/>
      <c r="AO146" s="1288"/>
      <c r="AP146" s="1288"/>
      <c r="AQ146" s="1288"/>
      <c r="AR146" s="1288"/>
      <c r="AS146" s="1288"/>
      <c r="AT146" s="1288"/>
      <c r="AU146" s="1288"/>
      <c r="AV146" s="1288"/>
      <c r="AW146" s="1288"/>
      <c r="AX146" s="1288"/>
      <c r="AY146" s="1288"/>
      <c r="AZ146" s="1288"/>
      <c r="BA146" s="1288"/>
      <c r="BB146" s="1288"/>
      <c r="BC146" s="1288"/>
      <c r="BD146" s="1288"/>
      <c r="BE146" s="1288"/>
      <c r="BF146" s="1288"/>
      <c r="BG146" s="1288"/>
      <c r="BH146" s="1288"/>
      <c r="BI146" s="1288"/>
      <c r="BJ146" s="1288"/>
      <c r="BK146" s="1288"/>
      <c r="BL146" s="1288"/>
      <c r="BM146" s="1288"/>
      <c r="BN146" s="1288"/>
      <c r="BO146" s="1438"/>
      <c r="BP146" s="1288"/>
      <c r="BQ146" s="1288"/>
      <c r="BR146" s="1288"/>
      <c r="BS146" s="1288"/>
      <c r="BT146" s="1288"/>
      <c r="BU146" s="1288"/>
      <c r="BV146" s="1288"/>
      <c r="BW146" s="1288"/>
      <c r="BX146" s="1288"/>
      <c r="BY146" s="1288"/>
      <c r="BZ146" s="1288"/>
      <c r="CA146" s="1288"/>
      <c r="CB146" s="1288"/>
      <c r="CC146" s="1288"/>
      <c r="CD146" s="1288"/>
      <c r="CE146" s="1288"/>
      <c r="CF146" s="1288"/>
      <c r="CG146" s="1288"/>
      <c r="CH146" s="1288"/>
      <c r="CI146" s="1288"/>
      <c r="CJ146" s="1288"/>
      <c r="CK146" s="1288"/>
      <c r="CL146" s="1288"/>
      <c r="CM146" s="1288"/>
      <c r="CN146" s="1288"/>
      <c r="CO146" s="1288"/>
      <c r="CP146" s="1288"/>
      <c r="CQ146" s="1288"/>
      <c r="CR146" s="1288"/>
      <c r="CS146" s="1288"/>
      <c r="CT146" s="1288"/>
      <c r="CU146" s="1288"/>
      <c r="CV146" s="5"/>
      <c r="CW146" s="53"/>
      <c r="CX146" s="53"/>
      <c r="CY146" s="53"/>
      <c r="CZ146" s="53"/>
      <c r="DA146" s="53"/>
      <c r="DB146" s="53"/>
    </row>
    <row r="147" spans="1:106" ht="12" customHeight="1" x14ac:dyDescent="0.2">
      <c r="A147" s="5"/>
      <c r="B147" s="1308"/>
      <c r="C147" s="1309"/>
      <c r="D147" s="1309"/>
      <c r="E147" s="1309"/>
      <c r="F147" s="1309"/>
      <c r="G147" s="1309"/>
      <c r="H147" s="1309"/>
      <c r="I147" s="1309"/>
      <c r="J147" s="1309"/>
      <c r="K147" s="1309"/>
      <c r="L147" s="1309"/>
      <c r="M147" s="1309"/>
      <c r="N147" s="1309"/>
      <c r="O147" s="1309"/>
      <c r="P147" s="1309"/>
      <c r="Q147" s="1309"/>
      <c r="R147" s="1309"/>
      <c r="S147" s="1309"/>
      <c r="T147" s="1309"/>
      <c r="U147" s="1309"/>
      <c r="V147" s="1309"/>
      <c r="W147" s="1309"/>
      <c r="X147" s="1309"/>
      <c r="Y147" s="1309"/>
      <c r="Z147" s="1309"/>
      <c r="AA147" s="1309"/>
      <c r="AB147" s="1309"/>
      <c r="AC147" s="1309"/>
      <c r="AD147" s="1309"/>
      <c r="AE147" s="1309"/>
      <c r="AF147" s="1309"/>
      <c r="AG147" s="1310"/>
      <c r="AH147" s="1437"/>
      <c r="AI147" s="1289"/>
      <c r="AJ147" s="1289"/>
      <c r="AK147" s="1289"/>
      <c r="AL147" s="1289"/>
      <c r="AM147" s="1289"/>
      <c r="AN147" s="1289"/>
      <c r="AO147" s="1289"/>
      <c r="AP147" s="1289"/>
      <c r="AQ147" s="1289"/>
      <c r="AR147" s="1289"/>
      <c r="AS147" s="1289"/>
      <c r="AT147" s="1289"/>
      <c r="AU147" s="1289"/>
      <c r="AV147" s="1289"/>
      <c r="AW147" s="1289"/>
      <c r="AX147" s="1289"/>
      <c r="AY147" s="1289"/>
      <c r="AZ147" s="1289"/>
      <c r="BA147" s="1289"/>
      <c r="BB147" s="1289"/>
      <c r="BC147" s="1289"/>
      <c r="BD147" s="1289"/>
      <c r="BE147" s="1289"/>
      <c r="BF147" s="1289"/>
      <c r="BG147" s="1289"/>
      <c r="BH147" s="1289"/>
      <c r="BI147" s="1289"/>
      <c r="BJ147" s="1289"/>
      <c r="BK147" s="1289"/>
      <c r="BL147" s="1289"/>
      <c r="BM147" s="1289"/>
      <c r="BN147" s="1289"/>
      <c r="BO147" s="1438"/>
      <c r="BP147" s="1289"/>
      <c r="BQ147" s="1289"/>
      <c r="BR147" s="1289"/>
      <c r="BS147" s="1289"/>
      <c r="BT147" s="1289"/>
      <c r="BU147" s="1289"/>
      <c r="BV147" s="1289"/>
      <c r="BW147" s="1289"/>
      <c r="BX147" s="1289"/>
      <c r="BY147" s="1289"/>
      <c r="BZ147" s="1289"/>
      <c r="CA147" s="1289"/>
      <c r="CB147" s="1289"/>
      <c r="CC147" s="1289"/>
      <c r="CD147" s="1289"/>
      <c r="CE147" s="1289"/>
      <c r="CF147" s="1289"/>
      <c r="CG147" s="1289"/>
      <c r="CH147" s="1289"/>
      <c r="CI147" s="1289"/>
      <c r="CJ147" s="1289"/>
      <c r="CK147" s="1289"/>
      <c r="CL147" s="1289"/>
      <c r="CM147" s="1289"/>
      <c r="CN147" s="1289"/>
      <c r="CO147" s="1289"/>
      <c r="CP147" s="1289"/>
      <c r="CQ147" s="1289"/>
      <c r="CR147" s="1289"/>
      <c r="CS147" s="1289"/>
      <c r="CT147" s="1289"/>
      <c r="CU147" s="1289"/>
      <c r="CV147" s="5"/>
      <c r="CW147" s="53"/>
      <c r="CX147" s="53"/>
      <c r="CY147" s="53"/>
      <c r="CZ147" s="53"/>
      <c r="DA147" s="53"/>
      <c r="DB147" s="53"/>
    </row>
    <row r="148" spans="1:106" ht="12" customHeight="1" x14ac:dyDescent="0.2">
      <c r="A148" s="5"/>
      <c r="B148" s="1308"/>
      <c r="C148" s="1309"/>
      <c r="D148" s="1309"/>
      <c r="E148" s="1309"/>
      <c r="F148" s="1309"/>
      <c r="G148" s="1309"/>
      <c r="H148" s="1309"/>
      <c r="I148" s="1309"/>
      <c r="J148" s="1309"/>
      <c r="K148" s="1309"/>
      <c r="L148" s="1309"/>
      <c r="M148" s="1309"/>
      <c r="N148" s="1309"/>
      <c r="O148" s="1309"/>
      <c r="P148" s="1309"/>
      <c r="Q148" s="1309"/>
      <c r="R148" s="1309"/>
      <c r="S148" s="1309"/>
      <c r="T148" s="1309"/>
      <c r="U148" s="1309"/>
      <c r="V148" s="1309"/>
      <c r="W148" s="1309"/>
      <c r="X148" s="1309"/>
      <c r="Y148" s="1309"/>
      <c r="Z148" s="1309"/>
      <c r="AA148" s="1309"/>
      <c r="AB148" s="1309"/>
      <c r="AC148" s="1309"/>
      <c r="AD148" s="1309"/>
      <c r="AE148" s="1309"/>
      <c r="AF148" s="1309"/>
      <c r="AG148" s="1310"/>
      <c r="AH148" s="1437"/>
      <c r="AI148" s="1288"/>
      <c r="AJ148" s="1288"/>
      <c r="AK148" s="1288"/>
      <c r="AL148" s="1288"/>
      <c r="AM148" s="1288"/>
      <c r="AN148" s="1288"/>
      <c r="AO148" s="1288"/>
      <c r="AP148" s="1288"/>
      <c r="AQ148" s="1288"/>
      <c r="AR148" s="1288"/>
      <c r="AS148" s="1288"/>
      <c r="AT148" s="1288"/>
      <c r="AU148" s="1288"/>
      <c r="AV148" s="1288"/>
      <c r="AW148" s="1288"/>
      <c r="AX148" s="1288"/>
      <c r="AY148" s="1288"/>
      <c r="AZ148" s="1288"/>
      <c r="BA148" s="1288"/>
      <c r="BB148" s="1288"/>
      <c r="BC148" s="1288"/>
      <c r="BD148" s="1288"/>
      <c r="BE148" s="1288"/>
      <c r="BF148" s="1288"/>
      <c r="BG148" s="1288"/>
      <c r="BH148" s="1288"/>
      <c r="BI148" s="1288"/>
      <c r="BJ148" s="1288"/>
      <c r="BK148" s="1288"/>
      <c r="BL148" s="1288"/>
      <c r="BM148" s="1288"/>
      <c r="BN148" s="1288"/>
      <c r="BO148" s="1438"/>
      <c r="BP148" s="1288"/>
      <c r="BQ148" s="1288"/>
      <c r="BR148" s="1288"/>
      <c r="BS148" s="1288"/>
      <c r="BT148" s="1288"/>
      <c r="BU148" s="1288"/>
      <c r="BV148" s="1288"/>
      <c r="BW148" s="1288"/>
      <c r="BX148" s="1288"/>
      <c r="BY148" s="1288"/>
      <c r="BZ148" s="1288"/>
      <c r="CA148" s="1288"/>
      <c r="CB148" s="1288"/>
      <c r="CC148" s="1288"/>
      <c r="CD148" s="1288"/>
      <c r="CE148" s="1288"/>
      <c r="CF148" s="1288"/>
      <c r="CG148" s="1288"/>
      <c r="CH148" s="1288"/>
      <c r="CI148" s="1288"/>
      <c r="CJ148" s="1288"/>
      <c r="CK148" s="1288"/>
      <c r="CL148" s="1288"/>
      <c r="CM148" s="1288"/>
      <c r="CN148" s="1288"/>
      <c r="CO148" s="1288"/>
      <c r="CP148" s="1288"/>
      <c r="CQ148" s="1288"/>
      <c r="CR148" s="1288"/>
      <c r="CS148" s="1288"/>
      <c r="CT148" s="1288"/>
      <c r="CU148" s="1288"/>
      <c r="CV148" s="5"/>
      <c r="CW148" s="53"/>
      <c r="CX148" s="53"/>
      <c r="CY148" s="53"/>
      <c r="CZ148" s="53"/>
      <c r="DA148" s="53"/>
      <c r="DB148" s="53"/>
    </row>
    <row r="149" spans="1:106" ht="12" customHeight="1" x14ac:dyDescent="0.2">
      <c r="A149" s="5"/>
      <c r="B149" s="1308"/>
      <c r="C149" s="1309"/>
      <c r="D149" s="1309"/>
      <c r="E149" s="1309"/>
      <c r="F149" s="1309"/>
      <c r="G149" s="1309"/>
      <c r="H149" s="1309"/>
      <c r="I149" s="1309"/>
      <c r="J149" s="1309"/>
      <c r="K149" s="1309"/>
      <c r="L149" s="1309"/>
      <c r="M149" s="1309"/>
      <c r="N149" s="1309"/>
      <c r="O149" s="1309"/>
      <c r="P149" s="1309"/>
      <c r="Q149" s="1309"/>
      <c r="R149" s="1309"/>
      <c r="S149" s="1309"/>
      <c r="T149" s="1309"/>
      <c r="U149" s="1309"/>
      <c r="V149" s="1309"/>
      <c r="W149" s="1309"/>
      <c r="X149" s="1309"/>
      <c r="Y149" s="1309"/>
      <c r="Z149" s="1309"/>
      <c r="AA149" s="1309"/>
      <c r="AB149" s="1309"/>
      <c r="AC149" s="1309"/>
      <c r="AD149" s="1309"/>
      <c r="AE149" s="1309"/>
      <c r="AF149" s="1309"/>
      <c r="AG149" s="1310"/>
      <c r="AH149" s="1437"/>
      <c r="AI149" s="1289"/>
      <c r="AJ149" s="1289"/>
      <c r="AK149" s="1289"/>
      <c r="AL149" s="1289"/>
      <c r="AM149" s="1289"/>
      <c r="AN149" s="1289"/>
      <c r="AO149" s="1289"/>
      <c r="AP149" s="1289"/>
      <c r="AQ149" s="1289"/>
      <c r="AR149" s="1289"/>
      <c r="AS149" s="1289"/>
      <c r="AT149" s="1289"/>
      <c r="AU149" s="1289"/>
      <c r="AV149" s="1289"/>
      <c r="AW149" s="1289"/>
      <c r="AX149" s="1289"/>
      <c r="AY149" s="1289"/>
      <c r="AZ149" s="1289"/>
      <c r="BA149" s="1289"/>
      <c r="BB149" s="1289"/>
      <c r="BC149" s="1289"/>
      <c r="BD149" s="1289"/>
      <c r="BE149" s="1289"/>
      <c r="BF149" s="1289"/>
      <c r="BG149" s="1289"/>
      <c r="BH149" s="1289"/>
      <c r="BI149" s="1289"/>
      <c r="BJ149" s="1289"/>
      <c r="BK149" s="1289"/>
      <c r="BL149" s="1289"/>
      <c r="BM149" s="1289"/>
      <c r="BN149" s="1289"/>
      <c r="BO149" s="1438"/>
      <c r="BP149" s="1289"/>
      <c r="BQ149" s="1289"/>
      <c r="BR149" s="1289"/>
      <c r="BS149" s="1289"/>
      <c r="BT149" s="1289"/>
      <c r="BU149" s="1289"/>
      <c r="BV149" s="1289"/>
      <c r="BW149" s="1289"/>
      <c r="BX149" s="1289"/>
      <c r="BY149" s="1289"/>
      <c r="BZ149" s="1289"/>
      <c r="CA149" s="1289"/>
      <c r="CB149" s="1289"/>
      <c r="CC149" s="1289"/>
      <c r="CD149" s="1289"/>
      <c r="CE149" s="1289"/>
      <c r="CF149" s="1289"/>
      <c r="CG149" s="1289"/>
      <c r="CH149" s="1289"/>
      <c r="CI149" s="1289"/>
      <c r="CJ149" s="1289"/>
      <c r="CK149" s="1289"/>
      <c r="CL149" s="1289"/>
      <c r="CM149" s="1289"/>
      <c r="CN149" s="1289"/>
      <c r="CO149" s="1289"/>
      <c r="CP149" s="1289"/>
      <c r="CQ149" s="1289"/>
      <c r="CR149" s="1289"/>
      <c r="CS149" s="1289"/>
      <c r="CT149" s="1289"/>
      <c r="CU149" s="1289"/>
      <c r="CV149" s="5"/>
    </row>
    <row r="150" spans="1:106" ht="12" customHeight="1" x14ac:dyDescent="0.2">
      <c r="A150" s="5"/>
      <c r="B150" s="1308"/>
      <c r="C150" s="1309"/>
      <c r="D150" s="1309"/>
      <c r="E150" s="1309"/>
      <c r="F150" s="1309"/>
      <c r="G150" s="1309"/>
      <c r="H150" s="1309"/>
      <c r="I150" s="1309"/>
      <c r="J150" s="1309"/>
      <c r="K150" s="1309"/>
      <c r="L150" s="1309"/>
      <c r="M150" s="1309"/>
      <c r="N150" s="1309"/>
      <c r="O150" s="1309"/>
      <c r="P150" s="1309"/>
      <c r="Q150" s="1309"/>
      <c r="R150" s="1309"/>
      <c r="S150" s="1309"/>
      <c r="T150" s="1309"/>
      <c r="U150" s="1309"/>
      <c r="V150" s="1309"/>
      <c r="W150" s="1309"/>
      <c r="X150" s="1309"/>
      <c r="Y150" s="1309"/>
      <c r="Z150" s="1309"/>
      <c r="AA150" s="1309"/>
      <c r="AB150" s="1309"/>
      <c r="AC150" s="1309"/>
      <c r="AD150" s="1309"/>
      <c r="AE150" s="1309"/>
      <c r="AF150" s="1309"/>
      <c r="AG150" s="1310"/>
      <c r="AH150" s="1437"/>
      <c r="AI150" s="1288"/>
      <c r="AJ150" s="1288"/>
      <c r="AK150" s="1288"/>
      <c r="AL150" s="1288"/>
      <c r="AM150" s="1288"/>
      <c r="AN150" s="1288"/>
      <c r="AO150" s="1288"/>
      <c r="AP150" s="1288"/>
      <c r="AQ150" s="1288"/>
      <c r="AR150" s="1288"/>
      <c r="AS150" s="1288"/>
      <c r="AT150" s="1288"/>
      <c r="AU150" s="1288"/>
      <c r="AV150" s="1288"/>
      <c r="AW150" s="1288"/>
      <c r="AX150" s="1288"/>
      <c r="AY150" s="1288"/>
      <c r="AZ150" s="1288"/>
      <c r="BA150" s="1288"/>
      <c r="BB150" s="1288"/>
      <c r="BC150" s="1288"/>
      <c r="BD150" s="1288"/>
      <c r="BE150" s="1288"/>
      <c r="BF150" s="1288"/>
      <c r="BG150" s="1288"/>
      <c r="BH150" s="1288"/>
      <c r="BI150" s="1288"/>
      <c r="BJ150" s="1288"/>
      <c r="BK150" s="1288"/>
      <c r="BL150" s="1288"/>
      <c r="BM150" s="1288"/>
      <c r="BN150" s="1288"/>
      <c r="BO150" s="1438"/>
      <c r="BP150" s="1288"/>
      <c r="BQ150" s="1288"/>
      <c r="BR150" s="1288"/>
      <c r="BS150" s="1288"/>
      <c r="BT150" s="1288"/>
      <c r="BU150" s="1288"/>
      <c r="BV150" s="1288"/>
      <c r="BW150" s="1288"/>
      <c r="BX150" s="1288"/>
      <c r="BY150" s="1288"/>
      <c r="BZ150" s="1288"/>
      <c r="CA150" s="1288"/>
      <c r="CB150" s="1288"/>
      <c r="CC150" s="1288"/>
      <c r="CD150" s="1288"/>
      <c r="CE150" s="1288"/>
      <c r="CF150" s="1288"/>
      <c r="CG150" s="1288"/>
      <c r="CH150" s="1288"/>
      <c r="CI150" s="1288"/>
      <c r="CJ150" s="1288"/>
      <c r="CK150" s="1288"/>
      <c r="CL150" s="1288"/>
      <c r="CM150" s="1288"/>
      <c r="CN150" s="1288"/>
      <c r="CO150" s="1288"/>
      <c r="CP150" s="1288"/>
      <c r="CQ150" s="1288"/>
      <c r="CR150" s="1288"/>
      <c r="CS150" s="1288"/>
      <c r="CT150" s="1288"/>
      <c r="CU150" s="1288"/>
      <c r="CV150" s="5"/>
    </row>
    <row r="151" spans="1:106" ht="12" customHeight="1" x14ac:dyDescent="0.2">
      <c r="A151" s="5"/>
      <c r="B151" s="1308"/>
      <c r="C151" s="1309"/>
      <c r="D151" s="1309"/>
      <c r="E151" s="1309"/>
      <c r="F151" s="1309"/>
      <c r="G151" s="1309"/>
      <c r="H151" s="1309"/>
      <c r="I151" s="1309"/>
      <c r="J151" s="1309"/>
      <c r="K151" s="1309"/>
      <c r="L151" s="1309"/>
      <c r="M151" s="1309"/>
      <c r="N151" s="1309"/>
      <c r="O151" s="1309"/>
      <c r="P151" s="1309"/>
      <c r="Q151" s="1309"/>
      <c r="R151" s="1309"/>
      <c r="S151" s="1309"/>
      <c r="T151" s="1309"/>
      <c r="U151" s="1309"/>
      <c r="V151" s="1309"/>
      <c r="W151" s="1309"/>
      <c r="X151" s="1309"/>
      <c r="Y151" s="1309"/>
      <c r="Z151" s="1309"/>
      <c r="AA151" s="1309"/>
      <c r="AB151" s="1309"/>
      <c r="AC151" s="1309"/>
      <c r="AD151" s="1309"/>
      <c r="AE151" s="1309"/>
      <c r="AF151" s="1309"/>
      <c r="AG151" s="1310"/>
      <c r="AH151" s="1437"/>
      <c r="AI151" s="1289"/>
      <c r="AJ151" s="1289"/>
      <c r="AK151" s="1289"/>
      <c r="AL151" s="1289"/>
      <c r="AM151" s="1289"/>
      <c r="AN151" s="1289"/>
      <c r="AO151" s="1289"/>
      <c r="AP151" s="1289"/>
      <c r="AQ151" s="1289"/>
      <c r="AR151" s="1289"/>
      <c r="AS151" s="1289"/>
      <c r="AT151" s="1289"/>
      <c r="AU151" s="1289"/>
      <c r="AV151" s="1289"/>
      <c r="AW151" s="1289"/>
      <c r="AX151" s="1289"/>
      <c r="AY151" s="1289"/>
      <c r="AZ151" s="1289"/>
      <c r="BA151" s="1289"/>
      <c r="BB151" s="1289"/>
      <c r="BC151" s="1289"/>
      <c r="BD151" s="1289"/>
      <c r="BE151" s="1289"/>
      <c r="BF151" s="1289"/>
      <c r="BG151" s="1289"/>
      <c r="BH151" s="1289"/>
      <c r="BI151" s="1289"/>
      <c r="BJ151" s="1289"/>
      <c r="BK151" s="1289"/>
      <c r="BL151" s="1289"/>
      <c r="BM151" s="1289"/>
      <c r="BN151" s="1289"/>
      <c r="BO151" s="1438"/>
      <c r="BP151" s="1289"/>
      <c r="BQ151" s="1289"/>
      <c r="BR151" s="1289"/>
      <c r="BS151" s="1289"/>
      <c r="BT151" s="1289"/>
      <c r="BU151" s="1289"/>
      <c r="BV151" s="1289"/>
      <c r="BW151" s="1289"/>
      <c r="BX151" s="1289"/>
      <c r="BY151" s="1289"/>
      <c r="BZ151" s="1289"/>
      <c r="CA151" s="1289"/>
      <c r="CB151" s="1289"/>
      <c r="CC151" s="1289"/>
      <c r="CD151" s="1289"/>
      <c r="CE151" s="1289"/>
      <c r="CF151" s="1289"/>
      <c r="CG151" s="1289"/>
      <c r="CH151" s="1289"/>
      <c r="CI151" s="1289"/>
      <c r="CJ151" s="1289"/>
      <c r="CK151" s="1289"/>
      <c r="CL151" s="1289"/>
      <c r="CM151" s="1289"/>
      <c r="CN151" s="1289"/>
      <c r="CO151" s="1289"/>
      <c r="CP151" s="1289"/>
      <c r="CQ151" s="1289"/>
      <c r="CR151" s="1289"/>
      <c r="CS151" s="1289"/>
      <c r="CT151" s="1289"/>
      <c r="CU151" s="1289"/>
      <c r="CV151" s="5"/>
    </row>
    <row r="152" spans="1:106" ht="12" customHeight="1" x14ac:dyDescent="0.2">
      <c r="A152" s="5"/>
      <c r="B152" s="1308"/>
      <c r="C152" s="1309"/>
      <c r="D152" s="1309"/>
      <c r="E152" s="1309"/>
      <c r="F152" s="1309"/>
      <c r="G152" s="1309"/>
      <c r="H152" s="1309"/>
      <c r="I152" s="1309"/>
      <c r="J152" s="1309"/>
      <c r="K152" s="1309"/>
      <c r="L152" s="1309"/>
      <c r="M152" s="1309"/>
      <c r="N152" s="1309"/>
      <c r="O152" s="1309"/>
      <c r="P152" s="1309"/>
      <c r="Q152" s="1309"/>
      <c r="R152" s="1309"/>
      <c r="S152" s="1309"/>
      <c r="T152" s="1309"/>
      <c r="U152" s="1309"/>
      <c r="V152" s="1309"/>
      <c r="W152" s="1309"/>
      <c r="X152" s="1309"/>
      <c r="Y152" s="1309"/>
      <c r="Z152" s="1309"/>
      <c r="AA152" s="1309"/>
      <c r="AB152" s="1309"/>
      <c r="AC152" s="1309"/>
      <c r="AD152" s="1309"/>
      <c r="AE152" s="1309"/>
      <c r="AF152" s="1309"/>
      <c r="AG152" s="1310"/>
      <c r="AH152" s="1437"/>
      <c r="AI152" s="1288"/>
      <c r="AJ152" s="1288"/>
      <c r="AK152" s="1288"/>
      <c r="AL152" s="1288"/>
      <c r="AM152" s="1288"/>
      <c r="AN152" s="1288"/>
      <c r="AO152" s="1288"/>
      <c r="AP152" s="1288"/>
      <c r="AQ152" s="1288"/>
      <c r="AR152" s="1288"/>
      <c r="AS152" s="1288"/>
      <c r="AT152" s="1288"/>
      <c r="AU152" s="1288"/>
      <c r="AV152" s="1288"/>
      <c r="AW152" s="1288"/>
      <c r="AX152" s="1288"/>
      <c r="AY152" s="1288"/>
      <c r="AZ152" s="1288"/>
      <c r="BA152" s="1288"/>
      <c r="BB152" s="1288"/>
      <c r="BC152" s="1288"/>
      <c r="BD152" s="1288"/>
      <c r="BE152" s="1288"/>
      <c r="BF152" s="1288"/>
      <c r="BG152" s="1288"/>
      <c r="BH152" s="1288"/>
      <c r="BI152" s="1288"/>
      <c r="BJ152" s="1288"/>
      <c r="BK152" s="1288"/>
      <c r="BL152" s="1288"/>
      <c r="BM152" s="1288"/>
      <c r="BN152" s="1288"/>
      <c r="BO152" s="1438"/>
      <c r="BP152" s="1288"/>
      <c r="BQ152" s="1288"/>
      <c r="BR152" s="1288"/>
      <c r="BS152" s="1288"/>
      <c r="BT152" s="1288"/>
      <c r="BU152" s="1288"/>
      <c r="BV152" s="1288"/>
      <c r="BW152" s="1288"/>
      <c r="BX152" s="1288"/>
      <c r="BY152" s="1288"/>
      <c r="BZ152" s="1288"/>
      <c r="CA152" s="1288"/>
      <c r="CB152" s="1288"/>
      <c r="CC152" s="1288"/>
      <c r="CD152" s="1288"/>
      <c r="CE152" s="1288"/>
      <c r="CF152" s="1288"/>
      <c r="CG152" s="1288"/>
      <c r="CH152" s="1288"/>
      <c r="CI152" s="1288"/>
      <c r="CJ152" s="1288"/>
      <c r="CK152" s="1288"/>
      <c r="CL152" s="1288"/>
      <c r="CM152" s="1288"/>
      <c r="CN152" s="1288"/>
      <c r="CO152" s="1288"/>
      <c r="CP152" s="1288"/>
      <c r="CQ152" s="1288"/>
      <c r="CR152" s="1288"/>
      <c r="CS152" s="1288"/>
      <c r="CT152" s="1288"/>
      <c r="CU152" s="1288"/>
      <c r="CV152" s="5"/>
    </row>
    <row r="153" spans="1:106" ht="12" customHeight="1" x14ac:dyDescent="0.2">
      <c r="A153" s="5"/>
      <c r="B153" s="1308"/>
      <c r="C153" s="1309"/>
      <c r="D153" s="1309"/>
      <c r="E153" s="1309"/>
      <c r="F153" s="1309"/>
      <c r="G153" s="1309"/>
      <c r="H153" s="1309"/>
      <c r="I153" s="1309"/>
      <c r="J153" s="1309"/>
      <c r="K153" s="1309"/>
      <c r="L153" s="1309"/>
      <c r="M153" s="1309"/>
      <c r="N153" s="1309"/>
      <c r="O153" s="1309"/>
      <c r="P153" s="1309"/>
      <c r="Q153" s="1309"/>
      <c r="R153" s="1309"/>
      <c r="S153" s="1309"/>
      <c r="T153" s="1309"/>
      <c r="U153" s="1309"/>
      <c r="V153" s="1309"/>
      <c r="W153" s="1309"/>
      <c r="X153" s="1309"/>
      <c r="Y153" s="1309"/>
      <c r="Z153" s="1309"/>
      <c r="AA153" s="1309"/>
      <c r="AB153" s="1309"/>
      <c r="AC153" s="1309"/>
      <c r="AD153" s="1309"/>
      <c r="AE153" s="1309"/>
      <c r="AF153" s="1309"/>
      <c r="AG153" s="1310"/>
      <c r="AH153" s="1437"/>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G153" s="1289"/>
      <c r="BH153" s="1289"/>
      <c r="BI153" s="1289"/>
      <c r="BJ153" s="1289"/>
      <c r="BK153" s="1289"/>
      <c r="BL153" s="1289"/>
      <c r="BM153" s="1289"/>
      <c r="BN153" s="1289"/>
      <c r="BO153" s="1438"/>
      <c r="BP153" s="1289"/>
      <c r="BQ153" s="1289"/>
      <c r="BR153" s="1289"/>
      <c r="BS153" s="1289"/>
      <c r="BT153" s="1289"/>
      <c r="BU153" s="1289"/>
      <c r="BV153" s="1289"/>
      <c r="BW153" s="1289"/>
      <c r="BX153" s="1289"/>
      <c r="BY153" s="1289"/>
      <c r="BZ153" s="1289"/>
      <c r="CA153" s="1289"/>
      <c r="CB153" s="1289"/>
      <c r="CC153" s="1289"/>
      <c r="CD153" s="1289"/>
      <c r="CE153" s="1289"/>
      <c r="CF153" s="1289"/>
      <c r="CG153" s="1289"/>
      <c r="CH153" s="1289"/>
      <c r="CI153" s="1289"/>
      <c r="CJ153" s="1289"/>
      <c r="CK153" s="1289"/>
      <c r="CL153" s="1289"/>
      <c r="CM153" s="1289"/>
      <c r="CN153" s="1289"/>
      <c r="CO153" s="1289"/>
      <c r="CP153" s="1289"/>
      <c r="CQ153" s="1289"/>
      <c r="CR153" s="1289"/>
      <c r="CS153" s="1289"/>
      <c r="CT153" s="1289"/>
      <c r="CU153" s="1289"/>
      <c r="CV153" s="5"/>
    </row>
    <row r="154" spans="1:106" ht="12" customHeight="1" x14ac:dyDescent="0.2">
      <c r="A154" s="5"/>
      <c r="B154" s="1308"/>
      <c r="C154" s="1309"/>
      <c r="D154" s="1309"/>
      <c r="E154" s="1309"/>
      <c r="F154" s="1309"/>
      <c r="G154" s="1309"/>
      <c r="H154" s="1309"/>
      <c r="I154" s="1309"/>
      <c r="J154" s="1309"/>
      <c r="K154" s="1309"/>
      <c r="L154" s="1309"/>
      <c r="M154" s="1309"/>
      <c r="N154" s="1309"/>
      <c r="O154" s="1309"/>
      <c r="P154" s="1309"/>
      <c r="Q154" s="1309"/>
      <c r="R154" s="1309"/>
      <c r="S154" s="1309"/>
      <c r="T154" s="1309"/>
      <c r="U154" s="1309"/>
      <c r="V154" s="1309"/>
      <c r="W154" s="1309"/>
      <c r="X154" s="1309"/>
      <c r="Y154" s="1309"/>
      <c r="Z154" s="1309"/>
      <c r="AA154" s="1309"/>
      <c r="AB154" s="1309"/>
      <c r="AC154" s="1309"/>
      <c r="AD154" s="1309"/>
      <c r="AE154" s="1309"/>
      <c r="AF154" s="1309"/>
      <c r="AG154" s="1310"/>
      <c r="AH154" s="1437"/>
      <c r="AI154" s="1288"/>
      <c r="AJ154" s="1288"/>
      <c r="AK154" s="1288"/>
      <c r="AL154" s="1288"/>
      <c r="AM154" s="1288"/>
      <c r="AN154" s="1288"/>
      <c r="AO154" s="1288"/>
      <c r="AP154" s="1288"/>
      <c r="AQ154" s="1288"/>
      <c r="AR154" s="1288"/>
      <c r="AS154" s="1288"/>
      <c r="AT154" s="1288"/>
      <c r="AU154" s="1288"/>
      <c r="AV154" s="1288"/>
      <c r="AW154" s="1288"/>
      <c r="AX154" s="1288"/>
      <c r="AY154" s="1288"/>
      <c r="AZ154" s="1288"/>
      <c r="BA154" s="1288"/>
      <c r="BB154" s="1288"/>
      <c r="BC154" s="1288"/>
      <c r="BD154" s="1288"/>
      <c r="BE154" s="1288"/>
      <c r="BF154" s="1288"/>
      <c r="BG154" s="1288"/>
      <c r="BH154" s="1288"/>
      <c r="BI154" s="1288"/>
      <c r="BJ154" s="1288"/>
      <c r="BK154" s="1288"/>
      <c r="BL154" s="1288"/>
      <c r="BM154" s="1288"/>
      <c r="BN154" s="1288"/>
      <c r="BO154" s="1438"/>
      <c r="BP154" s="1288"/>
      <c r="BQ154" s="1288"/>
      <c r="BR154" s="1288"/>
      <c r="BS154" s="1288"/>
      <c r="BT154" s="1288"/>
      <c r="BU154" s="1288"/>
      <c r="BV154" s="1288"/>
      <c r="BW154" s="1288"/>
      <c r="BX154" s="1288"/>
      <c r="BY154" s="1288"/>
      <c r="BZ154" s="1288"/>
      <c r="CA154" s="1288"/>
      <c r="CB154" s="1288"/>
      <c r="CC154" s="1288"/>
      <c r="CD154" s="1288"/>
      <c r="CE154" s="1288"/>
      <c r="CF154" s="1288"/>
      <c r="CG154" s="1288"/>
      <c r="CH154" s="1288"/>
      <c r="CI154" s="1288"/>
      <c r="CJ154" s="1288"/>
      <c r="CK154" s="1288"/>
      <c r="CL154" s="1288"/>
      <c r="CM154" s="1288"/>
      <c r="CN154" s="1288"/>
      <c r="CO154" s="1288"/>
      <c r="CP154" s="1288"/>
      <c r="CQ154" s="1288"/>
      <c r="CR154" s="1288"/>
      <c r="CS154" s="1288"/>
      <c r="CT154" s="1288"/>
      <c r="CU154" s="1288"/>
      <c r="CV154" s="5"/>
    </row>
    <row r="155" spans="1:106" ht="12" customHeight="1" x14ac:dyDescent="0.2">
      <c r="A155" s="5"/>
      <c r="B155" s="1308"/>
      <c r="C155" s="1309"/>
      <c r="D155" s="1309"/>
      <c r="E155" s="1309"/>
      <c r="F155" s="1309"/>
      <c r="G155" s="1309"/>
      <c r="H155" s="1309"/>
      <c r="I155" s="1309"/>
      <c r="J155" s="1309"/>
      <c r="K155" s="1309"/>
      <c r="L155" s="1309"/>
      <c r="M155" s="1309"/>
      <c r="N155" s="1309"/>
      <c r="O155" s="1309"/>
      <c r="P155" s="1309"/>
      <c r="Q155" s="1309"/>
      <c r="R155" s="1309"/>
      <c r="S155" s="1309"/>
      <c r="T155" s="1309"/>
      <c r="U155" s="1309"/>
      <c r="V155" s="1309"/>
      <c r="W155" s="1309"/>
      <c r="X155" s="1309"/>
      <c r="Y155" s="1309"/>
      <c r="Z155" s="1309"/>
      <c r="AA155" s="1309"/>
      <c r="AB155" s="1309"/>
      <c r="AC155" s="1309"/>
      <c r="AD155" s="1309"/>
      <c r="AE155" s="1309"/>
      <c r="AF155" s="1309"/>
      <c r="AG155" s="1310"/>
      <c r="AH155" s="1437"/>
      <c r="AI155" s="1289"/>
      <c r="AJ155" s="1289"/>
      <c r="AK155" s="1289"/>
      <c r="AL155" s="1289"/>
      <c r="AM155" s="1289"/>
      <c r="AN155" s="1289"/>
      <c r="AO155" s="1289"/>
      <c r="AP155" s="1289"/>
      <c r="AQ155" s="1289"/>
      <c r="AR155" s="1289"/>
      <c r="AS155" s="1289"/>
      <c r="AT155" s="1289"/>
      <c r="AU155" s="1289"/>
      <c r="AV155" s="1289"/>
      <c r="AW155" s="1289"/>
      <c r="AX155" s="1289"/>
      <c r="AY155" s="1289"/>
      <c r="AZ155" s="1289"/>
      <c r="BA155" s="1289"/>
      <c r="BB155" s="1289"/>
      <c r="BC155" s="1289"/>
      <c r="BD155" s="1289"/>
      <c r="BE155" s="1289"/>
      <c r="BF155" s="1289"/>
      <c r="BG155" s="1289"/>
      <c r="BH155" s="1289"/>
      <c r="BI155" s="1289"/>
      <c r="BJ155" s="1289"/>
      <c r="BK155" s="1289"/>
      <c r="BL155" s="1289"/>
      <c r="BM155" s="1289"/>
      <c r="BN155" s="1289"/>
      <c r="BO155" s="1438"/>
      <c r="BP155" s="1289"/>
      <c r="BQ155" s="1289"/>
      <c r="BR155" s="1289"/>
      <c r="BS155" s="1289"/>
      <c r="BT155" s="1289"/>
      <c r="BU155" s="1289"/>
      <c r="BV155" s="1289"/>
      <c r="BW155" s="1289"/>
      <c r="BX155" s="1289"/>
      <c r="BY155" s="1289"/>
      <c r="BZ155" s="1289"/>
      <c r="CA155" s="1289"/>
      <c r="CB155" s="1289"/>
      <c r="CC155" s="1289"/>
      <c r="CD155" s="1289"/>
      <c r="CE155" s="1289"/>
      <c r="CF155" s="1289"/>
      <c r="CG155" s="1289"/>
      <c r="CH155" s="1289"/>
      <c r="CI155" s="1289"/>
      <c r="CJ155" s="1289"/>
      <c r="CK155" s="1289"/>
      <c r="CL155" s="1289"/>
      <c r="CM155" s="1289"/>
      <c r="CN155" s="1289"/>
      <c r="CO155" s="1289"/>
      <c r="CP155" s="1289"/>
      <c r="CQ155" s="1289"/>
      <c r="CR155" s="1289"/>
      <c r="CS155" s="1289"/>
      <c r="CT155" s="1289"/>
      <c r="CU155" s="1289"/>
      <c r="CV155" s="5"/>
    </row>
    <row r="156" spans="1:106" ht="12" customHeight="1" x14ac:dyDescent="0.2">
      <c r="A156" s="5"/>
      <c r="B156" s="1308"/>
      <c r="C156" s="1309"/>
      <c r="D156" s="1309"/>
      <c r="E156" s="1309"/>
      <c r="F156" s="1309"/>
      <c r="G156" s="1309"/>
      <c r="H156" s="1309"/>
      <c r="I156" s="1309"/>
      <c r="J156" s="1309"/>
      <c r="K156" s="1309"/>
      <c r="L156" s="1309"/>
      <c r="M156" s="1309"/>
      <c r="N156" s="1309"/>
      <c r="O156" s="1309"/>
      <c r="P156" s="1309"/>
      <c r="Q156" s="1309"/>
      <c r="R156" s="1309"/>
      <c r="S156" s="1309"/>
      <c r="T156" s="1309"/>
      <c r="U156" s="1309"/>
      <c r="V156" s="1309"/>
      <c r="W156" s="1309"/>
      <c r="X156" s="1309"/>
      <c r="Y156" s="1309"/>
      <c r="Z156" s="1309"/>
      <c r="AA156" s="1309"/>
      <c r="AB156" s="1309"/>
      <c r="AC156" s="1309"/>
      <c r="AD156" s="1309"/>
      <c r="AE156" s="1309"/>
      <c r="AF156" s="1309"/>
      <c r="AG156" s="1310"/>
      <c r="AH156" s="1437"/>
      <c r="AI156" s="1288"/>
      <c r="AJ156" s="1288"/>
      <c r="AK156" s="1288"/>
      <c r="AL156" s="1288"/>
      <c r="AM156" s="1288"/>
      <c r="AN156" s="1288"/>
      <c r="AO156" s="1288"/>
      <c r="AP156" s="1288"/>
      <c r="AQ156" s="1288"/>
      <c r="AR156" s="1288"/>
      <c r="AS156" s="1288"/>
      <c r="AT156" s="1288"/>
      <c r="AU156" s="1288"/>
      <c r="AV156" s="1288"/>
      <c r="AW156" s="1288"/>
      <c r="AX156" s="1288"/>
      <c r="AY156" s="1288"/>
      <c r="AZ156" s="1288"/>
      <c r="BA156" s="1288"/>
      <c r="BB156" s="1288"/>
      <c r="BC156" s="1288"/>
      <c r="BD156" s="1288"/>
      <c r="BE156" s="1288"/>
      <c r="BF156" s="1288"/>
      <c r="BG156" s="1288"/>
      <c r="BH156" s="1288"/>
      <c r="BI156" s="1288"/>
      <c r="BJ156" s="1288"/>
      <c r="BK156" s="1288"/>
      <c r="BL156" s="1288"/>
      <c r="BM156" s="1288"/>
      <c r="BN156" s="1288"/>
      <c r="BO156" s="1438"/>
      <c r="BP156" s="1288"/>
      <c r="BQ156" s="1288"/>
      <c r="BR156" s="1288"/>
      <c r="BS156" s="1288"/>
      <c r="BT156" s="1288"/>
      <c r="BU156" s="1288"/>
      <c r="BV156" s="1288"/>
      <c r="BW156" s="1288"/>
      <c r="BX156" s="1288"/>
      <c r="BY156" s="1288"/>
      <c r="BZ156" s="1288"/>
      <c r="CA156" s="1288"/>
      <c r="CB156" s="1288"/>
      <c r="CC156" s="1288"/>
      <c r="CD156" s="1288"/>
      <c r="CE156" s="1288"/>
      <c r="CF156" s="1288"/>
      <c r="CG156" s="1288"/>
      <c r="CH156" s="1288"/>
      <c r="CI156" s="1288"/>
      <c r="CJ156" s="1288"/>
      <c r="CK156" s="1288"/>
      <c r="CL156" s="1288"/>
      <c r="CM156" s="1288"/>
      <c r="CN156" s="1288"/>
      <c r="CO156" s="1288"/>
      <c r="CP156" s="1288"/>
      <c r="CQ156" s="1288"/>
      <c r="CR156" s="1288"/>
      <c r="CS156" s="1288"/>
      <c r="CT156" s="1288"/>
      <c r="CU156" s="1288"/>
      <c r="CV156" s="5"/>
    </row>
    <row r="157" spans="1:106" ht="12" customHeight="1" x14ac:dyDescent="0.2">
      <c r="A157" s="5"/>
      <c r="B157" s="1311"/>
      <c r="C157" s="1312"/>
      <c r="D157" s="1312"/>
      <c r="E157" s="1312"/>
      <c r="F157" s="1312"/>
      <c r="G157" s="1312"/>
      <c r="H157" s="1312"/>
      <c r="I157" s="1312"/>
      <c r="J157" s="1312"/>
      <c r="K157" s="1312"/>
      <c r="L157" s="1312"/>
      <c r="M157" s="1312"/>
      <c r="N157" s="1312"/>
      <c r="O157" s="1312"/>
      <c r="P157" s="1312"/>
      <c r="Q157" s="1312"/>
      <c r="R157" s="1312"/>
      <c r="S157" s="1312"/>
      <c r="T157" s="1312"/>
      <c r="U157" s="1312"/>
      <c r="V157" s="1312"/>
      <c r="W157" s="1312"/>
      <c r="X157" s="1312"/>
      <c r="Y157" s="1312"/>
      <c r="Z157" s="1312"/>
      <c r="AA157" s="1312"/>
      <c r="AB157" s="1312"/>
      <c r="AC157" s="1312"/>
      <c r="AD157" s="1312"/>
      <c r="AE157" s="1312"/>
      <c r="AF157" s="1312"/>
      <c r="AG157" s="1313"/>
      <c r="AH157" s="1437"/>
      <c r="AI157" s="1289"/>
      <c r="AJ157" s="1289"/>
      <c r="AK157" s="1289"/>
      <c r="AL157" s="1289"/>
      <c r="AM157" s="1289"/>
      <c r="AN157" s="1289"/>
      <c r="AO157" s="1289"/>
      <c r="AP157" s="1289"/>
      <c r="AQ157" s="1289"/>
      <c r="AR157" s="1289"/>
      <c r="AS157" s="1289"/>
      <c r="AT157" s="1289"/>
      <c r="AU157" s="1289"/>
      <c r="AV157" s="1289"/>
      <c r="AW157" s="1289"/>
      <c r="AX157" s="1289"/>
      <c r="AY157" s="1289"/>
      <c r="AZ157" s="1289"/>
      <c r="BA157" s="1289"/>
      <c r="BB157" s="1289"/>
      <c r="BC157" s="1289"/>
      <c r="BD157" s="1289"/>
      <c r="BE157" s="1289"/>
      <c r="BF157" s="1289"/>
      <c r="BG157" s="1289"/>
      <c r="BH157" s="1289"/>
      <c r="BI157" s="1289"/>
      <c r="BJ157" s="1289"/>
      <c r="BK157" s="1289"/>
      <c r="BL157" s="1289"/>
      <c r="BM157" s="1289"/>
      <c r="BN157" s="1289"/>
      <c r="BO157" s="1438"/>
      <c r="BP157" s="1289"/>
      <c r="BQ157" s="1289"/>
      <c r="BR157" s="1289"/>
      <c r="BS157" s="1289"/>
      <c r="BT157" s="1289"/>
      <c r="BU157" s="1289"/>
      <c r="BV157" s="1289"/>
      <c r="BW157" s="1289"/>
      <c r="BX157" s="1289"/>
      <c r="BY157" s="1289"/>
      <c r="BZ157" s="1289"/>
      <c r="CA157" s="1289"/>
      <c r="CB157" s="1289"/>
      <c r="CC157" s="1289"/>
      <c r="CD157" s="1289"/>
      <c r="CE157" s="1289"/>
      <c r="CF157" s="1289"/>
      <c r="CG157" s="1289"/>
      <c r="CH157" s="1289"/>
      <c r="CI157" s="1289"/>
      <c r="CJ157" s="1289"/>
      <c r="CK157" s="1289"/>
      <c r="CL157" s="1289"/>
      <c r="CM157" s="1289"/>
      <c r="CN157" s="1289"/>
      <c r="CO157" s="1289"/>
      <c r="CP157" s="1289"/>
      <c r="CQ157" s="1289"/>
      <c r="CR157" s="1289"/>
      <c r="CS157" s="1289"/>
      <c r="CT157" s="1289"/>
      <c r="CU157" s="1289"/>
      <c r="CV157" s="5"/>
    </row>
    <row r="158" spans="1:106" ht="12" customHeight="1" x14ac:dyDescent="0.2">
      <c r="A158" s="5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386"/>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386"/>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row>
    <row r="159" spans="1:106" ht="12" customHeight="1" x14ac:dyDescent="0.2">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409"/>
      <c r="AI159" s="53"/>
      <c r="AJ159" s="53"/>
      <c r="AK159" s="53"/>
      <c r="AL159" s="53"/>
      <c r="AM159" s="53"/>
      <c r="AN159" s="53"/>
      <c r="AO159" s="53"/>
      <c r="AP159" s="53"/>
      <c r="AQ159" s="53"/>
      <c r="AR159" s="53"/>
      <c r="AS159" s="53"/>
      <c r="AT159" s="53"/>
      <c r="AU159" s="53"/>
      <c r="AV159" s="53"/>
      <c r="AW159" s="53"/>
      <c r="AX159" s="53"/>
      <c r="AY159" s="53"/>
      <c r="AZ159" s="53"/>
      <c r="BA159" s="53"/>
      <c r="BB159" s="53"/>
      <c r="BC159" s="54"/>
    </row>
    <row r="160" spans="1:106" ht="12" customHeight="1" x14ac:dyDescent="0.2">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BC160" s="53"/>
    </row>
    <row r="161" spans="1:12" ht="12" customHeight="1" x14ac:dyDescent="0.2">
      <c r="A161" s="53"/>
      <c r="B161" s="53"/>
      <c r="C161" s="53"/>
      <c r="D161" s="53"/>
      <c r="E161" s="53"/>
      <c r="F161" s="53"/>
      <c r="G161" s="53"/>
      <c r="H161" s="53"/>
      <c r="I161" s="53"/>
      <c r="J161" s="53"/>
      <c r="K161" s="53"/>
      <c r="L161" s="53"/>
    </row>
    <row r="162" spans="1:12" ht="12" customHeight="1" x14ac:dyDescent="0.2">
      <c r="A162" s="53"/>
      <c r="B162" s="53"/>
      <c r="C162" s="53"/>
      <c r="D162" s="53"/>
      <c r="E162" s="53"/>
      <c r="F162" s="53"/>
      <c r="G162" s="53"/>
      <c r="H162" s="53"/>
      <c r="I162" s="53"/>
      <c r="J162" s="53"/>
      <c r="K162" s="53"/>
      <c r="L162" s="53"/>
    </row>
    <row r="163" spans="1:12" ht="12" customHeight="1" x14ac:dyDescent="0.2">
      <c r="A163" s="53"/>
      <c r="B163" s="53"/>
      <c r="C163" s="53"/>
      <c r="D163" s="53"/>
      <c r="E163" s="53"/>
      <c r="F163" s="53"/>
      <c r="G163" s="53"/>
      <c r="H163" s="53"/>
      <c r="I163" s="53"/>
      <c r="J163" s="53"/>
      <c r="K163" s="53"/>
      <c r="L163" s="53"/>
    </row>
    <row r="164" spans="1:12" ht="12" customHeight="1" x14ac:dyDescent="0.2">
      <c r="A164" s="53"/>
      <c r="B164" s="53"/>
      <c r="C164" s="53"/>
      <c r="D164" s="53"/>
      <c r="E164" s="53"/>
      <c r="F164" s="53"/>
      <c r="G164" s="53"/>
      <c r="H164" s="53"/>
      <c r="I164" s="53"/>
      <c r="J164" s="53"/>
      <c r="K164" s="53"/>
      <c r="L164" s="53"/>
    </row>
    <row r="165" spans="1:12" ht="12" customHeight="1" x14ac:dyDescent="0.2">
      <c r="A165" s="53"/>
      <c r="B165" s="53"/>
      <c r="C165" s="53"/>
      <c r="D165" s="53"/>
      <c r="E165" s="53"/>
      <c r="F165" s="53"/>
      <c r="G165" s="53"/>
      <c r="H165" s="53"/>
      <c r="I165" s="53"/>
      <c r="J165" s="53"/>
      <c r="K165" s="53"/>
      <c r="L165" s="53"/>
    </row>
    <row r="166" spans="1:12" ht="12" customHeight="1" x14ac:dyDescent="0.2">
      <c r="A166" s="53"/>
      <c r="B166" s="53"/>
      <c r="C166" s="53"/>
      <c r="D166" s="53"/>
      <c r="E166" s="53"/>
      <c r="F166" s="53"/>
      <c r="G166" s="53"/>
      <c r="H166" s="53"/>
      <c r="I166" s="53"/>
      <c r="J166" s="53"/>
      <c r="K166" s="53"/>
      <c r="L166" s="53"/>
    </row>
    <row r="167" spans="1:12" ht="12" customHeight="1" x14ac:dyDescent="0.2">
      <c r="A167" s="53"/>
      <c r="B167" s="53"/>
      <c r="C167" s="53"/>
      <c r="D167" s="53"/>
      <c r="E167" s="53"/>
      <c r="F167" s="53"/>
      <c r="G167" s="53"/>
      <c r="H167" s="53"/>
      <c r="I167" s="53"/>
      <c r="J167" s="53"/>
      <c r="K167" s="53"/>
      <c r="L167" s="53"/>
    </row>
    <row r="168" spans="1:12" ht="12" customHeight="1" x14ac:dyDescent="0.2">
      <c r="A168" s="53"/>
      <c r="B168" s="53"/>
      <c r="C168" s="53"/>
      <c r="D168" s="53"/>
      <c r="E168" s="53"/>
      <c r="F168" s="53"/>
      <c r="G168" s="53"/>
      <c r="H168" s="53"/>
      <c r="I168" s="53"/>
      <c r="J168" s="53"/>
      <c r="K168" s="53"/>
      <c r="L168" s="53"/>
    </row>
    <row r="169" spans="1:12" ht="12" customHeight="1" x14ac:dyDescent="0.2">
      <c r="A169" s="53"/>
      <c r="B169" s="53"/>
      <c r="C169" s="53"/>
      <c r="D169" s="53"/>
      <c r="E169" s="53"/>
      <c r="F169" s="53"/>
      <c r="G169" s="53"/>
      <c r="H169" s="53"/>
      <c r="I169" s="53"/>
      <c r="J169" s="53"/>
      <c r="K169" s="53"/>
      <c r="L169" s="53"/>
    </row>
    <row r="170" spans="1:12" ht="12" customHeight="1" x14ac:dyDescent="0.2">
      <c r="A170" s="53"/>
      <c r="B170" s="53"/>
      <c r="C170" s="53"/>
      <c r="D170" s="53"/>
      <c r="E170" s="53"/>
      <c r="F170" s="53"/>
      <c r="G170" s="53"/>
      <c r="H170" s="53"/>
      <c r="I170" s="53"/>
      <c r="J170" s="53"/>
      <c r="K170" s="53"/>
      <c r="L170" s="53"/>
    </row>
    <row r="171" spans="1:12" ht="12" customHeight="1" x14ac:dyDescent="0.2">
      <c r="A171" s="53"/>
      <c r="B171" s="53"/>
      <c r="C171" s="53"/>
      <c r="D171" s="53"/>
      <c r="E171" s="53"/>
      <c r="F171" s="53"/>
      <c r="G171" s="53"/>
      <c r="H171" s="53"/>
      <c r="I171" s="53"/>
      <c r="J171" s="53"/>
      <c r="K171" s="53"/>
      <c r="L171" s="53"/>
    </row>
    <row r="172" spans="1:12" ht="12" customHeight="1" x14ac:dyDescent="0.2">
      <c r="A172" s="53"/>
      <c r="B172" s="53"/>
      <c r="C172" s="53"/>
      <c r="D172" s="53"/>
      <c r="E172" s="53"/>
      <c r="F172" s="53"/>
      <c r="G172" s="53"/>
      <c r="H172" s="53"/>
      <c r="I172" s="53"/>
      <c r="J172" s="53"/>
      <c r="K172" s="53"/>
      <c r="L172" s="53"/>
    </row>
    <row r="173" spans="1:12" ht="12" customHeight="1" x14ac:dyDescent="0.2">
      <c r="A173" s="53"/>
      <c r="B173" s="53"/>
      <c r="C173" s="53"/>
      <c r="D173" s="53"/>
      <c r="E173" s="53"/>
      <c r="F173" s="53"/>
      <c r="G173" s="53"/>
      <c r="H173" s="53"/>
      <c r="I173" s="53"/>
      <c r="J173" s="53"/>
      <c r="K173" s="53"/>
      <c r="L173" s="53"/>
    </row>
    <row r="174" spans="1:12" ht="12" customHeight="1" x14ac:dyDescent="0.2">
      <c r="A174" s="53"/>
      <c r="B174" s="53"/>
      <c r="C174" s="53"/>
      <c r="D174" s="53"/>
      <c r="E174" s="53"/>
      <c r="F174" s="53"/>
      <c r="G174" s="53"/>
      <c r="H174" s="53"/>
      <c r="I174" s="53"/>
      <c r="J174" s="53"/>
      <c r="K174" s="53"/>
      <c r="L174" s="53"/>
    </row>
    <row r="175" spans="1:12" ht="12" customHeight="1" x14ac:dyDescent="0.2">
      <c r="A175" s="53"/>
      <c r="B175" s="53"/>
      <c r="C175" s="53"/>
      <c r="D175" s="53"/>
      <c r="E175" s="53"/>
      <c r="F175" s="53"/>
      <c r="G175" s="53"/>
      <c r="H175" s="53"/>
      <c r="I175" s="53"/>
      <c r="J175" s="53"/>
      <c r="K175" s="53"/>
      <c r="L175" s="53"/>
    </row>
    <row r="176" spans="1:12" ht="12" customHeight="1" x14ac:dyDescent="0.2">
      <c r="A176" s="53"/>
      <c r="B176" s="53"/>
      <c r="C176" s="53"/>
      <c r="D176" s="53"/>
      <c r="E176" s="53"/>
      <c r="F176" s="53"/>
      <c r="G176" s="53"/>
      <c r="H176" s="53"/>
      <c r="I176" s="53"/>
      <c r="J176" s="53"/>
      <c r="K176" s="53"/>
      <c r="L176" s="53"/>
    </row>
    <row r="177" spans="1:99" ht="12" customHeight="1" x14ac:dyDescent="0.2">
      <c r="A177" s="53"/>
      <c r="B177" s="53"/>
      <c r="C177" s="53"/>
      <c r="D177" s="53"/>
      <c r="E177" s="53"/>
      <c r="F177" s="53"/>
      <c r="G177" s="53"/>
      <c r="H177" s="53"/>
      <c r="I177" s="53"/>
      <c r="J177" s="53"/>
      <c r="K177" s="53"/>
      <c r="L177" s="53"/>
    </row>
    <row r="178" spans="1:99" ht="12" customHeight="1" x14ac:dyDescent="0.2">
      <c r="A178" s="53"/>
      <c r="B178" s="53"/>
      <c r="C178" s="53"/>
      <c r="D178" s="53"/>
      <c r="E178" s="53"/>
      <c r="F178" s="53"/>
      <c r="G178" s="53"/>
      <c r="H178" s="53"/>
      <c r="I178" s="53"/>
      <c r="J178" s="53"/>
      <c r="K178" s="53"/>
      <c r="L178" s="53"/>
    </row>
    <row r="179" spans="1:99" ht="12" customHeight="1" x14ac:dyDescent="0.2">
      <c r="A179" s="53"/>
      <c r="B179" s="53"/>
      <c r="C179" s="53"/>
      <c r="D179" s="53"/>
      <c r="E179" s="53"/>
      <c r="F179" s="53"/>
      <c r="G179" s="53"/>
      <c r="H179" s="53"/>
      <c r="I179" s="53"/>
      <c r="J179" s="53"/>
      <c r="K179" s="53"/>
      <c r="L179" s="53"/>
    </row>
    <row r="180" spans="1:99" ht="12" customHeight="1" x14ac:dyDescent="0.2">
      <c r="A180" s="53"/>
      <c r="B180" s="53"/>
      <c r="C180" s="53"/>
      <c r="D180" s="53"/>
      <c r="E180" s="53"/>
      <c r="F180" s="53"/>
      <c r="G180" s="53"/>
      <c r="H180" s="53"/>
      <c r="I180" s="53"/>
      <c r="J180" s="53"/>
      <c r="K180" s="53"/>
      <c r="L180" s="53"/>
    </row>
    <row r="181" spans="1:99" ht="12" customHeight="1" x14ac:dyDescent="0.2">
      <c r="A181" s="53"/>
      <c r="B181" s="53"/>
      <c r="C181" s="53"/>
      <c r="D181" s="53"/>
      <c r="E181" s="53"/>
      <c r="F181" s="53"/>
      <c r="G181" s="53"/>
      <c r="H181" s="53"/>
      <c r="I181" s="53"/>
      <c r="J181" s="53"/>
      <c r="K181" s="53"/>
      <c r="L181" s="53"/>
    </row>
    <row r="182" spans="1:99" ht="12" customHeight="1" x14ac:dyDescent="0.2">
      <c r="A182" s="53"/>
      <c r="B182" s="53"/>
      <c r="C182" s="53"/>
      <c r="D182" s="53"/>
      <c r="E182" s="53"/>
      <c r="F182" s="53"/>
      <c r="G182" s="53"/>
      <c r="H182" s="53"/>
      <c r="I182" s="53"/>
      <c r="J182" s="53"/>
      <c r="K182" s="53"/>
      <c r="L182" s="53"/>
    </row>
    <row r="183" spans="1:99" ht="12" customHeight="1" x14ac:dyDescent="0.2">
      <c r="A183" s="53"/>
      <c r="B183" s="53"/>
      <c r="C183" s="53"/>
      <c r="D183" s="53"/>
      <c r="E183" s="53"/>
      <c r="F183" s="53"/>
      <c r="G183" s="53"/>
    </row>
    <row r="184" spans="1:99" ht="12" customHeight="1" x14ac:dyDescent="0.2">
      <c r="A184" s="53"/>
      <c r="B184" s="53"/>
      <c r="C184" s="53"/>
      <c r="D184" s="53"/>
      <c r="E184" s="53"/>
      <c r="F184" s="53"/>
      <c r="G184" s="53"/>
      <c r="BN184" s="53"/>
      <c r="BO184" s="409"/>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row>
    <row r="185" spans="1:99" ht="12" customHeight="1" x14ac:dyDescent="0.2">
      <c r="A185" s="53"/>
      <c r="B185" s="53"/>
      <c r="C185" s="53"/>
      <c r="D185" s="53"/>
      <c r="E185" s="53"/>
      <c r="F185" s="53"/>
      <c r="G185" s="53"/>
      <c r="BN185" s="53"/>
      <c r="BO185" s="409"/>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53"/>
      <c r="CT185" s="53"/>
      <c r="CU185" s="53"/>
    </row>
    <row r="186" spans="1:99" ht="12" customHeight="1" x14ac:dyDescent="0.2">
      <c r="A186" s="53"/>
      <c r="B186" s="53"/>
      <c r="C186" s="53"/>
      <c r="D186" s="53"/>
      <c r="E186" s="53"/>
      <c r="F186" s="53"/>
      <c r="G186" s="53"/>
      <c r="BN186" s="53"/>
      <c r="BO186" s="409"/>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row>
    <row r="187" spans="1:99" ht="12" customHeight="1" x14ac:dyDescent="0.2">
      <c r="A187" s="53"/>
      <c r="B187" s="53"/>
      <c r="C187" s="53"/>
      <c r="D187" s="53"/>
      <c r="E187" s="53"/>
      <c r="F187" s="53"/>
      <c r="G187" s="53"/>
      <c r="BN187" s="53"/>
      <c r="BO187" s="409"/>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row>
    <row r="188" spans="1:99" ht="12" customHeight="1" x14ac:dyDescent="0.2">
      <c r="A188" s="53"/>
      <c r="B188" s="53"/>
      <c r="C188" s="53"/>
      <c r="D188" s="53"/>
      <c r="E188" s="53"/>
      <c r="F188" s="53"/>
      <c r="G188" s="53"/>
      <c r="BN188" s="53"/>
      <c r="BO188" s="409"/>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row>
    <row r="189" spans="1:99" ht="12" customHeight="1" x14ac:dyDescent="0.2">
      <c r="A189" s="53"/>
      <c r="B189" s="53"/>
      <c r="C189" s="53"/>
      <c r="D189" s="53"/>
      <c r="E189" s="53"/>
      <c r="F189" s="53"/>
      <c r="G189" s="53"/>
      <c r="BN189" s="53"/>
      <c r="BO189" s="409"/>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row>
    <row r="190" spans="1:99" ht="12" customHeight="1" x14ac:dyDescent="0.2">
      <c r="A190" s="53"/>
      <c r="B190" s="53"/>
      <c r="C190" s="53"/>
      <c r="D190" s="53"/>
      <c r="E190" s="53"/>
      <c r="F190" s="53"/>
      <c r="G190" s="53"/>
      <c r="BN190" s="53"/>
      <c r="BO190" s="409"/>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row>
    <row r="191" spans="1:99" ht="12" customHeight="1" x14ac:dyDescent="0.2">
      <c r="A191" s="53"/>
      <c r="B191" s="53"/>
      <c r="C191" s="53"/>
      <c r="D191" s="53"/>
      <c r="E191" s="53"/>
      <c r="F191" s="53"/>
      <c r="G191" s="53"/>
      <c r="BN191" s="53"/>
      <c r="BO191" s="409"/>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row>
    <row r="192" spans="1:99" ht="12" customHeight="1" x14ac:dyDescent="0.2">
      <c r="A192" s="53"/>
      <c r="B192" s="53"/>
      <c r="C192" s="53"/>
      <c r="D192" s="53"/>
      <c r="E192" s="53"/>
      <c r="F192" s="53"/>
      <c r="G192" s="53"/>
      <c r="BN192" s="53"/>
      <c r="BO192" s="409"/>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row>
    <row r="193" spans="1:99" ht="12" customHeight="1" x14ac:dyDescent="0.2">
      <c r="A193" s="53"/>
      <c r="B193" s="53"/>
      <c r="C193" s="53"/>
      <c r="D193" s="53"/>
      <c r="E193" s="53"/>
      <c r="F193" s="53"/>
      <c r="G193" s="53"/>
      <c r="BN193" s="53"/>
      <c r="BO193" s="409"/>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row>
    <row r="194" spans="1:99" ht="12" customHeight="1" x14ac:dyDescent="0.2">
      <c r="A194" s="53"/>
      <c r="B194" s="53"/>
      <c r="C194" s="53"/>
      <c r="D194" s="53"/>
      <c r="E194" s="53"/>
      <c r="F194" s="53"/>
      <c r="G194" s="53"/>
      <c r="BN194" s="53"/>
      <c r="BO194" s="409"/>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row>
    <row r="195" spans="1:99" ht="12" customHeight="1" x14ac:dyDescent="0.2">
      <c r="A195" s="53"/>
      <c r="B195" s="53"/>
      <c r="C195" s="53"/>
      <c r="D195" s="53"/>
      <c r="E195" s="53"/>
      <c r="F195" s="53"/>
      <c r="G195" s="53"/>
      <c r="BN195" s="53"/>
      <c r="BO195" s="409"/>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row>
    <row r="196" spans="1:99" ht="12" customHeight="1" x14ac:dyDescent="0.2">
      <c r="A196" s="53"/>
      <c r="B196" s="53"/>
      <c r="C196" s="53"/>
      <c r="D196" s="53"/>
      <c r="E196" s="53"/>
      <c r="F196" s="53"/>
      <c r="G196" s="53"/>
      <c r="BN196" s="53"/>
      <c r="BO196" s="409"/>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row>
    <row r="197" spans="1:99" ht="12" customHeight="1" x14ac:dyDescent="0.2">
      <c r="A197" s="53"/>
      <c r="B197" s="53"/>
      <c r="C197" s="53"/>
      <c r="D197" s="53"/>
      <c r="E197" s="53"/>
      <c r="F197" s="53"/>
      <c r="G197" s="53"/>
      <c r="BN197" s="53"/>
      <c r="BO197" s="409"/>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row>
    <row r="198" spans="1:99" ht="12" customHeight="1" x14ac:dyDescent="0.2">
      <c r="A198" s="53"/>
      <c r="B198" s="53"/>
      <c r="C198" s="53"/>
      <c r="D198" s="53"/>
      <c r="E198" s="53"/>
      <c r="F198" s="53"/>
      <c r="G198" s="53"/>
      <c r="BN198" s="53"/>
      <c r="BO198" s="409"/>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row>
    <row r="199" spans="1:99" ht="12" customHeight="1" x14ac:dyDescent="0.2">
      <c r="A199" s="53"/>
      <c r="B199" s="53"/>
      <c r="C199" s="53"/>
      <c r="D199" s="53"/>
      <c r="E199" s="53"/>
      <c r="F199" s="53"/>
      <c r="G199" s="53"/>
      <c r="BN199" s="53"/>
      <c r="BO199" s="409"/>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row>
    <row r="200" spans="1:99" ht="12" customHeight="1" x14ac:dyDescent="0.2">
      <c r="A200" s="53"/>
      <c r="B200" s="53"/>
      <c r="C200" s="53"/>
      <c r="D200" s="53"/>
      <c r="E200" s="53"/>
      <c r="F200" s="53"/>
      <c r="G200" s="53"/>
      <c r="BN200" s="53"/>
      <c r="BO200" s="409"/>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row>
    <row r="201" spans="1:99" ht="12" customHeight="1" x14ac:dyDescent="0.2">
      <c r="A201" s="53"/>
      <c r="B201" s="53"/>
      <c r="C201" s="53"/>
      <c r="D201" s="53"/>
      <c r="E201" s="53"/>
      <c r="F201" s="53"/>
      <c r="G201" s="53"/>
      <c r="BN201" s="53"/>
      <c r="BO201" s="409"/>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row>
    <row r="202" spans="1:99" ht="12" customHeight="1" x14ac:dyDescent="0.2">
      <c r="A202" s="53"/>
      <c r="B202" s="53"/>
      <c r="C202" s="53"/>
      <c r="D202" s="53"/>
      <c r="E202" s="53"/>
      <c r="F202" s="53"/>
      <c r="G202" s="53"/>
      <c r="BN202" s="53"/>
      <c r="BO202" s="409"/>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row>
    <row r="203" spans="1:99" ht="12" customHeight="1" x14ac:dyDescent="0.2">
      <c r="A203" s="53"/>
      <c r="B203" s="53"/>
      <c r="C203" s="53"/>
      <c r="D203" s="53"/>
      <c r="E203" s="53"/>
      <c r="F203" s="53"/>
      <c r="G203" s="53"/>
      <c r="BN203" s="53"/>
      <c r="BO203" s="409"/>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row>
    <row r="204" spans="1:99" ht="12" customHeight="1" x14ac:dyDescent="0.2">
      <c r="A204" s="53"/>
      <c r="B204" s="53"/>
      <c r="C204" s="53"/>
      <c r="D204" s="53"/>
      <c r="E204" s="53"/>
      <c r="F204" s="53"/>
      <c r="G204" s="53"/>
      <c r="BN204" s="53"/>
      <c r="BO204" s="409"/>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row>
    <row r="205" spans="1:99" ht="12" customHeight="1" x14ac:dyDescent="0.2">
      <c r="A205" s="53"/>
      <c r="B205" s="53"/>
      <c r="C205" s="53"/>
      <c r="D205" s="53"/>
      <c r="E205" s="53"/>
      <c r="F205" s="53"/>
      <c r="G205" s="53"/>
      <c r="BN205" s="53"/>
      <c r="BO205" s="409"/>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row>
    <row r="206" spans="1:99" ht="12" customHeight="1" x14ac:dyDescent="0.2">
      <c r="A206" s="53"/>
      <c r="B206" s="53"/>
      <c r="C206" s="53"/>
      <c r="D206" s="53"/>
      <c r="E206" s="53"/>
      <c r="F206" s="53"/>
      <c r="G206" s="53"/>
      <c r="BN206" s="53"/>
      <c r="BO206" s="409"/>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row>
    <row r="207" spans="1:99" ht="12" customHeight="1" x14ac:dyDescent="0.2">
      <c r="A207" s="53"/>
      <c r="B207" s="53"/>
      <c r="C207" s="53"/>
      <c r="D207" s="53"/>
      <c r="E207" s="53"/>
      <c r="F207" s="53"/>
      <c r="G207" s="53"/>
      <c r="BN207" s="53"/>
      <c r="BO207" s="409"/>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row>
    <row r="208" spans="1:99" ht="12" customHeight="1" x14ac:dyDescent="0.2">
      <c r="A208" s="53"/>
      <c r="B208" s="53"/>
      <c r="C208" s="53"/>
      <c r="D208" s="53"/>
      <c r="E208" s="53"/>
      <c r="F208" s="53"/>
      <c r="G208" s="53"/>
      <c r="BN208" s="53"/>
      <c r="BO208" s="409"/>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row>
    <row r="209" spans="1:99" ht="12" customHeight="1" x14ac:dyDescent="0.2">
      <c r="A209" s="53"/>
      <c r="B209" s="53"/>
      <c r="C209" s="53"/>
      <c r="D209" s="53"/>
      <c r="E209" s="53"/>
      <c r="F209" s="53"/>
      <c r="G209" s="53"/>
      <c r="BN209" s="53"/>
      <c r="BO209" s="409"/>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row>
    <row r="210" spans="1:99" ht="12" customHeight="1" x14ac:dyDescent="0.2">
      <c r="A210" s="53"/>
      <c r="B210" s="53"/>
      <c r="C210" s="53"/>
      <c r="D210" s="53"/>
      <c r="E210" s="53"/>
      <c r="F210" s="53"/>
      <c r="G210" s="53"/>
      <c r="AY210" s="53"/>
      <c r="AZ210" s="53"/>
      <c r="BA210" s="53"/>
      <c r="BB210" s="53"/>
      <c r="BN210" s="53"/>
      <c r="BO210" s="409"/>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row>
    <row r="211" spans="1:99" ht="12" customHeight="1" x14ac:dyDescent="0.2">
      <c r="A211" s="53"/>
      <c r="B211" s="53"/>
      <c r="C211" s="53"/>
      <c r="D211" s="53"/>
      <c r="E211" s="53"/>
      <c r="F211" s="53"/>
      <c r="G211" s="53"/>
      <c r="AY211" s="53"/>
      <c r="AZ211" s="53"/>
      <c r="BA211" s="53"/>
      <c r="BB211" s="53"/>
      <c r="BN211" s="53"/>
      <c r="BO211" s="409"/>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row>
    <row r="212" spans="1:99" ht="12" customHeight="1" x14ac:dyDescent="0.2">
      <c r="A212" s="53"/>
      <c r="B212" s="53"/>
      <c r="C212" s="53"/>
      <c r="D212" s="53"/>
      <c r="E212" s="53"/>
      <c r="F212" s="53"/>
      <c r="G212" s="53"/>
      <c r="AY212" s="53"/>
      <c r="AZ212" s="53"/>
      <c r="BA212" s="53"/>
      <c r="BB212" s="53"/>
      <c r="BN212" s="53"/>
      <c r="BO212" s="409"/>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row>
    <row r="213" spans="1:99" ht="12" customHeight="1" x14ac:dyDescent="0.2">
      <c r="A213" s="53"/>
      <c r="B213" s="53"/>
      <c r="C213" s="53"/>
      <c r="D213" s="53"/>
      <c r="E213" s="53"/>
      <c r="F213" s="53"/>
      <c r="G213" s="53"/>
      <c r="AY213" s="53"/>
      <c r="AZ213" s="53"/>
      <c r="BA213" s="53"/>
      <c r="BB213" s="53"/>
      <c r="BN213" s="53"/>
      <c r="BO213" s="409"/>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53"/>
      <c r="CS213" s="53"/>
      <c r="CT213" s="53"/>
      <c r="CU213" s="53"/>
    </row>
    <row r="214" spans="1:99" ht="12" customHeight="1" x14ac:dyDescent="0.2">
      <c r="A214" s="53"/>
      <c r="B214" s="53"/>
      <c r="C214" s="53"/>
      <c r="D214" s="53"/>
      <c r="E214" s="53"/>
      <c r="F214" s="53"/>
      <c r="G214" s="53"/>
      <c r="AY214" s="53"/>
      <c r="AZ214" s="53"/>
      <c r="BA214" s="53"/>
      <c r="BB214" s="53"/>
      <c r="BC214" s="53"/>
      <c r="BN214" s="53"/>
      <c r="BO214" s="409"/>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row>
    <row r="215" spans="1:99" ht="12" customHeight="1" x14ac:dyDescent="0.2">
      <c r="A215" s="53"/>
      <c r="B215" s="53"/>
      <c r="C215" s="53"/>
      <c r="D215" s="53"/>
      <c r="E215" s="53"/>
      <c r="F215" s="53"/>
      <c r="G215" s="53"/>
      <c r="AY215" s="53"/>
      <c r="AZ215" s="53"/>
      <c r="BA215" s="53"/>
      <c r="BB215" s="53"/>
      <c r="BC215" s="53"/>
      <c r="BD215" s="53"/>
      <c r="BE215" s="53"/>
      <c r="BF215" s="53"/>
      <c r="BG215" s="53"/>
      <c r="BH215" s="53"/>
      <c r="BI215" s="53"/>
      <c r="BJ215" s="53"/>
      <c r="BK215" s="53"/>
      <c r="BL215" s="53"/>
      <c r="BM215" s="53"/>
      <c r="BN215" s="53"/>
      <c r="BO215" s="409"/>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row>
    <row r="216" spans="1:99" ht="12" customHeight="1" x14ac:dyDescent="0.2">
      <c r="A216" s="53"/>
      <c r="B216" s="53"/>
      <c r="C216" s="53"/>
      <c r="D216" s="53"/>
      <c r="E216" s="53"/>
      <c r="F216" s="53"/>
      <c r="G216" s="53"/>
      <c r="AY216" s="53"/>
      <c r="AZ216" s="53"/>
      <c r="BA216" s="53"/>
      <c r="BB216" s="53"/>
      <c r="BC216" s="53"/>
      <c r="BD216" s="53"/>
      <c r="BE216" s="53"/>
      <c r="BF216" s="53"/>
      <c r="BG216" s="53"/>
      <c r="BH216" s="53"/>
      <c r="BI216" s="53"/>
      <c r="BJ216" s="53"/>
      <c r="BK216" s="53"/>
      <c r="BL216" s="53"/>
      <c r="BM216" s="53"/>
      <c r="BN216" s="53"/>
      <c r="BO216" s="409"/>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row>
    <row r="217" spans="1:99" ht="12" customHeight="1" x14ac:dyDescent="0.2">
      <c r="A217" s="53"/>
      <c r="B217" s="53"/>
      <c r="C217" s="53"/>
      <c r="D217" s="53"/>
      <c r="E217" s="53"/>
      <c r="F217" s="53"/>
      <c r="G217" s="53"/>
      <c r="AY217" s="53"/>
      <c r="AZ217" s="53"/>
      <c r="BA217" s="53"/>
      <c r="BB217" s="53"/>
      <c r="BC217" s="53"/>
      <c r="BD217" s="53"/>
      <c r="BE217" s="53"/>
      <c r="BF217" s="53"/>
      <c r="BG217" s="53"/>
      <c r="BH217" s="53"/>
      <c r="BI217" s="53"/>
      <c r="BJ217" s="53"/>
      <c r="BK217" s="53"/>
      <c r="BL217" s="53"/>
      <c r="BM217" s="53"/>
      <c r="BN217" s="53"/>
      <c r="BO217" s="409"/>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row>
    <row r="218" spans="1:99" ht="12" customHeight="1" x14ac:dyDescent="0.2">
      <c r="A218" s="53"/>
      <c r="B218" s="53"/>
      <c r="C218" s="53"/>
      <c r="D218" s="53"/>
      <c r="E218" s="53"/>
      <c r="F218" s="53"/>
      <c r="G218" s="53"/>
      <c r="AY218" s="53"/>
      <c r="AZ218" s="53"/>
      <c r="BA218" s="53"/>
      <c r="BB218" s="53"/>
      <c r="BC218" s="53"/>
      <c r="BD218" s="53"/>
      <c r="BE218" s="53"/>
      <c r="BF218" s="53"/>
      <c r="BG218" s="53"/>
      <c r="BH218" s="53"/>
      <c r="BI218" s="53"/>
      <c r="BJ218" s="53"/>
      <c r="BK218" s="53"/>
      <c r="BL218" s="53"/>
      <c r="BM218" s="53"/>
      <c r="BN218" s="53"/>
      <c r="BO218" s="409"/>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row>
    <row r="219" spans="1:99" ht="12" customHeight="1" x14ac:dyDescent="0.2">
      <c r="A219" s="53"/>
      <c r="B219" s="53"/>
      <c r="C219" s="53"/>
      <c r="D219" s="53"/>
      <c r="E219" s="53"/>
      <c r="F219" s="53"/>
      <c r="G219" s="53"/>
      <c r="AY219" s="53"/>
      <c r="AZ219" s="53"/>
      <c r="BA219" s="53"/>
      <c r="BB219" s="53"/>
      <c r="BC219" s="53"/>
      <c r="BD219" s="53"/>
      <c r="BE219" s="53"/>
      <c r="BF219" s="53"/>
      <c r="BG219" s="53"/>
      <c r="BH219" s="53"/>
      <c r="BI219" s="53"/>
      <c r="BJ219" s="53"/>
      <c r="BK219" s="53"/>
      <c r="BL219" s="53"/>
      <c r="BM219" s="53"/>
      <c r="BN219" s="53"/>
      <c r="BO219" s="409"/>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row>
    <row r="220" spans="1:99" ht="12" customHeight="1" x14ac:dyDescent="0.2">
      <c r="A220" s="53"/>
      <c r="B220" s="53"/>
      <c r="C220" s="53"/>
      <c r="D220" s="53"/>
      <c r="E220" s="53"/>
      <c r="F220" s="53"/>
      <c r="G220" s="53"/>
      <c r="AY220" s="53"/>
      <c r="AZ220" s="53"/>
      <c r="BA220" s="53"/>
      <c r="BB220" s="53"/>
      <c r="BC220" s="53"/>
      <c r="BD220" s="53"/>
      <c r="BE220" s="53"/>
      <c r="BF220" s="53"/>
      <c r="BG220" s="53"/>
      <c r="BH220" s="53"/>
      <c r="BI220" s="53"/>
      <c r="BJ220" s="53"/>
      <c r="BK220" s="53"/>
      <c r="BL220" s="53"/>
      <c r="BM220" s="53"/>
      <c r="BN220" s="53"/>
      <c r="BO220" s="409"/>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row>
    <row r="221" spans="1:99" ht="12" customHeight="1" x14ac:dyDescent="0.2">
      <c r="A221" s="53"/>
      <c r="B221" s="53"/>
      <c r="C221" s="53"/>
      <c r="D221" s="53"/>
      <c r="E221" s="53"/>
      <c r="F221" s="53"/>
      <c r="G221" s="53"/>
      <c r="AY221" s="53"/>
      <c r="AZ221" s="53"/>
      <c r="BA221" s="53"/>
      <c r="BB221" s="53"/>
      <c r="BC221" s="53"/>
      <c r="BD221" s="53"/>
      <c r="BE221" s="53"/>
      <c r="BF221" s="53"/>
      <c r="BG221" s="53"/>
      <c r="BH221" s="53"/>
      <c r="BI221" s="53"/>
      <c r="BJ221" s="53"/>
      <c r="BK221" s="53"/>
      <c r="BL221" s="53"/>
      <c r="BM221" s="53"/>
      <c r="BN221" s="53"/>
      <c r="BO221" s="409"/>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row>
    <row r="222" spans="1:99" ht="12" customHeight="1" x14ac:dyDescent="0.2">
      <c r="A222" s="53"/>
      <c r="B222" s="53"/>
      <c r="C222" s="53"/>
      <c r="D222" s="53"/>
      <c r="E222" s="53"/>
      <c r="F222" s="53"/>
      <c r="G222" s="53"/>
      <c r="AY222" s="53"/>
      <c r="AZ222" s="53"/>
      <c r="BA222" s="53"/>
      <c r="BB222" s="53"/>
      <c r="BC222" s="53"/>
      <c r="BD222" s="53"/>
      <c r="BE222" s="53"/>
      <c r="BF222" s="53"/>
      <c r="BG222" s="53"/>
      <c r="BH222" s="53"/>
      <c r="BI222" s="53"/>
      <c r="BJ222" s="53"/>
      <c r="BK222" s="53"/>
      <c r="BL222" s="53"/>
      <c r="BM222" s="53"/>
      <c r="BN222" s="53"/>
      <c r="BO222" s="409"/>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row>
    <row r="223" spans="1:99" ht="12" customHeight="1" x14ac:dyDescent="0.2">
      <c r="A223" s="53"/>
      <c r="B223" s="53"/>
      <c r="C223" s="53"/>
      <c r="D223" s="53"/>
      <c r="E223" s="53"/>
      <c r="F223" s="53"/>
      <c r="G223" s="53"/>
      <c r="AY223" s="53"/>
      <c r="AZ223" s="53"/>
      <c r="BA223" s="53"/>
      <c r="BB223" s="53"/>
      <c r="BC223" s="53"/>
      <c r="BD223" s="53"/>
      <c r="BE223" s="53"/>
      <c r="BF223" s="53"/>
      <c r="BG223" s="53"/>
      <c r="BH223" s="53"/>
      <c r="BI223" s="53"/>
      <c r="BJ223" s="53"/>
      <c r="BK223" s="53"/>
      <c r="BL223" s="53"/>
      <c r="BM223" s="53"/>
      <c r="BN223" s="53"/>
      <c r="BO223" s="409"/>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row>
    <row r="224" spans="1:99" ht="12" customHeight="1" x14ac:dyDescent="0.2">
      <c r="A224" s="53"/>
      <c r="BC224" s="53"/>
      <c r="BD224" s="53"/>
      <c r="BE224" s="53"/>
      <c r="BF224" s="53"/>
      <c r="BG224" s="53"/>
      <c r="BH224" s="53"/>
      <c r="BI224" s="53"/>
      <c r="BJ224" s="53"/>
      <c r="BK224" s="53"/>
      <c r="BL224" s="53"/>
      <c r="BM224" s="53"/>
      <c r="BN224" s="53"/>
      <c r="BO224" s="409"/>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row>
    <row r="225" spans="1:99" ht="12" customHeight="1" x14ac:dyDescent="0.2">
      <c r="A225" s="53"/>
      <c r="BC225" s="53"/>
      <c r="BD225" s="53"/>
      <c r="BE225" s="53"/>
      <c r="BF225" s="53"/>
      <c r="BG225" s="53"/>
      <c r="BH225" s="53"/>
      <c r="BI225" s="53"/>
      <c r="BJ225" s="53"/>
      <c r="BK225" s="53"/>
      <c r="BL225" s="53"/>
      <c r="BM225" s="53"/>
      <c r="BN225" s="53"/>
      <c r="BO225" s="409"/>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row>
    <row r="226" spans="1:99" ht="12" customHeight="1" x14ac:dyDescent="0.2">
      <c r="A226" s="53"/>
      <c r="BC226" s="53"/>
      <c r="BD226" s="53"/>
      <c r="BE226" s="53"/>
      <c r="BF226" s="53"/>
      <c r="BG226" s="53"/>
      <c r="BH226" s="53"/>
      <c r="BI226" s="53"/>
      <c r="BJ226" s="53"/>
      <c r="BK226" s="53"/>
      <c r="BL226" s="53"/>
      <c r="BM226" s="53"/>
      <c r="BN226" s="53"/>
      <c r="BO226" s="409"/>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row>
    <row r="227" spans="1:99" ht="12" customHeight="1" x14ac:dyDescent="0.2">
      <c r="BC227" s="53"/>
      <c r="BD227" s="53"/>
      <c r="BE227" s="53"/>
      <c r="BF227" s="53"/>
      <c r="BG227" s="53"/>
      <c r="BH227" s="53"/>
      <c r="BI227" s="53"/>
      <c r="BJ227" s="53"/>
      <c r="BK227" s="53"/>
      <c r="BL227" s="53"/>
      <c r="BM227" s="53"/>
      <c r="BN227" s="53"/>
      <c r="BO227" s="409"/>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row>
    <row r="228" spans="1:99" ht="12" customHeight="1" x14ac:dyDescent="0.2">
      <c r="BD228" s="53"/>
      <c r="BE228" s="53"/>
      <c r="BF228" s="53"/>
      <c r="BG228" s="53"/>
      <c r="BH228" s="53"/>
      <c r="BI228" s="53"/>
      <c r="BJ228" s="53"/>
      <c r="BK228" s="53"/>
      <c r="BL228" s="53"/>
      <c r="BM228" s="53"/>
      <c r="BN228" s="53"/>
      <c r="BO228" s="409"/>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53"/>
      <c r="CS228" s="53"/>
      <c r="CT228" s="53"/>
      <c r="CU228" s="53"/>
    </row>
    <row r="243" spans="1:1" ht="12" customHeight="1" x14ac:dyDescent="0.2">
      <c r="A243" s="10"/>
    </row>
  </sheetData>
  <sheetProtection password="DEEC" sheet="1" selectLockedCells="1"/>
  <mergeCells count="331">
    <mergeCell ref="BP8:CU9"/>
    <mergeCell ref="AI4:BN5"/>
    <mergeCell ref="BP4:CU5"/>
    <mergeCell ref="AI6:BN7"/>
    <mergeCell ref="BP6:CU7"/>
    <mergeCell ref="AH4:AH5"/>
    <mergeCell ref="BO4:BO5"/>
    <mergeCell ref="AH6:AH7"/>
    <mergeCell ref="BO6:BO7"/>
    <mergeCell ref="AH8:AH9"/>
    <mergeCell ref="BO8:BO9"/>
    <mergeCell ref="AH14:AH15"/>
    <mergeCell ref="BO14:BO15"/>
    <mergeCell ref="AH16:AH17"/>
    <mergeCell ref="BO16:BO17"/>
    <mergeCell ref="AH18:AH19"/>
    <mergeCell ref="BO18:BO19"/>
    <mergeCell ref="B73:AG157"/>
    <mergeCell ref="B4:AG48"/>
    <mergeCell ref="AI8:BN9"/>
    <mergeCell ref="AH10:AH11"/>
    <mergeCell ref="BO10:BO11"/>
    <mergeCell ref="AH12:AH13"/>
    <mergeCell ref="AI18:BN19"/>
    <mergeCell ref="AI20:BN21"/>
    <mergeCell ref="AH20:AH21"/>
    <mergeCell ref="AI10:BN11"/>
    <mergeCell ref="AH22:AH23"/>
    <mergeCell ref="AH24:AH25"/>
    <mergeCell ref="AH26:AH27"/>
    <mergeCell ref="B71:AG72"/>
    <mergeCell ref="AI46:BN47"/>
    <mergeCell ref="BO48:BO49"/>
    <mergeCell ref="AH50:AH51"/>
    <mergeCell ref="BO50:BO51"/>
    <mergeCell ref="BP10:CU11"/>
    <mergeCell ref="AI12:BN13"/>
    <mergeCell ref="BP12:CU13"/>
    <mergeCell ref="AI14:BN15"/>
    <mergeCell ref="BP22:CU23"/>
    <mergeCell ref="AI24:BN25"/>
    <mergeCell ref="BP24:CU25"/>
    <mergeCell ref="AI26:BN27"/>
    <mergeCell ref="BP26:CU27"/>
    <mergeCell ref="BO20:BO21"/>
    <mergeCell ref="AI16:BN17"/>
    <mergeCell ref="BO12:BO13"/>
    <mergeCell ref="BP14:CU15"/>
    <mergeCell ref="BP16:CU17"/>
    <mergeCell ref="BP18:CU19"/>
    <mergeCell ref="BP20:CU21"/>
    <mergeCell ref="BO22:BO23"/>
    <mergeCell ref="AI22:BN23"/>
    <mergeCell ref="BO24:BO25"/>
    <mergeCell ref="BO26:BO27"/>
    <mergeCell ref="BP28:CU29"/>
    <mergeCell ref="AI30:BN31"/>
    <mergeCell ref="BP30:CU31"/>
    <mergeCell ref="AI32:BN33"/>
    <mergeCell ref="BP32:CU33"/>
    <mergeCell ref="AH32:AH33"/>
    <mergeCell ref="BO32:BO33"/>
    <mergeCell ref="AI28:BN29"/>
    <mergeCell ref="AH28:AH29"/>
    <mergeCell ref="BO28:BO29"/>
    <mergeCell ref="AH30:AH31"/>
    <mergeCell ref="BO30:BO31"/>
    <mergeCell ref="BP34:CU35"/>
    <mergeCell ref="AI36:BN37"/>
    <mergeCell ref="BP36:CU37"/>
    <mergeCell ref="AI38:BN39"/>
    <mergeCell ref="BP38:CU39"/>
    <mergeCell ref="AH34:AH35"/>
    <mergeCell ref="BO34:BO35"/>
    <mergeCell ref="AH36:AH37"/>
    <mergeCell ref="AI34:BN35"/>
    <mergeCell ref="BO36:BO37"/>
    <mergeCell ref="AH38:AH39"/>
    <mergeCell ref="BO38:BO39"/>
    <mergeCell ref="BP40:CU41"/>
    <mergeCell ref="AI42:BN43"/>
    <mergeCell ref="BP42:CU43"/>
    <mergeCell ref="AI44:BN45"/>
    <mergeCell ref="BP44:CU45"/>
    <mergeCell ref="AH44:AH45"/>
    <mergeCell ref="BO44:BO45"/>
    <mergeCell ref="AI40:BN41"/>
    <mergeCell ref="AH40:AH41"/>
    <mergeCell ref="BO40:BO41"/>
    <mergeCell ref="AH42:AH43"/>
    <mergeCell ref="BO42:BO43"/>
    <mergeCell ref="BO52:BO53"/>
    <mergeCell ref="AH54:AH55"/>
    <mergeCell ref="BO54:BO55"/>
    <mergeCell ref="BP46:CU47"/>
    <mergeCell ref="AI48:BN49"/>
    <mergeCell ref="BP48:CU49"/>
    <mergeCell ref="AI50:BN51"/>
    <mergeCell ref="BP50:CU51"/>
    <mergeCell ref="AH46:AH47"/>
    <mergeCell ref="BO46:BO47"/>
    <mergeCell ref="AH48:AH49"/>
    <mergeCell ref="BP54:CU55"/>
    <mergeCell ref="AI62:BN63"/>
    <mergeCell ref="BP62:CU63"/>
    <mergeCell ref="AH58:AH59"/>
    <mergeCell ref="BO58:BO59"/>
    <mergeCell ref="AH60:AH61"/>
    <mergeCell ref="AI58:BN59"/>
    <mergeCell ref="BO60:BO61"/>
    <mergeCell ref="AH62:AH63"/>
    <mergeCell ref="BO62:BO63"/>
    <mergeCell ref="BP64:CU65"/>
    <mergeCell ref="AI66:BN67"/>
    <mergeCell ref="BP66:CU67"/>
    <mergeCell ref="AI68:BN69"/>
    <mergeCell ref="BP68:CU69"/>
    <mergeCell ref="AH68:AH69"/>
    <mergeCell ref="BO68:BO69"/>
    <mergeCell ref="AI64:BN65"/>
    <mergeCell ref="AH64:AH65"/>
    <mergeCell ref="BO64:BO65"/>
    <mergeCell ref="AH66:AH67"/>
    <mergeCell ref="BO66:BO67"/>
    <mergeCell ref="BP70:CU71"/>
    <mergeCell ref="AI72:BN73"/>
    <mergeCell ref="BP72:CU73"/>
    <mergeCell ref="AI74:BN75"/>
    <mergeCell ref="BP74:CU75"/>
    <mergeCell ref="AH70:AH71"/>
    <mergeCell ref="BO70:BO71"/>
    <mergeCell ref="AH72:AH73"/>
    <mergeCell ref="AI70:BN71"/>
    <mergeCell ref="BO72:BO73"/>
    <mergeCell ref="AH74:AH75"/>
    <mergeCell ref="BO74:BO75"/>
    <mergeCell ref="BP76:CU77"/>
    <mergeCell ref="AI78:BN79"/>
    <mergeCell ref="BP78:CU79"/>
    <mergeCell ref="AI80:BN81"/>
    <mergeCell ref="BP80:CU81"/>
    <mergeCell ref="AH80:AH81"/>
    <mergeCell ref="BO80:BO81"/>
    <mergeCell ref="AI76:BN77"/>
    <mergeCell ref="AH76:AH77"/>
    <mergeCell ref="BO76:BO77"/>
    <mergeCell ref="AH78:AH79"/>
    <mergeCell ref="BO78:BO79"/>
    <mergeCell ref="BP82:CU83"/>
    <mergeCell ref="AI84:BN85"/>
    <mergeCell ref="BP84:CU85"/>
    <mergeCell ref="AI86:BN87"/>
    <mergeCell ref="BP86:CU87"/>
    <mergeCell ref="AH82:AH83"/>
    <mergeCell ref="BO82:BO83"/>
    <mergeCell ref="AH84:AH85"/>
    <mergeCell ref="AI82:BN83"/>
    <mergeCell ref="BO84:BO85"/>
    <mergeCell ref="AH86:AH87"/>
    <mergeCell ref="BO86:BO87"/>
    <mergeCell ref="BP88:CU89"/>
    <mergeCell ref="AI90:BN91"/>
    <mergeCell ref="BP90:CU91"/>
    <mergeCell ref="AI92:BN93"/>
    <mergeCell ref="BP92:CU93"/>
    <mergeCell ref="AH92:AH93"/>
    <mergeCell ref="BO92:BO93"/>
    <mergeCell ref="AH88:AH89"/>
    <mergeCell ref="BO88:BO89"/>
    <mergeCell ref="AH90:AH91"/>
    <mergeCell ref="BO90:BO91"/>
    <mergeCell ref="AI88:BN89"/>
    <mergeCell ref="BP94:CU95"/>
    <mergeCell ref="AI96:BN97"/>
    <mergeCell ref="BP96:CU97"/>
    <mergeCell ref="AI98:BN99"/>
    <mergeCell ref="BP98:CU99"/>
    <mergeCell ref="AH94:AH95"/>
    <mergeCell ref="BO94:BO95"/>
    <mergeCell ref="AH96:AH97"/>
    <mergeCell ref="BO96:BO97"/>
    <mergeCell ref="AH98:AH99"/>
    <mergeCell ref="BO98:BO99"/>
    <mergeCell ref="AI94:BN95"/>
    <mergeCell ref="AI106:BN107"/>
    <mergeCell ref="AI100:BN101"/>
    <mergeCell ref="AI110:BN111"/>
    <mergeCell ref="BP110:CU111"/>
    <mergeCell ref="AH106:AH107"/>
    <mergeCell ref="BO106:BO107"/>
    <mergeCell ref="AH108:AH109"/>
    <mergeCell ref="BO108:BO109"/>
    <mergeCell ref="AH110:AH111"/>
    <mergeCell ref="BO110:BO111"/>
    <mergeCell ref="BP100:CU101"/>
    <mergeCell ref="AI102:BN103"/>
    <mergeCell ref="BP102:CU103"/>
    <mergeCell ref="AI104:BN105"/>
    <mergeCell ref="BP104:CU105"/>
    <mergeCell ref="AH104:AH105"/>
    <mergeCell ref="BO104:BO105"/>
    <mergeCell ref="AH100:AH101"/>
    <mergeCell ref="BO100:BO101"/>
    <mergeCell ref="AH102:AH103"/>
    <mergeCell ref="BO102:BO103"/>
    <mergeCell ref="BP106:CU107"/>
    <mergeCell ref="AI108:BN109"/>
    <mergeCell ref="BP108:CU109"/>
    <mergeCell ref="BO112:BO113"/>
    <mergeCell ref="AI120:BN121"/>
    <mergeCell ref="BP120:CU121"/>
    <mergeCell ref="AI122:BN123"/>
    <mergeCell ref="BP122:CU123"/>
    <mergeCell ref="AH120:AH121"/>
    <mergeCell ref="BO120:BO121"/>
    <mergeCell ref="AH122:AH123"/>
    <mergeCell ref="BO122:BO123"/>
    <mergeCell ref="AH114:AH115"/>
    <mergeCell ref="BO114:BO115"/>
    <mergeCell ref="AH112:AH113"/>
    <mergeCell ref="AI116:BN117"/>
    <mergeCell ref="BP116:CU117"/>
    <mergeCell ref="AI118:BN119"/>
    <mergeCell ref="BP118:CU119"/>
    <mergeCell ref="AH116:AH117"/>
    <mergeCell ref="BO116:BO117"/>
    <mergeCell ref="AH118:AH119"/>
    <mergeCell ref="BO118:BO119"/>
    <mergeCell ref="AI112:BN113"/>
    <mergeCell ref="BP112:CU113"/>
    <mergeCell ref="AI114:BN115"/>
    <mergeCell ref="BP114:CU115"/>
    <mergeCell ref="BP124:CU125"/>
    <mergeCell ref="AI126:BN127"/>
    <mergeCell ref="BP126:CU127"/>
    <mergeCell ref="AI128:BN129"/>
    <mergeCell ref="BP128:CU129"/>
    <mergeCell ref="AH124:AH125"/>
    <mergeCell ref="BO124:BO125"/>
    <mergeCell ref="AH126:AH127"/>
    <mergeCell ref="BO126:BO127"/>
    <mergeCell ref="AH128:AH129"/>
    <mergeCell ref="BO128:BO129"/>
    <mergeCell ref="AI124:BN125"/>
    <mergeCell ref="AH136:AH137"/>
    <mergeCell ref="BO136:BO137"/>
    <mergeCell ref="AH138:AH139"/>
    <mergeCell ref="BP130:CU131"/>
    <mergeCell ref="AI132:BN133"/>
    <mergeCell ref="BP132:CU133"/>
    <mergeCell ref="AI134:BN135"/>
    <mergeCell ref="BP134:CU135"/>
    <mergeCell ref="AH134:AH135"/>
    <mergeCell ref="BO134:BO135"/>
    <mergeCell ref="BP136:CU137"/>
    <mergeCell ref="AI138:BN139"/>
    <mergeCell ref="BP138:CU139"/>
    <mergeCell ref="AH130:AH131"/>
    <mergeCell ref="BO130:BO131"/>
    <mergeCell ref="AH132:AH133"/>
    <mergeCell ref="BO132:BO133"/>
    <mergeCell ref="BO138:BO139"/>
    <mergeCell ref="AI136:BN137"/>
    <mergeCell ref="AI130:BN131"/>
    <mergeCell ref="AH152:AH153"/>
    <mergeCell ref="BO152:BO153"/>
    <mergeCell ref="AH154:AH155"/>
    <mergeCell ref="BP140:CU141"/>
    <mergeCell ref="AI140:BN141"/>
    <mergeCell ref="AI144:BN145"/>
    <mergeCell ref="BP144:CU145"/>
    <mergeCell ref="AI146:BN147"/>
    <mergeCell ref="BP146:CU147"/>
    <mergeCell ref="AH146:AH147"/>
    <mergeCell ref="BO146:BO147"/>
    <mergeCell ref="AH140:AH141"/>
    <mergeCell ref="BO140:BO141"/>
    <mergeCell ref="AH142:AH143"/>
    <mergeCell ref="BO142:BO143"/>
    <mergeCell ref="AH144:AH145"/>
    <mergeCell ref="BO144:BO145"/>
    <mergeCell ref="BP142:CU143"/>
    <mergeCell ref="AI142:BN143"/>
    <mergeCell ref="BP56:CU57"/>
    <mergeCell ref="AH56:AH57"/>
    <mergeCell ref="BO56:BO57"/>
    <mergeCell ref="AI52:BN53"/>
    <mergeCell ref="AH52:AH53"/>
    <mergeCell ref="F62:AG63"/>
    <mergeCell ref="AI156:BN157"/>
    <mergeCell ref="BP156:CU157"/>
    <mergeCell ref="AH156:AH157"/>
    <mergeCell ref="BO156:BO157"/>
    <mergeCell ref="AI148:BN149"/>
    <mergeCell ref="BP148:CU149"/>
    <mergeCell ref="AI150:BN151"/>
    <mergeCell ref="BP150:CU151"/>
    <mergeCell ref="AI152:BN153"/>
    <mergeCell ref="BP152:CU153"/>
    <mergeCell ref="AH148:AH149"/>
    <mergeCell ref="BO148:BO149"/>
    <mergeCell ref="BO154:BO155"/>
    <mergeCell ref="AI154:BN155"/>
    <mergeCell ref="BP154:CU155"/>
    <mergeCell ref="AH150:AH151"/>
    <mergeCell ref="F64:AG65"/>
    <mergeCell ref="BO150:BO151"/>
    <mergeCell ref="B66:AG69"/>
    <mergeCell ref="F54:U55"/>
    <mergeCell ref="F56:U57"/>
    <mergeCell ref="F52:U53"/>
    <mergeCell ref="Z52:AF53"/>
    <mergeCell ref="Z54:AF56"/>
    <mergeCell ref="B2:AG3"/>
    <mergeCell ref="AI2:CU3"/>
    <mergeCell ref="B52:E53"/>
    <mergeCell ref="B54:E55"/>
    <mergeCell ref="B56:E57"/>
    <mergeCell ref="B58:E59"/>
    <mergeCell ref="B60:E61"/>
    <mergeCell ref="B62:E63"/>
    <mergeCell ref="B64:E65"/>
    <mergeCell ref="F58:AG59"/>
    <mergeCell ref="F60:AG61"/>
    <mergeCell ref="B50:AG51"/>
    <mergeCell ref="BP58:CU59"/>
    <mergeCell ref="AI60:BN61"/>
    <mergeCell ref="BP60:CU61"/>
    <mergeCell ref="BP52:CU53"/>
    <mergeCell ref="AI54:BN55"/>
    <mergeCell ref="AI56:BN57"/>
  </mergeCells>
  <dataValidations count="1">
    <dataValidation type="list" allowBlank="1" showInputMessage="1" showErrorMessage="1" sqref="Z54:AF56">
      <formula1>ExhaustionList</formula1>
    </dataValidation>
  </dataValidations>
  <printOptions horizontalCentered="1"/>
  <pageMargins left="0.19685039370078741" right="0.19685039370078741" top="0.19685039370078741" bottom="0.19685039370078741" header="0" footer="0"/>
  <pageSetup scale="4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273</vt:i4>
      </vt:variant>
    </vt:vector>
  </HeadingPairs>
  <TitlesOfParts>
    <vt:vector size="279" baseType="lpstr">
      <vt:lpstr>Start</vt:lpstr>
      <vt:lpstr>Spellcasting</vt:lpstr>
      <vt:lpstr>Character Sheet I</vt:lpstr>
      <vt:lpstr>Character Sheet II</vt:lpstr>
      <vt:lpstr>Character Sheet III</vt:lpstr>
      <vt:lpstr>Character Sheet IV</vt:lpstr>
      <vt:lpstr>AbilityScores</vt:lpstr>
      <vt:lpstr>Alignment</vt:lpstr>
      <vt:lpstr>AlignmentList</vt:lpstr>
      <vt:lpstr>AmmunitionBonus</vt:lpstr>
      <vt:lpstr>ArmorAC</vt:lpstr>
      <vt:lpstr>ArmorClass</vt:lpstr>
      <vt:lpstr>ArmorDEXmod</vt:lpstr>
      <vt:lpstr>ArmorGroup</vt:lpstr>
      <vt:lpstr>ArmorList</vt:lpstr>
      <vt:lpstr>ArmorName</vt:lpstr>
      <vt:lpstr>ArmorProf</vt:lpstr>
      <vt:lpstr>ArmorProps</vt:lpstr>
      <vt:lpstr>ArmorStealth</vt:lpstr>
      <vt:lpstr>ArmorStrength</vt:lpstr>
      <vt:lpstr>ArmorWeight</vt:lpstr>
      <vt:lpstr>Attack1bonus</vt:lpstr>
      <vt:lpstr>Attack1damage</vt:lpstr>
      <vt:lpstr>Attack1group</vt:lpstr>
      <vt:lpstr>Attack1name</vt:lpstr>
      <vt:lpstr>Attack1prof</vt:lpstr>
      <vt:lpstr>Attack1props</vt:lpstr>
      <vt:lpstr>Attack1range</vt:lpstr>
      <vt:lpstr>Attack1type</vt:lpstr>
      <vt:lpstr>Attack1weight</vt:lpstr>
      <vt:lpstr>Attack2bonus</vt:lpstr>
      <vt:lpstr>Attack2damage</vt:lpstr>
      <vt:lpstr>Attack2group</vt:lpstr>
      <vt:lpstr>Attack2name</vt:lpstr>
      <vt:lpstr>Attack2prof</vt:lpstr>
      <vt:lpstr>Attack2props</vt:lpstr>
      <vt:lpstr>Attack2range</vt:lpstr>
      <vt:lpstr>Attack2type</vt:lpstr>
      <vt:lpstr>Attack2weight</vt:lpstr>
      <vt:lpstr>Attack3bonus</vt:lpstr>
      <vt:lpstr>Attack3damage</vt:lpstr>
      <vt:lpstr>Attack3group</vt:lpstr>
      <vt:lpstr>Attack3name</vt:lpstr>
      <vt:lpstr>Attack3prof</vt:lpstr>
      <vt:lpstr>Attack3props</vt:lpstr>
      <vt:lpstr>Attack3range</vt:lpstr>
      <vt:lpstr>Attack3type</vt:lpstr>
      <vt:lpstr>Attack3weight</vt:lpstr>
      <vt:lpstr>Attack4bonus</vt:lpstr>
      <vt:lpstr>Attack4damage</vt:lpstr>
      <vt:lpstr>Attack4group</vt:lpstr>
      <vt:lpstr>Attack4name</vt:lpstr>
      <vt:lpstr>Attack4prof</vt:lpstr>
      <vt:lpstr>Attack4props</vt:lpstr>
      <vt:lpstr>Attack4range</vt:lpstr>
      <vt:lpstr>Attack4type</vt:lpstr>
      <vt:lpstr>Attack4weight</vt:lpstr>
      <vt:lpstr>Attack5bonus</vt:lpstr>
      <vt:lpstr>Attack5damage</vt:lpstr>
      <vt:lpstr>Attack5group</vt:lpstr>
      <vt:lpstr>Attack5name</vt:lpstr>
      <vt:lpstr>Attack5prof</vt:lpstr>
      <vt:lpstr>Attack5props</vt:lpstr>
      <vt:lpstr>Attack5range</vt:lpstr>
      <vt:lpstr>Attack5type</vt:lpstr>
      <vt:lpstr>Attack5weight</vt:lpstr>
      <vt:lpstr>Attack6bonus</vt:lpstr>
      <vt:lpstr>Attack6damage</vt:lpstr>
      <vt:lpstr>Attack6group</vt:lpstr>
      <vt:lpstr>Attack6name</vt:lpstr>
      <vt:lpstr>Attack6prof</vt:lpstr>
      <vt:lpstr>Attack6props</vt:lpstr>
      <vt:lpstr>Attack6range</vt:lpstr>
      <vt:lpstr>Attack6type</vt:lpstr>
      <vt:lpstr>Attack6weight</vt:lpstr>
      <vt:lpstr>BarbarianBerserkerLevel</vt:lpstr>
      <vt:lpstr>BarbarianLevel</vt:lpstr>
      <vt:lpstr>BarbarianTotemSpiritList</vt:lpstr>
      <vt:lpstr>BarbarianTotemWarriorLevel</vt:lpstr>
      <vt:lpstr>BardLevel</vt:lpstr>
      <vt:lpstr>BardLoreLevel</vt:lpstr>
      <vt:lpstr>BardValorLevel</vt:lpstr>
      <vt:lpstr>Campaign</vt:lpstr>
      <vt:lpstr>CasterLevel</vt:lpstr>
      <vt:lpstr>CHA</vt:lpstr>
      <vt:lpstr>CHAMod</vt:lpstr>
      <vt:lpstr>CHAModTemp</vt:lpstr>
      <vt:lpstr>CharacterAge</vt:lpstr>
      <vt:lpstr>CharacterBackground</vt:lpstr>
      <vt:lpstr>CharacterBackgroundBond</vt:lpstr>
      <vt:lpstr>CharacterBackgroundBondList</vt:lpstr>
      <vt:lpstr>CharacterBackgroundFeature</vt:lpstr>
      <vt:lpstr>CharacterBackgroundFlaw</vt:lpstr>
      <vt:lpstr>CharacterBackgroundFlawList</vt:lpstr>
      <vt:lpstr>CharacterBackgroundIdeal</vt:lpstr>
      <vt:lpstr>CharacterBackgroundIdealList</vt:lpstr>
      <vt:lpstr>CharacterBackgroundList</vt:lpstr>
      <vt:lpstr>CharacterBackgroundPersonalityTrait1</vt:lpstr>
      <vt:lpstr>CharacterBackgroundPersonalityTrait2</vt:lpstr>
      <vt:lpstr>CharacterBackgroundPersonalityTraitList</vt:lpstr>
      <vt:lpstr>CharacterBackgroundSpecialty</vt:lpstr>
      <vt:lpstr>CharacterBackgroundSpecialtyList</vt:lpstr>
      <vt:lpstr>CharacterEyes</vt:lpstr>
      <vt:lpstr>CharacterHair</vt:lpstr>
      <vt:lpstr>CharacterHeight</vt:lpstr>
      <vt:lpstr>CharacterLevel</vt:lpstr>
      <vt:lpstr>CharacterName</vt:lpstr>
      <vt:lpstr>CharacterSkin</vt:lpstr>
      <vt:lpstr>CharacterWeight</vt:lpstr>
      <vt:lpstr>Class</vt:lpstr>
      <vt:lpstr>Class1</vt:lpstr>
      <vt:lpstr>Class2</vt:lpstr>
      <vt:lpstr>Class3</vt:lpstr>
      <vt:lpstr>ClassList</vt:lpstr>
      <vt:lpstr>ClericKnowledgeLevel</vt:lpstr>
      <vt:lpstr>ClericKnowledgeSkillList</vt:lpstr>
      <vt:lpstr>ClericLevel</vt:lpstr>
      <vt:lpstr>ClericLifeLevel</vt:lpstr>
      <vt:lpstr>ClericLightLevel</vt:lpstr>
      <vt:lpstr>ClericNatureLevel</vt:lpstr>
      <vt:lpstr>ClericTempestLevel</vt:lpstr>
      <vt:lpstr>ClericTrickeryLevel</vt:lpstr>
      <vt:lpstr>ClericWarLevel</vt:lpstr>
      <vt:lpstr>CON</vt:lpstr>
      <vt:lpstr>CONMod</vt:lpstr>
      <vt:lpstr>CONModTemp</vt:lpstr>
      <vt:lpstr>Deity</vt:lpstr>
      <vt:lpstr>DeityList</vt:lpstr>
      <vt:lpstr>DEX</vt:lpstr>
      <vt:lpstr>DEXMod</vt:lpstr>
      <vt:lpstr>DEXModTemp</vt:lpstr>
      <vt:lpstr>DruidLandLevel</vt:lpstr>
      <vt:lpstr>DruidLandOrigin</vt:lpstr>
      <vt:lpstr>DruidLandOriginList</vt:lpstr>
      <vt:lpstr>DruidLevel</vt:lpstr>
      <vt:lpstr>DruidMoonLevel</vt:lpstr>
      <vt:lpstr>ExhaustionLevel</vt:lpstr>
      <vt:lpstr>ExhaustionList</vt:lpstr>
      <vt:lpstr>Experience</vt:lpstr>
      <vt:lpstr>ExperienceNextLvl</vt:lpstr>
      <vt:lpstr>FamiliarList</vt:lpstr>
      <vt:lpstr>FamiliarSizeList</vt:lpstr>
      <vt:lpstr>FamiliarTypeList</vt:lpstr>
      <vt:lpstr>Feat1</vt:lpstr>
      <vt:lpstr>Feat2</vt:lpstr>
      <vt:lpstr>Feat3</vt:lpstr>
      <vt:lpstr>Feat4</vt:lpstr>
      <vt:lpstr>Feat5</vt:lpstr>
      <vt:lpstr>Feat6</vt:lpstr>
      <vt:lpstr>Feat7</vt:lpstr>
      <vt:lpstr>FeatList</vt:lpstr>
      <vt:lpstr>FighterBattleMasterLevel</vt:lpstr>
      <vt:lpstr>FighterBattleMasterManeuversList</vt:lpstr>
      <vt:lpstr>FighterChampionLevel</vt:lpstr>
      <vt:lpstr>FighterEldritchKnightLevel</vt:lpstr>
      <vt:lpstr>FighterLevel</vt:lpstr>
      <vt:lpstr>FightingStyle1</vt:lpstr>
      <vt:lpstr>FightingStyle2</vt:lpstr>
      <vt:lpstr>FightingStyle3</vt:lpstr>
      <vt:lpstr>FightingStyle4</vt:lpstr>
      <vt:lpstr>FightingStyleList</vt:lpstr>
      <vt:lpstr>Gender</vt:lpstr>
      <vt:lpstr>GenderList</vt:lpstr>
      <vt:lpstr>HitPoints</vt:lpstr>
      <vt:lpstr>INT</vt:lpstr>
      <vt:lpstr>INTMod</vt:lpstr>
      <vt:lpstr>INTModTemp</vt:lpstr>
      <vt:lpstr>LanguageList</vt:lpstr>
      <vt:lpstr>MagicBonus</vt:lpstr>
      <vt:lpstr>MonkElementalDisciplinesList</vt:lpstr>
      <vt:lpstr>MonkFourElementsLevel</vt:lpstr>
      <vt:lpstr>MonkLevel</vt:lpstr>
      <vt:lpstr>MonkOpenHandLevel</vt:lpstr>
      <vt:lpstr>MonkShadowLevel</vt:lpstr>
      <vt:lpstr>PaladinDevotionLevel</vt:lpstr>
      <vt:lpstr>PaladinLevel</vt:lpstr>
      <vt:lpstr>PaladinTheAncientsLevel</vt:lpstr>
      <vt:lpstr>PaladinVengeanceLevel</vt:lpstr>
      <vt:lpstr>PlayerName</vt:lpstr>
      <vt:lpstr>'Character Sheet I'!Print_Area</vt:lpstr>
      <vt:lpstr>'Character Sheet II'!Print_Area</vt:lpstr>
      <vt:lpstr>'Character Sheet III'!Print_Area</vt:lpstr>
      <vt:lpstr>'Character Sheet IV'!Print_Area</vt:lpstr>
      <vt:lpstr>Spellcasting!Print_Area</vt:lpstr>
      <vt:lpstr>Start!Print_Area</vt:lpstr>
      <vt:lpstr>ProfArmor</vt:lpstr>
      <vt:lpstr>ProfBonus</vt:lpstr>
      <vt:lpstr>ProficiencyList</vt:lpstr>
      <vt:lpstr>ProfSaves</vt:lpstr>
      <vt:lpstr>ProfTools</vt:lpstr>
      <vt:lpstr>ProfWeapons</vt:lpstr>
      <vt:lpstr>Race</vt:lpstr>
      <vt:lpstr>RaceDraconicAncestry</vt:lpstr>
      <vt:lpstr>RaceDraconicAncestryList</vt:lpstr>
      <vt:lpstr>RaceList</vt:lpstr>
      <vt:lpstr>RaceVision</vt:lpstr>
      <vt:lpstr>RangerBeastMasterLevel</vt:lpstr>
      <vt:lpstr>RangerFavoredEnemyHumanoidList</vt:lpstr>
      <vt:lpstr>RangerFavoredEnemyList</vt:lpstr>
      <vt:lpstr>RangerHunterDefensiveTacticsList</vt:lpstr>
      <vt:lpstr>RangerHunterLevel</vt:lpstr>
      <vt:lpstr>RangerHunterMultiattackList</vt:lpstr>
      <vt:lpstr>RangerHunterPreyList</vt:lpstr>
      <vt:lpstr>RangerHunterSuperiorDefenseList</vt:lpstr>
      <vt:lpstr>RangerLevel</vt:lpstr>
      <vt:lpstr>RangerNaturalExplorerList</vt:lpstr>
      <vt:lpstr>Region</vt:lpstr>
      <vt:lpstr>RogueArcaneTricksterLevel</vt:lpstr>
      <vt:lpstr>RogueAssassinLevel</vt:lpstr>
      <vt:lpstr>RogueExpertiseList</vt:lpstr>
      <vt:lpstr>RogueLevel</vt:lpstr>
      <vt:lpstr>RogueThiefLevel</vt:lpstr>
      <vt:lpstr>SelectText</vt:lpstr>
      <vt:lpstr>ShieldAC</vt:lpstr>
      <vt:lpstr>ShieldDEXmod</vt:lpstr>
      <vt:lpstr>ShieldGroup</vt:lpstr>
      <vt:lpstr>ShieldlList</vt:lpstr>
      <vt:lpstr>ShieldName</vt:lpstr>
      <vt:lpstr>ShieldProf</vt:lpstr>
      <vt:lpstr>ShieldProps</vt:lpstr>
      <vt:lpstr>ShieldStealth</vt:lpstr>
      <vt:lpstr>ShieldStrength</vt:lpstr>
      <vt:lpstr>ShieldWeight</vt:lpstr>
      <vt:lpstr>Size</vt:lpstr>
      <vt:lpstr>SorcererDraconicBloodlineLevel</vt:lpstr>
      <vt:lpstr>SorcererLevel</vt:lpstr>
      <vt:lpstr>SorcererMetamagicList</vt:lpstr>
      <vt:lpstr>SorcererWildMagicLevel</vt:lpstr>
      <vt:lpstr>Speed</vt:lpstr>
      <vt:lpstr>SpellcasterClass1</vt:lpstr>
      <vt:lpstr>SpellcasterClass2</vt:lpstr>
      <vt:lpstr>SpellcasterClass3</vt:lpstr>
      <vt:lpstr>SpellListCantrips</vt:lpstr>
      <vt:lpstr>SpellListCantripsHighElf</vt:lpstr>
      <vt:lpstr>SpellListComplete</vt:lpstr>
      <vt:lpstr>SpellListLevel1</vt:lpstr>
      <vt:lpstr>SpellListLevel2</vt:lpstr>
      <vt:lpstr>SpellListLevel3</vt:lpstr>
      <vt:lpstr>SpellListLevel4</vt:lpstr>
      <vt:lpstr>SpellListLevel5</vt:lpstr>
      <vt:lpstr>SpellListLevel6</vt:lpstr>
      <vt:lpstr>SpellListLevel7</vt:lpstr>
      <vt:lpstr>SpellListLevel8</vt:lpstr>
      <vt:lpstr>SpellListLevel9</vt:lpstr>
      <vt:lpstr>STR</vt:lpstr>
      <vt:lpstr>STRMod</vt:lpstr>
      <vt:lpstr>STRModTemp</vt:lpstr>
      <vt:lpstr>SubClass</vt:lpstr>
      <vt:lpstr>SubClass1</vt:lpstr>
      <vt:lpstr>SubClass1List</vt:lpstr>
      <vt:lpstr>SubClass2</vt:lpstr>
      <vt:lpstr>SubClass2List</vt:lpstr>
      <vt:lpstr>SubClass3</vt:lpstr>
      <vt:lpstr>SubClass3List</vt:lpstr>
      <vt:lpstr>Subrace</vt:lpstr>
      <vt:lpstr>SubraceList</vt:lpstr>
      <vt:lpstr>ToolList</vt:lpstr>
      <vt:lpstr>WarlockArchfeyLevel</vt:lpstr>
      <vt:lpstr>WarlockFiendLevel</vt:lpstr>
      <vt:lpstr>WarlockGreatOldOneLevel</vt:lpstr>
      <vt:lpstr>WarlockInvocationsList</vt:lpstr>
      <vt:lpstr>WarlockLevel</vt:lpstr>
      <vt:lpstr>WarlockPactBoonList</vt:lpstr>
      <vt:lpstr>WeaponList</vt:lpstr>
      <vt:lpstr>WIS</vt:lpstr>
      <vt:lpstr>WISMod</vt:lpstr>
      <vt:lpstr>WISModTemp</vt:lpstr>
      <vt:lpstr>WizardAbjurationLevel</vt:lpstr>
      <vt:lpstr>WizardConjurationLevel</vt:lpstr>
      <vt:lpstr>WizardDivinationLevel</vt:lpstr>
      <vt:lpstr>WizardEnchantmentLevel</vt:lpstr>
      <vt:lpstr>WizardEvocationLevel</vt:lpstr>
      <vt:lpstr>WizardIllusionLevel</vt:lpstr>
      <vt:lpstr>WizardLevel</vt:lpstr>
      <vt:lpstr>WizardNecromancyLevel</vt:lpstr>
      <vt:lpstr>WizardSignatureSpellList</vt:lpstr>
      <vt:lpstr>WizardSpellMastery1List</vt:lpstr>
      <vt:lpstr>WizardSpellMastery2List</vt:lpstr>
      <vt:lpstr>WizardTransmutationLevel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ForgedAnvil D&amp;D 5E Character Generator</dc:title>
  <dc:creator>ForgedAnvil</dc:creator>
  <cp:keywords>D&amp;D, Dungeons, Dragons, 5E</cp:keywords>
  <cp:lastModifiedBy>Grant, James</cp:lastModifiedBy>
  <cp:lastPrinted>2015-03-09T16:50:32Z</cp:lastPrinted>
  <dcterms:created xsi:type="dcterms:W3CDTF">2014-01-19T02:52:57Z</dcterms:created>
  <dcterms:modified xsi:type="dcterms:W3CDTF">2015-03-10T21:13:10Z</dcterms:modified>
  <cp:version>1.02 B</cp:version>
</cp:coreProperties>
</file>